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drawings/drawing6.xml" ContentType="application/vnd.openxmlformats-officedocument.drawing+xml"/>
  <Override PartName="/xl/charts/chart17.xml" ContentType="application/vnd.openxmlformats-officedocument.drawingml.chart+xml"/>
  <Override PartName="/xl/drawings/drawing7.xml" ContentType="application/vnd.openxmlformats-officedocument.drawing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drawings/drawing10.xml" ContentType="application/vnd.openxmlformats-officedocument.drawing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11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drawings/drawing12.xml" ContentType="application/vnd.openxmlformats-officedocument.drawing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drawings/drawing13.xml" ContentType="application/vnd.openxmlformats-officedocument.drawing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4.xml" ContentType="application/vnd.openxmlformats-officedocument.drawing+xml"/>
  <Override PartName="/xl/charts/chart35.xml" ContentType="application/vnd.openxmlformats-officedocument.drawingml.chart+xml"/>
  <Override PartName="/xl/drawings/drawing15.xml" ContentType="application/vnd.openxmlformats-officedocument.drawing+xml"/>
  <Override PartName="/xl/charts/chart3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colors1.xml" ContentType="application/vnd.ms-office.chartcolorstyle+xml"/>
  <Override PartName="/xl/charts/style1.xml" ContentType="application/vnd.ms-office.chartstyle+xml"/>
  <Override PartName="/xl/charts/colors2.xml" ContentType="application/vnd.ms-office.chartcolorstyle+xml"/>
  <Override PartName="/xl/charts/style2.xml" ContentType="application/vnd.ms-office.chartstyle+xml"/>
  <Override PartName="/xl/charts/colors3.xml" ContentType="application/vnd.ms-office.chartcolorstyle+xml"/>
  <Override PartName="/xl/charts/style3.xml" ContentType="application/vnd.ms-office.chartstyle+xml"/>
  <Override PartName="/xl/charts/colors4.xml" ContentType="application/vnd.ms-office.chartcolorstyle+xml"/>
  <Override PartName="/xl/charts/style4.xml" ContentType="application/vnd.ms-office.chartstyle+xml"/>
  <Override PartName="/xl/charts/colors5.xml" ContentType="application/vnd.ms-office.chartcolorstyle+xml"/>
  <Override PartName="/xl/charts/style5.xml" ContentType="application/vnd.ms-office.chartstyle+xml"/>
  <Override PartName="/xl/charts/colors6.xml" ContentType="application/vnd.ms-office.chartcolorstyle+xml"/>
  <Override PartName="/xl/charts/style6.xml" ContentType="application/vnd.ms-office.chartstyle+xml"/>
  <Override PartName="/xl/charts/colors7.xml" ContentType="application/vnd.ms-office.chartcolorstyle+xml"/>
  <Override PartName="/xl/charts/style7.xml" ContentType="application/vnd.ms-office.chartstyle+xml"/>
  <Override PartName="/xl/charts/colors8.xml" ContentType="application/vnd.ms-office.chartcolorstyle+xml"/>
  <Override PartName="/xl/charts/style8.xml" ContentType="application/vnd.ms-office.chartstyle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3"/>
  <workbookPr codeName="ThisWorkbook" defaultThemeVersion="124226"/>
  <bookViews>
    <workbookView xWindow="-105" yWindow="-105" windowWidth="19425" windowHeight="10425" firstSheet="4" activeTab="5"/>
  </bookViews>
  <sheets>
    <sheet name="TOC0" sheetId="36" r:id="rId1"/>
    <sheet name="TOC" sheetId="1" r:id="rId2"/>
    <sheet name="Desc" sheetId="2" r:id="rId3"/>
    <sheet name="Ellipse" sheetId="94" r:id="rId4"/>
    <sheet name="Ellipse 2" sheetId="95" r:id="rId5"/>
    <sheet name="Bivar" sheetId="85" r:id="rId6"/>
    <sheet name="Bivar 1" sheetId="84" r:id="rId7"/>
    <sheet name="Hotel 1" sheetId="3" r:id="rId8"/>
    <sheet name="Hotel 2P" sheetId="4" r:id="rId9"/>
    <sheet name="Hotel 2" sheetId="5" r:id="rId10"/>
    <sheet name="Hotel 2a" sheetId="7" r:id="rId11"/>
    <sheet name="Hotel 2b" sheetId="96" r:id="rId12"/>
    <sheet name="Hotel 3" sheetId="6" r:id="rId13"/>
    <sheet name="Hotel 3a" sheetId="12" r:id="rId14"/>
    <sheet name="Hotel 3b" sheetId="66" r:id="rId15"/>
    <sheet name="Rep Measures 1" sheetId="64" r:id="rId16"/>
    <sheet name="Rep Measures 2" sheetId="68" r:id="rId17"/>
    <sheet name="Rep Measures 3" sheetId="69" r:id="rId18"/>
    <sheet name="Hot1 Power" sheetId="100" r:id="rId19"/>
    <sheet name="Hot2 Power" sheetId="101" r:id="rId20"/>
    <sheet name="Box 2" sheetId="11" r:id="rId21"/>
    <sheet name="Box 2a" sheetId="9" r:id="rId22"/>
    <sheet name="Box 3a" sheetId="13" r:id="rId23"/>
    <sheet name="Box 3b" sheetId="38" r:id="rId24"/>
    <sheet name="Manova 1" sheetId="15" r:id="rId25"/>
    <sheet name="Manova 1a" sheetId="21" r:id="rId26"/>
    <sheet name="Manova 1b" sheetId="29" r:id="rId27"/>
    <sheet name="Manova 1c" sheetId="14" r:id="rId28"/>
    <sheet name="Manova 1d" sheetId="31" r:id="rId29"/>
    <sheet name="Manova 1e" sheetId="30" r:id="rId30"/>
    <sheet name="Manova 1f" sheetId="32" r:id="rId31"/>
    <sheet name="Manova 1g" sheetId="33" r:id="rId32"/>
    <sheet name="Manova 1h" sheetId="17" r:id="rId33"/>
    <sheet name="Manova 1i" sheetId="18" r:id="rId34"/>
    <sheet name="Manova 1j" sheetId="34" r:id="rId35"/>
    <sheet name="Manova 1k" sheetId="35" r:id="rId36"/>
    <sheet name="Manova2" sheetId="97" r:id="rId37"/>
    <sheet name="Man Power" sheetId="99" r:id="rId38"/>
    <sheet name="Man2 Power" sheetId="98" r:id="rId39"/>
    <sheet name="PMANOVA1" sheetId="103" r:id="rId40"/>
    <sheet name="PMANOVA2" sheetId="104" r:id="rId41"/>
    <sheet name="PMANOVA3" sheetId="105" r:id="rId42"/>
    <sheet name="PANOVA" sheetId="102" r:id="rId43"/>
    <sheet name="Box" sheetId="37" r:id="rId44"/>
    <sheet name="PCA" sheetId="39" r:id="rId45"/>
    <sheet name="Factor" sheetId="40" r:id="rId46"/>
    <sheet name="Box Factor" sheetId="41" r:id="rId47"/>
    <sheet name="Varimax" sheetId="42" r:id="rId48"/>
    <sheet name="Varimax 1" sheetId="43" r:id="rId49"/>
    <sheet name="KMO" sheetId="44" r:id="rId50"/>
    <sheet name="Clust 1" sheetId="79" r:id="rId51"/>
    <sheet name="Clust 1a" sheetId="77" r:id="rId52"/>
    <sheet name="Clust 2" sheetId="78" r:id="rId53"/>
    <sheet name="Clust 3" sheetId="76" r:id="rId54"/>
    <sheet name="Clust 3a" sheetId="75" r:id="rId55"/>
    <sheet name="Clust 3b" sheetId="74" r:id="rId56"/>
    <sheet name="Jenks 1" sheetId="83" r:id="rId57"/>
    <sheet name="Jenks 2" sheetId="82" r:id="rId58"/>
    <sheet name="Jenks 3" sheetId="81" r:id="rId59"/>
    <sheet name="Jenks 4" sheetId="80" r:id="rId60"/>
    <sheet name="Discrim 1" sheetId="86" r:id="rId61"/>
    <sheet name="Discrim 2" sheetId="87" r:id="rId62"/>
    <sheet name="Discrim 3" sheetId="88" r:id="rId63"/>
    <sheet name="Discrim 4" sheetId="89" r:id="rId64"/>
    <sheet name="CA 1" sheetId="90" r:id="rId65"/>
    <sheet name="CA 2" sheetId="91" r:id="rId66"/>
    <sheet name="CA 3" sheetId="92" r:id="rId67"/>
    <sheet name="CA 4" sheetId="93" r:id="rId68"/>
    <sheet name="QR 1" sheetId="59" r:id="rId69"/>
    <sheet name="QR 2" sheetId="61" r:id="rId70"/>
    <sheet name="Eigen 1" sheetId="62" r:id="rId71"/>
    <sheet name="Eigen 2" sheetId="70" r:id="rId72"/>
    <sheet name="QR" sheetId="49" r:id="rId73"/>
    <sheet name="Spectral" sheetId="57" r:id="rId74"/>
    <sheet name="SVD" sheetId="58" r:id="rId75"/>
    <sheet name="Matrix 1" sheetId="71" r:id="rId76"/>
    <sheet name="Matrix 2" sheetId="72" r:id="rId77"/>
    <sheet name="Par Cor" sheetId="47" r:id="rId78"/>
    <sheet name="SQRT" sheetId="48" r:id="rId79"/>
    <sheet name="Fact PCA" sheetId="51" r:id="rId80"/>
    <sheet name="PAF Comm" sheetId="55" r:id="rId81"/>
    <sheet name="Fact PAF" sheetId="54" r:id="rId82"/>
    <sheet name="Gram" sheetId="56" r:id="rId83"/>
    <sheet name="Cholesky" sheetId="63" r:id="rId84"/>
  </sheets>
  <externalReferences>
    <externalReference r:id="rId85"/>
    <externalReference r:id="rId86"/>
  </externalReferences>
  <definedNames>
    <definedName name="r_0">#REF!</definedName>
  </definedName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U9" i="105" l="1"/>
  <c r="T9" i="105"/>
  <c r="S9" i="105"/>
  <c r="V8" i="105"/>
  <c r="U8" i="105"/>
  <c r="T8" i="105"/>
  <c r="S8" i="105"/>
  <c r="V7" i="105"/>
  <c r="U7" i="105"/>
  <c r="T7" i="105"/>
  <c r="S7" i="105"/>
  <c r="V6" i="105"/>
  <c r="U6" i="105"/>
  <c r="T6" i="105"/>
  <c r="S6" i="105"/>
  <c r="V5" i="105"/>
  <c r="U5" i="105"/>
  <c r="T5" i="105"/>
  <c r="S5" i="105"/>
  <c r="A5" i="105"/>
  <c r="A6" i="105" s="1"/>
  <c r="A7" i="105" s="1"/>
  <c r="A8" i="105" s="1"/>
  <c r="A9" i="105" s="1"/>
  <c r="A10" i="105" s="1"/>
  <c r="A11" i="105" s="1"/>
  <c r="A12" i="105" s="1"/>
  <c r="A13" i="105" s="1"/>
  <c r="A14" i="105" s="1"/>
  <c r="A15" i="105" s="1"/>
  <c r="A16" i="105" s="1"/>
  <c r="A17" i="105" s="1"/>
  <c r="A18" i="105" s="1"/>
  <c r="A19" i="105" s="1"/>
  <c r="U4" i="105"/>
  <c r="S4" i="105" a="1"/>
  <c r="T4" i="105" s="1"/>
  <c r="A5" i="104"/>
  <c r="A6" i="104" s="1"/>
  <c r="A7" i="104" s="1"/>
  <c r="A8" i="104" s="1"/>
  <c r="A9" i="104" s="1"/>
  <c r="A10" i="104" s="1"/>
  <c r="A11" i="104" s="1"/>
  <c r="A12" i="104" s="1"/>
  <c r="A13" i="104" s="1"/>
  <c r="A14" i="104" s="1"/>
  <c r="A15" i="104" s="1"/>
  <c r="A16" i="104" s="1"/>
  <c r="A17" i="104" s="1"/>
  <c r="A18" i="104" s="1"/>
  <c r="A19" i="104" s="1"/>
  <c r="I24" i="103"/>
  <c r="N22" i="103" s="1"/>
  <c r="G5" i="103"/>
  <c r="H5" i="103" s="1"/>
  <c r="A5" i="103"/>
  <c r="A6" i="103" s="1"/>
  <c r="A7" i="103" s="1"/>
  <c r="A8" i="103" s="1"/>
  <c r="A9" i="103" s="1"/>
  <c r="A10" i="103" s="1"/>
  <c r="A11" i="103" s="1"/>
  <c r="A12" i="103" s="1"/>
  <c r="A13" i="103" s="1"/>
  <c r="A14" i="103" s="1"/>
  <c r="A15" i="103" s="1"/>
  <c r="A16" i="103" s="1"/>
  <c r="A17" i="103" s="1"/>
  <c r="A18" i="103" s="1"/>
  <c r="A19" i="103" s="1"/>
  <c r="H4" i="103"/>
  <c r="I3" i="103"/>
  <c r="U10" i="56" a="1"/>
  <c r="T39" i="55"/>
  <c r="T35" i="55"/>
  <c r="A10" i="56" a="1"/>
  <c r="M14" i="54" a="1"/>
  <c r="T38" i="55"/>
  <c r="T34" i="55"/>
  <c r="A23" i="63" a="1"/>
  <c r="T41" i="55"/>
  <c r="T33" i="55"/>
  <c r="P3" i="72" a="1"/>
  <c r="K3" i="72" a="1"/>
  <c r="U10" i="71" a="1"/>
  <c r="Z3" i="71" a="1"/>
  <c r="I10" i="58" a="1"/>
  <c r="E10" i="58" a="1"/>
  <c r="T40" i="55"/>
  <c r="M6" i="55" a="1"/>
  <c r="I9" i="48" a="1"/>
  <c r="F13" i="72" a="1"/>
  <c r="U17" i="71" a="1"/>
  <c r="F13" i="71" a="1"/>
  <c r="U3" i="71" a="1"/>
  <c r="F3" i="71" a="1"/>
  <c r="T37" i="55"/>
  <c r="A9" i="48" a="1"/>
  <c r="F3" i="72" a="1"/>
  <c r="P10" i="71" a="1"/>
  <c r="P3" i="71" a="1"/>
  <c r="S52" i="58" a="1"/>
  <c r="G34" i="58" a="1"/>
  <c r="V10" i="58" a="1"/>
  <c r="I52" i="58" a="1"/>
  <c r="V33" i="70" a="1"/>
  <c r="E24" i="62" a="1"/>
  <c r="E21" i="62" a="1"/>
  <c r="M17" i="62" a="1"/>
  <c r="E10" i="62" a="1"/>
  <c r="E3" i="62" a="1"/>
  <c r="I4" i="61" a="1"/>
  <c r="W240" i="59" a="1"/>
  <c r="AB25" i="92" a="1"/>
  <c r="AB6" i="92" a="1"/>
  <c r="I25" i="90"/>
  <c r="K24" i="89"/>
  <c r="J8" i="89" a="1"/>
  <c r="G23" i="88"/>
  <c r="F16" i="88" a="1"/>
  <c r="N7" i="88" a="1"/>
  <c r="G5" i="86"/>
  <c r="K3" i="81" a="1"/>
  <c r="M14" i="51" a="1"/>
  <c r="F4" i="49" a="1"/>
  <c r="E28" i="62" a="1"/>
  <c r="M24" i="62" a="1"/>
  <c r="Q17" i="62" a="1"/>
  <c r="I17" i="62" a="1"/>
  <c r="M10" i="62" a="1"/>
  <c r="AA18" i="61" a="1"/>
  <c r="M10" i="61" a="1"/>
  <c r="AB25" i="93" a="1"/>
  <c r="B13" i="93" a="1"/>
  <c r="AB21" i="92" a="1"/>
  <c r="Y21" i="91" a="1"/>
  <c r="AQ61" i="90" a="1"/>
  <c r="AK42" i="90" a="1"/>
  <c r="F8" i="88" a="1"/>
  <c r="R22" i="87"/>
  <c r="T36" i="55"/>
  <c r="K17" i="72" a="1"/>
  <c r="A37" i="70" a="1"/>
  <c r="Q24" i="62" a="1"/>
  <c r="I24" i="62" a="1"/>
  <c r="E17" i="62" a="1"/>
  <c r="I10" i="62" a="1"/>
  <c r="M3" i="62" a="1"/>
  <c r="I3" i="62" a="1"/>
  <c r="T18" i="61" a="1"/>
  <c r="E4" i="61" a="1"/>
  <c r="AB21" i="93" a="1"/>
  <c r="AB6" i="93" a="1"/>
  <c r="B13" i="92" a="1"/>
  <c r="B13" i="91" a="1"/>
  <c r="Y6" i="91" a="1"/>
  <c r="AD42" i="90" a="1"/>
  <c r="I21" i="90"/>
  <c r="AD4" i="90" a="1"/>
  <c r="G7" i="89" a="1"/>
  <c r="K14" i="80" a="1"/>
  <c r="W10" i="82" a="1"/>
  <c r="K4" i="49" a="1"/>
  <c r="AH4" i="90" a="1"/>
  <c r="G12" i="87" a="1"/>
  <c r="K4" i="80" a="1"/>
  <c r="P10" i="82" a="1"/>
  <c r="H22" i="74" a="1"/>
  <c r="J4" i="78" a="1"/>
  <c r="H4" i="77" a="1"/>
  <c r="AP4" i="43" a="1"/>
  <c r="B19" i="41" a="1"/>
  <c r="M4" i="39" a="1"/>
  <c r="D5" i="102" a="1"/>
  <c r="P7" i="105"/>
  <c r="I7" i="105"/>
  <c r="K6" i="105"/>
  <c r="P5" i="105"/>
  <c r="I5" i="105"/>
  <c r="R26" i="103"/>
  <c r="D21" i="98"/>
  <c r="D18" i="98"/>
  <c r="D15" i="98"/>
  <c r="D11" i="98"/>
  <c r="D9" i="98"/>
  <c r="D7" i="98"/>
  <c r="D5" i="98"/>
  <c r="D9" i="99"/>
  <c r="I7" i="99"/>
  <c r="D5" i="99"/>
  <c r="N21" i="97" a="1"/>
  <c r="G19" i="97" a="1"/>
  <c r="G17" i="97" a="1"/>
  <c r="G11" i="97" a="1"/>
  <c r="G7" i="97" a="1"/>
  <c r="Q5" i="97" a="1"/>
  <c r="Z4" i="97" a="1"/>
  <c r="X29" i="35"/>
  <c r="R19" i="35" a="1"/>
  <c r="N14" i="35" a="1"/>
  <c r="V7" i="35" a="1"/>
  <c r="J6" i="35"/>
  <c r="AN5" i="35"/>
  <c r="H5" i="35"/>
  <c r="AI4" i="35" a="1"/>
  <c r="J4" i="35"/>
  <c r="AN3" i="35"/>
  <c r="N9" i="34" a="1"/>
  <c r="H44" i="17"/>
  <c r="H29" i="17"/>
  <c r="F7" i="17" a="1"/>
  <c r="G4" i="33"/>
  <c r="M34" i="32"/>
  <c r="M30" i="32"/>
  <c r="M26" i="32"/>
  <c r="M22" i="32"/>
  <c r="M18" i="32"/>
  <c r="M14" i="32"/>
  <c r="M10" i="32"/>
  <c r="M6" i="32"/>
  <c r="F3" i="30" a="1"/>
  <c r="I86" i="14" a="1"/>
  <c r="F19" i="14" a="1"/>
  <c r="J15" i="29" a="1"/>
  <c r="N3" i="29" a="1"/>
  <c r="R9" i="21" a="1"/>
  <c r="I6" i="21"/>
  <c r="J5" i="21"/>
  <c r="J4" i="21"/>
  <c r="T32" i="15" a="1"/>
  <c r="AG6" i="15"/>
  <c r="S12" i="13" a="1"/>
  <c r="T7" i="13"/>
  <c r="B13" i="101"/>
  <c r="D11" i="101"/>
  <c r="D8" i="101"/>
  <c r="I11" i="100"/>
  <c r="D10" i="100"/>
  <c r="D7" i="100"/>
  <c r="AH57" i="68"/>
  <c r="K10" i="71" a="1"/>
  <c r="E52" i="70" a="1"/>
  <c r="S6" i="92" a="1"/>
  <c r="P6" i="91" a="1"/>
  <c r="G6" i="87" a="1"/>
  <c r="P3" i="82" a="1"/>
  <c r="H4" i="74" a="1"/>
  <c r="M8" i="41" a="1"/>
  <c r="AI4" i="39" a="1"/>
  <c r="AC4" i="37" a="1"/>
  <c r="H15" i="105"/>
  <c r="H7" i="105"/>
  <c r="J6" i="105"/>
  <c r="H5" i="105"/>
  <c r="C21" i="104"/>
  <c r="I23" i="103"/>
  <c r="D14" i="98"/>
  <c r="D10" i="98"/>
  <c r="I8" i="98"/>
  <c r="B7" i="98"/>
  <c r="D4" i="98"/>
  <c r="D18" i="99"/>
  <c r="D15" i="99"/>
  <c r="D12" i="99"/>
  <c r="I8" i="99"/>
  <c r="G7" i="99"/>
  <c r="D4" i="99"/>
  <c r="Q33" i="97" a="1"/>
  <c r="Q25" i="97" a="1"/>
  <c r="G20" i="97"/>
  <c r="Q9" i="97" a="1"/>
  <c r="G6" i="97" a="1"/>
  <c r="N5" i="97" a="1"/>
  <c r="X44" i="35"/>
  <c r="R29" i="35" a="1"/>
  <c r="X14" i="35"/>
  <c r="G7" i="35"/>
  <c r="I6" i="35"/>
  <c r="G5" i="35"/>
  <c r="R4" i="35" a="1"/>
  <c r="I4" i="35"/>
  <c r="N22" i="34" a="1"/>
  <c r="H29" i="18"/>
  <c r="F22" i="18" a="1"/>
  <c r="G7" i="33"/>
  <c r="J3" i="33" a="1"/>
  <c r="M33" i="32"/>
  <c r="M29" i="32"/>
  <c r="M25" i="32"/>
  <c r="M21" i="32"/>
  <c r="M17" i="32"/>
  <c r="M13" i="32"/>
  <c r="M9" i="32"/>
  <c r="M5" i="32"/>
  <c r="S6" i="93" a="1"/>
  <c r="F9" i="86" a="1"/>
  <c r="K3" i="82" a="1"/>
  <c r="W4" i="75" a="1"/>
  <c r="AP4" i="42" a="1"/>
  <c r="E16" i="102"/>
  <c r="P8" i="105"/>
  <c r="K7" i="105"/>
  <c r="P6" i="105"/>
  <c r="I6" i="105"/>
  <c r="K5" i="105"/>
  <c r="P4" i="105"/>
  <c r="P6" i="104"/>
  <c r="J4" i="104" a="1"/>
  <c r="D22" i="98"/>
  <c r="D20" i="98"/>
  <c r="D17" i="98"/>
  <c r="D13" i="98"/>
  <c r="I9" i="98"/>
  <c r="G8" i="98"/>
  <c r="D6" i="98"/>
  <c r="D3" i="98"/>
  <c r="D11" i="99"/>
  <c r="G8" i="99"/>
  <c r="D7" i="99"/>
  <c r="D3" i="99"/>
  <c r="Q21" i="97" a="1"/>
  <c r="G18" i="97" a="1"/>
  <c r="G14" i="97"/>
  <c r="N13" i="97" a="1"/>
  <c r="N9" i="97" a="1"/>
  <c r="R24" i="35" a="1"/>
  <c r="R14" i="35" a="1"/>
  <c r="R9" i="35" a="1"/>
  <c r="AN6" i="35"/>
  <c r="H6" i="35"/>
  <c r="J5" i="35"/>
  <c r="AN4" i="35"/>
  <c r="N4" i="35" a="1"/>
  <c r="H4" i="35"/>
  <c r="R14" i="18"/>
  <c r="P7" i="18" a="1"/>
  <c r="F22" i="17" a="1"/>
  <c r="G6" i="33"/>
  <c r="G3" i="33"/>
  <c r="M32" i="32"/>
  <c r="M28" i="32"/>
  <c r="M24" i="32"/>
  <c r="M20" i="32"/>
  <c r="M16" i="32"/>
  <c r="M12" i="32"/>
  <c r="M8" i="32"/>
  <c r="R4" i="32"/>
  <c r="F26" i="31" a="1"/>
  <c r="I50" i="14" a="1"/>
  <c r="F13" i="29" a="1"/>
  <c r="R14" i="21" a="1"/>
  <c r="G6" i="21"/>
  <c r="H5" i="21"/>
  <c r="N4" i="21" a="1"/>
  <c r="H4" i="21"/>
  <c r="P32" i="15" a="1"/>
  <c r="W8" i="13"/>
  <c r="T6" i="13"/>
  <c r="I10" i="101"/>
  <c r="I8" i="101"/>
  <c r="D12" i="100"/>
  <c r="I10" i="100"/>
  <c r="I9" i="100"/>
  <c r="I7" i="100"/>
  <c r="A7" i="70" a="1"/>
  <c r="H8" i="105"/>
  <c r="J5" i="105"/>
  <c r="L5" i="105" s="1"/>
  <c r="B6" i="98"/>
  <c r="D10" i="99"/>
  <c r="Q29" i="97" a="1"/>
  <c r="G13" i="97" a="1"/>
  <c r="G5" i="97" a="1"/>
  <c r="K6" i="35"/>
  <c r="N35" i="34" a="1"/>
  <c r="H14" i="18"/>
  <c r="G5" i="33"/>
  <c r="M23" i="32"/>
  <c r="M7" i="32"/>
  <c r="F49" i="31" a="1"/>
  <c r="R29" i="21" a="1"/>
  <c r="I11" i="101"/>
  <c r="G8" i="101"/>
  <c r="G7" i="100"/>
  <c r="AF51" i="68" a="1"/>
  <c r="AF37" i="68" a="1"/>
  <c r="AA30" i="68" a="1"/>
  <c r="AH15" i="68"/>
  <c r="AF9" i="68" a="1"/>
  <c r="Q8" i="68"/>
  <c r="R7" i="68"/>
  <c r="AY6" i="68"/>
  <c r="Q6" i="68"/>
  <c r="Y25" i="64"/>
  <c r="M11" i="6" a="1"/>
  <c r="L21" i="96"/>
  <c r="L16" i="96"/>
  <c r="J31" i="7"/>
  <c r="I11" i="7" a="1"/>
  <c r="J29" i="5"/>
  <c r="U37" i="4"/>
  <c r="U33" i="4"/>
  <c r="I33" i="3"/>
  <c r="D3" i="84" a="1"/>
  <c r="U13" i="85"/>
  <c r="U11" i="85"/>
  <c r="O10" i="85"/>
  <c r="S7" i="85"/>
  <c r="O5" i="85" a="1"/>
  <c r="D7" i="95" a="1"/>
  <c r="D4" i="94" a="1"/>
  <c r="N4" i="2" a="1"/>
  <c r="C20" i="76"/>
  <c r="Z14" i="4" a="1"/>
  <c r="I32" i="3"/>
  <c r="O15" i="85"/>
  <c r="G10" i="85"/>
  <c r="H4" i="2" a="1"/>
  <c r="W5" i="97" a="1"/>
  <c r="AN7" i="35"/>
  <c r="H14" i="17"/>
  <c r="M11" i="32"/>
  <c r="F5" i="31" a="1"/>
  <c r="J3" i="29" a="1"/>
  <c r="R4" i="21" a="1"/>
  <c r="W6" i="13"/>
  <c r="V18" i="68" a="1"/>
  <c r="O7" i="68"/>
  <c r="Q6" i="64" a="1"/>
  <c r="L17" i="96"/>
  <c r="J32" i="7"/>
  <c r="M11" i="5" a="1"/>
  <c r="I34" i="3"/>
  <c r="H12" i="3" a="1"/>
  <c r="G17" i="85"/>
  <c r="G12" i="85"/>
  <c r="D5" i="85" a="1"/>
  <c r="Z16" i="2"/>
  <c r="I20" i="90"/>
  <c r="J7" i="105"/>
  <c r="L7" i="105" s="1"/>
  <c r="F4" i="104" a="1"/>
  <c r="D12" i="98"/>
  <c r="D19" i="99"/>
  <c r="D8" i="99"/>
  <c r="Q17" i="97" a="1"/>
  <c r="G12" i="97" a="1"/>
  <c r="G6" i="35"/>
  <c r="F7" i="18" a="1"/>
  <c r="M35" i="32"/>
  <c r="M19" i="32"/>
  <c r="M4" i="32"/>
  <c r="F5" i="14" a="1"/>
  <c r="R19" i="21" a="1"/>
  <c r="G7" i="21"/>
  <c r="I5" i="21"/>
  <c r="K5" i="21" s="1"/>
  <c r="I4" i="21"/>
  <c r="K4" i="21" s="1"/>
  <c r="W9" i="13"/>
  <c r="I13" i="101"/>
  <c r="D7" i="101"/>
  <c r="D6" i="100"/>
  <c r="AH43" i="68"/>
  <c r="AH29" i="68"/>
  <c r="AF23" i="68" a="1"/>
  <c r="AA12" i="68" a="1"/>
  <c r="O9" i="68"/>
  <c r="P8" i="68"/>
  <c r="Q7" i="68"/>
  <c r="AA6" i="68" a="1"/>
  <c r="P6" i="68"/>
  <c r="Y24" i="64"/>
  <c r="N6" i="64" a="1"/>
  <c r="J30" i="6"/>
  <c r="L23" i="96"/>
  <c r="L20" i="96"/>
  <c r="M11" i="96" a="1"/>
  <c r="J30" i="7"/>
  <c r="M11" i="7" a="1"/>
  <c r="J32" i="5"/>
  <c r="J28" i="5"/>
  <c r="U36" i="4"/>
  <c r="T14" i="4" a="1"/>
  <c r="O19" i="85"/>
  <c r="G18" i="85"/>
  <c r="U6" i="85"/>
  <c r="D8" i="98"/>
  <c r="AA10" i="14" a="1"/>
  <c r="I9" i="101"/>
  <c r="R8" i="68"/>
  <c r="AY5" i="68"/>
  <c r="J28" i="7"/>
  <c r="U6" i="5" a="1"/>
  <c r="U7" i="85"/>
  <c r="Z10" i="2" a="1"/>
  <c r="L6" i="105"/>
  <c r="G9" i="98"/>
  <c r="D17" i="99"/>
  <c r="D6" i="99"/>
  <c r="G8" i="97"/>
  <c r="V37" i="35" a="1"/>
  <c r="I5" i="35"/>
  <c r="K5" i="35" s="1"/>
  <c r="K4" i="35"/>
  <c r="F37" i="17" a="1"/>
  <c r="M31" i="32"/>
  <c r="M15" i="32"/>
  <c r="I4" i="32" a="1"/>
  <c r="F33" i="14" a="1"/>
  <c r="F7" i="29" a="1"/>
  <c r="N14" i="21" a="1"/>
  <c r="J6" i="21"/>
  <c r="G5" i="21"/>
  <c r="G4" i="21"/>
  <c r="W7" i="13"/>
  <c r="D13" i="101"/>
  <c r="D10" i="101"/>
  <c r="B12" i="100"/>
  <c r="D9" i="100"/>
  <c r="AA18" i="68" a="1"/>
  <c r="AY9" i="68"/>
  <c r="AY8" i="68"/>
  <c r="O8" i="68"/>
  <c r="P7" i="68"/>
  <c r="AS6" i="68" a="1"/>
  <c r="V6" i="68" a="1"/>
  <c r="O6" i="68"/>
  <c r="T6" i="64" a="1"/>
  <c r="J30" i="12"/>
  <c r="M11" i="12" a="1"/>
  <c r="L22" i="96"/>
  <c r="L19" i="96"/>
  <c r="I11" i="96" a="1"/>
  <c r="J29" i="7"/>
  <c r="J31" i="5"/>
  <c r="I11" i="5" a="1"/>
  <c r="U35" i="4"/>
  <c r="I35" i="3"/>
  <c r="I31" i="3"/>
  <c r="N12" i="3" a="1"/>
  <c r="D10" i="84" a="1"/>
  <c r="U14" i="85"/>
  <c r="G13" i="85"/>
  <c r="O11" i="85"/>
  <c r="U8" i="85"/>
  <c r="U5" i="85"/>
  <c r="G5" i="85"/>
  <c r="H11" i="2" a="1"/>
  <c r="H20" i="76"/>
  <c r="K10" i="72" a="1"/>
  <c r="H6" i="105"/>
  <c r="D14" i="99"/>
  <c r="Q13" i="97" a="1"/>
  <c r="V22" i="35" a="1"/>
  <c r="G4" i="35"/>
  <c r="M27" i="32"/>
  <c r="J26" i="29" a="1"/>
  <c r="R24" i="21" a="1"/>
  <c r="H6" i="21"/>
  <c r="K6" i="21" s="1"/>
  <c r="I12" i="101"/>
  <c r="I8" i="100"/>
  <c r="AA24" i="68" a="1"/>
  <c r="AY7" i="68"/>
  <c r="R6" i="68"/>
  <c r="L25" i="96"/>
  <c r="J30" i="5"/>
  <c r="U34" i="4"/>
  <c r="G14" i="85"/>
  <c r="G11" i="85"/>
  <c r="S5" i="85"/>
  <c r="M20" i="76"/>
  <c r="AD27" i="68" l="1"/>
  <c r="AA26" i="68"/>
  <c r="AD26" i="68"/>
  <c r="AA25" i="68"/>
  <c r="AA24" i="68"/>
  <c r="AC24" i="68"/>
  <c r="AD24" i="68"/>
  <c r="AC26" i="68"/>
  <c r="AB27" i="68"/>
  <c r="AA27" i="68"/>
  <c r="AB25" i="68"/>
  <c r="AB26" i="68"/>
  <c r="AB24" i="68"/>
  <c r="AC25" i="68"/>
  <c r="AD25" i="68"/>
  <c r="AC27" i="68"/>
  <c r="S26" i="21"/>
  <c r="T25" i="21"/>
  <c r="R24" i="21"/>
  <c r="T24" i="21"/>
  <c r="R25" i="21"/>
  <c r="S24" i="21"/>
  <c r="S25" i="21"/>
  <c r="R26" i="21"/>
  <c r="T26" i="21"/>
  <c r="K34" i="29"/>
  <c r="K27" i="29"/>
  <c r="L34" i="29"/>
  <c r="L30" i="29"/>
  <c r="L35" i="29"/>
  <c r="J33" i="29"/>
  <c r="J30" i="29"/>
  <c r="J34" i="29"/>
  <c r="L27" i="29"/>
  <c r="J28" i="29"/>
  <c r="K33" i="29"/>
  <c r="K31" i="29"/>
  <c r="J32" i="29"/>
  <c r="L28" i="29"/>
  <c r="K29" i="29"/>
  <c r="J26" i="29"/>
  <c r="J27" i="29"/>
  <c r="L32" i="29"/>
  <c r="J35" i="29"/>
  <c r="K32" i="29"/>
  <c r="K30" i="29"/>
  <c r="L26" i="29"/>
  <c r="L29" i="29"/>
  <c r="J31" i="29"/>
  <c r="K35" i="29"/>
  <c r="L33" i="29"/>
  <c r="J29" i="29"/>
  <c r="L31" i="29"/>
  <c r="K26" i="29"/>
  <c r="K28" i="29"/>
  <c r="V23" i="35"/>
  <c r="V22" i="35"/>
  <c r="V25" i="35"/>
  <c r="V24" i="35"/>
  <c r="Q14" i="97"/>
  <c r="R13" i="97"/>
  <c r="Q13" i="97"/>
  <c r="R14" i="97"/>
  <c r="N10" i="72"/>
  <c r="L12" i="72"/>
  <c r="K12" i="72"/>
  <c r="K10" i="72"/>
  <c r="L13" i="72"/>
  <c r="L10" i="72"/>
  <c r="L11" i="72"/>
  <c r="N13" i="72"/>
  <c r="K13" i="72"/>
  <c r="M13" i="72"/>
  <c r="N11" i="72"/>
  <c r="K11" i="72"/>
  <c r="M11" i="72"/>
  <c r="M12" i="72"/>
  <c r="N12" i="72"/>
  <c r="M10" i="72"/>
  <c r="H14" i="2"/>
  <c r="K15" i="2"/>
  <c r="J15" i="2"/>
  <c r="I12" i="2"/>
  <c r="L14" i="2"/>
  <c r="H13" i="2"/>
  <c r="I11" i="2"/>
  <c r="H11" i="2"/>
  <c r="J12" i="2"/>
  <c r="L13" i="2"/>
  <c r="H15" i="2"/>
  <c r="I13" i="2"/>
  <c r="J11" i="2"/>
  <c r="L15" i="2"/>
  <c r="I15" i="2"/>
  <c r="J13" i="2"/>
  <c r="K11" i="2"/>
  <c r="J14" i="2"/>
  <c r="I14" i="2"/>
  <c r="K13" i="2"/>
  <c r="K12" i="2"/>
  <c r="L11" i="2"/>
  <c r="H12" i="2"/>
  <c r="K14" i="2"/>
  <c r="L12" i="2"/>
  <c r="E12" i="84"/>
  <c r="E10" i="84"/>
  <c r="D10" i="84"/>
  <c r="D11" i="84"/>
  <c r="D12" i="84"/>
  <c r="E11" i="84"/>
  <c r="O16" i="3"/>
  <c r="O15" i="3"/>
  <c r="Q13" i="3"/>
  <c r="R16" i="3"/>
  <c r="N12" i="3"/>
  <c r="Q16" i="3"/>
  <c r="O14" i="3"/>
  <c r="N16" i="3"/>
  <c r="O13" i="3"/>
  <c r="O12" i="3"/>
  <c r="R14" i="3"/>
  <c r="P13" i="3"/>
  <c r="R13" i="3"/>
  <c r="N14" i="3"/>
  <c r="R12" i="3"/>
  <c r="N15" i="3"/>
  <c r="P14" i="3"/>
  <c r="Q14" i="3"/>
  <c r="P12" i="3"/>
  <c r="P15" i="3"/>
  <c r="Q15" i="3"/>
  <c r="Q12" i="3"/>
  <c r="N13" i="3"/>
  <c r="P16" i="3"/>
  <c r="R15" i="3"/>
  <c r="K13" i="5"/>
  <c r="K12" i="5"/>
  <c r="J12" i="5"/>
  <c r="K11" i="5"/>
  <c r="J11" i="5"/>
  <c r="J13" i="5"/>
  <c r="I12" i="5"/>
  <c r="I13" i="5"/>
  <c r="I11" i="5"/>
  <c r="J13" i="96"/>
  <c r="J11" i="96"/>
  <c r="I11" i="96"/>
  <c r="K11" i="96"/>
  <c r="I12" i="96"/>
  <c r="K13" i="96"/>
  <c r="K12" i="96"/>
  <c r="J12" i="96"/>
  <c r="I13" i="96"/>
  <c r="N13" i="12"/>
  <c r="M11" i="12"/>
  <c r="O13" i="12"/>
  <c r="N11" i="12"/>
  <c r="O11" i="12"/>
  <c r="M13" i="12"/>
  <c r="M12" i="12"/>
  <c r="O12" i="12"/>
  <c r="N12" i="12"/>
  <c r="T8" i="64"/>
  <c r="U6" i="64"/>
  <c r="U8" i="64"/>
  <c r="U7" i="64"/>
  <c r="T10" i="64"/>
  <c r="T7" i="64"/>
  <c r="T6" i="64"/>
  <c r="U10" i="64"/>
  <c r="U9" i="64"/>
  <c r="T9" i="64"/>
  <c r="Y9" i="68"/>
  <c r="V7" i="68"/>
  <c r="V9" i="68"/>
  <c r="Y6" i="68"/>
  <c r="W9" i="68"/>
  <c r="X9" i="68"/>
  <c r="W8" i="68"/>
  <c r="X6" i="68"/>
  <c r="Y8" i="68"/>
  <c r="X7" i="68"/>
  <c r="W6" i="68"/>
  <c r="W7" i="68"/>
  <c r="X8" i="68"/>
  <c r="V8" i="68"/>
  <c r="V6" i="68"/>
  <c r="Y7" i="68"/>
  <c r="AV9" i="68"/>
  <c r="AT6" i="68"/>
  <c r="AT8" i="68"/>
  <c r="AS6" i="68"/>
  <c r="AV6" i="68"/>
  <c r="AU6" i="68"/>
  <c r="AS8" i="68"/>
  <c r="AV8" i="68"/>
  <c r="AU8" i="68"/>
  <c r="AT7" i="68"/>
  <c r="AS7" i="68"/>
  <c r="AS9" i="68"/>
  <c r="AU7" i="68"/>
  <c r="AU9" i="68"/>
  <c r="AT9" i="68"/>
  <c r="AV7" i="68"/>
  <c r="AC21" i="68"/>
  <c r="AB18" i="68"/>
  <c r="AB20" i="68"/>
  <c r="AD19" i="68"/>
  <c r="AA18" i="68"/>
  <c r="AC18" i="68"/>
  <c r="AD18" i="68"/>
  <c r="AA19" i="68"/>
  <c r="AB19" i="68"/>
  <c r="AD21" i="68"/>
  <c r="AA20" i="68"/>
  <c r="AC20" i="68"/>
  <c r="AD20" i="68"/>
  <c r="AB21" i="68"/>
  <c r="AC19" i="68"/>
  <c r="AA21" i="68"/>
  <c r="P15" i="21"/>
  <c r="N16" i="21"/>
  <c r="N14" i="21"/>
  <c r="O14" i="21"/>
  <c r="P14" i="21"/>
  <c r="P16" i="21"/>
  <c r="O16" i="21"/>
  <c r="N15" i="21"/>
  <c r="O15" i="21"/>
  <c r="G8" i="29"/>
  <c r="H8" i="29"/>
  <c r="G9" i="29"/>
  <c r="G7" i="29"/>
  <c r="F9" i="29"/>
  <c r="F7" i="29"/>
  <c r="H9" i="29"/>
  <c r="H7" i="29"/>
  <c r="F8" i="29"/>
  <c r="H40" i="14"/>
  <c r="I40" i="14"/>
  <c r="F35" i="14"/>
  <c r="G39" i="14"/>
  <c r="H33" i="14"/>
  <c r="H41" i="14"/>
  <c r="I33" i="14"/>
  <c r="I41" i="14"/>
  <c r="F36" i="14"/>
  <c r="I34" i="14"/>
  <c r="F37" i="14"/>
  <c r="G33" i="14"/>
  <c r="G41" i="14"/>
  <c r="I36" i="14"/>
  <c r="F39" i="14"/>
  <c r="G35" i="14"/>
  <c r="H37" i="14"/>
  <c r="I37" i="14"/>
  <c r="F40" i="14"/>
  <c r="G37" i="14"/>
  <c r="H39" i="14"/>
  <c r="F34" i="14"/>
  <c r="G36" i="14"/>
  <c r="F33" i="14"/>
  <c r="I35" i="14"/>
  <c r="F38" i="14"/>
  <c r="G38" i="14"/>
  <c r="H34" i="14"/>
  <c r="F41" i="14"/>
  <c r="I39" i="14"/>
  <c r="G40" i="14"/>
  <c r="H36" i="14"/>
  <c r="H35" i="14"/>
  <c r="G34" i="14"/>
  <c r="I38" i="14"/>
  <c r="H38" i="14"/>
  <c r="I5" i="32"/>
  <c r="J6" i="32"/>
  <c r="K5" i="32"/>
  <c r="K4" i="32"/>
  <c r="I6" i="32"/>
  <c r="J4" i="32"/>
  <c r="J5" i="32"/>
  <c r="I4" i="32"/>
  <c r="K6" i="32"/>
  <c r="F38" i="17"/>
  <c r="F40" i="17"/>
  <c r="F39" i="17"/>
  <c r="F37" i="17"/>
  <c r="V39" i="35"/>
  <c r="V38" i="35"/>
  <c r="V37" i="35"/>
  <c r="V40" i="35"/>
  <c r="Z10" i="2"/>
  <c r="Z12" i="2"/>
  <c r="Z13" i="2"/>
  <c r="Z14" i="2"/>
  <c r="Z11" i="2"/>
  <c r="V8" i="5"/>
  <c r="U6" i="5"/>
  <c r="U10" i="5"/>
  <c r="V10" i="5"/>
  <c r="U8" i="5"/>
  <c r="V9" i="5"/>
  <c r="U9" i="5"/>
  <c r="U7" i="5"/>
  <c r="V7" i="5"/>
  <c r="V6" i="5"/>
  <c r="AA38" i="14"/>
  <c r="AA39" i="14"/>
  <c r="AA24" i="14"/>
  <c r="AA41" i="14"/>
  <c r="AA10" i="14"/>
  <c r="AA19" i="14"/>
  <c r="AA28" i="14"/>
  <c r="AA15" i="14"/>
  <c r="AA32" i="14"/>
  <c r="AA17" i="14"/>
  <c r="AA18" i="14"/>
  <c r="AA23" i="14"/>
  <c r="AA40" i="14"/>
  <c r="AA25" i="14"/>
  <c r="AA26" i="14"/>
  <c r="AA35" i="14"/>
  <c r="AA12" i="14"/>
  <c r="AA11" i="14"/>
  <c r="AA20" i="14"/>
  <c r="AA29" i="14"/>
  <c r="AA30" i="14"/>
  <c r="AA34" i="14"/>
  <c r="AA27" i="14"/>
  <c r="AA36" i="14"/>
  <c r="AA37" i="14"/>
  <c r="AA31" i="14"/>
  <c r="AA33" i="14"/>
  <c r="AA13" i="14"/>
  <c r="AA14" i="14"/>
  <c r="AA16" i="14"/>
  <c r="AA21" i="14"/>
  <c r="AA22" i="14"/>
  <c r="V18" i="4"/>
  <c r="U14" i="4"/>
  <c r="X15" i="4"/>
  <c r="V17" i="4"/>
  <c r="V15" i="4"/>
  <c r="X18" i="4"/>
  <c r="V14" i="4"/>
  <c r="W14" i="4"/>
  <c r="T18" i="4"/>
  <c r="T17" i="4"/>
  <c r="T14" i="4"/>
  <c r="T16" i="4"/>
  <c r="W18" i="4"/>
  <c r="W15" i="4"/>
  <c r="W17" i="4"/>
  <c r="X17" i="4"/>
  <c r="X14" i="4"/>
  <c r="W16" i="4"/>
  <c r="V16" i="4"/>
  <c r="U17" i="4"/>
  <c r="T15" i="4"/>
  <c r="U15" i="4"/>
  <c r="U18" i="4"/>
  <c r="X16" i="4"/>
  <c r="U16" i="4"/>
  <c r="N13" i="7"/>
  <c r="O13" i="7"/>
  <c r="M11" i="7"/>
  <c r="O11" i="7"/>
  <c r="M12" i="7"/>
  <c r="O12" i="7"/>
  <c r="N11" i="7"/>
  <c r="N12" i="7"/>
  <c r="M13" i="7"/>
  <c r="M13" i="96"/>
  <c r="N11" i="96"/>
  <c r="M11" i="96"/>
  <c r="O13" i="96"/>
  <c r="N13" i="96"/>
  <c r="O11" i="96"/>
  <c r="N12" i="96"/>
  <c r="O12" i="96"/>
  <c r="M12" i="96"/>
  <c r="N10" i="64"/>
  <c r="O8" i="64"/>
  <c r="N6" i="64"/>
  <c r="O7" i="64"/>
  <c r="N7" i="64"/>
  <c r="O6" i="64"/>
  <c r="N8" i="64"/>
  <c r="O10" i="64"/>
  <c r="N9" i="64"/>
  <c r="O9" i="64"/>
  <c r="AD9" i="68"/>
  <c r="AB8" i="68"/>
  <c r="AA6" i="68"/>
  <c r="AD8" i="68"/>
  <c r="AA8" i="68"/>
  <c r="AA7" i="68"/>
  <c r="AD6" i="68"/>
  <c r="AC6" i="68"/>
  <c r="AB6" i="68"/>
  <c r="AA9" i="68"/>
  <c r="AC8" i="68"/>
  <c r="AB9" i="68"/>
  <c r="AC7" i="68"/>
  <c r="AC9" i="68"/>
  <c r="AB7" i="68"/>
  <c r="AD7" i="68"/>
  <c r="AC15" i="68"/>
  <c r="AA12" i="68"/>
  <c r="AB14" i="68"/>
  <c r="AB12" i="68"/>
  <c r="AC14" i="68"/>
  <c r="AD14" i="68"/>
  <c r="AA13" i="68"/>
  <c r="AB13" i="68"/>
  <c r="AD13" i="68"/>
  <c r="AC12" i="68"/>
  <c r="AD15" i="68"/>
  <c r="AA15" i="68"/>
  <c r="AA14" i="68"/>
  <c r="AD12" i="68"/>
  <c r="AB15" i="68"/>
  <c r="AC13" i="68"/>
  <c r="AF25" i="68"/>
  <c r="AF23" i="68"/>
  <c r="AF24" i="68"/>
  <c r="S19" i="21"/>
  <c r="R19" i="21"/>
  <c r="T20" i="21"/>
  <c r="T19" i="21"/>
  <c r="T21" i="21"/>
  <c r="S20" i="21"/>
  <c r="R20" i="21"/>
  <c r="S21" i="21"/>
  <c r="R21" i="21"/>
  <c r="H13" i="14"/>
  <c r="I13" i="14"/>
  <c r="I11" i="14"/>
  <c r="G9" i="14"/>
  <c r="G7" i="14"/>
  <c r="G5" i="14"/>
  <c r="G12" i="14"/>
  <c r="G10" i="14"/>
  <c r="G8" i="14"/>
  <c r="F6" i="14"/>
  <c r="I9" i="14"/>
  <c r="I5" i="14"/>
  <c r="H12" i="14"/>
  <c r="H8" i="14"/>
  <c r="F12" i="14"/>
  <c r="I7" i="14"/>
  <c r="H10" i="14"/>
  <c r="G6" i="14"/>
  <c r="G13" i="14"/>
  <c r="F8" i="14"/>
  <c r="G11" i="14"/>
  <c r="H6" i="14"/>
  <c r="I10" i="14"/>
  <c r="F5" i="14"/>
  <c r="F13" i="14"/>
  <c r="I6" i="14"/>
  <c r="F9" i="14"/>
  <c r="H9" i="14"/>
  <c r="F7" i="14"/>
  <c r="H11" i="14"/>
  <c r="I8" i="14"/>
  <c r="F11" i="14"/>
  <c r="H5" i="14"/>
  <c r="F10" i="14"/>
  <c r="H7" i="14"/>
  <c r="I12" i="14"/>
  <c r="F10" i="18"/>
  <c r="F7" i="18"/>
  <c r="F9" i="18"/>
  <c r="F8" i="18"/>
  <c r="H12" i="97"/>
  <c r="K12" i="97"/>
  <c r="J12" i="97"/>
  <c r="G12" i="97"/>
  <c r="L12" i="97"/>
  <c r="I12" i="97"/>
  <c r="Q18" i="97"/>
  <c r="R17" i="97"/>
  <c r="Q17" i="97"/>
  <c r="R18" i="97"/>
  <c r="F12" i="104"/>
  <c r="F5" i="104"/>
  <c r="F17" i="104"/>
  <c r="F16" i="104"/>
  <c r="F13" i="104"/>
  <c r="F9" i="104"/>
  <c r="F8" i="104"/>
  <c r="F18" i="104"/>
  <c r="F19" i="104"/>
  <c r="F4" i="104"/>
  <c r="F6" i="104"/>
  <c r="F7" i="104"/>
  <c r="F14" i="104"/>
  <c r="F10" i="104"/>
  <c r="F11" i="104"/>
  <c r="F15" i="104"/>
  <c r="D5" i="85"/>
  <c r="E6" i="85"/>
  <c r="D6" i="85"/>
  <c r="E5" i="85"/>
  <c r="K16" i="3"/>
  <c r="I15" i="3"/>
  <c r="H14" i="3"/>
  <c r="I12" i="3"/>
  <c r="L16" i="3"/>
  <c r="H12" i="3"/>
  <c r="K15" i="3"/>
  <c r="J12" i="3"/>
  <c r="L13" i="3"/>
  <c r="K13" i="3"/>
  <c r="L15" i="3"/>
  <c r="H16" i="3"/>
  <c r="H13" i="3"/>
  <c r="L14" i="3"/>
  <c r="J15" i="3"/>
  <c r="K12" i="3"/>
  <c r="L12" i="3"/>
  <c r="I16" i="3"/>
  <c r="J14" i="3"/>
  <c r="I14" i="3"/>
  <c r="K14" i="3"/>
  <c r="J13" i="3"/>
  <c r="I13" i="3"/>
  <c r="H15" i="3"/>
  <c r="J16" i="3"/>
  <c r="N13" i="5"/>
  <c r="N11" i="5"/>
  <c r="O13" i="5"/>
  <c r="M12" i="5"/>
  <c r="O11" i="5"/>
  <c r="M11" i="5"/>
  <c r="N12" i="5"/>
  <c r="O12" i="5"/>
  <c r="M13" i="5"/>
  <c r="R9" i="64"/>
  <c r="Q7" i="64"/>
  <c r="Q10" i="64"/>
  <c r="R6" i="64"/>
  <c r="Q6" i="64"/>
  <c r="R10" i="64"/>
  <c r="Q8" i="64"/>
  <c r="R8" i="64"/>
  <c r="R7" i="64"/>
  <c r="Q9" i="64"/>
  <c r="Y21" i="68"/>
  <c r="V20" i="68"/>
  <c r="W20" i="68"/>
  <c r="X18" i="68"/>
  <c r="W18" i="68"/>
  <c r="X20" i="68"/>
  <c r="V18" i="68"/>
  <c r="Y18" i="68"/>
  <c r="V19" i="68"/>
  <c r="W19" i="68"/>
  <c r="X19" i="68"/>
  <c r="V21" i="68"/>
  <c r="X21" i="68"/>
  <c r="Y19" i="68"/>
  <c r="Y20" i="68"/>
  <c r="W21" i="68"/>
  <c r="S5" i="21"/>
  <c r="R6" i="21"/>
  <c r="R4" i="21"/>
  <c r="T6" i="21"/>
  <c r="S4" i="21"/>
  <c r="R5" i="21"/>
  <c r="T4" i="21"/>
  <c r="T5" i="21"/>
  <c r="S6" i="21"/>
  <c r="K11" i="29"/>
  <c r="J10" i="29"/>
  <c r="K7" i="29"/>
  <c r="L4" i="29"/>
  <c r="J3" i="29"/>
  <c r="J11" i="29"/>
  <c r="K8" i="29"/>
  <c r="L6" i="29"/>
  <c r="J4" i="29"/>
  <c r="K10" i="29"/>
  <c r="L5" i="29"/>
  <c r="L11" i="29"/>
  <c r="J7" i="29"/>
  <c r="K9" i="29"/>
  <c r="K4" i="29"/>
  <c r="L7" i="29"/>
  <c r="L3" i="29"/>
  <c r="L9" i="29"/>
  <c r="J5" i="29"/>
  <c r="J9" i="29"/>
  <c r="K6" i="29"/>
  <c r="J8" i="29"/>
  <c r="K5" i="29"/>
  <c r="L10" i="29"/>
  <c r="K3" i="29"/>
  <c r="J6" i="29"/>
  <c r="L8" i="29"/>
  <c r="I12" i="31"/>
  <c r="G13" i="31"/>
  <c r="I11" i="31"/>
  <c r="G10" i="31"/>
  <c r="H8" i="31"/>
  <c r="G7" i="31"/>
  <c r="I5" i="31"/>
  <c r="F13" i="31"/>
  <c r="G11" i="31"/>
  <c r="I9" i="31"/>
  <c r="G8" i="31"/>
  <c r="H6" i="31"/>
  <c r="G5" i="31"/>
  <c r="H12" i="31"/>
  <c r="F11" i="31"/>
  <c r="H9" i="31"/>
  <c r="F8" i="31"/>
  <c r="G6" i="31"/>
  <c r="F5" i="31"/>
  <c r="F9" i="31"/>
  <c r="H10" i="31"/>
  <c r="H13" i="31"/>
  <c r="H7" i="31"/>
  <c r="F12" i="31"/>
  <c r="F6" i="31"/>
  <c r="I13" i="31"/>
  <c r="F10" i="31"/>
  <c r="F7" i="31"/>
  <c r="G12" i="31"/>
  <c r="G9" i="31"/>
  <c r="H5" i="31"/>
  <c r="H11" i="31"/>
  <c r="I7" i="31"/>
  <c r="I6" i="31"/>
  <c r="I10" i="31"/>
  <c r="I8" i="31"/>
  <c r="W6" i="97"/>
  <c r="X5" i="97"/>
  <c r="W5" i="97"/>
  <c r="X6" i="97"/>
  <c r="H7" i="2"/>
  <c r="K5" i="2"/>
  <c r="J8" i="2"/>
  <c r="I8" i="2"/>
  <c r="L4" i="2"/>
  <c r="K7" i="2"/>
  <c r="I7" i="2"/>
  <c r="L5" i="2"/>
  <c r="L6" i="2"/>
  <c r="K6" i="2"/>
  <c r="L7" i="2"/>
  <c r="H6" i="2"/>
  <c r="H4" i="2"/>
  <c r="K8" i="2"/>
  <c r="I5" i="2"/>
  <c r="H8" i="2"/>
  <c r="I6" i="2"/>
  <c r="J4" i="2"/>
  <c r="I4" i="2"/>
  <c r="J7" i="2"/>
  <c r="L8" i="2"/>
  <c r="J5" i="2"/>
  <c r="H5" i="2"/>
  <c r="J6" i="2"/>
  <c r="K4" i="2"/>
  <c r="AC18" i="4"/>
  <c r="AD14" i="4"/>
  <c r="AC17" i="4"/>
  <c r="AD15" i="4"/>
  <c r="AC15" i="4"/>
  <c r="AA15" i="4"/>
  <c r="Z17" i="4"/>
  <c r="AD17" i="4"/>
  <c r="Z16" i="4"/>
  <c r="AA14" i="4"/>
  <c r="Z14" i="4"/>
  <c r="AA18" i="4"/>
  <c r="AB15" i="4"/>
  <c r="Z18" i="4"/>
  <c r="AA16" i="4"/>
  <c r="AB14" i="4"/>
  <c r="AD18" i="4"/>
  <c r="AB18" i="4"/>
  <c r="AC16" i="4"/>
  <c r="AB17" i="4"/>
  <c r="AA17" i="4"/>
  <c r="AB16" i="4"/>
  <c r="AD16" i="4"/>
  <c r="AC14" i="4"/>
  <c r="Z15" i="4"/>
  <c r="Q8" i="2"/>
  <c r="N7" i="2"/>
  <c r="R4" i="2"/>
  <c r="Q7" i="2"/>
  <c r="R5" i="2"/>
  <c r="Q5" i="2"/>
  <c r="N5" i="2"/>
  <c r="R6" i="2"/>
  <c r="R7" i="2"/>
  <c r="N6" i="2"/>
  <c r="O4" i="2"/>
  <c r="N4" i="2"/>
  <c r="P8" i="2"/>
  <c r="O5" i="2"/>
  <c r="N8" i="2"/>
  <c r="O6" i="2"/>
  <c r="P4" i="2"/>
  <c r="R8" i="2"/>
  <c r="O8" i="2"/>
  <c r="O7" i="2"/>
  <c r="P6" i="2"/>
  <c r="Q6" i="2"/>
  <c r="Q4" i="2"/>
  <c r="P5" i="2"/>
  <c r="P7" i="2"/>
  <c r="D4" i="94"/>
  <c r="E4" i="94"/>
  <c r="D5" i="94"/>
  <c r="E5" i="94"/>
  <c r="D11" i="95"/>
  <c r="D8" i="95"/>
  <c r="E8" i="95"/>
  <c r="E7" i="95"/>
  <c r="E9" i="95"/>
  <c r="D10" i="95"/>
  <c r="E10" i="95"/>
  <c r="D9" i="95"/>
  <c r="D7" i="95"/>
  <c r="E11" i="95"/>
  <c r="O5" i="85"/>
  <c r="E7" i="84"/>
  <c r="E5" i="84"/>
  <c r="D5" i="84"/>
  <c r="E4" i="84"/>
  <c r="D7" i="84"/>
  <c r="D4" i="84"/>
  <c r="D8" i="84"/>
  <c r="D3" i="84"/>
  <c r="E8" i="84"/>
  <c r="D6" i="84"/>
  <c r="E6" i="84"/>
  <c r="E3" i="84"/>
  <c r="J13" i="7"/>
  <c r="I12" i="7"/>
  <c r="K11" i="7"/>
  <c r="K13" i="7"/>
  <c r="J11" i="7"/>
  <c r="J12" i="7"/>
  <c r="I11" i="7"/>
  <c r="I13" i="7"/>
  <c r="K12" i="7"/>
  <c r="N13" i="6"/>
  <c r="N11" i="6"/>
  <c r="M11" i="6"/>
  <c r="O11" i="6"/>
  <c r="O13" i="6"/>
  <c r="M12" i="6"/>
  <c r="N12" i="6"/>
  <c r="M13" i="6"/>
  <c r="O12" i="6"/>
  <c r="AF10" i="68"/>
  <c r="AF11" i="68"/>
  <c r="AF9" i="68"/>
  <c r="AD33" i="68"/>
  <c r="AA30" i="68"/>
  <c r="AB32" i="68"/>
  <c r="AB30" i="68"/>
  <c r="AA32" i="68"/>
  <c r="AC32" i="68"/>
  <c r="AC30" i="68"/>
  <c r="AD32" i="68"/>
  <c r="AA31" i="68"/>
  <c r="AB33" i="68"/>
  <c r="AC31" i="68"/>
  <c r="AB31" i="68"/>
  <c r="AD30" i="68"/>
  <c r="AC33" i="68"/>
  <c r="AD31" i="68"/>
  <c r="AA33" i="68"/>
  <c r="AF39" i="68"/>
  <c r="AF38" i="68"/>
  <c r="AF37" i="68"/>
  <c r="AF53" i="68"/>
  <c r="AF52" i="68"/>
  <c r="AF51" i="68"/>
  <c r="T30" i="21"/>
  <c r="T29" i="21"/>
  <c r="R31" i="21"/>
  <c r="R29" i="21"/>
  <c r="S29" i="21"/>
  <c r="S31" i="21"/>
  <c r="T31" i="21"/>
  <c r="R30" i="21"/>
  <c r="S30" i="21"/>
  <c r="I57" i="31"/>
  <c r="G52" i="31"/>
  <c r="G56" i="31"/>
  <c r="H50" i="31"/>
  <c r="F56" i="31"/>
  <c r="G50" i="31"/>
  <c r="F54" i="31"/>
  <c r="H52" i="31"/>
  <c r="G54" i="31"/>
  <c r="F50" i="31"/>
  <c r="F52" i="31"/>
  <c r="H54" i="31"/>
  <c r="H56" i="31"/>
  <c r="I56" i="31"/>
  <c r="F53" i="31"/>
  <c r="G51" i="31"/>
  <c r="I52" i="31"/>
  <c r="F49" i="31"/>
  <c r="F57" i="31"/>
  <c r="G55" i="31"/>
  <c r="I54" i="31"/>
  <c r="G57" i="31"/>
  <c r="H51" i="31"/>
  <c r="I49" i="31"/>
  <c r="H53" i="31"/>
  <c r="I51" i="31"/>
  <c r="F51" i="31"/>
  <c r="G49" i="31"/>
  <c r="H55" i="31"/>
  <c r="I53" i="31"/>
  <c r="I50" i="31"/>
  <c r="F55" i="31"/>
  <c r="G53" i="31"/>
  <c r="H49" i="31"/>
  <c r="H57" i="31"/>
  <c r="I55" i="31"/>
  <c r="N37" i="34"/>
  <c r="O37" i="34"/>
  <c r="P36" i="34"/>
  <c r="O36" i="34"/>
  <c r="P35" i="34"/>
  <c r="O35" i="34"/>
  <c r="N35" i="34"/>
  <c r="P37" i="34"/>
  <c r="N36" i="34"/>
  <c r="L5" i="97"/>
  <c r="H5" i="97"/>
  <c r="G5" i="97"/>
  <c r="I5" i="97"/>
  <c r="K5" i="97"/>
  <c r="J5" i="97"/>
  <c r="L13" i="97"/>
  <c r="G13" i="97"/>
  <c r="K13" i="97"/>
  <c r="H13" i="97"/>
  <c r="J13" i="97"/>
  <c r="I13" i="97"/>
  <c r="R29" i="97"/>
  <c r="Q30" i="97"/>
  <c r="Q29" i="97"/>
  <c r="R30" i="97"/>
  <c r="A12" i="70"/>
  <c r="B10" i="70"/>
  <c r="C9" i="70"/>
  <c r="B8" i="70"/>
  <c r="A11" i="70"/>
  <c r="C7" i="70"/>
  <c r="B12" i="70"/>
  <c r="A7" i="70"/>
  <c r="B7" i="70"/>
  <c r="B11" i="70"/>
  <c r="C11" i="70"/>
  <c r="A10" i="70"/>
  <c r="C12" i="70"/>
  <c r="A8" i="70"/>
  <c r="C10" i="70"/>
  <c r="C8" i="70"/>
  <c r="A9" i="70"/>
  <c r="B9" i="70"/>
  <c r="Q34" i="15"/>
  <c r="P33" i="15"/>
  <c r="R34" i="15"/>
  <c r="P34" i="15"/>
  <c r="R32" i="15"/>
  <c r="P32" i="15"/>
  <c r="Q32" i="15"/>
  <c r="Q33" i="15"/>
  <c r="R33" i="15"/>
  <c r="N6" i="21"/>
  <c r="P6" i="21"/>
  <c r="N4" i="21"/>
  <c r="O4" i="21"/>
  <c r="O5" i="21"/>
  <c r="P4" i="21"/>
  <c r="O6" i="21"/>
  <c r="N5" i="21"/>
  <c r="P5" i="21"/>
  <c r="R15" i="21"/>
  <c r="T15" i="21"/>
  <c r="R16" i="21"/>
  <c r="S15" i="21"/>
  <c r="S16" i="21"/>
  <c r="T16" i="21"/>
  <c r="R14" i="21"/>
  <c r="S14" i="21"/>
  <c r="T14" i="21"/>
  <c r="H13" i="29"/>
  <c r="F14" i="29"/>
  <c r="H14" i="29"/>
  <c r="G14" i="29"/>
  <c r="F15" i="29"/>
  <c r="G13" i="29"/>
  <c r="F13" i="29"/>
  <c r="H15" i="29"/>
  <c r="G15" i="29"/>
  <c r="K51" i="14"/>
  <c r="J50" i="14"/>
  <c r="J51" i="14"/>
  <c r="K50" i="14"/>
  <c r="I50" i="14"/>
  <c r="K52" i="14"/>
  <c r="J52" i="14"/>
  <c r="I52" i="14"/>
  <c r="I51" i="14"/>
  <c r="I34" i="31"/>
  <c r="H28" i="31"/>
  <c r="I32" i="31"/>
  <c r="H26" i="31"/>
  <c r="I30" i="31"/>
  <c r="G30" i="31"/>
  <c r="G26" i="31"/>
  <c r="G28" i="31"/>
  <c r="I28" i="31"/>
  <c r="F34" i="31"/>
  <c r="G34" i="31"/>
  <c r="I26" i="31"/>
  <c r="G32" i="31"/>
  <c r="H30" i="31"/>
  <c r="F33" i="31"/>
  <c r="G31" i="31"/>
  <c r="H29" i="31"/>
  <c r="H32" i="31"/>
  <c r="H34" i="31"/>
  <c r="F29" i="31"/>
  <c r="G27" i="31"/>
  <c r="H33" i="31"/>
  <c r="G29" i="31"/>
  <c r="H27" i="31"/>
  <c r="I29" i="31"/>
  <c r="F26" i="31"/>
  <c r="F27" i="31"/>
  <c r="G33" i="31"/>
  <c r="H31" i="31"/>
  <c r="I31" i="31"/>
  <c r="F28" i="31"/>
  <c r="F31" i="31"/>
  <c r="I33" i="31"/>
  <c r="F30" i="31"/>
  <c r="I27" i="31"/>
  <c r="F32" i="31"/>
  <c r="F25" i="17"/>
  <c r="F22" i="17"/>
  <c r="F24" i="17"/>
  <c r="F23" i="17"/>
  <c r="P10" i="18"/>
  <c r="P9" i="18"/>
  <c r="P8" i="18"/>
  <c r="P7" i="18"/>
  <c r="P6" i="35"/>
  <c r="N5" i="35"/>
  <c r="P5" i="35"/>
  <c r="O6" i="35"/>
  <c r="O5" i="35"/>
  <c r="N6" i="35"/>
  <c r="N4" i="35"/>
  <c r="P4" i="35"/>
  <c r="O4" i="35"/>
  <c r="S11" i="35"/>
  <c r="R10" i="35"/>
  <c r="S9" i="35"/>
  <c r="R11" i="35"/>
  <c r="T9" i="35"/>
  <c r="S10" i="35"/>
  <c r="T10" i="35"/>
  <c r="T11" i="35"/>
  <c r="R9" i="35"/>
  <c r="S16" i="35"/>
  <c r="T14" i="35"/>
  <c r="T16" i="35"/>
  <c r="R16" i="35"/>
  <c r="R14" i="35"/>
  <c r="S15" i="35"/>
  <c r="T15" i="35"/>
  <c r="R15" i="35"/>
  <c r="S14" i="35"/>
  <c r="T26" i="35"/>
  <c r="T25" i="35"/>
  <c r="R24" i="35"/>
  <c r="T24" i="35"/>
  <c r="R25" i="35"/>
  <c r="S25" i="35"/>
  <c r="S26" i="35"/>
  <c r="S24" i="35"/>
  <c r="R26" i="35"/>
  <c r="N9" i="97"/>
  <c r="O10" i="97"/>
  <c r="N10" i="97"/>
  <c r="O9" i="97"/>
  <c r="O13" i="97"/>
  <c r="N14" i="97"/>
  <c r="N13" i="97"/>
  <c r="O14" i="97"/>
  <c r="H18" i="97"/>
  <c r="I18" i="97"/>
  <c r="L18" i="97"/>
  <c r="G18" i="97"/>
  <c r="K18" i="97"/>
  <c r="J18" i="97"/>
  <c r="Q21" i="97"/>
  <c r="R21" i="97"/>
  <c r="R22" i="97"/>
  <c r="Q22" i="97"/>
  <c r="J19" i="104"/>
  <c r="J17" i="104"/>
  <c r="J10" i="104"/>
  <c r="J6" i="104"/>
  <c r="J16" i="104"/>
  <c r="J9" i="104"/>
  <c r="J4" i="104"/>
  <c r="J15" i="104"/>
  <c r="J8" i="104"/>
  <c r="J7" i="104"/>
  <c r="J12" i="104"/>
  <c r="J18" i="104"/>
  <c r="J14" i="104"/>
  <c r="J5" i="104"/>
  <c r="J13" i="104"/>
  <c r="J11" i="104"/>
  <c r="AP9" i="42"/>
  <c r="AQ5" i="42"/>
  <c r="AR6" i="42"/>
  <c r="AS10" i="42"/>
  <c r="AT11" i="42"/>
  <c r="AS6" i="42"/>
  <c r="AU11" i="42"/>
  <c r="AS8" i="42"/>
  <c r="AR12" i="42"/>
  <c r="AP7" i="42"/>
  <c r="AU10" i="42"/>
  <c r="AS5" i="42"/>
  <c r="AR9" i="42"/>
  <c r="AP4" i="42"/>
  <c r="AU8" i="42"/>
  <c r="AT12" i="42"/>
  <c r="AR7" i="42"/>
  <c r="AR10" i="42"/>
  <c r="AU7" i="42"/>
  <c r="AS12" i="42"/>
  <c r="AQ7" i="42"/>
  <c r="AP11" i="42"/>
  <c r="AT5" i="42"/>
  <c r="AS9" i="42"/>
  <c r="AQ4" i="42"/>
  <c r="AP8" i="42"/>
  <c r="AU12" i="42"/>
  <c r="AS7" i="42"/>
  <c r="AR11" i="42"/>
  <c r="AP6" i="42"/>
  <c r="AT7" i="42"/>
  <c r="AQ11" i="42"/>
  <c r="AU5" i="42"/>
  <c r="AT9" i="42"/>
  <c r="AR4" i="42"/>
  <c r="AQ8" i="42"/>
  <c r="AP12" i="42"/>
  <c r="AT6" i="42"/>
  <c r="AS11" i="42"/>
  <c r="AQ6" i="42"/>
  <c r="AP10" i="42"/>
  <c r="AT4" i="42"/>
  <c r="AQ12" i="42"/>
  <c r="AQ10" i="42"/>
  <c r="AU9" i="42"/>
  <c r="AU6" i="42"/>
  <c r="AU4" i="42"/>
  <c r="AP5" i="42"/>
  <c r="AS4" i="42"/>
  <c r="AT10" i="42"/>
  <c r="AT8" i="42"/>
  <c r="AR8" i="42"/>
  <c r="AR5" i="42"/>
  <c r="AQ9" i="42"/>
  <c r="W14" i="75"/>
  <c r="W10" i="75"/>
  <c r="W7" i="75"/>
  <c r="W16" i="75"/>
  <c r="W15" i="75"/>
  <c r="W8" i="75"/>
  <c r="W18" i="75"/>
  <c r="W17" i="75"/>
  <c r="W11" i="75"/>
  <c r="W6" i="75"/>
  <c r="W5" i="75"/>
  <c r="W4" i="75"/>
  <c r="W13" i="75"/>
  <c r="W9" i="75"/>
  <c r="W12" i="75"/>
  <c r="K6" i="82"/>
  <c r="L4" i="82"/>
  <c r="K4" i="82"/>
  <c r="M6" i="82"/>
  <c r="M5" i="82"/>
  <c r="N3" i="82"/>
  <c r="L5" i="82"/>
  <c r="N5" i="82"/>
  <c r="L7" i="82"/>
  <c r="K7" i="82"/>
  <c r="L3" i="82"/>
  <c r="M3" i="82"/>
  <c r="M7" i="82"/>
  <c r="L6" i="82"/>
  <c r="M4" i="82"/>
  <c r="N7" i="82"/>
  <c r="N6" i="82"/>
  <c r="K3" i="82"/>
  <c r="N4" i="82"/>
  <c r="K5" i="82"/>
  <c r="G10" i="86"/>
  <c r="F9" i="86"/>
  <c r="F10" i="86"/>
  <c r="G11" i="86"/>
  <c r="F11" i="86"/>
  <c r="H9" i="86"/>
  <c r="G9" i="86"/>
  <c r="H10" i="86"/>
  <c r="H11" i="86"/>
  <c r="S7" i="93"/>
  <c r="S8" i="93"/>
  <c r="S6" i="93"/>
  <c r="J4" i="33"/>
  <c r="J6" i="33"/>
  <c r="J7" i="33"/>
  <c r="J5" i="33"/>
  <c r="J3" i="33"/>
  <c r="F24" i="18"/>
  <c r="F22" i="18"/>
  <c r="F25" i="18"/>
  <c r="F23" i="18"/>
  <c r="N23" i="34"/>
  <c r="N22" i="34"/>
  <c r="O23" i="34"/>
  <c r="P22" i="34"/>
  <c r="O22" i="34"/>
  <c r="O24" i="34"/>
  <c r="P23" i="34"/>
  <c r="N24" i="34"/>
  <c r="P24" i="34"/>
  <c r="S6" i="35"/>
  <c r="S4" i="35"/>
  <c r="R6" i="35"/>
  <c r="S5" i="35"/>
  <c r="T4" i="35"/>
  <c r="R4" i="35"/>
  <c r="T5" i="35"/>
  <c r="T6" i="35"/>
  <c r="R5" i="35"/>
  <c r="S31" i="35"/>
  <c r="T30" i="35"/>
  <c r="S29" i="35"/>
  <c r="R29" i="35"/>
  <c r="S30" i="35"/>
  <c r="T31" i="35"/>
  <c r="R30" i="35"/>
  <c r="R31" i="35"/>
  <c r="T29" i="35"/>
  <c r="O5" i="97"/>
  <c r="N5" i="97"/>
  <c r="N6" i="97"/>
  <c r="O6" i="97"/>
  <c r="J6" i="97"/>
  <c r="L6" i="97"/>
  <c r="K6" i="97"/>
  <c r="I6" i="97"/>
  <c r="H6" i="97"/>
  <c r="G6" i="97"/>
  <c r="R10" i="97"/>
  <c r="Q10" i="97"/>
  <c r="R9" i="97"/>
  <c r="Q9" i="97"/>
  <c r="R26" i="97"/>
  <c r="R25" i="97"/>
  <c r="Q26" i="97"/>
  <c r="Q25" i="97"/>
  <c r="Q33" i="97"/>
  <c r="R33" i="97"/>
  <c r="R34" i="97"/>
  <c r="Q34" i="97"/>
  <c r="AC7" i="37"/>
  <c r="AC8" i="37"/>
  <c r="AC6" i="37"/>
  <c r="AC4" i="37"/>
  <c r="AC5" i="37"/>
  <c r="AM11" i="39"/>
  <c r="AI6" i="39"/>
  <c r="AN10" i="39"/>
  <c r="AI7" i="39"/>
  <c r="AO9" i="39"/>
  <c r="AK5" i="39"/>
  <c r="AL11" i="39"/>
  <c r="AQ7" i="39"/>
  <c r="AP12" i="39"/>
  <c r="AJ6" i="39"/>
  <c r="AK12" i="39"/>
  <c r="AP7" i="39"/>
  <c r="AL4" i="39"/>
  <c r="AN9" i="39"/>
  <c r="AM10" i="39"/>
  <c r="AL12" i="39"/>
  <c r="AO8" i="39"/>
  <c r="AK4" i="39"/>
  <c r="AQ6" i="39"/>
  <c r="AP8" i="39"/>
  <c r="AJ5" i="39"/>
  <c r="AQ4" i="39"/>
  <c r="AM8" i="39"/>
  <c r="AI12" i="39"/>
  <c r="AP6" i="39"/>
  <c r="AL10" i="39"/>
  <c r="AJ7" i="39"/>
  <c r="AO10" i="39"/>
  <c r="AM5" i="39"/>
  <c r="AI9" i="39"/>
  <c r="AN12" i="39"/>
  <c r="AL7" i="39"/>
  <c r="AQ10" i="39"/>
  <c r="AP4" i="39"/>
  <c r="AL8" i="39"/>
  <c r="AQ11" i="39"/>
  <c r="AP5" i="39"/>
  <c r="AL9" i="39"/>
  <c r="AQ12" i="39"/>
  <c r="AJ4" i="39"/>
  <c r="AO7" i="39"/>
  <c r="AK11" i="39"/>
  <c r="AM4" i="39"/>
  <c r="AI8" i="39"/>
  <c r="AN11" i="39"/>
  <c r="AO6" i="39"/>
  <c r="AK10" i="39"/>
  <c r="AI5" i="39"/>
  <c r="AN8" i="39"/>
  <c r="AJ12" i="39"/>
  <c r="AL5" i="39"/>
  <c r="AQ8" i="39"/>
  <c r="AM12" i="39"/>
  <c r="AK7" i="39"/>
  <c r="AP10" i="39"/>
  <c r="AN5" i="39"/>
  <c r="AJ9" i="39"/>
  <c r="AO12" i="39"/>
  <c r="AN6" i="39"/>
  <c r="AJ10" i="39"/>
  <c r="AM9" i="39"/>
  <c r="AP9" i="39"/>
  <c r="AL6" i="39"/>
  <c r="AO4" i="39"/>
  <c r="AP11" i="39"/>
  <c r="AO5" i="39"/>
  <c r="AI4" i="39"/>
  <c r="AJ8" i="39"/>
  <c r="AM6" i="39"/>
  <c r="AM7" i="39"/>
  <c r="AN7" i="39"/>
  <c r="AQ9" i="39"/>
  <c r="AK8" i="39"/>
  <c r="AK9" i="39"/>
  <c r="AJ11" i="39"/>
  <c r="AQ5" i="39"/>
  <c r="AK6" i="39"/>
  <c r="AN4" i="39"/>
  <c r="AO11" i="39"/>
  <c r="AI10" i="39"/>
  <c r="AI11" i="39"/>
  <c r="M9" i="41"/>
  <c r="M11" i="41"/>
  <c r="M12" i="41"/>
  <c r="M10" i="41"/>
  <c r="M8" i="41"/>
  <c r="H7" i="74"/>
  <c r="H15" i="74"/>
  <c r="H18" i="74"/>
  <c r="H14" i="74"/>
  <c r="H16" i="74"/>
  <c r="H8" i="74"/>
  <c r="H10" i="74"/>
  <c r="H17" i="74"/>
  <c r="H9" i="74"/>
  <c r="H11" i="74"/>
  <c r="H4" i="74"/>
  <c r="H13" i="74"/>
  <c r="H12" i="74"/>
  <c r="H6" i="74"/>
  <c r="H5" i="74"/>
  <c r="Q7" i="82"/>
  <c r="Q5" i="82"/>
  <c r="Q6" i="82"/>
  <c r="S7" i="82"/>
  <c r="R5" i="82"/>
  <c r="P3" i="82"/>
  <c r="S4" i="82"/>
  <c r="Q4" i="82"/>
  <c r="S5" i="82"/>
  <c r="R3" i="82"/>
  <c r="R6" i="82"/>
  <c r="P6" i="82"/>
  <c r="S3" i="82"/>
  <c r="P7" i="82"/>
  <c r="Q3" i="82"/>
  <c r="S6" i="82"/>
  <c r="P4" i="82"/>
  <c r="R7" i="82"/>
  <c r="P5" i="82"/>
  <c r="R4" i="82"/>
  <c r="I8" i="87"/>
  <c r="G6" i="87"/>
  <c r="I6" i="87"/>
  <c r="J9" i="87"/>
  <c r="G8" i="87"/>
  <c r="H8" i="87"/>
  <c r="J8" i="87"/>
  <c r="J6" i="87"/>
  <c r="I9" i="87"/>
  <c r="H7" i="87"/>
  <c r="H6" i="87"/>
  <c r="G7" i="87"/>
  <c r="H9" i="87"/>
  <c r="G9" i="87"/>
  <c r="I7" i="87"/>
  <c r="J7" i="87"/>
  <c r="P6" i="91"/>
  <c r="P7" i="91"/>
  <c r="P8" i="91"/>
  <c r="S6" i="92"/>
  <c r="S8" i="92"/>
  <c r="S7" i="92"/>
  <c r="G57" i="70"/>
  <c r="E53" i="70"/>
  <c r="E54" i="70"/>
  <c r="G56" i="70"/>
  <c r="G52" i="70"/>
  <c r="F55" i="70"/>
  <c r="G55" i="70"/>
  <c r="E56" i="70"/>
  <c r="F53" i="70"/>
  <c r="F56" i="70"/>
  <c r="F54" i="70"/>
  <c r="G54" i="70"/>
  <c r="E57" i="70"/>
  <c r="F57" i="70"/>
  <c r="F52" i="70"/>
  <c r="G53" i="70"/>
  <c r="E52" i="70"/>
  <c r="E55" i="70"/>
  <c r="N13" i="71"/>
  <c r="N11" i="71"/>
  <c r="M13" i="71"/>
  <c r="K10" i="71"/>
  <c r="M11" i="71"/>
  <c r="L12" i="71"/>
  <c r="L11" i="71"/>
  <c r="M10" i="71"/>
  <c r="N12" i="71"/>
  <c r="K11" i="71"/>
  <c r="K12" i="71"/>
  <c r="L10" i="71"/>
  <c r="N10" i="71"/>
  <c r="K13" i="71"/>
  <c r="M12" i="71"/>
  <c r="L13" i="71"/>
  <c r="T14" i="13"/>
  <c r="U13" i="13"/>
  <c r="T12" i="13"/>
  <c r="U14" i="13"/>
  <c r="U12" i="13"/>
  <c r="S13" i="13"/>
  <c r="T13" i="13"/>
  <c r="S14" i="13"/>
  <c r="S12" i="13"/>
  <c r="V33" i="15"/>
  <c r="U32" i="15"/>
  <c r="T34" i="15"/>
  <c r="U34" i="15"/>
  <c r="T32" i="15"/>
  <c r="V34" i="15"/>
  <c r="T33" i="15"/>
  <c r="U33" i="15"/>
  <c r="V32" i="15"/>
  <c r="S11" i="21"/>
  <c r="R11" i="21"/>
  <c r="S10" i="21"/>
  <c r="S9" i="21"/>
  <c r="T10" i="21"/>
  <c r="R10" i="21"/>
  <c r="T11" i="21"/>
  <c r="R9" i="21"/>
  <c r="T9" i="21"/>
  <c r="O12" i="29"/>
  <c r="N3" i="29"/>
  <c r="P6" i="29"/>
  <c r="Q4" i="29"/>
  <c r="Q12" i="29"/>
  <c r="N5" i="29"/>
  <c r="O3" i="29"/>
  <c r="O11" i="29"/>
  <c r="P5" i="29"/>
  <c r="Q7" i="29"/>
  <c r="P8" i="29"/>
  <c r="Q6" i="29"/>
  <c r="N7" i="29"/>
  <c r="O5" i="29"/>
  <c r="P10" i="29"/>
  <c r="Q8" i="29"/>
  <c r="N9" i="29"/>
  <c r="O7" i="29"/>
  <c r="P9" i="29"/>
  <c r="Q3" i="29"/>
  <c r="Q11" i="29"/>
  <c r="P4" i="29"/>
  <c r="P3" i="29"/>
  <c r="N4" i="29"/>
  <c r="N12" i="29"/>
  <c r="O4" i="29"/>
  <c r="P12" i="29"/>
  <c r="Q10" i="29"/>
  <c r="N11" i="29"/>
  <c r="P7" i="29"/>
  <c r="N6" i="29"/>
  <c r="O6" i="29"/>
  <c r="O9" i="29"/>
  <c r="P11" i="29"/>
  <c r="Q5" i="29"/>
  <c r="N8" i="29"/>
  <c r="O8" i="29"/>
  <c r="N10" i="29"/>
  <c r="O10" i="29"/>
  <c r="Q9" i="29"/>
  <c r="J23" i="29"/>
  <c r="L20" i="29"/>
  <c r="K23" i="29"/>
  <c r="J18" i="29"/>
  <c r="K21" i="29"/>
  <c r="L18" i="29"/>
  <c r="K15" i="29"/>
  <c r="J24" i="29"/>
  <c r="J16" i="29"/>
  <c r="J21" i="29"/>
  <c r="J19" i="29"/>
  <c r="J22" i="29"/>
  <c r="K22" i="29"/>
  <c r="L23" i="29"/>
  <c r="L21" i="29"/>
  <c r="L15" i="29"/>
  <c r="K24" i="29"/>
  <c r="L16" i="29"/>
  <c r="J17" i="29"/>
  <c r="K19" i="29"/>
  <c r="L22" i="29"/>
  <c r="J15" i="29"/>
  <c r="L24" i="29"/>
  <c r="L17" i="29"/>
  <c r="K18" i="29"/>
  <c r="L19" i="29"/>
  <c r="K17" i="29"/>
  <c r="K20" i="29"/>
  <c r="J20" i="29"/>
  <c r="K16" i="29"/>
  <c r="F20" i="14"/>
  <c r="F24" i="14"/>
  <c r="I27" i="14"/>
  <c r="F22" i="14"/>
  <c r="G22" i="14"/>
  <c r="H26" i="14"/>
  <c r="I20" i="14"/>
  <c r="F21" i="14"/>
  <c r="G23" i="14"/>
  <c r="G24" i="14"/>
  <c r="H20" i="14"/>
  <c r="I22" i="14"/>
  <c r="F26" i="14"/>
  <c r="G26" i="14"/>
  <c r="H22" i="14"/>
  <c r="I24" i="14"/>
  <c r="F25" i="14"/>
  <c r="G19" i="14"/>
  <c r="G27" i="14"/>
  <c r="G20" i="14"/>
  <c r="F27" i="14"/>
  <c r="H23" i="14"/>
  <c r="I25" i="14"/>
  <c r="H25" i="14"/>
  <c r="I19" i="14"/>
  <c r="I26" i="14"/>
  <c r="F19" i="14"/>
  <c r="G21" i="14"/>
  <c r="H19" i="14"/>
  <c r="H27" i="14"/>
  <c r="I21" i="14"/>
  <c r="F23" i="14"/>
  <c r="G25" i="14"/>
  <c r="I23" i="14"/>
  <c r="H24" i="14"/>
  <c r="H21" i="14"/>
  <c r="I88" i="14"/>
  <c r="J86" i="14"/>
  <c r="I87" i="14"/>
  <c r="I86" i="14"/>
  <c r="J88" i="14"/>
  <c r="K88" i="14"/>
  <c r="K86" i="14"/>
  <c r="K87" i="14"/>
  <c r="J87" i="14"/>
  <c r="I6" i="30"/>
  <c r="F5" i="30"/>
  <c r="G7" i="30"/>
  <c r="I9" i="30"/>
  <c r="I5" i="30"/>
  <c r="F4" i="30"/>
  <c r="F11" i="30"/>
  <c r="I8" i="30"/>
  <c r="F7" i="30"/>
  <c r="H9" i="30"/>
  <c r="F9" i="30"/>
  <c r="G11" i="30"/>
  <c r="G9" i="30"/>
  <c r="G3" i="30"/>
  <c r="I11" i="30"/>
  <c r="H5" i="30"/>
  <c r="F10" i="30"/>
  <c r="F8" i="30"/>
  <c r="I4" i="30"/>
  <c r="H11" i="30"/>
  <c r="I3" i="30"/>
  <c r="G4" i="30"/>
  <c r="H4" i="30"/>
  <c r="G5" i="30"/>
  <c r="H3" i="30"/>
  <c r="I7" i="30"/>
  <c r="F6" i="30"/>
  <c r="G6" i="30"/>
  <c r="H6" i="30"/>
  <c r="H7" i="30"/>
  <c r="G10" i="30"/>
  <c r="G8" i="30"/>
  <c r="H8" i="30"/>
  <c r="H10" i="30"/>
  <c r="I10" i="30"/>
  <c r="F3" i="30"/>
  <c r="F8" i="17"/>
  <c r="F7" i="17"/>
  <c r="F10" i="17"/>
  <c r="F9" i="17"/>
  <c r="O9" i="34"/>
  <c r="O11" i="34"/>
  <c r="N9" i="34"/>
  <c r="N10" i="34"/>
  <c r="O10" i="34"/>
  <c r="N11" i="34"/>
  <c r="P10" i="34"/>
  <c r="P11" i="34"/>
  <c r="P9" i="34"/>
  <c r="AJ6" i="35"/>
  <c r="AI5" i="35"/>
  <c r="AK4" i="35"/>
  <c r="AJ4" i="35"/>
  <c r="AI4" i="35"/>
  <c r="AK6" i="35"/>
  <c r="AJ5" i="35"/>
  <c r="AI6" i="35"/>
  <c r="AK5" i="35"/>
  <c r="V10" i="35"/>
  <c r="V8" i="35"/>
  <c r="V9" i="35"/>
  <c r="V7" i="35"/>
  <c r="O16" i="35"/>
  <c r="N16" i="35"/>
  <c r="P15" i="35"/>
  <c r="N15" i="35"/>
  <c r="P16" i="35"/>
  <c r="N14" i="35"/>
  <c r="O15" i="35"/>
  <c r="O14" i="35"/>
  <c r="P14" i="35"/>
  <c r="S20" i="35"/>
  <c r="R19" i="35"/>
  <c r="T19" i="35"/>
  <c r="R20" i="35"/>
  <c r="T20" i="35"/>
  <c r="S19" i="35"/>
  <c r="R21" i="35"/>
  <c r="S21" i="35"/>
  <c r="T21" i="35"/>
  <c r="AA8" i="97"/>
  <c r="AA7" i="97"/>
  <c r="AA6" i="97"/>
  <c r="Z6" i="97"/>
  <c r="AA4" i="97"/>
  <c r="Z7" i="97"/>
  <c r="Z8" i="97"/>
  <c r="Z5" i="97"/>
  <c r="Z4" i="97"/>
  <c r="AA5" i="97"/>
  <c r="R5" i="97"/>
  <c r="Q6" i="97"/>
  <c r="Q5" i="97"/>
  <c r="R6" i="97"/>
  <c r="L7" i="97"/>
  <c r="G7" i="97"/>
  <c r="I7" i="97"/>
  <c r="H7" i="97"/>
  <c r="J7" i="97"/>
  <c r="K7" i="97"/>
  <c r="J11" i="97"/>
  <c r="K11" i="97"/>
  <c r="I11" i="97"/>
  <c r="G11" i="97"/>
  <c r="L11" i="97"/>
  <c r="H11" i="97"/>
  <c r="K17" i="97"/>
  <c r="L17" i="97"/>
  <c r="I17" i="97"/>
  <c r="H17" i="97"/>
  <c r="G17" i="97"/>
  <c r="J17" i="97"/>
  <c r="G19" i="97"/>
  <c r="L19" i="97"/>
  <c r="H19" i="97"/>
  <c r="K19" i="97"/>
  <c r="J19" i="97"/>
  <c r="I19" i="97"/>
  <c r="N21" i="97"/>
  <c r="O21" i="97"/>
  <c r="O22" i="97"/>
  <c r="N22" i="97"/>
  <c r="E6" i="102"/>
  <c r="E7" i="102"/>
  <c r="G5" i="102"/>
  <c r="D5" i="102"/>
  <c r="F7" i="102"/>
  <c r="E8" i="102"/>
  <c r="F9" i="102"/>
  <c r="G9" i="102"/>
  <c r="D9" i="102"/>
  <c r="E5" i="102"/>
  <c r="D7" i="102"/>
  <c r="F5" i="102"/>
  <c r="G7" i="102"/>
  <c r="D8" i="102"/>
  <c r="E9" i="102"/>
  <c r="G6" i="102"/>
  <c r="G8" i="102"/>
  <c r="F6" i="102"/>
  <c r="D6" i="102"/>
  <c r="F8" i="102"/>
  <c r="U12" i="39"/>
  <c r="O11" i="39"/>
  <c r="M9" i="39"/>
  <c r="O7" i="39"/>
  <c r="Q5" i="39"/>
  <c r="S10" i="39"/>
  <c r="R8" i="39"/>
  <c r="T6" i="39"/>
  <c r="M5" i="39"/>
  <c r="Q12" i="39"/>
  <c r="U9" i="39"/>
  <c r="N8" i="39"/>
  <c r="P6" i="39"/>
  <c r="R4" i="39"/>
  <c r="M8" i="39"/>
  <c r="O6" i="39"/>
  <c r="N12" i="39"/>
  <c r="Q4" i="39"/>
  <c r="T9" i="39"/>
  <c r="T10" i="39"/>
  <c r="R11" i="39"/>
  <c r="S7" i="39"/>
  <c r="P5" i="39"/>
  <c r="R5" i="39"/>
  <c r="Q9" i="39"/>
  <c r="N7" i="39"/>
  <c r="P7" i="39"/>
  <c r="N4" i="39"/>
  <c r="S11" i="39"/>
  <c r="U5" i="39"/>
  <c r="P10" i="39"/>
  <c r="S4" i="39"/>
  <c r="R12" i="39"/>
  <c r="N9" i="39"/>
  <c r="Q6" i="39"/>
  <c r="U8" i="39"/>
  <c r="O8" i="39"/>
  <c r="U6" i="39"/>
  <c r="Q10" i="39"/>
  <c r="O5" i="39"/>
  <c r="T8" i="39"/>
  <c r="P12" i="39"/>
  <c r="S12" i="39"/>
  <c r="Q7" i="39"/>
  <c r="M11" i="39"/>
  <c r="U4" i="39"/>
  <c r="Q8" i="39"/>
  <c r="M12" i="39"/>
  <c r="O4" i="39"/>
  <c r="T7" i="39"/>
  <c r="P11" i="39"/>
  <c r="N6" i="39"/>
  <c r="S9" i="39"/>
  <c r="M10" i="39"/>
  <c r="N5" i="39"/>
  <c r="S8" i="39"/>
  <c r="O12" i="39"/>
  <c r="M7" i="39"/>
  <c r="R10" i="39"/>
  <c r="U10" i="39"/>
  <c r="S5" i="39"/>
  <c r="O9" i="39"/>
  <c r="T12" i="39"/>
  <c r="S6" i="39"/>
  <c r="O10" i="39"/>
  <c r="R9" i="39"/>
  <c r="P4" i="39"/>
  <c r="P8" i="39"/>
  <c r="T5" i="39"/>
  <c r="U7" i="39"/>
  <c r="N10" i="39"/>
  <c r="R7" i="39"/>
  <c r="Q11" i="39"/>
  <c r="T11" i="39"/>
  <c r="T4" i="39"/>
  <c r="U11" i="39"/>
  <c r="P9" i="39"/>
  <c r="M6" i="39"/>
  <c r="R6" i="39"/>
  <c r="M4" i="39"/>
  <c r="N11" i="39"/>
  <c r="F27" i="41"/>
  <c r="D27" i="41"/>
  <c r="F25" i="41"/>
  <c r="H23" i="41"/>
  <c r="J21" i="41"/>
  <c r="C20" i="41"/>
  <c r="C27" i="41"/>
  <c r="E25" i="41"/>
  <c r="G23" i="41"/>
  <c r="I21" i="41"/>
  <c r="B20" i="41"/>
  <c r="E26" i="41"/>
  <c r="G24" i="41"/>
  <c r="I22" i="41"/>
  <c r="B21" i="41"/>
  <c r="D19" i="41"/>
  <c r="J27" i="41"/>
  <c r="I20" i="41"/>
  <c r="C26" i="41"/>
  <c r="B19" i="41"/>
  <c r="E24" i="41"/>
  <c r="G22" i="41"/>
  <c r="J20" i="41"/>
  <c r="G19" i="41"/>
  <c r="H26" i="41"/>
  <c r="D25" i="41"/>
  <c r="H22" i="41"/>
  <c r="E21" i="41"/>
  <c r="J19" i="41"/>
  <c r="B27" i="41"/>
  <c r="F24" i="41"/>
  <c r="C23" i="41"/>
  <c r="H21" i="41"/>
  <c r="J24" i="41"/>
  <c r="D22" i="41"/>
  <c r="C19" i="41"/>
  <c r="B24" i="41"/>
  <c r="D26" i="41"/>
  <c r="I25" i="41"/>
  <c r="F20" i="41"/>
  <c r="G27" i="41"/>
  <c r="F23" i="41"/>
  <c r="E22" i="41"/>
  <c r="J25" i="41"/>
  <c r="G21" i="41"/>
  <c r="C25" i="41"/>
  <c r="C21" i="41"/>
  <c r="H24" i="41"/>
  <c r="E20" i="41"/>
  <c r="J23" i="41"/>
  <c r="H19" i="41"/>
  <c r="D23" i="41"/>
  <c r="I26" i="41"/>
  <c r="F22" i="41"/>
  <c r="B26" i="41"/>
  <c r="G20" i="41"/>
  <c r="C24" i="41"/>
  <c r="H27" i="41"/>
  <c r="I19" i="41"/>
  <c r="E23" i="41"/>
  <c r="J26" i="41"/>
  <c r="E19" i="41"/>
  <c r="J22" i="41"/>
  <c r="F26" i="41"/>
  <c r="C22" i="41"/>
  <c r="H25" i="41"/>
  <c r="F21" i="41"/>
  <c r="B22" i="41"/>
  <c r="D21" i="41"/>
  <c r="B25" i="41"/>
  <c r="H20" i="41"/>
  <c r="I23" i="41"/>
  <c r="B23" i="41"/>
  <c r="D24" i="41"/>
  <c r="G25" i="41"/>
  <c r="I24" i="41"/>
  <c r="I27" i="41"/>
  <c r="D20" i="41"/>
  <c r="E27" i="41"/>
  <c r="F19" i="41"/>
  <c r="G26" i="41"/>
  <c r="AQ12" i="43"/>
  <c r="AQ11" i="43"/>
  <c r="AR8" i="43"/>
  <c r="AP6" i="43"/>
  <c r="AQ10" i="43"/>
  <c r="AT7" i="43"/>
  <c r="AR5" i="43"/>
  <c r="AS12" i="43"/>
  <c r="AU9" i="43"/>
  <c r="AQ7" i="43"/>
  <c r="AT4" i="43"/>
  <c r="AR6" i="43"/>
  <c r="AR4" i="43"/>
  <c r="AT11" i="43"/>
  <c r="AU8" i="43"/>
  <c r="AP10" i="43"/>
  <c r="AR10" i="43"/>
  <c r="AP7" i="43"/>
  <c r="AR7" i="43"/>
  <c r="AS4" i="43"/>
  <c r="AR12" i="43"/>
  <c r="AU4" i="43"/>
  <c r="AT12" i="43"/>
  <c r="AQ6" i="43"/>
  <c r="AT6" i="43"/>
  <c r="AP11" i="43"/>
  <c r="AR11" i="43"/>
  <c r="AP5" i="43"/>
  <c r="AT5" i="43"/>
  <c r="AP4" i="43"/>
  <c r="AS11" i="43"/>
  <c r="AS8" i="43"/>
  <c r="AT8" i="43"/>
  <c r="AP9" i="43"/>
  <c r="AU5" i="43"/>
  <c r="AU12" i="43"/>
  <c r="AS7" i="43"/>
  <c r="AP8" i="43"/>
  <c r="AT9" i="43"/>
  <c r="AU7" i="43"/>
  <c r="AQ5" i="43"/>
  <c r="AS10" i="43"/>
  <c r="AS6" i="43"/>
  <c r="AR9" i="43"/>
  <c r="AQ8" i="43"/>
  <c r="AQ9" i="43"/>
  <c r="AT10" i="43"/>
  <c r="AQ4" i="43"/>
  <c r="AS9" i="43"/>
  <c r="AU11" i="43"/>
  <c r="AP12" i="43"/>
  <c r="AS5" i="43"/>
  <c r="AU10" i="43"/>
  <c r="AU6" i="43"/>
  <c r="H13" i="77"/>
  <c r="H8" i="77"/>
  <c r="H5" i="77"/>
  <c r="H12" i="77"/>
  <c r="H9" i="77"/>
  <c r="H6" i="77"/>
  <c r="H7" i="77"/>
  <c r="H11" i="77"/>
  <c r="H10" i="77"/>
  <c r="H4" i="77"/>
  <c r="J11" i="78"/>
  <c r="J13" i="78"/>
  <c r="J17" i="78"/>
  <c r="J15" i="78"/>
  <c r="J12" i="78"/>
  <c r="J5" i="78"/>
  <c r="J18" i="78"/>
  <c r="J16" i="78"/>
  <c r="J14" i="78"/>
  <c r="J7" i="78"/>
  <c r="J10" i="78"/>
  <c r="J9" i="78"/>
  <c r="J4" i="78"/>
  <c r="J8" i="78"/>
  <c r="J6" i="78"/>
  <c r="H32" i="74"/>
  <c r="H33" i="74"/>
  <c r="H31" i="74"/>
  <c r="H26" i="74"/>
  <c r="H34" i="74"/>
  <c r="H23" i="74"/>
  <c r="H36" i="74"/>
  <c r="H25" i="74"/>
  <c r="H28" i="74"/>
  <c r="H35" i="74"/>
  <c r="H29" i="74"/>
  <c r="H27" i="74"/>
  <c r="H22" i="74"/>
  <c r="H24" i="74"/>
  <c r="H30" i="74"/>
  <c r="R14" i="82"/>
  <c r="P13" i="82"/>
  <c r="P11" i="82"/>
  <c r="Q10" i="82"/>
  <c r="Q12" i="82"/>
  <c r="R12" i="82"/>
  <c r="P14" i="82"/>
  <c r="R10" i="82"/>
  <c r="Q14" i="82"/>
  <c r="S12" i="82"/>
  <c r="S10" i="82"/>
  <c r="Q13" i="82"/>
  <c r="P12" i="82"/>
  <c r="S14" i="82"/>
  <c r="S11" i="82"/>
  <c r="Q11" i="82"/>
  <c r="R11" i="82"/>
  <c r="S13" i="82"/>
  <c r="R13" i="82"/>
  <c r="P10" i="82"/>
  <c r="L6" i="80"/>
  <c r="K5" i="80"/>
  <c r="M6" i="80"/>
  <c r="L4" i="80"/>
  <c r="M4" i="80"/>
  <c r="M8" i="80"/>
  <c r="L8" i="80"/>
  <c r="K7" i="80"/>
  <c r="K8" i="80"/>
  <c r="N4" i="80"/>
  <c r="N8" i="80"/>
  <c r="N6" i="80"/>
  <c r="L7" i="80"/>
  <c r="M5" i="80"/>
  <c r="N7" i="80"/>
  <c r="M7" i="80"/>
  <c r="K4" i="80"/>
  <c r="K6" i="80"/>
  <c r="L5" i="80"/>
  <c r="N5" i="80"/>
  <c r="H15" i="87"/>
  <c r="J14" i="87"/>
  <c r="G14" i="87"/>
  <c r="J13" i="87"/>
  <c r="H13" i="87"/>
  <c r="J12" i="87"/>
  <c r="G12" i="87"/>
  <c r="H12" i="87"/>
  <c r="I15" i="87"/>
  <c r="G15" i="87"/>
  <c r="I14" i="87"/>
  <c r="J15" i="87"/>
  <c r="I13" i="87"/>
  <c r="G13" i="87"/>
  <c r="I12" i="87"/>
  <c r="H14" i="87"/>
  <c r="AI6" i="90"/>
  <c r="AH5" i="90"/>
  <c r="AI4" i="90"/>
  <c r="AJ5" i="90"/>
  <c r="AI5" i="90"/>
  <c r="AJ4" i="90"/>
  <c r="AH4" i="90"/>
  <c r="AJ6" i="90"/>
  <c r="AI7" i="90"/>
  <c r="AJ7" i="90"/>
  <c r="AH7" i="90"/>
  <c r="AH6" i="90"/>
  <c r="M8" i="49"/>
  <c r="K12" i="49"/>
  <c r="K6" i="49"/>
  <c r="M11" i="49"/>
  <c r="M4" i="49"/>
  <c r="K10" i="49"/>
  <c r="K4" i="49"/>
  <c r="M12" i="49"/>
  <c r="M6" i="49"/>
  <c r="M10" i="49"/>
  <c r="M7" i="49"/>
  <c r="M5" i="49"/>
  <c r="M9" i="49"/>
  <c r="K8" i="49"/>
  <c r="L13" i="49"/>
  <c r="M13" i="49"/>
  <c r="N5" i="49"/>
  <c r="N13" i="49"/>
  <c r="L6" i="49"/>
  <c r="N4" i="49"/>
  <c r="N12" i="49"/>
  <c r="K5" i="49"/>
  <c r="K13" i="49"/>
  <c r="L11" i="49"/>
  <c r="N7" i="49"/>
  <c r="L8" i="49"/>
  <c r="N6" i="49"/>
  <c r="K7" i="49"/>
  <c r="L5" i="49"/>
  <c r="N9" i="49"/>
  <c r="L10" i="49"/>
  <c r="N8" i="49"/>
  <c r="K9" i="49"/>
  <c r="L7" i="49"/>
  <c r="N11" i="49"/>
  <c r="L4" i="49"/>
  <c r="L12" i="49"/>
  <c r="N10" i="49"/>
  <c r="K11" i="49"/>
  <c r="L9" i="49"/>
  <c r="W10" i="82"/>
  <c r="W13" i="82"/>
  <c r="W12" i="82"/>
  <c r="W11" i="82"/>
  <c r="N17" i="80"/>
  <c r="L17" i="80"/>
  <c r="N16" i="80"/>
  <c r="M14" i="80"/>
  <c r="K18" i="80"/>
  <c r="M15" i="80"/>
  <c r="K17" i="80"/>
  <c r="N14" i="80"/>
  <c r="L18" i="80"/>
  <c r="K16" i="80"/>
  <c r="K15" i="80"/>
  <c r="M18" i="80"/>
  <c r="L16" i="80"/>
  <c r="K14" i="80"/>
  <c r="L15" i="80"/>
  <c r="N15" i="80"/>
  <c r="M16" i="80"/>
  <c r="L14" i="80"/>
  <c r="M17" i="80"/>
  <c r="N18" i="80"/>
  <c r="G11" i="89"/>
  <c r="G9" i="89"/>
  <c r="G8" i="89"/>
  <c r="G10" i="89"/>
  <c r="G7" i="89"/>
  <c r="AD9" i="90"/>
  <c r="AE7" i="90"/>
  <c r="AF4" i="90"/>
  <c r="AD4" i="90"/>
  <c r="AF9" i="90"/>
  <c r="AE9" i="90"/>
  <c r="AE4" i="90"/>
  <c r="AD5" i="90"/>
  <c r="AF6" i="90"/>
  <c r="AE6" i="90"/>
  <c r="AE5" i="90"/>
  <c r="AF5" i="90"/>
  <c r="AD6" i="90"/>
  <c r="AD7" i="90"/>
  <c r="AF7" i="90"/>
  <c r="AD8" i="90"/>
  <c r="AE8" i="90"/>
  <c r="AF8" i="90"/>
  <c r="AD43" i="90"/>
  <c r="AD42" i="90"/>
  <c r="AD44" i="90"/>
  <c r="Y11" i="91"/>
  <c r="Z8" i="91"/>
  <c r="Z9" i="91"/>
  <c r="Y7" i="91"/>
  <c r="Z10" i="91"/>
  <c r="Y6" i="91"/>
  <c r="Y9" i="91"/>
  <c r="Z7" i="91"/>
  <c r="Y8" i="91"/>
  <c r="Z11" i="91"/>
  <c r="Y10" i="91"/>
  <c r="Z6" i="91"/>
  <c r="E15" i="91"/>
  <c r="C14" i="91"/>
  <c r="B14" i="91"/>
  <c r="E13" i="91"/>
  <c r="D14" i="91"/>
  <c r="B13" i="91"/>
  <c r="C13" i="91"/>
  <c r="E14" i="91"/>
  <c r="C15" i="91"/>
  <c r="D15" i="91"/>
  <c r="B16" i="91"/>
  <c r="C16" i="91"/>
  <c r="E16" i="91"/>
  <c r="D13" i="91"/>
  <c r="D16" i="91"/>
  <c r="B15" i="91"/>
  <c r="C16" i="92"/>
  <c r="B15" i="92"/>
  <c r="C14" i="92"/>
  <c r="B13" i="92"/>
  <c r="E16" i="92"/>
  <c r="E14" i="92"/>
  <c r="D13" i="92"/>
  <c r="D14" i="92"/>
  <c r="E13" i="92"/>
  <c r="C15" i="92"/>
  <c r="B16" i="92"/>
  <c r="C13" i="92"/>
  <c r="B14" i="92"/>
  <c r="D15" i="92"/>
  <c r="D16" i="92"/>
  <c r="E15" i="92"/>
  <c r="AC10" i="93"/>
  <c r="AB9" i="93"/>
  <c r="AB8" i="93"/>
  <c r="AC7" i="93"/>
  <c r="AB7" i="93"/>
  <c r="AC11" i="93"/>
  <c r="AB11" i="93"/>
  <c r="AC6" i="93"/>
  <c r="AC9" i="93"/>
  <c r="AB6" i="93"/>
  <c r="AC8" i="93"/>
  <c r="AB10" i="93"/>
  <c r="AC24" i="93"/>
  <c r="AC23" i="93"/>
  <c r="AB21" i="93"/>
  <c r="AB24" i="93"/>
  <c r="AB22" i="93"/>
  <c r="AB23" i="93"/>
  <c r="AC21" i="93"/>
  <c r="AC22" i="93"/>
  <c r="G9" i="61"/>
  <c r="E6" i="61"/>
  <c r="G10" i="61"/>
  <c r="F5" i="61"/>
  <c r="G8" i="61"/>
  <c r="E8" i="61"/>
  <c r="G4" i="61"/>
  <c r="F10" i="61"/>
  <c r="F7" i="61"/>
  <c r="E10" i="61"/>
  <c r="E5" i="61"/>
  <c r="G7" i="61"/>
  <c r="G5" i="61"/>
  <c r="E9" i="61"/>
  <c r="E4" i="61"/>
  <c r="F8" i="61"/>
  <c r="G6" i="61"/>
  <c r="F9" i="61"/>
  <c r="F4" i="61"/>
  <c r="F6" i="61"/>
  <c r="E7" i="61"/>
  <c r="T18" i="61"/>
  <c r="T19" i="61"/>
  <c r="T20" i="61"/>
  <c r="I8" i="62"/>
  <c r="I7" i="62"/>
  <c r="K3" i="62"/>
  <c r="J6" i="62"/>
  <c r="I3" i="62"/>
  <c r="K5" i="62"/>
  <c r="K8" i="62"/>
  <c r="I5" i="62"/>
  <c r="I6" i="62"/>
  <c r="J4" i="62"/>
  <c r="J3" i="62"/>
  <c r="I4" i="62"/>
  <c r="J8" i="62"/>
  <c r="K7" i="62"/>
  <c r="K6" i="62"/>
  <c r="K4" i="62"/>
  <c r="J7" i="62"/>
  <c r="J5" i="62"/>
  <c r="N8" i="62"/>
  <c r="M4" i="62"/>
  <c r="O4" i="62"/>
  <c r="M6" i="62"/>
  <c r="O6" i="62"/>
  <c r="O8" i="62"/>
  <c r="N3" i="62"/>
  <c r="N7" i="62"/>
  <c r="O3" i="62"/>
  <c r="M5" i="62"/>
  <c r="N5" i="62"/>
  <c r="N6" i="62"/>
  <c r="N4" i="62"/>
  <c r="O7" i="62"/>
  <c r="M8" i="62"/>
  <c r="M3" i="62"/>
  <c r="M7" i="62"/>
  <c r="O5" i="62"/>
  <c r="K14" i="62"/>
  <c r="I11" i="62"/>
  <c r="J10" i="62"/>
  <c r="K13" i="62"/>
  <c r="I13" i="62"/>
  <c r="K15" i="62"/>
  <c r="J12" i="62"/>
  <c r="I15" i="62"/>
  <c r="I10" i="62"/>
  <c r="K12" i="62"/>
  <c r="J13" i="62"/>
  <c r="J15" i="62"/>
  <c r="J11" i="62"/>
  <c r="K11" i="62"/>
  <c r="K10" i="62"/>
  <c r="I14" i="62"/>
  <c r="J14" i="62"/>
  <c r="I12" i="62"/>
  <c r="F18" i="62"/>
  <c r="F17" i="62"/>
  <c r="E17" i="62"/>
  <c r="G18" i="62"/>
  <c r="E18" i="62"/>
  <c r="G17" i="62"/>
  <c r="J27" i="62"/>
  <c r="K25" i="62"/>
  <c r="J28" i="62"/>
  <c r="I25" i="62"/>
  <c r="K27" i="62"/>
  <c r="I28" i="62"/>
  <c r="I26" i="62"/>
  <c r="I24" i="62"/>
  <c r="J24" i="62"/>
  <c r="K28" i="62"/>
  <c r="K26" i="62"/>
  <c r="I27" i="62"/>
  <c r="K24" i="62"/>
  <c r="J26" i="62"/>
  <c r="J29" i="62"/>
  <c r="K29" i="62"/>
  <c r="J25" i="62"/>
  <c r="I29" i="62"/>
  <c r="Q29" i="62"/>
  <c r="R25" i="62"/>
  <c r="S24" i="62"/>
  <c r="R29" i="62"/>
  <c r="Q26" i="62"/>
  <c r="S27" i="62"/>
  <c r="S29" i="62"/>
  <c r="S26" i="62"/>
  <c r="R28" i="62"/>
  <c r="Q25" i="62"/>
  <c r="Q27" i="62"/>
  <c r="Q24" i="62"/>
  <c r="S25" i="62"/>
  <c r="Q28" i="62"/>
  <c r="R27" i="62"/>
  <c r="R24" i="62"/>
  <c r="S28" i="62"/>
  <c r="R26" i="62"/>
  <c r="B39" i="70"/>
  <c r="B38" i="70"/>
  <c r="C39" i="70"/>
  <c r="C37" i="70"/>
  <c r="A39" i="70"/>
  <c r="A37" i="70"/>
  <c r="A38" i="70"/>
  <c r="B37" i="70"/>
  <c r="C38" i="70"/>
  <c r="N20" i="72"/>
  <c r="L18" i="72"/>
  <c r="N17" i="72"/>
  <c r="M17" i="72"/>
  <c r="N19" i="72"/>
  <c r="L20" i="72"/>
  <c r="L19" i="72"/>
  <c r="M19" i="72"/>
  <c r="L17" i="72"/>
  <c r="K17" i="72"/>
  <c r="M18" i="72"/>
  <c r="K19" i="72"/>
  <c r="K18" i="72"/>
  <c r="M20" i="72"/>
  <c r="N18" i="72"/>
  <c r="K20" i="72"/>
  <c r="F8" i="88"/>
  <c r="F11" i="88"/>
  <c r="F10" i="88"/>
  <c r="F9" i="88"/>
  <c r="AN45" i="90"/>
  <c r="AN44" i="90"/>
  <c r="AK42" i="90"/>
  <c r="AK44" i="90"/>
  <c r="AM43" i="90"/>
  <c r="AN42" i="90"/>
  <c r="AL45" i="90"/>
  <c r="AK45" i="90"/>
  <c r="AL43" i="90"/>
  <c r="AM44" i="90"/>
  <c r="AK43" i="90"/>
  <c r="AM42" i="90"/>
  <c r="AM45" i="90"/>
  <c r="AL42" i="90"/>
  <c r="AL44" i="90"/>
  <c r="AN43" i="90"/>
  <c r="AS61" i="90"/>
  <c r="AQ61" i="90"/>
  <c r="AR61" i="90"/>
  <c r="Z23" i="91"/>
  <c r="Y24" i="91"/>
  <c r="Y21" i="91"/>
  <c r="Z22" i="91"/>
  <c r="Y22" i="91"/>
  <c r="Z21" i="91"/>
  <c r="Y23" i="91"/>
  <c r="Z24" i="91"/>
  <c r="AC23" i="92"/>
  <c r="AC22" i="92"/>
  <c r="AB23" i="92"/>
  <c r="AC21" i="92"/>
  <c r="AB22" i="92"/>
  <c r="AB24" i="92"/>
  <c r="AC24" i="92"/>
  <c r="AB21" i="92"/>
  <c r="E15" i="93"/>
  <c r="C15" i="93"/>
  <c r="B13" i="93"/>
  <c r="B15" i="93"/>
  <c r="D14" i="93"/>
  <c r="B14" i="93"/>
  <c r="B16" i="93"/>
  <c r="C13" i="93"/>
  <c r="D16" i="93"/>
  <c r="C14" i="93"/>
  <c r="C16" i="93"/>
  <c r="E14" i="93"/>
  <c r="D13" i="93"/>
  <c r="E16" i="93"/>
  <c r="D15" i="93"/>
  <c r="E13" i="93"/>
  <c r="AC25" i="93"/>
  <c r="AB25" i="93"/>
  <c r="N12" i="61"/>
  <c r="O12" i="61"/>
  <c r="M10" i="61"/>
  <c r="M12" i="61"/>
  <c r="O11" i="61"/>
  <c r="M13" i="61"/>
  <c r="M11" i="61"/>
  <c r="O10" i="61"/>
  <c r="O13" i="61"/>
  <c r="P10" i="61"/>
  <c r="P12" i="61"/>
  <c r="N10" i="61"/>
  <c r="P11" i="61"/>
  <c r="N11" i="61"/>
  <c r="P13" i="61"/>
  <c r="N13" i="61"/>
  <c r="AB20" i="61"/>
  <c r="AA19" i="61"/>
  <c r="AA18" i="61"/>
  <c r="AC18" i="61"/>
  <c r="AA20" i="61"/>
  <c r="AB18" i="61"/>
  <c r="AC19" i="61"/>
  <c r="AB19" i="61"/>
  <c r="AC20" i="61"/>
  <c r="M15" i="62"/>
  <c r="M14" i="62"/>
  <c r="O10" i="62"/>
  <c r="O13" i="62"/>
  <c r="O11" i="62"/>
  <c r="O14" i="62"/>
  <c r="M11" i="62"/>
  <c r="N11" i="62"/>
  <c r="N15" i="62"/>
  <c r="N10" i="62"/>
  <c r="N14" i="62"/>
  <c r="N13" i="62"/>
  <c r="O12" i="62"/>
  <c r="M10" i="62"/>
  <c r="M12" i="62"/>
  <c r="M13" i="62"/>
  <c r="O15" i="62"/>
  <c r="N12" i="62"/>
  <c r="J18" i="62"/>
  <c r="I21" i="62"/>
  <c r="K21" i="62"/>
  <c r="J22" i="62"/>
  <c r="K17" i="62"/>
  <c r="J20" i="62"/>
  <c r="I20" i="62"/>
  <c r="K22" i="62"/>
  <c r="I19" i="62"/>
  <c r="J17" i="62"/>
  <c r="I18" i="62"/>
  <c r="K20" i="62"/>
  <c r="J19" i="62"/>
  <c r="I17" i="62"/>
  <c r="I22" i="62"/>
  <c r="K19" i="62"/>
  <c r="K18" i="62"/>
  <c r="J21" i="62"/>
  <c r="R21" i="62"/>
  <c r="S20" i="62"/>
  <c r="Q20" i="62"/>
  <c r="S21" i="62"/>
  <c r="R18" i="62"/>
  <c r="S17" i="62"/>
  <c r="Q17" i="62"/>
  <c r="S18" i="62"/>
  <c r="Q21" i="62"/>
  <c r="R20" i="62"/>
  <c r="R22" i="62"/>
  <c r="S19" i="62"/>
  <c r="S22" i="62"/>
  <c r="Q19" i="62"/>
  <c r="Q22" i="62"/>
  <c r="Q18" i="62"/>
  <c r="R17" i="62"/>
  <c r="R19" i="62"/>
  <c r="M29" i="62"/>
  <c r="O24" i="62"/>
  <c r="N27" i="62"/>
  <c r="N25" i="62"/>
  <c r="M28" i="62"/>
  <c r="N29" i="62"/>
  <c r="M24" i="62"/>
  <c r="O26" i="62"/>
  <c r="N24" i="62"/>
  <c r="N28" i="62"/>
  <c r="O28" i="62"/>
  <c r="M27" i="62"/>
  <c r="O29" i="62"/>
  <c r="M25" i="62"/>
  <c r="N26" i="62"/>
  <c r="O27" i="62"/>
  <c r="O25" i="62"/>
  <c r="M26" i="62"/>
  <c r="E28" i="62"/>
  <c r="F28" i="62"/>
  <c r="F29" i="62"/>
  <c r="E29" i="62"/>
  <c r="G28" i="62"/>
  <c r="G29" i="62"/>
  <c r="H7" i="49"/>
  <c r="G4" i="49"/>
  <c r="I4" i="49"/>
  <c r="G6" i="49"/>
  <c r="I6" i="49"/>
  <c r="I5" i="49"/>
  <c r="I7" i="49"/>
  <c r="H5" i="49"/>
  <c r="H4" i="49"/>
  <c r="F4" i="49"/>
  <c r="H6" i="49"/>
  <c r="F5" i="49"/>
  <c r="G5" i="49"/>
  <c r="F6" i="49"/>
  <c r="F7" i="49"/>
  <c r="G7" i="49"/>
  <c r="R22" i="51"/>
  <c r="O21" i="51"/>
  <c r="Q18" i="51"/>
  <c r="M15" i="51"/>
  <c r="U22" i="51"/>
  <c r="O20" i="51"/>
  <c r="S17" i="51"/>
  <c r="U14" i="51"/>
  <c r="N22" i="51"/>
  <c r="P19" i="51"/>
  <c r="S16" i="51"/>
  <c r="N14" i="51"/>
  <c r="T15" i="51"/>
  <c r="M22" i="51"/>
  <c r="R18" i="51"/>
  <c r="R17" i="51"/>
  <c r="Q19" i="51"/>
  <c r="T16" i="51"/>
  <c r="U15" i="51"/>
  <c r="N21" i="51"/>
  <c r="P20" i="51"/>
  <c r="M14" i="51"/>
  <c r="P17" i="51"/>
  <c r="U20" i="51"/>
  <c r="S15" i="51"/>
  <c r="O19" i="51"/>
  <c r="T22" i="51"/>
  <c r="U16" i="51"/>
  <c r="Q20" i="51"/>
  <c r="O15" i="51"/>
  <c r="T18" i="51"/>
  <c r="P22" i="51"/>
  <c r="N17" i="51"/>
  <c r="S20" i="51"/>
  <c r="Q15" i="51"/>
  <c r="M19" i="51"/>
  <c r="S14" i="51"/>
  <c r="O18" i="51"/>
  <c r="T21" i="51"/>
  <c r="R16" i="51"/>
  <c r="N20" i="51"/>
  <c r="O14" i="51"/>
  <c r="T17" i="51"/>
  <c r="P21" i="51"/>
  <c r="N16" i="51"/>
  <c r="S19" i="51"/>
  <c r="Q14" i="51"/>
  <c r="M18" i="51"/>
  <c r="R21" i="51"/>
  <c r="P16" i="51"/>
  <c r="U19" i="51"/>
  <c r="R15" i="51"/>
  <c r="N19" i="51"/>
  <c r="S22" i="51"/>
  <c r="Q17" i="51"/>
  <c r="M21" i="51"/>
  <c r="N15" i="51"/>
  <c r="S18" i="51"/>
  <c r="O22" i="51"/>
  <c r="M17" i="51"/>
  <c r="R20" i="51"/>
  <c r="P15" i="51"/>
  <c r="U18" i="51"/>
  <c r="Q22" i="51"/>
  <c r="O17" i="51"/>
  <c r="T20" i="51"/>
  <c r="Q16" i="51"/>
  <c r="M20" i="51"/>
  <c r="T14" i="51"/>
  <c r="P18" i="51"/>
  <c r="U21" i="51"/>
  <c r="M16" i="51"/>
  <c r="R19" i="51"/>
  <c r="P14" i="51"/>
  <c r="U17" i="51"/>
  <c r="Q21" i="51"/>
  <c r="O16" i="51"/>
  <c r="T19" i="51"/>
  <c r="R14" i="51"/>
  <c r="N18" i="51"/>
  <c r="S21" i="51"/>
  <c r="L7" i="81"/>
  <c r="N6" i="81"/>
  <c r="N4" i="81"/>
  <c r="L5" i="81"/>
  <c r="M4" i="81"/>
  <c r="K4" i="81"/>
  <c r="M7" i="81"/>
  <c r="K5" i="81"/>
  <c r="L4" i="81"/>
  <c r="N5" i="81"/>
  <c r="M3" i="81"/>
  <c r="L6" i="81"/>
  <c r="M5" i="81"/>
  <c r="K6" i="81"/>
  <c r="K7" i="81"/>
  <c r="N7" i="81"/>
  <c r="K3" i="81"/>
  <c r="L3" i="81"/>
  <c r="M6" i="81"/>
  <c r="N3" i="81"/>
  <c r="N9" i="88"/>
  <c r="R11" i="88"/>
  <c r="S9" i="88"/>
  <c r="O9" i="88"/>
  <c r="S8" i="88"/>
  <c r="R10" i="88"/>
  <c r="N12" i="88"/>
  <c r="P10" i="88"/>
  <c r="N10" i="88"/>
  <c r="S7" i="88"/>
  <c r="Q7" i="88"/>
  <c r="O7" i="88"/>
  <c r="P7" i="88"/>
  <c r="R8" i="88"/>
  <c r="S11" i="88"/>
  <c r="R12" i="88"/>
  <c r="N8" i="88"/>
  <c r="S12" i="88"/>
  <c r="Q12" i="88"/>
  <c r="P11" i="88"/>
  <c r="O10" i="88"/>
  <c r="Q8" i="88"/>
  <c r="Q11" i="88"/>
  <c r="P9" i="88"/>
  <c r="O11" i="88"/>
  <c r="Q10" i="88"/>
  <c r="P12" i="88"/>
  <c r="R7" i="88"/>
  <c r="S10" i="88"/>
  <c r="O8" i="88"/>
  <c r="Q9" i="88"/>
  <c r="N11" i="88"/>
  <c r="O12" i="88"/>
  <c r="N7" i="88"/>
  <c r="P8" i="88"/>
  <c r="R9" i="88"/>
  <c r="F19" i="88"/>
  <c r="J19" i="88"/>
  <c r="J17" i="88"/>
  <c r="I19" i="88"/>
  <c r="I16" i="88"/>
  <c r="H18" i="88"/>
  <c r="G16" i="88"/>
  <c r="F18" i="88"/>
  <c r="F16" i="88"/>
  <c r="J16" i="88"/>
  <c r="H16" i="88"/>
  <c r="I18" i="88"/>
  <c r="G18" i="88"/>
  <c r="F17" i="88"/>
  <c r="G17" i="88"/>
  <c r="I17" i="88"/>
  <c r="J18" i="88"/>
  <c r="H19" i="88"/>
  <c r="G19" i="88"/>
  <c r="H17" i="88"/>
  <c r="J12" i="89"/>
  <c r="J10" i="89"/>
  <c r="J8" i="89"/>
  <c r="J9" i="89"/>
  <c r="J11" i="89"/>
  <c r="AC7" i="92"/>
  <c r="AB10" i="92"/>
  <c r="AC11" i="92"/>
  <c r="AB9" i="92"/>
  <c r="AC8" i="92"/>
  <c r="AC10" i="92"/>
  <c r="AB7" i="92"/>
  <c r="AB11" i="92"/>
  <c r="AC6" i="92"/>
  <c r="AC9" i="92"/>
  <c r="AB8" i="92"/>
  <c r="AB6" i="92"/>
  <c r="AB25" i="92"/>
  <c r="AC25" i="92"/>
  <c r="W242" i="59"/>
  <c r="W241" i="59"/>
  <c r="X240" i="59"/>
  <c r="W243" i="59"/>
  <c r="Y243" i="59"/>
  <c r="W240" i="59"/>
  <c r="Y242" i="59"/>
  <c r="X242" i="59"/>
  <c r="Y240" i="59"/>
  <c r="X241" i="59"/>
  <c r="X243" i="59"/>
  <c r="Y241" i="59"/>
  <c r="J6" i="61"/>
  <c r="J5" i="61"/>
  <c r="I5" i="61"/>
  <c r="K6" i="61"/>
  <c r="K4" i="61"/>
  <c r="I4" i="61"/>
  <c r="I6" i="61"/>
  <c r="J4" i="61"/>
  <c r="K5" i="61"/>
  <c r="G3" i="62"/>
  <c r="G4" i="62"/>
  <c r="F4" i="62"/>
  <c r="E4" i="62"/>
  <c r="E3" i="62"/>
  <c r="F3" i="62"/>
  <c r="F10" i="62"/>
  <c r="G10" i="62"/>
  <c r="E11" i="62"/>
  <c r="F11" i="62"/>
  <c r="G11" i="62"/>
  <c r="E10" i="62"/>
  <c r="O21" i="62"/>
  <c r="O20" i="62"/>
  <c r="M20" i="62"/>
  <c r="N17" i="62"/>
  <c r="O22" i="62"/>
  <c r="M18" i="62"/>
  <c r="N19" i="62"/>
  <c r="N22" i="62"/>
  <c r="M22" i="62"/>
  <c r="M17" i="62"/>
  <c r="O17" i="62"/>
  <c r="M19" i="62"/>
  <c r="O19" i="62"/>
  <c r="N20" i="62"/>
  <c r="N18" i="62"/>
  <c r="O18" i="62"/>
  <c r="M21" i="62"/>
  <c r="N21" i="62"/>
  <c r="F22" i="62"/>
  <c r="G22" i="62"/>
  <c r="E22" i="62"/>
  <c r="E21" i="62"/>
  <c r="F21" i="62"/>
  <c r="G21" i="62"/>
  <c r="E24" i="62"/>
  <c r="G24" i="62"/>
  <c r="F25" i="62"/>
  <c r="F24" i="62"/>
  <c r="E25" i="62"/>
  <c r="G25" i="62"/>
  <c r="V38" i="70"/>
  <c r="W36" i="70"/>
  <c r="X35" i="70"/>
  <c r="W34" i="70"/>
  <c r="V37" i="70"/>
  <c r="X33" i="70"/>
  <c r="V33" i="70"/>
  <c r="W38" i="70"/>
  <c r="X38" i="70"/>
  <c r="V34" i="70"/>
  <c r="V35" i="70"/>
  <c r="X36" i="70"/>
  <c r="X34" i="70"/>
  <c r="X37" i="70"/>
  <c r="W35" i="70"/>
  <c r="W33" i="70"/>
  <c r="W37" i="70"/>
  <c r="V36" i="70"/>
  <c r="J53" i="58"/>
  <c r="J55" i="58"/>
  <c r="K56" i="58"/>
  <c r="L54" i="58"/>
  <c r="L56" i="58"/>
  <c r="L52" i="58"/>
  <c r="I53" i="58"/>
  <c r="K55" i="58"/>
  <c r="L55" i="58"/>
  <c r="J54" i="58"/>
  <c r="K54" i="58"/>
  <c r="I55" i="58"/>
  <c r="I52" i="58"/>
  <c r="J56" i="58"/>
  <c r="I54" i="58"/>
  <c r="K53" i="58"/>
  <c r="L53" i="58"/>
  <c r="I56" i="58"/>
  <c r="J52" i="58"/>
  <c r="K52" i="58"/>
  <c r="X12" i="58"/>
  <c r="V14" i="58"/>
  <c r="V13" i="58"/>
  <c r="V10" i="58"/>
  <c r="W13" i="58"/>
  <c r="V12" i="58"/>
  <c r="Y14" i="58"/>
  <c r="X10" i="58"/>
  <c r="V11" i="58"/>
  <c r="X14" i="58"/>
  <c r="X13" i="58"/>
  <c r="X11" i="58"/>
  <c r="W11" i="58"/>
  <c r="Y10" i="58"/>
  <c r="W14" i="58"/>
  <c r="Y11" i="58"/>
  <c r="W10" i="58"/>
  <c r="Y12" i="58"/>
  <c r="Y13" i="58"/>
  <c r="W12" i="58"/>
  <c r="H37" i="58"/>
  <c r="H35" i="58"/>
  <c r="G37" i="58"/>
  <c r="G36" i="58"/>
  <c r="H34" i="58"/>
  <c r="I36" i="58"/>
  <c r="I34" i="58"/>
  <c r="G35" i="58"/>
  <c r="I35" i="58"/>
  <c r="I37" i="58"/>
  <c r="G34" i="58"/>
  <c r="H36" i="58"/>
  <c r="S55" i="58"/>
  <c r="T53" i="58"/>
  <c r="U54" i="58"/>
  <c r="S54" i="58"/>
  <c r="S53" i="58"/>
  <c r="S52" i="58"/>
  <c r="U55" i="58"/>
  <c r="U53" i="58"/>
  <c r="T54" i="58"/>
  <c r="T55" i="58"/>
  <c r="V52" i="58"/>
  <c r="V54" i="58"/>
  <c r="U52" i="58"/>
  <c r="T52" i="58"/>
  <c r="V53" i="58"/>
  <c r="V55" i="58"/>
  <c r="S6" i="71"/>
  <c r="S4" i="71"/>
  <c r="S3" i="71"/>
  <c r="Q3" i="71"/>
  <c r="R4" i="71"/>
  <c r="P6" i="71"/>
  <c r="R5" i="71"/>
  <c r="P5" i="71"/>
  <c r="Q6" i="71"/>
  <c r="P4" i="71"/>
  <c r="R3" i="71"/>
  <c r="P3" i="71"/>
  <c r="Q4" i="71"/>
  <c r="S5" i="71"/>
  <c r="Q5" i="71"/>
  <c r="R6" i="71"/>
  <c r="R12" i="71"/>
  <c r="Q10" i="71"/>
  <c r="S12" i="71"/>
  <c r="S10" i="71"/>
  <c r="P12" i="71"/>
  <c r="R10" i="71"/>
  <c r="Q13" i="71"/>
  <c r="Q11" i="71"/>
  <c r="R11" i="71"/>
  <c r="P13" i="71"/>
  <c r="R13" i="71"/>
  <c r="S13" i="71"/>
  <c r="P10" i="71"/>
  <c r="S11" i="71"/>
  <c r="Q12" i="71"/>
  <c r="P11" i="71"/>
  <c r="F4" i="72"/>
  <c r="F9" i="72"/>
  <c r="H8" i="72"/>
  <c r="H4" i="72"/>
  <c r="G5" i="72"/>
  <c r="H7" i="72"/>
  <c r="G3" i="72"/>
  <c r="I6" i="72"/>
  <c r="G9" i="72"/>
  <c r="F3" i="72"/>
  <c r="G6" i="72"/>
  <c r="F8" i="72"/>
  <c r="H5" i="72"/>
  <c r="F6" i="72"/>
  <c r="I4" i="72"/>
  <c r="I3" i="72"/>
  <c r="G8" i="72"/>
  <c r="G4" i="72"/>
  <c r="F7" i="72"/>
  <c r="I9" i="72"/>
  <c r="F5" i="72"/>
  <c r="H6" i="72"/>
  <c r="I7" i="72"/>
  <c r="G7" i="72"/>
  <c r="H3" i="72"/>
  <c r="I8" i="72"/>
  <c r="I5" i="72"/>
  <c r="H9" i="72"/>
  <c r="B11" i="48"/>
  <c r="B10" i="48"/>
  <c r="C12" i="48"/>
  <c r="B9" i="48"/>
  <c r="A11" i="48"/>
  <c r="C10" i="48"/>
  <c r="B12" i="48"/>
  <c r="C11" i="48"/>
  <c r="A10" i="48"/>
  <c r="C9" i="48"/>
  <c r="A9" i="48"/>
  <c r="A12" i="48"/>
  <c r="I8" i="71"/>
  <c r="G9" i="71"/>
  <c r="F7" i="71"/>
  <c r="F5" i="71"/>
  <c r="F3" i="71"/>
  <c r="H8" i="71"/>
  <c r="H6" i="71"/>
  <c r="F4" i="71"/>
  <c r="F8" i="71"/>
  <c r="F6" i="71"/>
  <c r="H3" i="71"/>
  <c r="H9" i="71"/>
  <c r="G7" i="71"/>
  <c r="G5" i="71"/>
  <c r="G3" i="71"/>
  <c r="H4" i="71"/>
  <c r="H5" i="71"/>
  <c r="H7" i="71"/>
  <c r="F9" i="71"/>
  <c r="I7" i="71"/>
  <c r="G4" i="71"/>
  <c r="I9" i="71"/>
  <c r="G6" i="71"/>
  <c r="I3" i="71"/>
  <c r="G8" i="71"/>
  <c r="I4" i="71"/>
  <c r="I5" i="71"/>
  <c r="I6" i="71"/>
  <c r="U3" i="71"/>
  <c r="X3" i="71"/>
  <c r="U4" i="71"/>
  <c r="V5" i="71"/>
  <c r="U6" i="71"/>
  <c r="X4" i="71"/>
  <c r="X6" i="71"/>
  <c r="W3" i="71"/>
  <c r="V6" i="71"/>
  <c r="X5" i="71"/>
  <c r="W4" i="71"/>
  <c r="V3" i="71"/>
  <c r="U5" i="71"/>
  <c r="W5" i="71"/>
  <c r="V4" i="71"/>
  <c r="W6" i="71"/>
  <c r="H13" i="71"/>
  <c r="F19" i="71"/>
  <c r="H18" i="71"/>
  <c r="G16" i="71"/>
  <c r="H14" i="71"/>
  <c r="F14" i="71"/>
  <c r="F18" i="71"/>
  <c r="I15" i="71"/>
  <c r="I16" i="71"/>
  <c r="H19" i="71"/>
  <c r="G18" i="71"/>
  <c r="G14" i="71"/>
  <c r="I14" i="71"/>
  <c r="G15" i="71"/>
  <c r="I19" i="71"/>
  <c r="I17" i="71"/>
  <c r="H16" i="71"/>
  <c r="F17" i="71"/>
  <c r="G13" i="71"/>
  <c r="I13" i="71"/>
  <c r="I18" i="71"/>
  <c r="G19" i="71"/>
  <c r="F15" i="71"/>
  <c r="F13" i="71"/>
  <c r="F16" i="71"/>
  <c r="G17" i="71"/>
  <c r="H17" i="71"/>
  <c r="H15" i="71"/>
  <c r="X18" i="71"/>
  <c r="X19" i="71"/>
  <c r="U17" i="71"/>
  <c r="V19" i="71"/>
  <c r="V18" i="71"/>
  <c r="W17" i="71"/>
  <c r="W20" i="71"/>
  <c r="V20" i="71"/>
  <c r="V17" i="71"/>
  <c r="U20" i="71"/>
  <c r="W19" i="71"/>
  <c r="W18" i="71"/>
  <c r="U18" i="71"/>
  <c r="X17" i="71"/>
  <c r="X20" i="71"/>
  <c r="U19" i="71"/>
  <c r="I18" i="72"/>
  <c r="H18" i="72"/>
  <c r="F15" i="72"/>
  <c r="H17" i="72"/>
  <c r="H14" i="72"/>
  <c r="F18" i="72"/>
  <c r="I13" i="72"/>
  <c r="G13" i="72"/>
  <c r="F16" i="72"/>
  <c r="F13" i="72"/>
  <c r="F17" i="72"/>
  <c r="I19" i="72"/>
  <c r="G19" i="72"/>
  <c r="G18" i="72"/>
  <c r="F19" i="72"/>
  <c r="H16" i="72"/>
  <c r="H13" i="72"/>
  <c r="H15" i="72"/>
  <c r="I17" i="72"/>
  <c r="G17" i="72"/>
  <c r="G16" i="72"/>
  <c r="H19" i="72"/>
  <c r="I16" i="72"/>
  <c r="I14" i="72"/>
  <c r="I15" i="72"/>
  <c r="G15" i="72"/>
  <c r="G14" i="72"/>
  <c r="F14" i="72"/>
  <c r="K10" i="48"/>
  <c r="J9" i="48"/>
  <c r="J10" i="48"/>
  <c r="I10" i="48"/>
  <c r="K9" i="48"/>
  <c r="I11" i="48"/>
  <c r="K11" i="48"/>
  <c r="J11" i="48"/>
  <c r="I9" i="48"/>
  <c r="O12" i="55"/>
  <c r="R8" i="55"/>
  <c r="N12" i="55"/>
  <c r="T14" i="55"/>
  <c r="S7" i="55"/>
  <c r="O11" i="55"/>
  <c r="U14" i="55"/>
  <c r="R13" i="55"/>
  <c r="M10" i="55"/>
  <c r="Q6" i="55"/>
  <c r="S11" i="55"/>
  <c r="N8" i="55"/>
  <c r="P13" i="55"/>
  <c r="T9" i="55"/>
  <c r="O6" i="55"/>
  <c r="Q11" i="55"/>
  <c r="U7" i="55"/>
  <c r="T13" i="55"/>
  <c r="O10" i="55"/>
  <c r="S6" i="55"/>
  <c r="U11" i="55"/>
  <c r="P8" i="55"/>
  <c r="M13" i="55"/>
  <c r="P10" i="55"/>
  <c r="U6" i="55"/>
  <c r="S8" i="55"/>
  <c r="S12" i="55"/>
  <c r="N9" i="55"/>
  <c r="P14" i="55"/>
  <c r="T10" i="55"/>
  <c r="O7" i="55"/>
  <c r="Q12" i="55"/>
  <c r="U8" i="55"/>
  <c r="N14" i="55"/>
  <c r="R10" i="55"/>
  <c r="M7" i="55"/>
  <c r="U12" i="55"/>
  <c r="P9" i="55"/>
  <c r="R14" i="55"/>
  <c r="M11" i="55"/>
  <c r="Q7" i="55"/>
  <c r="M6" i="55"/>
  <c r="U13" i="55"/>
  <c r="Q10" i="55"/>
  <c r="T7" i="55"/>
  <c r="T11" i="55"/>
  <c r="O8" i="55"/>
  <c r="Q13" i="55"/>
  <c r="U9" i="55"/>
  <c r="P6" i="55"/>
  <c r="R11" i="55"/>
  <c r="M8" i="55"/>
  <c r="O13" i="55"/>
  <c r="S9" i="55"/>
  <c r="N6" i="55"/>
  <c r="M12" i="55"/>
  <c r="Q8" i="55"/>
  <c r="S13" i="55"/>
  <c r="N10" i="55"/>
  <c r="R6" i="55"/>
  <c r="R9" i="55"/>
  <c r="M14" i="55"/>
  <c r="P11" i="55"/>
  <c r="Q14" i="55"/>
  <c r="U10" i="55"/>
  <c r="P7" i="55"/>
  <c r="R12" i="55"/>
  <c r="M9" i="55"/>
  <c r="O14" i="55"/>
  <c r="S10" i="55"/>
  <c r="N7" i="55"/>
  <c r="P12" i="55"/>
  <c r="T8" i="55"/>
  <c r="S14" i="55"/>
  <c r="N11" i="55"/>
  <c r="R7" i="55"/>
  <c r="T12" i="55"/>
  <c r="O9" i="55"/>
  <c r="Q9" i="55"/>
  <c r="N13" i="55"/>
  <c r="T6" i="55"/>
  <c r="F12" i="58"/>
  <c r="F11" i="58"/>
  <c r="G12" i="58"/>
  <c r="F10" i="58"/>
  <c r="E10" i="58"/>
  <c r="E13" i="58"/>
  <c r="E12" i="58"/>
  <c r="G10" i="58"/>
  <c r="F13" i="58"/>
  <c r="E11" i="58"/>
  <c r="G13" i="58"/>
  <c r="G11" i="58"/>
  <c r="K11" i="58"/>
  <c r="I14" i="58"/>
  <c r="M13" i="58"/>
  <c r="L13" i="58"/>
  <c r="K13" i="58"/>
  <c r="J13" i="58"/>
  <c r="M12" i="58"/>
  <c r="L12" i="58"/>
  <c r="M10" i="58"/>
  <c r="L10" i="58"/>
  <c r="K10" i="58"/>
  <c r="J10" i="58"/>
  <c r="I10" i="58"/>
  <c r="M15" i="58"/>
  <c r="K15" i="58"/>
  <c r="I15" i="58"/>
  <c r="K14" i="58"/>
  <c r="J12" i="58"/>
  <c r="M11" i="58"/>
  <c r="J11" i="58"/>
  <c r="L15" i="58"/>
  <c r="J15" i="58"/>
  <c r="M14" i="58"/>
  <c r="J14" i="58"/>
  <c r="I13" i="58"/>
  <c r="K12" i="58"/>
  <c r="I12" i="58"/>
  <c r="L11" i="58"/>
  <c r="I11" i="58"/>
  <c r="L14" i="58"/>
  <c r="AA6" i="71"/>
  <c r="Z6" i="71"/>
  <c r="AB5" i="71"/>
  <c r="AC4" i="71"/>
  <c r="Z5" i="71"/>
  <c r="AA4" i="71"/>
  <c r="AC3" i="71"/>
  <c r="AA3" i="71"/>
  <c r="AC6" i="71"/>
  <c r="AB6" i="71"/>
  <c r="AC5" i="71"/>
  <c r="AA5" i="71"/>
  <c r="AB4" i="71"/>
  <c r="Z4" i="71"/>
  <c r="AB3" i="71"/>
  <c r="Z3" i="71"/>
  <c r="W13" i="71"/>
  <c r="U13" i="71"/>
  <c r="V12" i="71"/>
  <c r="V11" i="71"/>
  <c r="U10" i="71"/>
  <c r="X10" i="71"/>
  <c r="X11" i="71"/>
  <c r="V10" i="71"/>
  <c r="W10" i="71"/>
  <c r="X12" i="71"/>
  <c r="U12" i="71"/>
  <c r="U11" i="71"/>
  <c r="W11" i="71"/>
  <c r="V13" i="71"/>
  <c r="X13" i="71"/>
  <c r="W12" i="71"/>
  <c r="L6" i="72"/>
  <c r="K4" i="72"/>
  <c r="K3" i="72"/>
  <c r="L5" i="72"/>
  <c r="N5" i="72"/>
  <c r="M3" i="72"/>
  <c r="N4" i="72"/>
  <c r="N3" i="72"/>
  <c r="M6" i="72"/>
  <c r="K6" i="72"/>
  <c r="M4" i="72"/>
  <c r="L3" i="72"/>
  <c r="L4" i="72"/>
  <c r="K5" i="72"/>
  <c r="M5" i="72"/>
  <c r="N6" i="72"/>
  <c r="Q6" i="72"/>
  <c r="R6" i="72"/>
  <c r="P4" i="72"/>
  <c r="P6" i="72"/>
  <c r="R3" i="72"/>
  <c r="Q5" i="72"/>
  <c r="Q3" i="72"/>
  <c r="P5" i="72"/>
  <c r="P3" i="72"/>
  <c r="R4" i="72"/>
  <c r="R5" i="72"/>
  <c r="S6" i="72"/>
  <c r="S3" i="72"/>
  <c r="Q4" i="72"/>
  <c r="S5" i="72"/>
  <c r="S4" i="72"/>
  <c r="B25" i="63"/>
  <c r="A23" i="63"/>
  <c r="C25" i="63"/>
  <c r="A25" i="63"/>
  <c r="B23" i="63"/>
  <c r="B24" i="63"/>
  <c r="A24" i="63"/>
  <c r="C23" i="63"/>
  <c r="C24" i="63"/>
  <c r="T22" i="54"/>
  <c r="S21" i="54"/>
  <c r="O20" i="54"/>
  <c r="U18" i="54"/>
  <c r="M17" i="54"/>
  <c r="Q15" i="54"/>
  <c r="N14" i="54"/>
  <c r="U22" i="54"/>
  <c r="Q21" i="54"/>
  <c r="M20" i="54"/>
  <c r="N18" i="54"/>
  <c r="S16" i="54"/>
  <c r="P15" i="54"/>
  <c r="R22" i="54"/>
  <c r="P19" i="54"/>
  <c r="Q16" i="54"/>
  <c r="Q22" i="54"/>
  <c r="M19" i="54"/>
  <c r="T15" i="54"/>
  <c r="O21" i="54"/>
  <c r="U17" i="54"/>
  <c r="R14" i="54"/>
  <c r="S17" i="54"/>
  <c r="P14" i="54"/>
  <c r="R20" i="54"/>
  <c r="M18" i="54"/>
  <c r="S22" i="54"/>
  <c r="U15" i="54"/>
  <c r="S20" i="54"/>
  <c r="U14" i="54"/>
  <c r="S19" i="54"/>
  <c r="M15" i="54"/>
  <c r="T19" i="54"/>
  <c r="O15" i="54"/>
  <c r="U19" i="54"/>
  <c r="Q14" i="54"/>
  <c r="N19" i="54"/>
  <c r="N17" i="54"/>
  <c r="T21" i="54"/>
  <c r="N16" i="54"/>
  <c r="T20" i="54"/>
  <c r="O16" i="54"/>
  <c r="U20" i="54"/>
  <c r="P16" i="54"/>
  <c r="N21" i="54"/>
  <c r="R15" i="54"/>
  <c r="P20" i="54"/>
  <c r="O18" i="54"/>
  <c r="O17" i="54"/>
  <c r="M22" i="54"/>
  <c r="P17" i="54"/>
  <c r="N22" i="54"/>
  <c r="R17" i="54"/>
  <c r="P22" i="54"/>
  <c r="Q19" i="54"/>
  <c r="R18" i="54"/>
  <c r="T16" i="54"/>
  <c r="M14" i="54"/>
  <c r="Q18" i="54"/>
  <c r="S14" i="54"/>
  <c r="R21" i="54"/>
  <c r="T18" i="54"/>
  <c r="U16" i="54"/>
  <c r="Q20" i="54"/>
  <c r="R16" i="54"/>
  <c r="N20" i="54"/>
  <c r="O14" i="54"/>
  <c r="T17" i="54"/>
  <c r="P21" i="54"/>
  <c r="Q17" i="54"/>
  <c r="M21" i="54"/>
  <c r="N15" i="54"/>
  <c r="S18" i="54"/>
  <c r="O22" i="54"/>
  <c r="T14" i="54"/>
  <c r="P18" i="54"/>
  <c r="U21" i="54"/>
  <c r="M16" i="54"/>
  <c r="R19" i="54"/>
  <c r="S15" i="54"/>
  <c r="O19" i="54"/>
  <c r="B11" i="56"/>
  <c r="C10" i="56"/>
  <c r="A10" i="56"/>
  <c r="B12" i="56"/>
  <c r="C13" i="56"/>
  <c r="A13" i="56"/>
  <c r="A12" i="56"/>
  <c r="A11" i="56"/>
  <c r="B10" i="56"/>
  <c r="C11" i="56"/>
  <c r="B13" i="56"/>
  <c r="C12" i="56"/>
  <c r="W10" i="56"/>
  <c r="V12" i="56"/>
  <c r="W12" i="56"/>
  <c r="X10" i="56"/>
  <c r="U13" i="56"/>
  <c r="X11" i="56"/>
  <c r="U12" i="56"/>
  <c r="X12" i="56"/>
  <c r="W11" i="56"/>
  <c r="X13" i="56"/>
  <c r="V10" i="56"/>
  <c r="V11" i="56"/>
  <c r="W13" i="56"/>
  <c r="U11" i="56"/>
  <c r="V13" i="56"/>
  <c r="U10" i="56"/>
  <c r="E12" i="85"/>
  <c r="G6" i="103"/>
  <c r="I5" i="103"/>
  <c r="N24" i="103"/>
  <c r="N23" i="103"/>
  <c r="I22" i="103"/>
  <c r="M5" i="105"/>
  <c r="M6" i="105"/>
  <c r="M7" i="105"/>
  <c r="V9" i="105"/>
  <c r="I4" i="103"/>
  <c r="I6" i="103"/>
  <c r="J3" i="103"/>
  <c r="S4" i="105"/>
  <c r="L20" i="31"/>
  <c r="Z4" i="31"/>
  <c r="Z5" i="31"/>
  <c r="N21" i="31"/>
  <c r="M67" i="31"/>
  <c r="Y50" i="31"/>
  <c r="Y51" i="31"/>
  <c r="X50" i="31"/>
  <c r="X51" i="31"/>
  <c r="L67" i="31"/>
  <c r="M66" i="31"/>
  <c r="L43" i="31"/>
  <c r="Y12" i="91" a="1"/>
  <c r="AB12" i="92" a="1"/>
  <c r="V33" i="55" a="1"/>
  <c r="X4" i="31"/>
  <c r="X5" i="31"/>
  <c r="L21" i="31"/>
  <c r="H20" i="2" a="1"/>
  <c r="L66" i="31"/>
  <c r="AA50" i="31"/>
  <c r="AA51" i="31"/>
  <c r="O67" i="31"/>
  <c r="N66" i="31"/>
  <c r="M43" i="31"/>
  <c r="N43" i="31"/>
  <c r="L44" i="31"/>
  <c r="X28" i="31"/>
  <c r="X27" i="31"/>
  <c r="AA27" i="31"/>
  <c r="AA28" i="31"/>
  <c r="O44" i="31"/>
  <c r="AR49" i="90" a="1"/>
  <c r="AB12" i="93" a="1"/>
  <c r="M59" i="51" a="1"/>
  <c r="I5" i="85" a="1"/>
  <c r="M20" i="31"/>
  <c r="Y4" i="31"/>
  <c r="Y5" i="31"/>
  <c r="M21" i="31"/>
  <c r="N20" i="31"/>
  <c r="O20" i="31"/>
  <c r="O21" i="31"/>
  <c r="AA5" i="31"/>
  <c r="AA4" i="31"/>
  <c r="Z50" i="31"/>
  <c r="Z51" i="31"/>
  <c r="N67" i="31"/>
  <c r="Z27" i="31"/>
  <c r="Z28" i="31"/>
  <c r="N44" i="31"/>
  <c r="F3" i="29" a="1"/>
  <c r="M18" i="39" a="1"/>
  <c r="M59" i="54" a="1"/>
  <c r="M91" i="54" a="1"/>
  <c r="AN8" i="14" a="1"/>
  <c r="G4" i="94" a="1"/>
  <c r="O66" i="31"/>
  <c r="O43" i="31"/>
  <c r="Y27" i="31"/>
  <c r="Y28" i="31"/>
  <c r="M44" i="31"/>
  <c r="AI18" i="39" a="1"/>
  <c r="N16" i="88" a="1"/>
  <c r="U7" i="88" a="1"/>
  <c r="E9" i="48" a="1"/>
  <c r="F9" i="48" l="1"/>
  <c r="F11" i="48"/>
  <c r="G10" i="48"/>
  <c r="E10" i="48"/>
  <c r="F10" i="48"/>
  <c r="E11" i="48"/>
  <c r="G9" i="48"/>
  <c r="G11" i="48"/>
  <c r="E9" i="48"/>
  <c r="X38" i="88"/>
  <c r="U28" i="88"/>
  <c r="U12" i="88"/>
  <c r="Y24" i="88"/>
  <c r="W10" i="88"/>
  <c r="X37" i="88"/>
  <c r="V23" i="88"/>
  <c r="U36" i="88"/>
  <c r="V15" i="88"/>
  <c r="V39" i="88"/>
  <c r="W18" i="88"/>
  <c r="U20" i="88"/>
  <c r="X21" i="88"/>
  <c r="V31" i="88"/>
  <c r="Y32" i="88"/>
  <c r="W34" i="88"/>
  <c r="X13" i="88"/>
  <c r="Y16" i="88"/>
  <c r="Y8" i="88"/>
  <c r="W26" i="88"/>
  <c r="V7" i="88"/>
  <c r="V13" i="88"/>
  <c r="X19" i="88"/>
  <c r="U26" i="88"/>
  <c r="W32" i="88"/>
  <c r="Y38" i="88"/>
  <c r="Y11" i="88"/>
  <c r="V18" i="88"/>
  <c r="X24" i="88"/>
  <c r="U31" i="88"/>
  <c r="W37" i="88"/>
  <c r="X29" i="88"/>
  <c r="U10" i="88"/>
  <c r="W16" i="88"/>
  <c r="Y22" i="88"/>
  <c r="V29" i="88"/>
  <c r="X35" i="88"/>
  <c r="X8" i="88"/>
  <c r="U15" i="88"/>
  <c r="W21" i="88"/>
  <c r="Y27" i="88"/>
  <c r="V34" i="88"/>
  <c r="Y14" i="88"/>
  <c r="X27" i="88"/>
  <c r="W13" i="88"/>
  <c r="V26" i="88"/>
  <c r="U39" i="88"/>
  <c r="X10" i="88"/>
  <c r="U17" i="88"/>
  <c r="W23" i="88"/>
  <c r="Y29" i="88"/>
  <c r="V36" i="88"/>
  <c r="W8" i="88"/>
  <c r="V21" i="88"/>
  <c r="U34" i="88"/>
  <c r="U7" i="88"/>
  <c r="Y19" i="88"/>
  <c r="X32" i="88"/>
  <c r="W7" i="88"/>
  <c r="Y13" i="88"/>
  <c r="V20" i="88"/>
  <c r="X26" i="88"/>
  <c r="U33" i="88"/>
  <c r="W39" i="88"/>
  <c r="X11" i="88"/>
  <c r="V37" i="88"/>
  <c r="V10" i="88"/>
  <c r="Y35" i="88"/>
  <c r="W15" i="88"/>
  <c r="V28" i="88"/>
  <c r="W12" i="88"/>
  <c r="Y18" i="88"/>
  <c r="V25" i="88"/>
  <c r="X31" i="88"/>
  <c r="U38" i="88"/>
  <c r="Y7" i="88"/>
  <c r="V14" i="88"/>
  <c r="X20" i="88"/>
  <c r="U27" i="88"/>
  <c r="W33" i="88"/>
  <c r="Y39" i="88"/>
  <c r="U8" i="88"/>
  <c r="W14" i="88"/>
  <c r="Y20" i="88"/>
  <c r="V27" i="88"/>
  <c r="X33" i="88"/>
  <c r="U13" i="88"/>
  <c r="W19" i="88"/>
  <c r="Y25" i="88"/>
  <c r="V32" i="88"/>
  <c r="U18" i="88"/>
  <c r="X16" i="88"/>
  <c r="X18" i="88"/>
  <c r="W31" i="88"/>
  <c r="X7" i="88"/>
  <c r="U14" i="88"/>
  <c r="W20" i="88"/>
  <c r="Y26" i="88"/>
  <c r="V33" i="88"/>
  <c r="X39" i="88"/>
  <c r="W9" i="88"/>
  <c r="Y15" i="88"/>
  <c r="V22" i="88"/>
  <c r="X28" i="88"/>
  <c r="U35" i="88"/>
  <c r="X9" i="88"/>
  <c r="U16" i="88"/>
  <c r="W22" i="88"/>
  <c r="Y28" i="88"/>
  <c r="V35" i="88"/>
  <c r="V8" i="88"/>
  <c r="X14" i="88"/>
  <c r="U21" i="88"/>
  <c r="W27" i="88"/>
  <c r="Y33" i="88"/>
  <c r="W24" i="88"/>
  <c r="U23" i="88"/>
  <c r="U9" i="88"/>
  <c r="Y21" i="88"/>
  <c r="X34" i="88"/>
  <c r="V9" i="88"/>
  <c r="X15" i="88"/>
  <c r="U22" i="88"/>
  <c r="W28" i="88"/>
  <c r="Y34" i="88"/>
  <c r="U11" i="88"/>
  <c r="W17" i="88"/>
  <c r="Y23" i="88"/>
  <c r="V30" i="88"/>
  <c r="X36" i="88"/>
  <c r="V11" i="88"/>
  <c r="X17" i="88"/>
  <c r="U24" i="88"/>
  <c r="W30" i="88"/>
  <c r="Y36" i="88"/>
  <c r="Y9" i="88"/>
  <c r="V16" i="88"/>
  <c r="X22" i="88"/>
  <c r="U29" i="88"/>
  <c r="W35" i="88"/>
  <c r="Y30" i="88"/>
  <c r="W29" i="88"/>
  <c r="V12" i="88"/>
  <c r="U25" i="88"/>
  <c r="Y37" i="88"/>
  <c r="Y10" i="88"/>
  <c r="V17" i="88"/>
  <c r="X23" i="88"/>
  <c r="U30" i="88"/>
  <c r="W36" i="88"/>
  <c r="X12" i="88"/>
  <c r="U19" i="88"/>
  <c r="W25" i="88"/>
  <c r="Y31" i="88"/>
  <c r="V38" i="88"/>
  <c r="Y12" i="88"/>
  <c r="V19" i="88"/>
  <c r="X25" i="88"/>
  <c r="U32" i="88"/>
  <c r="W38" i="88"/>
  <c r="W11" i="88"/>
  <c r="Y17" i="88"/>
  <c r="V24" i="88"/>
  <c r="X30" i="88"/>
  <c r="U37" i="88"/>
  <c r="P20" i="88"/>
  <c r="R17" i="88"/>
  <c r="O16" i="88"/>
  <c r="P19" i="88"/>
  <c r="N21" i="88"/>
  <c r="O19" i="88"/>
  <c r="N19" i="88"/>
  <c r="N16" i="88"/>
  <c r="P17" i="88"/>
  <c r="P16" i="88"/>
  <c r="R20" i="88"/>
  <c r="Q19" i="88"/>
  <c r="R19" i="88"/>
  <c r="Q21" i="88"/>
  <c r="N17" i="88"/>
  <c r="O17" i="88"/>
  <c r="Q20" i="88"/>
  <c r="Q17" i="88"/>
  <c r="N18" i="88"/>
  <c r="P21" i="88"/>
  <c r="R16" i="88"/>
  <c r="Q18" i="88"/>
  <c r="R18" i="88"/>
  <c r="O21" i="88"/>
  <c r="Q16" i="88"/>
  <c r="P18" i="88"/>
  <c r="O20" i="88"/>
  <c r="O18" i="88"/>
  <c r="N20" i="88"/>
  <c r="R21" i="88"/>
  <c r="AJ27" i="39"/>
  <c r="AO26" i="39"/>
  <c r="AI24" i="39"/>
  <c r="AK21" i="39"/>
  <c r="AN18" i="39"/>
  <c r="AP25" i="39"/>
  <c r="AJ23" i="39"/>
  <c r="AM20" i="39"/>
  <c r="AO25" i="39"/>
  <c r="AK22" i="39"/>
  <c r="AN19" i="39"/>
  <c r="AJ22" i="39"/>
  <c r="AO18" i="39"/>
  <c r="AN27" i="39"/>
  <c r="AP24" i="39"/>
  <c r="AQ24" i="39"/>
  <c r="AL20" i="39"/>
  <c r="AQ23" i="39"/>
  <c r="AM27" i="39"/>
  <c r="AN26" i="39"/>
  <c r="AL21" i="39"/>
  <c r="AM19" i="39"/>
  <c r="AI23" i="39"/>
  <c r="AI21" i="39"/>
  <c r="AN24" i="39"/>
  <c r="AK20" i="39"/>
  <c r="AP23" i="39"/>
  <c r="AL27" i="39"/>
  <c r="AO19" i="39"/>
  <c r="AK23" i="39"/>
  <c r="AP26" i="39"/>
  <c r="AI18" i="39"/>
  <c r="AN21" i="39"/>
  <c r="AJ25" i="39"/>
  <c r="AP20" i="39"/>
  <c r="AL24" i="39"/>
  <c r="AQ27" i="39"/>
  <c r="AQ20" i="39"/>
  <c r="AM24" i="39"/>
  <c r="AL18" i="39"/>
  <c r="AQ21" i="39"/>
  <c r="AM25" i="39"/>
  <c r="AJ21" i="39"/>
  <c r="AO24" i="39"/>
  <c r="AN20" i="39"/>
  <c r="AJ24" i="39"/>
  <c r="AO27" i="39"/>
  <c r="AK19" i="39"/>
  <c r="AP22" i="39"/>
  <c r="AL26" i="39"/>
  <c r="AM18" i="39"/>
  <c r="AI22" i="39"/>
  <c r="AN25" i="39"/>
  <c r="AM21" i="39"/>
  <c r="AI25" i="39"/>
  <c r="AP19" i="39"/>
  <c r="AL23" i="39"/>
  <c r="AQ26" i="39"/>
  <c r="AI19" i="39"/>
  <c r="AN22" i="39"/>
  <c r="AJ26" i="39"/>
  <c r="AJ19" i="39"/>
  <c r="AO22" i="39"/>
  <c r="AK26" i="39"/>
  <c r="AO23" i="39"/>
  <c r="AL19" i="39"/>
  <c r="AM22" i="39"/>
  <c r="AO21" i="39"/>
  <c r="AK18" i="39"/>
  <c r="AL25" i="39"/>
  <c r="AK27" i="39"/>
  <c r="AQ22" i="39"/>
  <c r="AP18" i="39"/>
  <c r="AK24" i="39"/>
  <c r="AM23" i="39"/>
  <c r="AI20" i="39"/>
  <c r="AM26" i="39"/>
  <c r="AL22" i="39"/>
  <c r="AQ18" i="39"/>
  <c r="AI26" i="39"/>
  <c r="AJ18" i="39"/>
  <c r="AK25" i="39"/>
  <c r="AP21" i="39"/>
  <c r="AJ20" i="39"/>
  <c r="AQ25" i="39"/>
  <c r="AO20" i="39"/>
  <c r="AP27" i="39"/>
  <c r="AQ19" i="39"/>
  <c r="AI27" i="39"/>
  <c r="AN23" i="39"/>
  <c r="G4" i="94"/>
  <c r="H4" i="94"/>
  <c r="H5" i="94"/>
  <c r="G5" i="94"/>
  <c r="AN14" i="14"/>
  <c r="AN13" i="14"/>
  <c r="AN8" i="14"/>
  <c r="AN15" i="14"/>
  <c r="AN10" i="14"/>
  <c r="AN9" i="14"/>
  <c r="AN12" i="14"/>
  <c r="AN11" i="14"/>
  <c r="O91" i="54"/>
  <c r="S91" i="54"/>
  <c r="R91" i="54"/>
  <c r="N91" i="54"/>
  <c r="U91" i="54"/>
  <c r="M91" i="54"/>
  <c r="Q91" i="54"/>
  <c r="P91" i="54"/>
  <c r="T91" i="54"/>
  <c r="P64" i="54"/>
  <c r="P62" i="54"/>
  <c r="N64" i="54"/>
  <c r="R62" i="54"/>
  <c r="P67" i="54"/>
  <c r="O60" i="54"/>
  <c r="U61" i="54"/>
  <c r="O65" i="54"/>
  <c r="R68" i="54"/>
  <c r="Q61" i="54"/>
  <c r="S64" i="54"/>
  <c r="N68" i="54"/>
  <c r="M61" i="54"/>
  <c r="M59" i="54"/>
  <c r="T63" i="54"/>
  <c r="Q65" i="54"/>
  <c r="T68" i="54"/>
  <c r="S61" i="54"/>
  <c r="M65" i="54"/>
  <c r="O68" i="54"/>
  <c r="N61" i="54"/>
  <c r="R64" i="54"/>
  <c r="U65" i="54"/>
  <c r="R60" i="54"/>
  <c r="R65" i="54"/>
  <c r="N60" i="54"/>
  <c r="T66" i="54"/>
  <c r="U62" i="54"/>
  <c r="O59" i="54"/>
  <c r="M62" i="54"/>
  <c r="M67" i="54"/>
  <c r="O63" i="54"/>
  <c r="P59" i="54"/>
  <c r="O67" i="54"/>
  <c r="Q63" i="54"/>
  <c r="S59" i="54"/>
  <c r="P66" i="54"/>
  <c r="N66" i="54"/>
  <c r="T60" i="54"/>
  <c r="S63" i="54"/>
  <c r="U59" i="54"/>
  <c r="Q66" i="54"/>
  <c r="T62" i="54"/>
  <c r="U67" i="54"/>
  <c r="S67" i="54"/>
  <c r="U68" i="54"/>
  <c r="P60" i="54"/>
  <c r="U63" i="54"/>
  <c r="Q67" i="54"/>
  <c r="Q60" i="54"/>
  <c r="M64" i="54"/>
  <c r="R67" i="54"/>
  <c r="Q62" i="54"/>
  <c r="M66" i="54"/>
  <c r="M60" i="54"/>
  <c r="R63" i="54"/>
  <c r="N67" i="54"/>
  <c r="O61" i="54"/>
  <c r="T64" i="54"/>
  <c r="P68" i="54"/>
  <c r="P61" i="54"/>
  <c r="U64" i="54"/>
  <c r="Q68" i="54"/>
  <c r="T59" i="54"/>
  <c r="P63" i="54"/>
  <c r="U66" i="54"/>
  <c r="U60" i="54"/>
  <c r="Q64" i="54"/>
  <c r="M68" i="54"/>
  <c r="N62" i="54"/>
  <c r="S65" i="54"/>
  <c r="O62" i="54"/>
  <c r="T65" i="54"/>
  <c r="S60" i="54"/>
  <c r="O64" i="54"/>
  <c r="T67" i="54"/>
  <c r="T61" i="54"/>
  <c r="P65" i="54"/>
  <c r="Q59" i="54"/>
  <c r="M63" i="54"/>
  <c r="R66" i="54"/>
  <c r="R59" i="54"/>
  <c r="N63" i="54"/>
  <c r="S66" i="54"/>
  <c r="R61" i="54"/>
  <c r="N65" i="54"/>
  <c r="S68" i="54"/>
  <c r="N59" i="54"/>
  <c r="S62" i="54"/>
  <c r="O66" i="54"/>
  <c r="R26" i="39"/>
  <c r="T24" i="39"/>
  <c r="O21" i="39"/>
  <c r="O18" i="39"/>
  <c r="O24" i="39"/>
  <c r="M20" i="39"/>
  <c r="T27" i="39"/>
  <c r="R23" i="39"/>
  <c r="Q19" i="39"/>
  <c r="U18" i="39"/>
  <c r="M26" i="39"/>
  <c r="M23" i="39"/>
  <c r="P25" i="39"/>
  <c r="M27" i="39"/>
  <c r="U19" i="39"/>
  <c r="P23" i="39"/>
  <c r="O26" i="39"/>
  <c r="N19" i="39"/>
  <c r="R22" i="39"/>
  <c r="S25" i="39"/>
  <c r="R18" i="39"/>
  <c r="T21" i="39"/>
  <c r="O25" i="39"/>
  <c r="N18" i="39"/>
  <c r="R21" i="39"/>
  <c r="Q24" i="39"/>
  <c r="U27" i="39"/>
  <c r="T20" i="39"/>
  <c r="U23" i="39"/>
  <c r="Q22" i="39"/>
  <c r="Q23" i="39"/>
  <c r="U26" i="39"/>
  <c r="T19" i="39"/>
  <c r="S22" i="39"/>
  <c r="N26" i="39"/>
  <c r="M19" i="39"/>
  <c r="N22" i="39"/>
  <c r="N27" i="39"/>
  <c r="S21" i="39"/>
  <c r="P24" i="39"/>
  <c r="N25" i="39"/>
  <c r="Q27" i="39"/>
  <c r="M18" i="39"/>
  <c r="P20" i="39"/>
  <c r="S20" i="39"/>
  <c r="P27" i="39"/>
  <c r="Q20" i="39"/>
  <c r="M24" i="39"/>
  <c r="R27" i="39"/>
  <c r="S19" i="39"/>
  <c r="O23" i="39"/>
  <c r="T26" i="39"/>
  <c r="M21" i="39"/>
  <c r="R24" i="39"/>
  <c r="P19" i="39"/>
  <c r="U22" i="39"/>
  <c r="Q26" i="39"/>
  <c r="P21" i="39"/>
  <c r="U24" i="39"/>
  <c r="R20" i="39"/>
  <c r="N24" i="39"/>
  <c r="S27" i="39"/>
  <c r="U20" i="39"/>
  <c r="S18" i="39"/>
  <c r="O22" i="39"/>
  <c r="T25" i="39"/>
  <c r="Q21" i="39"/>
  <c r="M25" i="39"/>
  <c r="O19" i="39"/>
  <c r="T22" i="39"/>
  <c r="P26" i="39"/>
  <c r="N21" i="39"/>
  <c r="S24" i="39"/>
  <c r="R19" i="39"/>
  <c r="P18" i="39"/>
  <c r="Q25" i="39"/>
  <c r="T23" i="39"/>
  <c r="N23" i="39"/>
  <c r="T18" i="39"/>
  <c r="N20" i="39"/>
  <c r="O27" i="39"/>
  <c r="Q18" i="39"/>
  <c r="R25" i="39"/>
  <c r="S26" i="39"/>
  <c r="P22" i="39"/>
  <c r="U21" i="39"/>
  <c r="O20" i="39"/>
  <c r="U25" i="39"/>
  <c r="S23" i="39"/>
  <c r="M22" i="39"/>
  <c r="F4" i="29"/>
  <c r="H3" i="29"/>
  <c r="G4" i="29"/>
  <c r="H4" i="29"/>
  <c r="F5" i="29"/>
  <c r="H5" i="29"/>
  <c r="G3" i="29"/>
  <c r="G5" i="29"/>
  <c r="F3" i="29"/>
  <c r="J6" i="85"/>
  <c r="J5" i="85"/>
  <c r="I5" i="85"/>
  <c r="I6" i="85"/>
  <c r="S68" i="51"/>
  <c r="O67" i="51"/>
  <c r="Q64" i="51"/>
  <c r="N60" i="51"/>
  <c r="Q66" i="51"/>
  <c r="S62" i="51"/>
  <c r="M60" i="51"/>
  <c r="S64" i="51"/>
  <c r="M62" i="51"/>
  <c r="P59" i="51"/>
  <c r="U61" i="51"/>
  <c r="P67" i="51"/>
  <c r="R64" i="51"/>
  <c r="T62" i="51"/>
  <c r="U62" i="51"/>
  <c r="R63" i="51"/>
  <c r="N59" i="51"/>
  <c r="T63" i="51"/>
  <c r="P65" i="51"/>
  <c r="N68" i="51"/>
  <c r="O68" i="51"/>
  <c r="S63" i="51"/>
  <c r="O59" i="51"/>
  <c r="O60" i="51"/>
  <c r="U60" i="51"/>
  <c r="M61" i="51"/>
  <c r="T61" i="51"/>
  <c r="Q65" i="51"/>
  <c r="R65" i="51"/>
  <c r="N61" i="51"/>
  <c r="P66" i="51"/>
  <c r="O66" i="51"/>
  <c r="U59" i="51"/>
  <c r="Q63" i="51"/>
  <c r="M67" i="51"/>
  <c r="P60" i="51"/>
  <c r="U63" i="51"/>
  <c r="Q67" i="51"/>
  <c r="O62" i="51"/>
  <c r="T65" i="51"/>
  <c r="R60" i="51"/>
  <c r="N64" i="51"/>
  <c r="S67" i="51"/>
  <c r="T59" i="51"/>
  <c r="P63" i="51"/>
  <c r="U66" i="51"/>
  <c r="T60" i="51"/>
  <c r="P64" i="51"/>
  <c r="U67" i="51"/>
  <c r="N67" i="51"/>
  <c r="O61" i="51"/>
  <c r="T64" i="51"/>
  <c r="P68" i="51"/>
  <c r="R59" i="51"/>
  <c r="N63" i="51"/>
  <c r="S66" i="51"/>
  <c r="Q61" i="51"/>
  <c r="M65" i="51"/>
  <c r="R68" i="51"/>
  <c r="S60" i="51"/>
  <c r="O64" i="51"/>
  <c r="T67" i="51"/>
  <c r="S61" i="51"/>
  <c r="O65" i="51"/>
  <c r="T68" i="51"/>
  <c r="M68" i="51"/>
  <c r="N62" i="51"/>
  <c r="S65" i="51"/>
  <c r="Q60" i="51"/>
  <c r="M64" i="51"/>
  <c r="R67" i="51"/>
  <c r="P62" i="51"/>
  <c r="U65" i="51"/>
  <c r="R61" i="51"/>
  <c r="N65" i="51"/>
  <c r="M59" i="51"/>
  <c r="R62" i="51"/>
  <c r="N66" i="51"/>
  <c r="U68" i="51"/>
  <c r="Q59" i="51"/>
  <c r="M63" i="51"/>
  <c r="R66" i="51"/>
  <c r="P61" i="51"/>
  <c r="U64" i="51"/>
  <c r="Q68" i="51"/>
  <c r="S59" i="51"/>
  <c r="O63" i="51"/>
  <c r="T66" i="51"/>
  <c r="Q62" i="51"/>
  <c r="M66" i="51"/>
  <c r="AC12" i="93"/>
  <c r="AB12" i="93"/>
  <c r="AC13" i="93"/>
  <c r="AB14" i="93"/>
  <c r="AB15" i="93"/>
  <c r="AC15" i="93"/>
  <c r="AC14" i="93"/>
  <c r="AB13" i="93"/>
  <c r="AS51" i="90"/>
  <c r="AT49" i="90"/>
  <c r="AT51" i="90"/>
  <c r="AR51" i="90"/>
  <c r="AS50" i="90"/>
  <c r="AR49" i="90"/>
  <c r="AT50" i="90"/>
  <c r="AT52" i="90"/>
  <c r="AR50" i="90"/>
  <c r="AR52" i="90"/>
  <c r="AS52" i="90"/>
  <c r="AS49" i="90"/>
  <c r="K24" i="2"/>
  <c r="J23" i="2"/>
  <c r="L20" i="2"/>
  <c r="J25" i="2"/>
  <c r="I23" i="2"/>
  <c r="H20" i="2"/>
  <c r="H24" i="2"/>
  <c r="I25" i="2"/>
  <c r="H22" i="2"/>
  <c r="I21" i="2"/>
  <c r="K21" i="2"/>
  <c r="L23" i="2"/>
  <c r="I22" i="2"/>
  <c r="J20" i="2"/>
  <c r="L22" i="2"/>
  <c r="K23" i="2"/>
  <c r="J24" i="2"/>
  <c r="J22" i="2"/>
  <c r="H25" i="2"/>
  <c r="K25" i="2"/>
  <c r="L24" i="2"/>
  <c r="L21" i="2"/>
  <c r="I20" i="2"/>
  <c r="K20" i="2"/>
  <c r="K22" i="2"/>
  <c r="I24" i="2"/>
  <c r="L25" i="2"/>
  <c r="J21" i="2"/>
  <c r="H23" i="2"/>
  <c r="H21" i="2"/>
  <c r="AC13" i="92"/>
  <c r="AB14" i="92"/>
  <c r="AC12" i="92"/>
  <c r="AB12" i="92"/>
  <c r="AB15" i="92"/>
  <c r="AC14" i="92"/>
  <c r="AB13" i="92"/>
  <c r="AC15" i="92"/>
  <c r="Z15" i="91"/>
  <c r="Y14" i="91"/>
  <c r="Z13" i="91"/>
  <c r="Y13" i="91"/>
  <c r="Y12" i="91"/>
  <c r="Z14" i="91"/>
  <c r="Y15" i="91"/>
  <c r="Z12" i="91"/>
  <c r="V37" i="55"/>
  <c r="V33" i="55"/>
  <c r="V41" i="55"/>
  <c r="V40" i="55"/>
  <c r="V39" i="55"/>
  <c r="V35" i="55"/>
  <c r="V38" i="55"/>
  <c r="V36" i="55"/>
  <c r="V34" i="55"/>
  <c r="G7" i="103"/>
  <c r="H6" i="103"/>
  <c r="I4" i="104" a="1"/>
  <c r="H4" i="104" a="1"/>
  <c r="G4" i="104" a="1"/>
  <c r="M4" i="104" a="1"/>
  <c r="L4" i="104" a="1"/>
  <c r="K4" i="104" a="1"/>
  <c r="J6" i="103"/>
  <c r="J4" i="103"/>
  <c r="J7" i="103"/>
  <c r="J5" i="103"/>
  <c r="K3" i="103"/>
  <c r="M96" i="54" a="1"/>
  <c r="Y6" i="55" a="1"/>
  <c r="AB13" i="55" l="1"/>
  <c r="AF9" i="55"/>
  <c r="AA6" i="55"/>
  <c r="AC11" i="55"/>
  <c r="AG7" i="55"/>
  <c r="Y14" i="55"/>
  <c r="AC10" i="55"/>
  <c r="AG6" i="55"/>
  <c r="Y13" i="55"/>
  <c r="AC9" i="55"/>
  <c r="AC14" i="55"/>
  <c r="AG10" i="55"/>
  <c r="AB7" i="55"/>
  <c r="AD12" i="55"/>
  <c r="Y9" i="55"/>
  <c r="Y12" i="55"/>
  <c r="AE14" i="55"/>
  <c r="Y11" i="55"/>
  <c r="AE6" i="55"/>
  <c r="AA9" i="55"/>
  <c r="AA14" i="55"/>
  <c r="Z7" i="55"/>
  <c r="AF8" i="55"/>
  <c r="AB11" i="55"/>
  <c r="AG13" i="55"/>
  <c r="AF6" i="55"/>
  <c r="AA8" i="55"/>
  <c r="AG9" i="55"/>
  <c r="AB8" i="55"/>
  <c r="AA10" i="55"/>
  <c r="AE13" i="55"/>
  <c r="AC12" i="55"/>
  <c r="AG8" i="55"/>
  <c r="Z14" i="55"/>
  <c r="AD10" i="55"/>
  <c r="Y7" i="55"/>
  <c r="Z13" i="55"/>
  <c r="AD9" i="55"/>
  <c r="Y6" i="55"/>
  <c r="Z12" i="55"/>
  <c r="AD8" i="55"/>
  <c r="AD13" i="55"/>
  <c r="Y10" i="55"/>
  <c r="AC6" i="55"/>
  <c r="AE11" i="55"/>
  <c r="Z8" i="55"/>
  <c r="AC8" i="55"/>
  <c r="Z11" i="55"/>
  <c r="AC7" i="55"/>
  <c r="AG12" i="55"/>
  <c r="Z10" i="55"/>
  <c r="AD11" i="55"/>
  <c r="Y8" i="55"/>
  <c r="AA13" i="55"/>
  <c r="AE9" i="55"/>
  <c r="Z6" i="55"/>
  <c r="AA12" i="55"/>
  <c r="AE8" i="55"/>
  <c r="AF14" i="55"/>
  <c r="AA11" i="55"/>
  <c r="AE7" i="55"/>
  <c r="AE12" i="55"/>
  <c r="Z9" i="55"/>
  <c r="AB14" i="55"/>
  <c r="AF10" i="55"/>
  <c r="AA7" i="55"/>
  <c r="AG11" i="55"/>
  <c r="AD7" i="55"/>
  <c r="AF13" i="55"/>
  <c r="AB9" i="55"/>
  <c r="AD6" i="55"/>
  <c r="AE10" i="55"/>
  <c r="AB12" i="55"/>
  <c r="AG14" i="55"/>
  <c r="AF7" i="55"/>
  <c r="AB10" i="55"/>
  <c r="AF11" i="55"/>
  <c r="AC13" i="55"/>
  <c r="AB6" i="55"/>
  <c r="AD14" i="55"/>
  <c r="AF12" i="55"/>
  <c r="P104" i="54"/>
  <c r="T99" i="54"/>
  <c r="T104" i="54"/>
  <c r="P99" i="54"/>
  <c r="Q101" i="54"/>
  <c r="Q96" i="54"/>
  <c r="M99" i="54"/>
  <c r="N103" i="54"/>
  <c r="R98" i="54"/>
  <c r="U101" i="54"/>
  <c r="M97" i="54"/>
  <c r="N98" i="54"/>
  <c r="O102" i="54"/>
  <c r="S97" i="54"/>
  <c r="M101" i="54"/>
  <c r="S102" i="54"/>
  <c r="S100" i="54"/>
  <c r="M96" i="54"/>
  <c r="O100" i="54"/>
  <c r="O98" i="54"/>
  <c r="S99" i="54"/>
  <c r="M100" i="54"/>
  <c r="N101" i="54"/>
  <c r="R101" i="54"/>
  <c r="R96" i="54"/>
  <c r="T97" i="54"/>
  <c r="R103" i="54"/>
  <c r="U102" i="54"/>
  <c r="P103" i="54"/>
  <c r="P98" i="54"/>
  <c r="R99" i="54"/>
  <c r="P102" i="54"/>
  <c r="S104" i="54"/>
  <c r="P96" i="54"/>
  <c r="U97" i="54"/>
  <c r="U103" i="54"/>
  <c r="R100" i="54"/>
  <c r="Q99" i="54"/>
  <c r="U99" i="54"/>
  <c r="S103" i="54"/>
  <c r="U104" i="54"/>
  <c r="P97" i="54"/>
  <c r="O101" i="54"/>
  <c r="S101" i="54"/>
  <c r="S96" i="54"/>
  <c r="N97" i="54"/>
  <c r="Q104" i="54"/>
  <c r="M103" i="54"/>
  <c r="Q103" i="54"/>
  <c r="N100" i="54"/>
  <c r="P101" i="54"/>
  <c r="T101" i="54"/>
  <c r="U96" i="54"/>
  <c r="O103" i="54"/>
  <c r="M102" i="54"/>
  <c r="Q102" i="54"/>
  <c r="Q97" i="54"/>
  <c r="S98" i="54"/>
  <c r="T98" i="54"/>
  <c r="T103" i="54"/>
  <c r="O104" i="54"/>
  <c r="O99" i="54"/>
  <c r="Q100" i="54"/>
  <c r="N96" i="54"/>
  <c r="Q98" i="54"/>
  <c r="U98" i="54"/>
  <c r="T102" i="54"/>
  <c r="T100" i="54"/>
  <c r="N102" i="54"/>
  <c r="N99" i="54"/>
  <c r="U100" i="54"/>
  <c r="M98" i="54"/>
  <c r="M104" i="54"/>
  <c r="R104" i="54"/>
  <c r="R102" i="54"/>
  <c r="T96" i="54"/>
  <c r="N104" i="54"/>
  <c r="O96" i="54"/>
  <c r="R97" i="54"/>
  <c r="O97" i="54"/>
  <c r="P100" i="54"/>
  <c r="H7" i="103"/>
  <c r="G8" i="103"/>
  <c r="I7" i="103"/>
  <c r="L16" i="104"/>
  <c r="L12" i="104"/>
  <c r="L8" i="104"/>
  <c r="L4" i="104"/>
  <c r="L19" i="104"/>
  <c r="L15" i="104"/>
  <c r="L11" i="104"/>
  <c r="L7" i="104"/>
  <c r="L18" i="104"/>
  <c r="L14" i="104"/>
  <c r="L10" i="104"/>
  <c r="L6" i="104"/>
  <c r="L13" i="104"/>
  <c r="L9" i="104"/>
  <c r="L5" i="104"/>
  <c r="L17" i="104"/>
  <c r="H16" i="104"/>
  <c r="H12" i="104"/>
  <c r="H8" i="104"/>
  <c r="H4" i="104"/>
  <c r="H19" i="104"/>
  <c r="H15" i="104"/>
  <c r="H11" i="104"/>
  <c r="H7" i="104"/>
  <c r="H18" i="104"/>
  <c r="H14" i="104"/>
  <c r="H10" i="104"/>
  <c r="H6" i="104"/>
  <c r="H17" i="104"/>
  <c r="H13" i="104"/>
  <c r="H9" i="104"/>
  <c r="H5" i="104"/>
  <c r="M19" i="104"/>
  <c r="M15" i="104"/>
  <c r="M11" i="104"/>
  <c r="M7" i="104"/>
  <c r="M18" i="104"/>
  <c r="M14" i="104"/>
  <c r="M10" i="104"/>
  <c r="M6" i="104"/>
  <c r="M17" i="104"/>
  <c r="M13" i="104"/>
  <c r="M9" i="104"/>
  <c r="M5" i="104"/>
  <c r="M12" i="104"/>
  <c r="M8" i="104"/>
  <c r="M4" i="104"/>
  <c r="M16" i="104"/>
  <c r="K17" i="104"/>
  <c r="K13" i="104"/>
  <c r="K9" i="104"/>
  <c r="K5" i="104"/>
  <c r="K16" i="104"/>
  <c r="K12" i="104"/>
  <c r="K8" i="104"/>
  <c r="K4" i="104"/>
  <c r="K19" i="104"/>
  <c r="K15" i="104"/>
  <c r="K11" i="104"/>
  <c r="K7" i="104"/>
  <c r="K14" i="104"/>
  <c r="K10" i="104"/>
  <c r="K6" i="104"/>
  <c r="K18" i="104"/>
  <c r="I19" i="104"/>
  <c r="I15" i="104"/>
  <c r="I11" i="104"/>
  <c r="I7" i="104"/>
  <c r="I18" i="104"/>
  <c r="I14" i="104"/>
  <c r="I10" i="104"/>
  <c r="I6" i="104"/>
  <c r="I17" i="104"/>
  <c r="I13" i="104"/>
  <c r="I9" i="104"/>
  <c r="I5" i="104"/>
  <c r="I16" i="104"/>
  <c r="I12" i="104"/>
  <c r="I8" i="104"/>
  <c r="I4" i="104"/>
  <c r="K7" i="103"/>
  <c r="K5" i="103"/>
  <c r="L3" i="103"/>
  <c r="K6" i="103"/>
  <c r="K8" i="103"/>
  <c r="K4" i="103"/>
  <c r="G17" i="104"/>
  <c r="G13" i="104"/>
  <c r="G9" i="104"/>
  <c r="G5" i="104"/>
  <c r="G16" i="104"/>
  <c r="G12" i="104"/>
  <c r="G8" i="104"/>
  <c r="G4" i="104"/>
  <c r="G19" i="104"/>
  <c r="G15" i="104"/>
  <c r="G11" i="104"/>
  <c r="G7" i="104"/>
  <c r="G18" i="104"/>
  <c r="G14" i="104"/>
  <c r="G10" i="104"/>
  <c r="G6" i="104"/>
  <c r="K21" i="104"/>
  <c r="Y19" i="55" a="1"/>
  <c r="M108" i="54" a="1"/>
  <c r="G21" i="104"/>
  <c r="Q114" i="54" l="1"/>
  <c r="T116" i="54"/>
  <c r="N117" i="54"/>
  <c r="O113" i="54"/>
  <c r="R113" i="54"/>
  <c r="M110" i="54"/>
  <c r="S109" i="54"/>
  <c r="P112" i="54"/>
  <c r="S112" i="54"/>
  <c r="S117" i="54"/>
  <c r="U117" i="54"/>
  <c r="P114" i="54"/>
  <c r="T110" i="54"/>
  <c r="T117" i="54"/>
  <c r="O114" i="54"/>
  <c r="S110" i="54"/>
  <c r="R117" i="54"/>
  <c r="M114" i="54"/>
  <c r="Q110" i="54"/>
  <c r="R116" i="54"/>
  <c r="M113" i="54"/>
  <c r="Q109" i="54"/>
  <c r="R115" i="54"/>
  <c r="M112" i="54"/>
  <c r="Q108" i="54"/>
  <c r="R114" i="54"/>
  <c r="M111" i="54"/>
  <c r="Q111" i="54"/>
  <c r="O108" i="54"/>
  <c r="U115" i="54"/>
  <c r="O116" i="54"/>
  <c r="M117" i="54"/>
  <c r="Q113" i="54"/>
  <c r="U109" i="54"/>
  <c r="U116" i="54"/>
  <c r="P113" i="54"/>
  <c r="T109" i="54"/>
  <c r="S116" i="54"/>
  <c r="N113" i="54"/>
  <c r="R109" i="54"/>
  <c r="S115" i="54"/>
  <c r="N112" i="54"/>
  <c r="R108" i="54"/>
  <c r="S114" i="54"/>
  <c r="N111" i="54"/>
  <c r="O117" i="54"/>
  <c r="S113" i="54"/>
  <c r="N110" i="54"/>
  <c r="M115" i="54"/>
  <c r="T111" i="54"/>
  <c r="R110" i="54"/>
  <c r="U110" i="54"/>
  <c r="N116" i="54"/>
  <c r="R112" i="54"/>
  <c r="M109" i="54"/>
  <c r="M116" i="54"/>
  <c r="Q112" i="54"/>
  <c r="U108" i="54"/>
  <c r="T115" i="54"/>
  <c r="O112" i="54"/>
  <c r="S108" i="54"/>
  <c r="T114" i="54"/>
  <c r="O111" i="54"/>
  <c r="P117" i="54"/>
  <c r="T113" i="54"/>
  <c r="O110" i="54"/>
  <c r="P116" i="54"/>
  <c r="T112" i="54"/>
  <c r="O109" i="54"/>
  <c r="P115" i="54"/>
  <c r="T108" i="54"/>
  <c r="N109" i="54"/>
  <c r="N114" i="54"/>
  <c r="O115" i="54"/>
  <c r="S111" i="54"/>
  <c r="N108" i="54"/>
  <c r="N115" i="54"/>
  <c r="R111" i="54"/>
  <c r="M108" i="54"/>
  <c r="U114" i="54"/>
  <c r="P111" i="54"/>
  <c r="Q117" i="54"/>
  <c r="U113" i="54"/>
  <c r="P110" i="54"/>
  <c r="Q116" i="54"/>
  <c r="U112" i="54"/>
  <c r="P109" i="54"/>
  <c r="Q115" i="54"/>
  <c r="U111" i="54"/>
  <c r="P108" i="54"/>
  <c r="AC25" i="55"/>
  <c r="AD26" i="55"/>
  <c r="Y21" i="55"/>
  <c r="AA25" i="55"/>
  <c r="Z20" i="55"/>
  <c r="Z24" i="55"/>
  <c r="Z21" i="55"/>
  <c r="AF28" i="55"/>
  <c r="AG28" i="55"/>
  <c r="AB25" i="55"/>
  <c r="AF21" i="55"/>
  <c r="AE28" i="55"/>
  <c r="Z25" i="55"/>
  <c r="AG25" i="55"/>
  <c r="AD21" i="55"/>
  <c r="Y27" i="55"/>
  <c r="AC22" i="55"/>
  <c r="Z28" i="55"/>
  <c r="AB23" i="55"/>
  <c r="AB19" i="55"/>
  <c r="AB24" i="55"/>
  <c r="AA20" i="55"/>
  <c r="AB26" i="55"/>
  <c r="AG21" i="55"/>
  <c r="AB27" i="55"/>
  <c r="AF22" i="55"/>
  <c r="Y23" i="55"/>
  <c r="AE27" i="55"/>
  <c r="Y22" i="55"/>
  <c r="Y28" i="55"/>
  <c r="AC24" i="55"/>
  <c r="AG20" i="55"/>
  <c r="AF27" i="55"/>
  <c r="AA24" i="55"/>
  <c r="AF24" i="55"/>
  <c r="AD20" i="55"/>
  <c r="AF25" i="55"/>
  <c r="AC21" i="55"/>
  <c r="AF26" i="55"/>
  <c r="AB22" i="55"/>
  <c r="AG27" i="55"/>
  <c r="AA23" i="55"/>
  <c r="AA19" i="55"/>
  <c r="Y25" i="55"/>
  <c r="AF20" i="55"/>
  <c r="Z26" i="55"/>
  <c r="AE21" i="55"/>
  <c r="AD27" i="55"/>
  <c r="AG19" i="55"/>
  <c r="AC26" i="55"/>
  <c r="Z27" i="55"/>
  <c r="AD23" i="55"/>
  <c r="Y20" i="55"/>
  <c r="AG26" i="55"/>
  <c r="AB28" i="55"/>
  <c r="AE23" i="55"/>
  <c r="AD19" i="55"/>
  <c r="AE24" i="55"/>
  <c r="AC20" i="55"/>
  <c r="AE25" i="55"/>
  <c r="AB21" i="55"/>
  <c r="AE26" i="55"/>
  <c r="AA22" i="55"/>
  <c r="AD28" i="55"/>
  <c r="AG23" i="55"/>
  <c r="AF19" i="55"/>
  <c r="AG24" i="55"/>
  <c r="AE20" i="55"/>
  <c r="Y19" i="55"/>
  <c r="Y24" i="55"/>
  <c r="Z22" i="55"/>
  <c r="AA26" i="55"/>
  <c r="AE22" i="55"/>
  <c r="Z19" i="55"/>
  <c r="Y26" i="55"/>
  <c r="AA27" i="55"/>
  <c r="AD22" i="55"/>
  <c r="AA28" i="55"/>
  <c r="AC23" i="55"/>
  <c r="AC19" i="55"/>
  <c r="AD24" i="55"/>
  <c r="AB20" i="55"/>
  <c r="AD25" i="55"/>
  <c r="AA21" i="55"/>
  <c r="AC27" i="55"/>
  <c r="AG22" i="55"/>
  <c r="AC28" i="55"/>
  <c r="AF23" i="55"/>
  <c r="AE19" i="55"/>
  <c r="Z23" i="55"/>
  <c r="I8" i="103"/>
  <c r="H8" i="103"/>
  <c r="G9" i="103"/>
  <c r="J8" i="103"/>
  <c r="P4" i="104"/>
  <c r="L9" i="103"/>
  <c r="L7" i="103"/>
  <c r="L5" i="103"/>
  <c r="M3" i="103"/>
  <c r="L8" i="103"/>
  <c r="L6" i="103"/>
  <c r="L4" i="103"/>
  <c r="J9" i="103" l="1"/>
  <c r="H9" i="103"/>
  <c r="G10" i="103"/>
  <c r="I9" i="103"/>
  <c r="K9" i="103"/>
  <c r="N3" i="103"/>
  <c r="M4" i="103"/>
  <c r="M8" i="103"/>
  <c r="M6" i="103"/>
  <c r="M9" i="103"/>
  <c r="M7" i="103"/>
  <c r="M5" i="103"/>
  <c r="G11" i="103" l="1"/>
  <c r="J10" i="103"/>
  <c r="I10" i="103"/>
  <c r="H10" i="103"/>
  <c r="K10" i="103"/>
  <c r="L10" i="103"/>
  <c r="M10" i="103"/>
  <c r="N10" i="103"/>
  <c r="N8" i="103"/>
  <c r="N6" i="103"/>
  <c r="N4" i="103"/>
  <c r="N9" i="103"/>
  <c r="N7" i="103"/>
  <c r="O3" i="103"/>
  <c r="N5" i="103"/>
  <c r="I11" i="103" l="1"/>
  <c r="J11" i="103"/>
  <c r="K11" i="103"/>
  <c r="L11" i="103"/>
  <c r="H11" i="103"/>
  <c r="G12" i="103"/>
  <c r="M11" i="103"/>
  <c r="N11" i="103"/>
  <c r="O11" i="103"/>
  <c r="O9" i="103"/>
  <c r="O7" i="103"/>
  <c r="O5" i="103"/>
  <c r="O10" i="103"/>
  <c r="O4" i="103"/>
  <c r="O12" i="103"/>
  <c r="O8" i="103"/>
  <c r="O6" i="103"/>
  <c r="P3" i="103"/>
  <c r="J12" i="103" l="1"/>
  <c r="K12" i="103"/>
  <c r="L12" i="103"/>
  <c r="H12" i="103"/>
  <c r="I12" i="103"/>
  <c r="M12" i="103"/>
  <c r="G13" i="103"/>
  <c r="N12" i="103"/>
  <c r="P12" i="103"/>
  <c r="P13" i="103"/>
  <c r="P11" i="103"/>
  <c r="P9" i="103"/>
  <c r="P7" i="103"/>
  <c r="P5" i="103"/>
  <c r="Q3" i="103"/>
  <c r="P10" i="103"/>
  <c r="P8" i="103"/>
  <c r="P6" i="103"/>
  <c r="P4" i="103"/>
  <c r="M13" i="103" l="1"/>
  <c r="J13" i="103"/>
  <c r="I13" i="103"/>
  <c r="K13" i="103"/>
  <c r="L13" i="103"/>
  <c r="H13" i="103"/>
  <c r="N13" i="103"/>
  <c r="G14" i="103"/>
  <c r="O13" i="103"/>
  <c r="R3" i="103"/>
  <c r="Q4" i="103"/>
  <c r="Q10" i="103"/>
  <c r="Q8" i="103"/>
  <c r="Q6" i="103"/>
  <c r="Q12" i="103"/>
  <c r="Q13" i="103"/>
  <c r="Q9" i="103"/>
  <c r="Q7" i="103"/>
  <c r="Q5" i="103"/>
  <c r="Q11" i="103"/>
  <c r="N14" i="103" l="1"/>
  <c r="H14" i="103"/>
  <c r="O14" i="103"/>
  <c r="I14" i="103"/>
  <c r="J14" i="103"/>
  <c r="K14" i="103"/>
  <c r="M14" i="103"/>
  <c r="L14" i="103"/>
  <c r="G15" i="103"/>
  <c r="P14" i="103"/>
  <c r="Q14" i="103"/>
  <c r="R13" i="103"/>
  <c r="R10" i="103"/>
  <c r="R8" i="103"/>
  <c r="R6" i="103"/>
  <c r="R4" i="103"/>
  <c r="R7" i="103"/>
  <c r="R12" i="103"/>
  <c r="R9" i="103"/>
  <c r="R14" i="103"/>
  <c r="R11" i="103"/>
  <c r="R5" i="103"/>
  <c r="S3" i="103"/>
  <c r="O15" i="103" l="1"/>
  <c r="K15" i="103"/>
  <c r="L15" i="103"/>
  <c r="N15" i="103"/>
  <c r="M15" i="103"/>
  <c r="G16" i="103"/>
  <c r="H15" i="103"/>
  <c r="P15" i="103"/>
  <c r="J15" i="103"/>
  <c r="I15" i="103"/>
  <c r="Q15" i="103"/>
  <c r="R15" i="103"/>
  <c r="S15" i="103"/>
  <c r="S13" i="103"/>
  <c r="S12" i="103"/>
  <c r="S14" i="103"/>
  <c r="S11" i="103"/>
  <c r="S9" i="103"/>
  <c r="S7" i="103"/>
  <c r="S5" i="103"/>
  <c r="S8" i="103"/>
  <c r="S10" i="103"/>
  <c r="S16" i="103"/>
  <c r="S6" i="103"/>
  <c r="T3" i="103"/>
  <c r="S4" i="103"/>
  <c r="H16" i="103" l="1"/>
  <c r="Q16" i="103"/>
  <c r="J16" i="103"/>
  <c r="I16" i="103"/>
  <c r="K16" i="103"/>
  <c r="N16" i="103"/>
  <c r="G17" i="103"/>
  <c r="O16" i="103"/>
  <c r="P16" i="103"/>
  <c r="L16" i="103"/>
  <c r="M16" i="103"/>
  <c r="R16" i="103"/>
  <c r="T16" i="103"/>
  <c r="T14" i="103"/>
  <c r="T12" i="103"/>
  <c r="T15" i="103"/>
  <c r="T11" i="103"/>
  <c r="T9" i="103"/>
  <c r="T7" i="103"/>
  <c r="T5" i="103"/>
  <c r="U3" i="103"/>
  <c r="T8" i="103"/>
  <c r="T6" i="103"/>
  <c r="T17" i="103"/>
  <c r="T13" i="103"/>
  <c r="T10" i="103"/>
  <c r="T4" i="103"/>
  <c r="Q17" i="103" l="1"/>
  <c r="N17" i="103"/>
  <c r="R17" i="103"/>
  <c r="H17" i="103"/>
  <c r="O17" i="103"/>
  <c r="I17" i="103"/>
  <c r="P17" i="103"/>
  <c r="M17" i="103"/>
  <c r="G18" i="103"/>
  <c r="L17" i="103"/>
  <c r="J17" i="103"/>
  <c r="K17" i="103"/>
  <c r="S17" i="103"/>
  <c r="U18" i="103"/>
  <c r="U16" i="103"/>
  <c r="U14" i="103"/>
  <c r="V3" i="103"/>
  <c r="U4" i="103"/>
  <c r="U17" i="103"/>
  <c r="U13" i="103"/>
  <c r="U10" i="103"/>
  <c r="U8" i="103"/>
  <c r="U6" i="103"/>
  <c r="U7" i="103"/>
  <c r="U15" i="103"/>
  <c r="U9" i="103"/>
  <c r="U5" i="103"/>
  <c r="U12" i="103"/>
  <c r="U11" i="103"/>
  <c r="R18" i="103" l="1"/>
  <c r="M18" i="103"/>
  <c r="N18" i="103"/>
  <c r="S18" i="103"/>
  <c r="L18" i="103"/>
  <c r="G19" i="103"/>
  <c r="V19" i="103" s="1"/>
  <c r="O18" i="103"/>
  <c r="H18" i="103"/>
  <c r="P18" i="103"/>
  <c r="I18" i="103"/>
  <c r="Q18" i="103"/>
  <c r="J18" i="103"/>
  <c r="K18" i="103"/>
  <c r="T18" i="103"/>
  <c r="V17" i="103"/>
  <c r="V15" i="103"/>
  <c r="V13" i="103"/>
  <c r="V18" i="103"/>
  <c r="V14" i="103"/>
  <c r="V10" i="103"/>
  <c r="V8" i="103"/>
  <c r="V6" i="103"/>
  <c r="V4" i="103"/>
  <c r="V16" i="103"/>
  <c r="V12" i="103"/>
  <c r="V11" i="103"/>
  <c r="V9" i="103"/>
  <c r="V7" i="103"/>
  <c r="W3" i="103"/>
  <c r="V5" i="103"/>
  <c r="M19" i="103" l="1"/>
  <c r="N19" i="103"/>
  <c r="H19" i="103"/>
  <c r="P19" i="103"/>
  <c r="T19" i="103"/>
  <c r="K19" i="103"/>
  <c r="L19" i="103"/>
  <c r="O19" i="103"/>
  <c r="S19" i="103"/>
  <c r="I19" i="103"/>
  <c r="Q19" i="103"/>
  <c r="J19" i="103"/>
  <c r="R19" i="103"/>
  <c r="U19" i="103"/>
  <c r="W19" i="103"/>
  <c r="W17" i="103"/>
  <c r="L23" i="103" s="1"/>
  <c r="M23" i="103" s="1"/>
  <c r="O23" i="103" s="1"/>
  <c r="W15" i="103"/>
  <c r="W13" i="103"/>
  <c r="W16" i="103"/>
  <c r="W12" i="103"/>
  <c r="W11" i="103"/>
  <c r="W9" i="103"/>
  <c r="W7" i="103"/>
  <c r="W5" i="103"/>
  <c r="W18" i="103"/>
  <c r="W6" i="103"/>
  <c r="W4" i="103"/>
  <c r="W8" i="103"/>
  <c r="W14" i="103"/>
  <c r="W10" i="103"/>
  <c r="L22" i="103" l="1"/>
  <c r="M22" i="103" s="1"/>
  <c r="O22" i="103" l="1"/>
  <c r="M24" i="103"/>
  <c r="O24" i="103" s="1"/>
  <c r="R22" i="103" s="1"/>
  <c r="Y6" i="37" l="1"/>
  <c r="I11" i="102" l="1"/>
  <c r="I12" i="102"/>
  <c r="I10" i="102"/>
  <c r="I9" i="102"/>
  <c r="B8" i="101"/>
  <c r="B7" i="101"/>
  <c r="B6" i="100"/>
  <c r="B7" i="100"/>
  <c r="B10" i="101"/>
  <c r="B11" i="101" s="1"/>
  <c r="B9" i="100"/>
  <c r="B10" i="100"/>
  <c r="K16" i="102" l="1"/>
  <c r="M11" i="102"/>
  <c r="J11" i="102"/>
  <c r="L11" i="102"/>
  <c r="N11" i="102"/>
  <c r="K11" i="102"/>
  <c r="N10" i="102"/>
  <c r="J10" i="102"/>
  <c r="M10" i="102"/>
  <c r="L10" i="102"/>
  <c r="K10" i="102"/>
  <c r="K9" i="102"/>
  <c r="M9" i="102"/>
  <c r="K18" i="102"/>
  <c r="N9" i="102"/>
  <c r="J9" i="102"/>
  <c r="J18" i="102"/>
  <c r="L9" i="102"/>
  <c r="L12" i="102"/>
  <c r="K12" i="102"/>
  <c r="J12" i="102"/>
  <c r="N12" i="102"/>
  <c r="M12" i="102"/>
  <c r="G9" i="100"/>
  <c r="G8" i="100"/>
  <c r="G9" i="101"/>
  <c r="G11" i="101" s="1"/>
  <c r="B9" i="99"/>
  <c r="B10" i="98"/>
  <c r="B8" i="98"/>
  <c r="B7" i="99"/>
  <c r="AI23" i="97"/>
  <c r="X13" i="97"/>
  <c r="W13" i="97"/>
  <c r="AF11" i="97"/>
  <c r="AE11" i="97"/>
  <c r="AG10" i="97"/>
  <c r="AF10" i="97"/>
  <c r="AE10" i="97"/>
  <c r="AG9" i="97"/>
  <c r="AF9" i="97"/>
  <c r="AE9" i="97"/>
  <c r="AG8" i="97"/>
  <c r="AF8" i="97"/>
  <c r="AE8" i="97"/>
  <c r="AG7" i="97"/>
  <c r="AF7" i="97"/>
  <c r="AE7" i="97"/>
  <c r="AO6" i="97"/>
  <c r="AG6" i="97"/>
  <c r="AF6" i="97"/>
  <c r="AE6" i="97"/>
  <c r="AO5" i="97"/>
  <c r="AG5" i="97"/>
  <c r="AF5" i="97"/>
  <c r="AE5" i="97"/>
  <c r="AE4" i="97" a="1"/>
  <c r="AF4" i="97" s="1"/>
  <c r="L46" i="34"/>
  <c r="AV20" i="35"/>
  <c r="G10" i="100"/>
  <c r="G11" i="100"/>
  <c r="K17" i="102" l="1"/>
  <c r="O16" i="102" s="1"/>
  <c r="AG13" i="97"/>
  <c r="AE4" i="97"/>
  <c r="AF14" i="97"/>
  <c r="J17" i="102"/>
  <c r="L18" i="102"/>
  <c r="G10" i="101"/>
  <c r="AO7" i="97"/>
  <c r="AO9" i="97"/>
  <c r="AO8" i="97"/>
  <c r="AE14" i="97"/>
  <c r="AG11" i="97"/>
  <c r="J19" i="96"/>
  <c r="K7" i="96"/>
  <c r="J7" i="96"/>
  <c r="G28" i="96"/>
  <c r="F28" i="96"/>
  <c r="E28" i="96"/>
  <c r="C28" i="96"/>
  <c r="B28" i="96"/>
  <c r="A28" i="96"/>
  <c r="G27" i="96"/>
  <c r="F27" i="96"/>
  <c r="E27" i="96"/>
  <c r="K4" i="96" s="1" a="1"/>
  <c r="K5" i="96" s="1"/>
  <c r="C27" i="96"/>
  <c r="B27" i="96"/>
  <c r="A27" i="96"/>
  <c r="G12" i="101"/>
  <c r="G13" i="101" s="1"/>
  <c r="J4" i="96" l="1" a="1"/>
  <c r="J5" i="96" s="1"/>
  <c r="L5" i="96" s="1"/>
  <c r="L17" i="102"/>
  <c r="Q16" i="102" s="1"/>
  <c r="K6" i="96"/>
  <c r="J20" i="96"/>
  <c r="J21" i="96" s="1"/>
  <c r="J16" i="102"/>
  <c r="L16" i="102" s="1"/>
  <c r="AI24" i="97"/>
  <c r="AI25" i="97" s="1"/>
  <c r="AK5" i="97" a="1"/>
  <c r="N17" i="97" a="1"/>
  <c r="AI19" i="97"/>
  <c r="AI20" i="97" s="1"/>
  <c r="AK9" i="97" a="1"/>
  <c r="Q11" i="96" a="1"/>
  <c r="J4" i="96"/>
  <c r="K4" i="96"/>
  <c r="J6" i="96" l="1"/>
  <c r="L6" i="96" s="1"/>
  <c r="P16" i="102"/>
  <c r="O9" i="102"/>
  <c r="P9" i="102" s="1"/>
  <c r="O11" i="102"/>
  <c r="Q11" i="102" s="1"/>
  <c r="O10" i="102"/>
  <c r="P10" i="102" s="1"/>
  <c r="M16" i="102"/>
  <c r="N16" i="102" s="1"/>
  <c r="O12" i="102"/>
  <c r="P12" i="102" s="1"/>
  <c r="L4" i="96"/>
  <c r="B3" i="99"/>
  <c r="B12" i="98"/>
  <c r="B14" i="98" s="1"/>
  <c r="N17" i="97"/>
  <c r="L29" i="97"/>
  <c r="L32" i="97" s="1"/>
  <c r="K29" i="97"/>
  <c r="K32" i="97" s="1"/>
  <c r="K28" i="97"/>
  <c r="K31" i="97" s="1"/>
  <c r="L28" i="97"/>
  <c r="L31" i="97" s="1"/>
  <c r="B3" i="98"/>
  <c r="B6" i="99"/>
  <c r="W9" i="97" a="1"/>
  <c r="X9" i="97" s="1"/>
  <c r="AL10" i="97"/>
  <c r="AK10" i="97"/>
  <c r="AL9" i="97"/>
  <c r="AK9" i="97"/>
  <c r="AK6" i="97"/>
  <c r="AL5" i="97"/>
  <c r="AK5" i="97"/>
  <c r="AL6" i="97"/>
  <c r="O17" i="97"/>
  <c r="O18" i="97"/>
  <c r="N18" i="97"/>
  <c r="S13" i="96"/>
  <c r="R12" i="96"/>
  <c r="Q11" i="96"/>
  <c r="Q13" i="96"/>
  <c r="S11" i="96"/>
  <c r="S12" i="96"/>
  <c r="R11" i="96"/>
  <c r="R13" i="96"/>
  <c r="Q12" i="96"/>
  <c r="R1263" i="42"/>
  <c r="Q1263" i="42"/>
  <c r="R1250" i="42"/>
  <c r="Q1250" i="42"/>
  <c r="R1237" i="42"/>
  <c r="Q1237" i="42"/>
  <c r="R1224" i="42"/>
  <c r="Q1224" i="42"/>
  <c r="R1211" i="42"/>
  <c r="Q1211" i="42"/>
  <c r="R1198" i="42"/>
  <c r="Q1198" i="42"/>
  <c r="R1185" i="42"/>
  <c r="Q1185" i="42"/>
  <c r="R1172" i="42"/>
  <c r="Q1172" i="42"/>
  <c r="R1159" i="42"/>
  <c r="Q1159" i="42"/>
  <c r="R1146" i="42"/>
  <c r="Q1146" i="42"/>
  <c r="R1133" i="42"/>
  <c r="Q1133" i="42"/>
  <c r="R1120" i="42"/>
  <c r="Q1120" i="42"/>
  <c r="R1107" i="42"/>
  <c r="Q1107" i="42"/>
  <c r="R1094" i="42"/>
  <c r="Q1094" i="42"/>
  <c r="R1081" i="42"/>
  <c r="Q1081" i="42"/>
  <c r="R1068" i="42"/>
  <c r="Q1068" i="42"/>
  <c r="R1055" i="42"/>
  <c r="Q1055" i="42"/>
  <c r="R1042" i="42"/>
  <c r="Q1042" i="42"/>
  <c r="R1029" i="42"/>
  <c r="Q1029" i="42"/>
  <c r="R1016" i="42"/>
  <c r="Q1016" i="42"/>
  <c r="R1003" i="42"/>
  <c r="Q1003" i="42"/>
  <c r="R990" i="42"/>
  <c r="Q990" i="42"/>
  <c r="R977" i="42"/>
  <c r="Q977" i="42"/>
  <c r="R964" i="42"/>
  <c r="Q964" i="42"/>
  <c r="B17" i="99"/>
  <c r="AE15" i="97" a="1"/>
  <c r="B20" i="98"/>
  <c r="AF15" i="97" l="1"/>
  <c r="AE15" i="97"/>
  <c r="Q12" i="102"/>
  <c r="Q9" i="102"/>
  <c r="Q10" i="102"/>
  <c r="P11" i="102"/>
  <c r="W10" i="97"/>
  <c r="X10" i="97"/>
  <c r="W9" i="97"/>
  <c r="B11" i="99"/>
  <c r="B8" i="99"/>
  <c r="B12" i="99" s="1"/>
  <c r="B9" i="98"/>
  <c r="B13" i="98"/>
  <c r="AO4" i="97"/>
  <c r="AO10" i="97" s="1"/>
  <c r="AO11" i="97" s="1"/>
  <c r="J16" i="96" a="1"/>
  <c r="J16" i="96" s="1"/>
  <c r="D20" i="95"/>
  <c r="D21" i="95" s="1"/>
  <c r="D22" i="95" s="1"/>
  <c r="D23" i="95" s="1"/>
  <c r="D24" i="95" s="1"/>
  <c r="D25" i="95" s="1"/>
  <c r="D26" i="95" s="1"/>
  <c r="D27" i="95" s="1"/>
  <c r="D28" i="95" s="1"/>
  <c r="D29" i="95" s="1"/>
  <c r="D30" i="95" s="1"/>
  <c r="D31" i="95" s="1"/>
  <c r="D32" i="95" s="1"/>
  <c r="D33" i="95" s="1"/>
  <c r="D34" i="95" s="1"/>
  <c r="D35" i="95" s="1"/>
  <c r="D36" i="95" s="1"/>
  <c r="D37" i="95" s="1"/>
  <c r="D38" i="95" s="1"/>
  <c r="D39" i="95" s="1"/>
  <c r="E14" i="95"/>
  <c r="E13" i="95"/>
  <c r="V11" i="94"/>
  <c r="H9" i="94"/>
  <c r="V8" i="94"/>
  <c r="E8" i="94"/>
  <c r="N6" i="94" s="1"/>
  <c r="D8" i="94"/>
  <c r="M11" i="94" s="1"/>
  <c r="V7" i="94"/>
  <c r="H7" i="94"/>
  <c r="Q5" i="94"/>
  <c r="Q6" i="94" s="1"/>
  <c r="Q7" i="94" s="1"/>
  <c r="Q8" i="94" s="1"/>
  <c r="Q9" i="94" s="1"/>
  <c r="Q10" i="94" s="1"/>
  <c r="Q11" i="94" s="1"/>
  <c r="Q12" i="94" s="1"/>
  <c r="Q13" i="94" s="1"/>
  <c r="Q14" i="94" s="1"/>
  <c r="Q15" i="94" s="1"/>
  <c r="Q16" i="94" s="1"/>
  <c r="Q17" i="94" s="1"/>
  <c r="Q18" i="94" s="1"/>
  <c r="Q19" i="94" s="1"/>
  <c r="Q20" i="94" s="1"/>
  <c r="Q21" i="94" s="1"/>
  <c r="Q22" i="94" s="1"/>
  <c r="Q23" i="94" s="1"/>
  <c r="Q24" i="94" s="1"/>
  <c r="J25" i="96"/>
  <c r="B14" i="99"/>
  <c r="T19" i="97" l="1" a="1"/>
  <c r="T19" i="97" s="1"/>
  <c r="U19" i="97" s="1"/>
  <c r="V19" i="97" s="1"/>
  <c r="T18" i="97" a="1"/>
  <c r="T18" i="97" s="1"/>
  <c r="U18" i="97" s="1"/>
  <c r="V18" i="97" s="1"/>
  <c r="T24" i="97" a="1"/>
  <c r="T24" i="97" s="1"/>
  <c r="U24" i="97" s="1"/>
  <c r="V24" i="97" s="1"/>
  <c r="T28" i="97" a="1"/>
  <c r="T28" i="97" s="1"/>
  <c r="U28" i="97" s="1"/>
  <c r="V28" i="97" s="1"/>
  <c r="N8" i="94"/>
  <c r="N5" i="94"/>
  <c r="N9" i="94"/>
  <c r="N11" i="94"/>
  <c r="T25" i="97" a="1"/>
  <c r="T25" i="97" s="1"/>
  <c r="U25" i="97" s="1"/>
  <c r="V25" i="97" s="1"/>
  <c r="T12" i="97" a="1"/>
  <c r="T12" i="97" s="1"/>
  <c r="U12" i="97" s="1"/>
  <c r="V12" i="97" s="1"/>
  <c r="T9" i="97" a="1"/>
  <c r="T9" i="97" s="1"/>
  <c r="U9" i="97" s="1"/>
  <c r="V9" i="97" s="1"/>
  <c r="T8" i="97" a="1"/>
  <c r="T8" i="97" s="1"/>
  <c r="U8" i="97" s="1"/>
  <c r="V8" i="97" s="1"/>
  <c r="T17" i="97" a="1"/>
  <c r="T17" i="97" s="1"/>
  <c r="U17" i="97" s="1"/>
  <c r="V17" i="97" s="1"/>
  <c r="T5" i="97" a="1"/>
  <c r="T5" i="97" s="1"/>
  <c r="U5" i="97" s="1"/>
  <c r="V5" i="97" s="1"/>
  <c r="T10" i="97" a="1"/>
  <c r="T10" i="97" s="1"/>
  <c r="U10" i="97" s="1"/>
  <c r="V10" i="97" s="1"/>
  <c r="T20" i="97" a="1"/>
  <c r="T20" i="97" s="1"/>
  <c r="U20" i="97" s="1"/>
  <c r="V20" i="97" s="1"/>
  <c r="T27" i="97" a="1"/>
  <c r="T27" i="97" s="1"/>
  <c r="U27" i="97" s="1"/>
  <c r="V27" i="97" s="1"/>
  <c r="T23" i="97" a="1"/>
  <c r="T23" i="97" s="1"/>
  <c r="U23" i="97" s="1"/>
  <c r="V23" i="97" s="1"/>
  <c r="T15" i="97" a="1"/>
  <c r="T15" i="97" s="1"/>
  <c r="U15" i="97" s="1"/>
  <c r="V15" i="97" s="1"/>
  <c r="T7" i="97" a="1"/>
  <c r="T7" i="97" s="1"/>
  <c r="U7" i="97" s="1"/>
  <c r="V7" i="97" s="1"/>
  <c r="T13" i="97" a="1"/>
  <c r="T13" i="97" s="1"/>
  <c r="U13" i="97" s="1"/>
  <c r="V13" i="97" s="1"/>
  <c r="T6" i="97" a="1"/>
  <c r="T6" i="97" s="1"/>
  <c r="U6" i="97" s="1"/>
  <c r="V6" i="97" s="1"/>
  <c r="T26" i="97" a="1"/>
  <c r="T26" i="97" s="1"/>
  <c r="U26" i="97" s="1"/>
  <c r="V26" i="97" s="1"/>
  <c r="T21" i="97" a="1"/>
  <c r="T21" i="97" s="1"/>
  <c r="U21" i="97" s="1"/>
  <c r="V21" i="97" s="1"/>
  <c r="T16" i="97" a="1"/>
  <c r="T16" i="97" s="1"/>
  <c r="U16" i="97" s="1"/>
  <c r="V16" i="97" s="1"/>
  <c r="T22" i="97" a="1"/>
  <c r="T22" i="97" s="1"/>
  <c r="U22" i="97" s="1"/>
  <c r="V22" i="97" s="1"/>
  <c r="T11" i="97" a="1"/>
  <c r="T11" i="97" s="1"/>
  <c r="U11" i="97" s="1"/>
  <c r="V11" i="97" s="1"/>
  <c r="T14" i="97" a="1"/>
  <c r="T14" i="97" s="1"/>
  <c r="U14" i="97" s="1"/>
  <c r="V14" i="97" s="1"/>
  <c r="B15" i="98"/>
  <c r="B4" i="98"/>
  <c r="J17" i="96"/>
  <c r="AO12" i="97"/>
  <c r="AE24" i="97"/>
  <c r="AE19" i="97"/>
  <c r="AE20" i="97"/>
  <c r="AE25" i="97"/>
  <c r="AF24" i="97"/>
  <c r="AF20" i="97"/>
  <c r="AF19" i="97"/>
  <c r="AF25" i="97"/>
  <c r="M13" i="94"/>
  <c r="M4" i="94"/>
  <c r="M7" i="94"/>
  <c r="M6" i="94"/>
  <c r="N7" i="94"/>
  <c r="N10" i="94"/>
  <c r="N12" i="94"/>
  <c r="M10" i="94"/>
  <c r="M12" i="94"/>
  <c r="N13" i="94"/>
  <c r="N4" i="94"/>
  <c r="M5" i="94"/>
  <c r="M8" i="94"/>
  <c r="M9" i="94"/>
  <c r="B17" i="98"/>
  <c r="B21" i="98"/>
  <c r="J22" i="96"/>
  <c r="B11" i="98" l="1"/>
  <c r="B5" i="98"/>
  <c r="J23" i="96"/>
  <c r="Y10" i="2" a="1"/>
  <c r="Y10" i="2" s="1"/>
  <c r="B18" i="98"/>
  <c r="B22" i="98"/>
  <c r="Y13" i="2" l="1"/>
  <c r="Y12" i="2"/>
  <c r="Y11" i="2"/>
  <c r="Y14" i="2"/>
  <c r="W25" i="93" l="1" a="1"/>
  <c r="W25" i="93" s="1"/>
  <c r="W15" i="93"/>
  <c r="W14" i="93"/>
  <c r="W13" i="93"/>
  <c r="W12" i="93"/>
  <c r="P12" i="93"/>
  <c r="N11" i="93" s="1"/>
  <c r="K11" i="93"/>
  <c r="W11" i="93" s="1"/>
  <c r="AI10" i="93" s="1"/>
  <c r="K10" i="93"/>
  <c r="W10" i="93" s="1"/>
  <c r="AI9" i="93" s="1"/>
  <c r="I10" i="93"/>
  <c r="E10" i="93"/>
  <c r="D10" i="93"/>
  <c r="C10" i="93"/>
  <c r="B10" i="93"/>
  <c r="O9" i="93"/>
  <c r="K9" i="93"/>
  <c r="W9" i="93" s="1"/>
  <c r="AI8" i="93" s="1"/>
  <c r="F9" i="93"/>
  <c r="O8" i="93"/>
  <c r="M8" i="93"/>
  <c r="K8" i="93"/>
  <c r="W8" i="93" s="1"/>
  <c r="AI7" i="93" s="1"/>
  <c r="F8" i="93"/>
  <c r="R7" i="93"/>
  <c r="R8" i="93" s="1"/>
  <c r="N7" i="93"/>
  <c r="L7" i="93"/>
  <c r="K7" i="93"/>
  <c r="W7" i="93" s="1"/>
  <c r="AI6" i="93" s="1"/>
  <c r="F7" i="93"/>
  <c r="L6" i="93"/>
  <c r="K6" i="93"/>
  <c r="W6" i="93" s="1"/>
  <c r="AI5" i="93" s="1"/>
  <c r="F6" i="93"/>
  <c r="O5" i="93"/>
  <c r="N5" i="93"/>
  <c r="M5" i="93"/>
  <c r="L5" i="93"/>
  <c r="F5" i="93"/>
  <c r="F4" i="93"/>
  <c r="W25" i="92" a="1"/>
  <c r="W25" i="92" s="1"/>
  <c r="W15" i="92"/>
  <c r="W14" i="92"/>
  <c r="W13" i="92"/>
  <c r="W12" i="92"/>
  <c r="P12" i="92"/>
  <c r="L11" i="92" s="1"/>
  <c r="K11" i="92"/>
  <c r="W11" i="92" s="1"/>
  <c r="L10" i="92"/>
  <c r="K10" i="92"/>
  <c r="W10" i="92" s="1"/>
  <c r="I10" i="92"/>
  <c r="E10" i="92"/>
  <c r="D10" i="92"/>
  <c r="C10" i="92"/>
  <c r="B10" i="92"/>
  <c r="N9" i="92"/>
  <c r="M9" i="92"/>
  <c r="L9" i="92"/>
  <c r="K9" i="92"/>
  <c r="W9" i="92" s="1"/>
  <c r="F9" i="92"/>
  <c r="N8" i="92"/>
  <c r="L8" i="92"/>
  <c r="K8" i="92"/>
  <c r="W8" i="92" s="1"/>
  <c r="F8" i="92"/>
  <c r="R7" i="92"/>
  <c r="R8" i="92" s="1"/>
  <c r="O7" i="92"/>
  <c r="N7" i="92"/>
  <c r="M7" i="92"/>
  <c r="L7" i="92"/>
  <c r="K7" i="92"/>
  <c r="W7" i="92" s="1"/>
  <c r="F7" i="92"/>
  <c r="O6" i="92"/>
  <c r="N6" i="92"/>
  <c r="M6" i="92"/>
  <c r="L6" i="92"/>
  <c r="K6" i="92"/>
  <c r="W6" i="92" s="1"/>
  <c r="F6" i="92"/>
  <c r="O5" i="92"/>
  <c r="N5" i="92"/>
  <c r="M5" i="92"/>
  <c r="L5" i="92"/>
  <c r="F5" i="92"/>
  <c r="F4" i="92"/>
  <c r="T15" i="91"/>
  <c r="T14" i="91"/>
  <c r="T13" i="91"/>
  <c r="T12" i="91"/>
  <c r="M12" i="91"/>
  <c r="K11" i="91" s="1"/>
  <c r="H11" i="91"/>
  <c r="T11" i="91" s="1"/>
  <c r="I10" i="91"/>
  <c r="H10" i="91"/>
  <c r="T10" i="91" s="1"/>
  <c r="E10" i="91"/>
  <c r="D10" i="91"/>
  <c r="C10" i="91"/>
  <c r="B10" i="91"/>
  <c r="J9" i="91"/>
  <c r="H9" i="91"/>
  <c r="T9" i="91" s="1"/>
  <c r="F9" i="91"/>
  <c r="H8" i="91"/>
  <c r="T8" i="91" s="1"/>
  <c r="F8" i="91"/>
  <c r="O7" i="91"/>
  <c r="O8" i="91" s="1"/>
  <c r="H7" i="91"/>
  <c r="T7" i="91" s="1"/>
  <c r="F7" i="91"/>
  <c r="H6" i="91"/>
  <c r="T6" i="91" s="1"/>
  <c r="F6" i="91"/>
  <c r="L5" i="91"/>
  <c r="K5" i="91"/>
  <c r="J5" i="91"/>
  <c r="I5" i="91"/>
  <c r="F5" i="91"/>
  <c r="F4" i="91"/>
  <c r="AK64" i="90"/>
  <c r="AL63" i="90" s="1"/>
  <c r="AZ42" i="90"/>
  <c r="AZ41" i="90"/>
  <c r="AZ40" i="90"/>
  <c r="AZ39" i="90"/>
  <c r="AZ38" i="90"/>
  <c r="AZ37" i="90"/>
  <c r="AC37" i="90"/>
  <c r="AC38" i="90" s="1"/>
  <c r="AZ36" i="90"/>
  <c r="AZ35" i="90"/>
  <c r="AZ34" i="90"/>
  <c r="AZ33" i="90"/>
  <c r="E21" i="90"/>
  <c r="D21" i="90"/>
  <c r="C21" i="90"/>
  <c r="B21" i="90"/>
  <c r="F20" i="90"/>
  <c r="A20" i="90"/>
  <c r="F19" i="90"/>
  <c r="A19" i="90"/>
  <c r="F18" i="90"/>
  <c r="A18" i="90"/>
  <c r="F17" i="90"/>
  <c r="A17" i="90"/>
  <c r="J16" i="90"/>
  <c r="I16" i="90"/>
  <c r="K16" i="90" s="1"/>
  <c r="F16" i="90"/>
  <c r="A16" i="90"/>
  <c r="F15" i="90"/>
  <c r="A15" i="90"/>
  <c r="E14" i="90"/>
  <c r="D14" i="90"/>
  <c r="C14" i="90"/>
  <c r="B14" i="90"/>
  <c r="A14" i="90"/>
  <c r="W12" i="90"/>
  <c r="E10" i="90"/>
  <c r="D10" i="90"/>
  <c r="C10" i="90"/>
  <c r="B10" i="90"/>
  <c r="O9" i="90"/>
  <c r="F9" i="90"/>
  <c r="O8" i="90"/>
  <c r="V17" i="90" s="1"/>
  <c r="F8" i="90"/>
  <c r="O7" i="90"/>
  <c r="V16" i="90" s="1"/>
  <c r="F7" i="90"/>
  <c r="O6" i="90"/>
  <c r="F6" i="90"/>
  <c r="O5" i="90"/>
  <c r="V14" i="90" s="1"/>
  <c r="F5" i="90"/>
  <c r="O4" i="90"/>
  <c r="AJ14" i="90" s="1"/>
  <c r="F4" i="90"/>
  <c r="S3" i="90"/>
  <c r="Z12" i="90" s="1"/>
  <c r="R3" i="90"/>
  <c r="Y12" i="90" s="1"/>
  <c r="Q3" i="90"/>
  <c r="X12" i="90" s="1"/>
  <c r="P3" i="90"/>
  <c r="P7" i="93" l="1"/>
  <c r="Y7" i="93" s="1"/>
  <c r="I8" i="91"/>
  <c r="K9" i="91"/>
  <c r="J10" i="91"/>
  <c r="M7" i="93"/>
  <c r="N8" i="93"/>
  <c r="O11" i="93"/>
  <c r="I7" i="91"/>
  <c r="J8" i="91"/>
  <c r="M8" i="91" s="1"/>
  <c r="V8" i="91" s="1"/>
  <c r="L9" i="91"/>
  <c r="K10" i="91"/>
  <c r="M10" i="91" s="1"/>
  <c r="V10" i="91" s="1"/>
  <c r="J7" i="91"/>
  <c r="K8" i="91"/>
  <c r="L10" i="91"/>
  <c r="M8" i="92"/>
  <c r="M12" i="92" s="1"/>
  <c r="O9" i="92"/>
  <c r="M6" i="93"/>
  <c r="P6" i="93" s="1"/>
  <c r="Y6" i="93" s="1"/>
  <c r="O7" i="93"/>
  <c r="F10" i="90"/>
  <c r="R9" i="90" s="1"/>
  <c r="I6" i="91"/>
  <c r="K7" i="91"/>
  <c r="L8" i="91"/>
  <c r="F10" i="92"/>
  <c r="N6" i="93"/>
  <c r="N12" i="93" s="1"/>
  <c r="J6" i="91"/>
  <c r="M6" i="91" s="1"/>
  <c r="V6" i="91" s="1"/>
  <c r="L7" i="91"/>
  <c r="I11" i="91"/>
  <c r="O8" i="92"/>
  <c r="O6" i="93"/>
  <c r="O12" i="93" s="1"/>
  <c r="L9" i="93"/>
  <c r="K6" i="91"/>
  <c r="K12" i="91" s="1"/>
  <c r="J11" i="91"/>
  <c r="M11" i="91" s="1"/>
  <c r="V11" i="91" s="1"/>
  <c r="M9" i="93"/>
  <c r="P9" i="93" s="1"/>
  <c r="Y9" i="93" s="1"/>
  <c r="L6" i="91"/>
  <c r="I9" i="91"/>
  <c r="L11" i="91"/>
  <c r="L8" i="93"/>
  <c r="P8" i="93" s="1"/>
  <c r="Y8" i="93" s="1"/>
  <c r="N9" i="93"/>
  <c r="O10" i="93"/>
  <c r="P7" i="92"/>
  <c r="Y7" i="92" s="1"/>
  <c r="P8" i="92"/>
  <c r="Y8" i="92" s="1"/>
  <c r="M11" i="93"/>
  <c r="M9" i="91"/>
  <c r="V9" i="91" s="1"/>
  <c r="L12" i="92"/>
  <c r="M10" i="92"/>
  <c r="AL59" i="90"/>
  <c r="W21" i="92" a="1"/>
  <c r="W24" i="92" s="1"/>
  <c r="M11" i="92"/>
  <c r="M10" i="93"/>
  <c r="N11" i="92"/>
  <c r="F10" i="91"/>
  <c r="W21" i="93" a="1"/>
  <c r="W24" i="93" s="1"/>
  <c r="AI14" i="93" s="1"/>
  <c r="F10" i="93"/>
  <c r="P9" i="92"/>
  <c r="Y9" i="92" s="1"/>
  <c r="V15" i="90"/>
  <c r="AJ16" i="90"/>
  <c r="AL62" i="90"/>
  <c r="AL58" i="90"/>
  <c r="AL60" i="90"/>
  <c r="AJ17" i="90"/>
  <c r="AL61" i="90"/>
  <c r="N10" i="93"/>
  <c r="L11" i="93"/>
  <c r="L10" i="93"/>
  <c r="I12" i="91"/>
  <c r="T21" i="91" a="1"/>
  <c r="L12" i="91"/>
  <c r="M7" i="91"/>
  <c r="V7" i="91" s="1"/>
  <c r="N10" i="92"/>
  <c r="N12" i="92" s="1"/>
  <c r="O11" i="92"/>
  <c r="O10" i="92"/>
  <c r="P6" i="92"/>
  <c r="P7" i="90"/>
  <c r="S6" i="90"/>
  <c r="R8" i="90"/>
  <c r="Q7" i="90"/>
  <c r="S7" i="90"/>
  <c r="R6" i="90"/>
  <c r="S8" i="90"/>
  <c r="R7" i="90"/>
  <c r="P4" i="90"/>
  <c r="P9" i="90"/>
  <c r="S5" i="90"/>
  <c r="S4" i="90"/>
  <c r="AJ19" i="90"/>
  <c r="V18" i="90"/>
  <c r="K21" i="90"/>
  <c r="K20" i="90"/>
  <c r="AJ15" i="90"/>
  <c r="V13" i="90"/>
  <c r="AJ18" i="90"/>
  <c r="F21" i="90"/>
  <c r="H16" i="90" s="1"/>
  <c r="AJ25" i="90" a="1"/>
  <c r="P6" i="90" l="1"/>
  <c r="P5" i="90"/>
  <c r="Q4" i="90"/>
  <c r="P8" i="90"/>
  <c r="R4" i="90"/>
  <c r="Q8" i="90"/>
  <c r="S9" i="90"/>
  <c r="Q6" i="90"/>
  <c r="Q5" i="90"/>
  <c r="Q9" i="90"/>
  <c r="R5" i="90"/>
  <c r="W23" i="91"/>
  <c r="AA23" i="91" s="1"/>
  <c r="W24" i="91"/>
  <c r="O12" i="92"/>
  <c r="M12" i="93"/>
  <c r="B15" i="90" a="1"/>
  <c r="J12" i="91"/>
  <c r="W10" i="91" s="1"/>
  <c r="P11" i="92"/>
  <c r="Y11" i="92" s="1"/>
  <c r="AG11" i="92" s="1"/>
  <c r="W21" i="93"/>
  <c r="AI11" i="93" s="1"/>
  <c r="W21" i="91"/>
  <c r="W22" i="93"/>
  <c r="AI12" i="93" s="1"/>
  <c r="AL64" i="90"/>
  <c r="Z8" i="92"/>
  <c r="W21" i="92"/>
  <c r="W23" i="93"/>
  <c r="AI13" i="93" s="1"/>
  <c r="W22" i="92"/>
  <c r="P10" i="92"/>
  <c r="Y10" i="92" s="1"/>
  <c r="Z10" i="92" s="1"/>
  <c r="AE10" i="92" s="1"/>
  <c r="W23" i="92"/>
  <c r="AD9" i="91"/>
  <c r="AC10" i="91"/>
  <c r="AJ12" i="93"/>
  <c r="AG7" i="92"/>
  <c r="AF9" i="93"/>
  <c r="F35" i="95"/>
  <c r="D11" i="94" a="1"/>
  <c r="AK10" i="93"/>
  <c r="AK9" i="93"/>
  <c r="Z14" i="92"/>
  <c r="Z12" i="92"/>
  <c r="AO42" i="90"/>
  <c r="AO43" i="90"/>
  <c r="AO44" i="90"/>
  <c r="AO45" i="90"/>
  <c r="AG9" i="92"/>
  <c r="H11" i="94"/>
  <c r="F23" i="95"/>
  <c r="E32" i="95"/>
  <c r="E26" i="95"/>
  <c r="F20" i="95"/>
  <c r="F27" i="95"/>
  <c r="F39" i="95"/>
  <c r="E21" i="95"/>
  <c r="E31" i="95"/>
  <c r="F31" i="95"/>
  <c r="E30" i="95"/>
  <c r="E35" i="95"/>
  <c r="AF7" i="92"/>
  <c r="AF9" i="92"/>
  <c r="W11" i="91"/>
  <c r="AB11" i="91" s="1"/>
  <c r="AF8" i="92"/>
  <c r="P10" i="93"/>
  <c r="Y10" i="93" s="1"/>
  <c r="AJ13" i="93"/>
  <c r="AK6" i="93"/>
  <c r="AK7" i="93"/>
  <c r="AJ10" i="93"/>
  <c r="AG9" i="93"/>
  <c r="P11" i="93"/>
  <c r="Y11" i="93" s="1"/>
  <c r="AG6" i="93"/>
  <c r="AK12" i="93"/>
  <c r="AJ5" i="93"/>
  <c r="AK8" i="93"/>
  <c r="AG8" i="93"/>
  <c r="AK13" i="93"/>
  <c r="AG7" i="93"/>
  <c r="AJ14" i="93"/>
  <c r="AJ7" i="93"/>
  <c r="AJ6" i="93"/>
  <c r="L12" i="93"/>
  <c r="Z12" i="93" s="1"/>
  <c r="AJ11" i="93"/>
  <c r="AK11" i="93"/>
  <c r="AJ9" i="93"/>
  <c r="AK5" i="93"/>
  <c r="AJ8" i="93"/>
  <c r="Z7" i="92"/>
  <c r="W14" i="91"/>
  <c r="AB10" i="91"/>
  <c r="W22" i="91"/>
  <c r="AB22" i="91" s="1"/>
  <c r="V21" i="91" a="1"/>
  <c r="AD8" i="92"/>
  <c r="Z15" i="92"/>
  <c r="W15" i="91"/>
  <c r="AB21" i="91"/>
  <c r="AA24" i="91"/>
  <c r="Y6" i="92"/>
  <c r="AC11" i="91"/>
  <c r="T24" i="91"/>
  <c r="T23" i="91"/>
  <c r="T22" i="91"/>
  <c r="T21" i="91"/>
  <c r="AC8" i="91"/>
  <c r="AD8" i="91"/>
  <c r="Z9" i="92"/>
  <c r="W9" i="91"/>
  <c r="AA9" i="91" s="1"/>
  <c r="W12" i="91"/>
  <c r="AB24" i="91"/>
  <c r="AB23" i="91"/>
  <c r="P9" i="91"/>
  <c r="Q8" i="91" s="1"/>
  <c r="AC9" i="91"/>
  <c r="Y21" i="92" a="1"/>
  <c r="AE8" i="92"/>
  <c r="AD7" i="91"/>
  <c r="AC7" i="91"/>
  <c r="W8" i="91"/>
  <c r="AB8" i="91" s="1"/>
  <c r="AC6" i="91"/>
  <c r="W6" i="91"/>
  <c r="AB6" i="91" s="1"/>
  <c r="AD6" i="91"/>
  <c r="W7" i="91"/>
  <c r="AA7" i="91" s="1"/>
  <c r="AD10" i="91"/>
  <c r="Z13" i="92"/>
  <c r="W13" i="91"/>
  <c r="AA21" i="91"/>
  <c r="AA22" i="91"/>
  <c r="AA6" i="91"/>
  <c r="AA11" i="91"/>
  <c r="S10" i="90"/>
  <c r="AN53" i="90" s="1"/>
  <c r="AN51" i="90" s="1"/>
  <c r="P10" i="90"/>
  <c r="T4" i="90"/>
  <c r="T7" i="90"/>
  <c r="T9" i="90"/>
  <c r="T6" i="90"/>
  <c r="T5" i="90"/>
  <c r="S31" i="90" s="1"/>
  <c r="Q10" i="90"/>
  <c r="AL53" i="90" s="1"/>
  <c r="AL50" i="90" s="1"/>
  <c r="T8" i="90"/>
  <c r="S34" i="90" s="1"/>
  <c r="R10" i="90"/>
  <c r="AM53" i="90" s="1"/>
  <c r="AM50" i="90" s="1"/>
  <c r="AJ26" i="90"/>
  <c r="AJ35" i="90" s="1"/>
  <c r="AJ25" i="90"/>
  <c r="AJ34" i="90" s="1"/>
  <c r="AJ27" i="90"/>
  <c r="AJ36" i="90" s="1"/>
  <c r="AJ28" i="90"/>
  <c r="AJ37" i="90" s="1"/>
  <c r="B20" i="90"/>
  <c r="B19" i="90"/>
  <c r="B18" i="90"/>
  <c r="B17" i="90"/>
  <c r="B16" i="90"/>
  <c r="B15" i="90"/>
  <c r="E20" i="90"/>
  <c r="E19" i="90"/>
  <c r="E18" i="90"/>
  <c r="E17" i="90"/>
  <c r="E16" i="90"/>
  <c r="E15" i="90"/>
  <c r="C19" i="90"/>
  <c r="C17" i="90"/>
  <c r="C15" i="90"/>
  <c r="D20" i="90"/>
  <c r="D18" i="90"/>
  <c r="D16" i="90"/>
  <c r="C20" i="90"/>
  <c r="C18" i="90"/>
  <c r="C16" i="90"/>
  <c r="D19" i="90"/>
  <c r="D17" i="90"/>
  <c r="D15" i="90"/>
  <c r="R22" i="90"/>
  <c r="P13" i="90" a="1"/>
  <c r="V4" i="90" a="1"/>
  <c r="Y6" i="90" l="1"/>
  <c r="W9" i="90"/>
  <c r="AA7" i="90"/>
  <c r="V6" i="90"/>
  <c r="W7" i="90"/>
  <c r="X8" i="90"/>
  <c r="Y9" i="90"/>
  <c r="W4" i="90"/>
  <c r="X5" i="90"/>
  <c r="X6" i="90"/>
  <c r="W6" i="90"/>
  <c r="W5" i="90"/>
  <c r="Z8" i="90"/>
  <c r="AA9" i="90"/>
  <c r="Y4" i="90"/>
  <c r="Z5" i="90"/>
  <c r="AA6" i="90"/>
  <c r="V8" i="90"/>
  <c r="V9" i="90"/>
  <c r="AA8" i="90"/>
  <c r="AA5" i="90"/>
  <c r="W8" i="90"/>
  <c r="V4" i="90"/>
  <c r="AA4" i="90"/>
  <c r="Z4" i="90"/>
  <c r="V7" i="90"/>
  <c r="X9" i="90"/>
  <c r="V5" i="90"/>
  <c r="X4" i="90"/>
  <c r="Y7" i="90"/>
  <c r="X7" i="90"/>
  <c r="Y5" i="90"/>
  <c r="Y8" i="90"/>
  <c r="Z6" i="90"/>
  <c r="Z9" i="90"/>
  <c r="Z7" i="90"/>
  <c r="P16" i="90"/>
  <c r="R13" i="90"/>
  <c r="R15" i="90"/>
  <c r="P15" i="90"/>
  <c r="Q15" i="90"/>
  <c r="Q13" i="90"/>
  <c r="S13" i="90"/>
  <c r="P13" i="90"/>
  <c r="S15" i="90"/>
  <c r="P14" i="90"/>
  <c r="Q14" i="90"/>
  <c r="R14" i="90"/>
  <c r="Q16" i="90"/>
  <c r="R16" i="90"/>
  <c r="S16" i="90"/>
  <c r="S14" i="90"/>
  <c r="R26" i="90"/>
  <c r="Z21" i="92"/>
  <c r="AD21" i="92" s="1"/>
  <c r="AG10" i="92"/>
  <c r="AF10" i="92"/>
  <c r="Z22" i="92"/>
  <c r="AD22" i="92" s="1"/>
  <c r="Z24" i="92"/>
  <c r="Z11" i="93"/>
  <c r="AE11" i="93" s="1"/>
  <c r="Z11" i="92"/>
  <c r="AD11" i="92" s="1"/>
  <c r="Z22" i="93"/>
  <c r="AE22" i="93" s="1"/>
  <c r="AN52" i="90"/>
  <c r="AM49" i="90"/>
  <c r="AM52" i="90"/>
  <c r="Z25" i="92"/>
  <c r="AD25" i="92" s="1"/>
  <c r="AF11" i="92"/>
  <c r="Z9" i="93"/>
  <c r="AD9" i="93" s="1"/>
  <c r="AN50" i="90"/>
  <c r="Z23" i="92"/>
  <c r="Z24" i="93"/>
  <c r="P31" i="90"/>
  <c r="Z15" i="93"/>
  <c r="AD15" i="93" s="1"/>
  <c r="Q26" i="90"/>
  <c r="Q34" i="90"/>
  <c r="Q32" i="90"/>
  <c r="Q25" i="90"/>
  <c r="Q23" i="90"/>
  <c r="AA8" i="91"/>
  <c r="U8" i="91" s="1"/>
  <c r="AL52" i="90"/>
  <c r="Q22" i="90"/>
  <c r="AE22" i="92"/>
  <c r="X22" i="92" s="1"/>
  <c r="Z25" i="93"/>
  <c r="AD25" i="93" s="1"/>
  <c r="Q21" i="90"/>
  <c r="R30" i="90"/>
  <c r="AL49" i="90"/>
  <c r="P25" i="90"/>
  <c r="AB7" i="91"/>
  <c r="U7" i="91" s="1"/>
  <c r="AE15" i="92"/>
  <c r="AD12" i="92"/>
  <c r="AE12" i="93"/>
  <c r="K4" i="94"/>
  <c r="K5" i="94"/>
  <c r="AE9" i="92"/>
  <c r="AD11" i="91"/>
  <c r="AF7" i="93"/>
  <c r="AF8" i="93"/>
  <c r="E24" i="95"/>
  <c r="F37" i="95"/>
  <c r="E23" i="95"/>
  <c r="E20" i="95"/>
  <c r="F29" i="95"/>
  <c r="E34" i="95"/>
  <c r="F24" i="95"/>
  <c r="E38" i="95"/>
  <c r="E19" i="95"/>
  <c r="F26" i="95"/>
  <c r="H12" i="94"/>
  <c r="H13" i="94" s="1"/>
  <c r="H14" i="94" s="1"/>
  <c r="AK14" i="93"/>
  <c r="AD22" i="93"/>
  <c r="X22" i="93" s="1"/>
  <c r="S9" i="93"/>
  <c r="T6" i="93" s="1"/>
  <c r="U6" i="93" s="1"/>
  <c r="AF6" i="93"/>
  <c r="K6" i="94"/>
  <c r="J12" i="94" s="1"/>
  <c r="E37" i="95"/>
  <c r="E36" i="95"/>
  <c r="F38" i="95"/>
  <c r="E39" i="95"/>
  <c r="E25" i="95"/>
  <c r="E27" i="95"/>
  <c r="E28" i="95"/>
  <c r="F34" i="95"/>
  <c r="F22" i="95"/>
  <c r="F36" i="95"/>
  <c r="AN49" i="90"/>
  <c r="AG8" i="92"/>
  <c r="S9" i="92"/>
  <c r="T8" i="92" s="1"/>
  <c r="AA10" i="91"/>
  <c r="U10" i="91" s="1"/>
  <c r="E22" i="95"/>
  <c r="F25" i="95"/>
  <c r="F32" i="95"/>
  <c r="F19" i="95"/>
  <c r="E33" i="95"/>
  <c r="F30" i="95"/>
  <c r="F33" i="95"/>
  <c r="E29" i="95"/>
  <c r="F28" i="95"/>
  <c r="F21" i="95"/>
  <c r="Q7" i="91"/>
  <c r="D11" i="94"/>
  <c r="E11" i="94"/>
  <c r="E12" i="94"/>
  <c r="D12" i="94"/>
  <c r="Q6" i="91"/>
  <c r="R6" i="91" s="1"/>
  <c r="S32" i="90"/>
  <c r="Q31" i="90"/>
  <c r="T31" i="90" s="1"/>
  <c r="AM15" i="90" s="1"/>
  <c r="R23" i="90"/>
  <c r="P23" i="90"/>
  <c r="R31" i="90"/>
  <c r="R32" i="90"/>
  <c r="R21" i="90"/>
  <c r="P22" i="90"/>
  <c r="P32" i="90"/>
  <c r="AM51" i="90"/>
  <c r="R34" i="90"/>
  <c r="P21" i="90"/>
  <c r="AD10" i="92"/>
  <c r="X10" i="92" s="1"/>
  <c r="R18" i="90"/>
  <c r="Q30" i="90"/>
  <c r="U21" i="91"/>
  <c r="X8" i="92"/>
  <c r="Y21" i="93" a="1"/>
  <c r="Z7" i="93"/>
  <c r="Z21" i="93"/>
  <c r="Z8" i="93"/>
  <c r="AE9" i="93"/>
  <c r="X9" i="93" s="1"/>
  <c r="Z14" i="93"/>
  <c r="AD11" i="93"/>
  <c r="X11" i="93" s="1"/>
  <c r="AF10" i="93"/>
  <c r="AG10" i="93"/>
  <c r="AE25" i="93"/>
  <c r="Z13" i="93"/>
  <c r="AE13" i="93" s="1"/>
  <c r="Z10" i="93"/>
  <c r="AD12" i="93"/>
  <c r="Z6" i="93"/>
  <c r="AG11" i="93"/>
  <c r="AF11" i="93"/>
  <c r="Z23" i="93"/>
  <c r="AA12" i="91"/>
  <c r="AA13" i="91"/>
  <c r="AD13" i="92"/>
  <c r="AE25" i="92"/>
  <c r="X25" i="92" s="1"/>
  <c r="U24" i="91"/>
  <c r="AB9" i="91"/>
  <c r="U9" i="91" s="1"/>
  <c r="V22" i="91"/>
  <c r="V21" i="91"/>
  <c r="V24" i="91"/>
  <c r="V23" i="91"/>
  <c r="U23" i="91"/>
  <c r="AA14" i="91"/>
  <c r="AA15" i="91"/>
  <c r="AD14" i="92"/>
  <c r="AD15" i="92"/>
  <c r="U6" i="91"/>
  <c r="U11" i="91"/>
  <c r="U22" i="91"/>
  <c r="AD9" i="92"/>
  <c r="X16" i="91"/>
  <c r="X7" i="91" s="1"/>
  <c r="AE21" i="92"/>
  <c r="X21" i="92" s="1"/>
  <c r="AG6" i="92"/>
  <c r="AF6" i="92"/>
  <c r="Z6" i="92"/>
  <c r="AA16" i="92" s="1"/>
  <c r="AE7" i="92"/>
  <c r="AB12" i="91"/>
  <c r="AB13" i="91"/>
  <c r="AE12" i="92"/>
  <c r="AE13" i="92"/>
  <c r="Y22" i="92"/>
  <c r="Y21" i="92"/>
  <c r="Y24" i="92"/>
  <c r="Y23" i="92"/>
  <c r="AD7" i="92"/>
  <c r="AB14" i="91"/>
  <c r="AB15" i="91"/>
  <c r="AE14" i="92"/>
  <c r="J21" i="90"/>
  <c r="M21" i="90"/>
  <c r="L21" i="90"/>
  <c r="I23" i="90"/>
  <c r="J20" i="90"/>
  <c r="M20" i="90"/>
  <c r="L20" i="90"/>
  <c r="AM63" i="90"/>
  <c r="AN63" i="90" s="1"/>
  <c r="AL19" i="90"/>
  <c r="AM61" i="90"/>
  <c r="AN61" i="90" s="1"/>
  <c r="AL17" i="90"/>
  <c r="Q24" i="90"/>
  <c r="R35" i="90"/>
  <c r="P34" i="90"/>
  <c r="T34" i="90" s="1"/>
  <c r="AM18" i="90" s="1"/>
  <c r="P26" i="90"/>
  <c r="S24" i="90"/>
  <c r="AL14" i="90"/>
  <c r="AM58" i="90"/>
  <c r="Q33" i="90"/>
  <c r="S30" i="90"/>
  <c r="S18" i="90"/>
  <c r="Q35" i="90"/>
  <c r="S26" i="90"/>
  <c r="AM59" i="90"/>
  <c r="AN59" i="90" s="1"/>
  <c r="AL15" i="90"/>
  <c r="AM60" i="90"/>
  <c r="AN60" i="90" s="1"/>
  <c r="AL16" i="90"/>
  <c r="S23" i="90"/>
  <c r="AL51" i="90"/>
  <c r="P33" i="90"/>
  <c r="S33" i="90"/>
  <c r="AK53" i="90"/>
  <c r="AL25" i="90" a="1"/>
  <c r="T10" i="90"/>
  <c r="P30" i="90"/>
  <c r="R24" i="90"/>
  <c r="S35" i="90"/>
  <c r="AM62" i="90"/>
  <c r="AN62" i="90" s="1"/>
  <c r="AL18" i="90"/>
  <c r="Q18" i="90"/>
  <c r="P35" i="90"/>
  <c r="P24" i="90"/>
  <c r="R25" i="90"/>
  <c r="S25" i="90"/>
  <c r="P18" i="90"/>
  <c r="S22" i="90"/>
  <c r="R33" i="90"/>
  <c r="S21" i="90"/>
  <c r="AE11" i="92" l="1"/>
  <c r="X11" i="92" s="1"/>
  <c r="T30" i="90"/>
  <c r="AM14" i="90" s="1"/>
  <c r="AD24" i="93"/>
  <c r="AE24" i="93"/>
  <c r="Q27" i="90"/>
  <c r="AE23" i="92"/>
  <c r="AD23" i="92"/>
  <c r="AE24" i="92"/>
  <c r="AD24" i="92"/>
  <c r="K8" i="94"/>
  <c r="AE15" i="93"/>
  <c r="X15" i="93" s="1"/>
  <c r="J11" i="94"/>
  <c r="K12" i="94" s="1"/>
  <c r="S9" i="94" s="1"/>
  <c r="T6" i="92"/>
  <c r="U6" i="92" s="1"/>
  <c r="T7" i="92"/>
  <c r="X9" i="92"/>
  <c r="X25" i="93"/>
  <c r="T8" i="93"/>
  <c r="T7" i="93"/>
  <c r="U7" i="93" s="1"/>
  <c r="R7" i="91"/>
  <c r="R8" i="91" s="1"/>
  <c r="X12" i="92"/>
  <c r="X12" i="93"/>
  <c r="AE14" i="93"/>
  <c r="O10" i="94"/>
  <c r="O8" i="94"/>
  <c r="O5" i="94"/>
  <c r="O11" i="94"/>
  <c r="O4" i="94"/>
  <c r="O7" i="94"/>
  <c r="O9" i="94"/>
  <c r="O12" i="94"/>
  <c r="O13" i="94"/>
  <c r="O6" i="94"/>
  <c r="K11" i="94"/>
  <c r="X7" i="92"/>
  <c r="P27" i="90"/>
  <c r="T32" i="90"/>
  <c r="AM16" i="90" s="1"/>
  <c r="R27" i="90"/>
  <c r="AD13" i="93"/>
  <c r="X13" i="93" s="1"/>
  <c r="AD23" i="93"/>
  <c r="AE23" i="93"/>
  <c r="AD7" i="93"/>
  <c r="AE7" i="93"/>
  <c r="AE10" i="93"/>
  <c r="AD10" i="93"/>
  <c r="Y22" i="93"/>
  <c r="Y21" i="93"/>
  <c r="Y23" i="93"/>
  <c r="Y24" i="93"/>
  <c r="AD14" i="93"/>
  <c r="AE8" i="93"/>
  <c r="AD8" i="93"/>
  <c r="AD6" i="93"/>
  <c r="AA16" i="93"/>
  <c r="AA10" i="93" s="1"/>
  <c r="AE6" i="93"/>
  <c r="AD21" i="93"/>
  <c r="AE21" i="93"/>
  <c r="AA8" i="92"/>
  <c r="AA7" i="92"/>
  <c r="AA9" i="92"/>
  <c r="AA10" i="92"/>
  <c r="AA11" i="92"/>
  <c r="AG22" i="92"/>
  <c r="AF22" i="92"/>
  <c r="AA6" i="92"/>
  <c r="U14" i="91"/>
  <c r="AC21" i="91"/>
  <c r="X25" i="91"/>
  <c r="X22" i="91" s="1"/>
  <c r="AD21" i="91"/>
  <c r="U12" i="91"/>
  <c r="X8" i="91"/>
  <c r="AG23" i="92"/>
  <c r="AF23" i="92"/>
  <c r="X15" i="92"/>
  <c r="AD22" i="91"/>
  <c r="AC22" i="91"/>
  <c r="AG24" i="92"/>
  <c r="AF24" i="92"/>
  <c r="X10" i="91"/>
  <c r="X11" i="91"/>
  <c r="X6" i="91"/>
  <c r="X14" i="92"/>
  <c r="AD23" i="91"/>
  <c r="AC23" i="91"/>
  <c r="X9" i="91"/>
  <c r="X13" i="92"/>
  <c r="AA26" i="92"/>
  <c r="AA23" i="92" s="1"/>
  <c r="AF21" i="92"/>
  <c r="AG21" i="92"/>
  <c r="AE6" i="92"/>
  <c r="AD6" i="92"/>
  <c r="U15" i="91"/>
  <c r="AD24" i="91"/>
  <c r="AC24" i="91"/>
  <c r="U13" i="91"/>
  <c r="AL28" i="90"/>
  <c r="AL27" i="90"/>
  <c r="AL26" i="90"/>
  <c r="AL25" i="90"/>
  <c r="AK51" i="90"/>
  <c r="AO51" i="90" s="1"/>
  <c r="AM36" i="90" s="1"/>
  <c r="AK50" i="90"/>
  <c r="AO50" i="90" s="1"/>
  <c r="AM35" i="90" s="1"/>
  <c r="AH49" i="90" a="1"/>
  <c r="AH49" i="90" s="1"/>
  <c r="AK52" i="90"/>
  <c r="AO52" i="90" s="1"/>
  <c r="AM37" i="90" s="1"/>
  <c r="AK49" i="90"/>
  <c r="AO49" i="90" s="1"/>
  <c r="AM34" i="90" s="1"/>
  <c r="AH51" i="90" a="1"/>
  <c r="AH51" i="90" s="1"/>
  <c r="AH50" i="90" a="1"/>
  <c r="AH50" i="90" s="1"/>
  <c r="AH52" i="90" a="1"/>
  <c r="AH52" i="90" s="1"/>
  <c r="AL72" i="90"/>
  <c r="AM64" i="90"/>
  <c r="AN58" i="90"/>
  <c r="AN64" i="90" s="1"/>
  <c r="AL70" i="90" s="1"/>
  <c r="T35" i="90"/>
  <c r="AM19" i="90" s="1"/>
  <c r="S27" i="90"/>
  <c r="T33" i="90"/>
  <c r="AM17" i="90" s="1"/>
  <c r="X24" i="93" l="1"/>
  <c r="X24" i="92"/>
  <c r="X23" i="92"/>
  <c r="U8" i="93"/>
  <c r="R20" i="94"/>
  <c r="U7" i="92"/>
  <c r="U8" i="92" s="1"/>
  <c r="S7" i="94"/>
  <c r="S5" i="94"/>
  <c r="R4" i="94"/>
  <c r="X14" i="93"/>
  <c r="R16" i="94"/>
  <c r="S8" i="94"/>
  <c r="R5" i="94"/>
  <c r="R8" i="94"/>
  <c r="S10" i="94"/>
  <c r="S6" i="94"/>
  <c r="R12" i="94"/>
  <c r="R7" i="94"/>
  <c r="S23" i="94"/>
  <c r="S17" i="94"/>
  <c r="R14" i="94"/>
  <c r="R18" i="94"/>
  <c r="R19" i="94"/>
  <c r="R11" i="94"/>
  <c r="R6" i="94"/>
  <c r="R15" i="94"/>
  <c r="R10" i="94"/>
  <c r="R17" i="94"/>
  <c r="R22" i="94"/>
  <c r="R24" i="94"/>
  <c r="R13" i="94"/>
  <c r="R9" i="94"/>
  <c r="R21" i="94"/>
  <c r="R23" i="94"/>
  <c r="S16" i="94"/>
  <c r="S24" i="94"/>
  <c r="S13" i="94"/>
  <c r="S11" i="94"/>
  <c r="S15" i="94"/>
  <c r="S4" i="94"/>
  <c r="S21" i="94"/>
  <c r="S12" i="94"/>
  <c r="S19" i="94"/>
  <c r="S14" i="94"/>
  <c r="S22" i="94"/>
  <c r="S20" i="94"/>
  <c r="S18" i="94"/>
  <c r="AA22" i="92"/>
  <c r="AN20" i="90"/>
  <c r="AN16" i="90" s="1"/>
  <c r="AA24" i="92"/>
  <c r="AM25" i="90" a="1"/>
  <c r="X23" i="93"/>
  <c r="X6" i="92"/>
  <c r="X21" i="93"/>
  <c r="X7" i="93"/>
  <c r="X10" i="93"/>
  <c r="AA8" i="93"/>
  <c r="AF24" i="93"/>
  <c r="AG24" i="93"/>
  <c r="AA9" i="93"/>
  <c r="AA11" i="93"/>
  <c r="AG23" i="93"/>
  <c r="AF23" i="93"/>
  <c r="AA7" i="93"/>
  <c r="X6" i="93"/>
  <c r="AA26" i="93"/>
  <c r="AA21" i="93" s="1"/>
  <c r="AF21" i="93"/>
  <c r="AG21" i="93"/>
  <c r="AA6" i="93"/>
  <c r="X8" i="93"/>
  <c r="AG22" i="93"/>
  <c r="AA22" i="93"/>
  <c r="AF22" i="93"/>
  <c r="X24" i="91"/>
  <c r="X23" i="91"/>
  <c r="X21" i="91"/>
  <c r="AA21" i="92"/>
  <c r="AM27" i="90"/>
  <c r="AM26" i="90"/>
  <c r="AM28" i="90"/>
  <c r="AM25" i="90"/>
  <c r="W13" i="90" a="1"/>
  <c r="AN14" i="90" l="1"/>
  <c r="AN17" i="90"/>
  <c r="AN19" i="90"/>
  <c r="AN15" i="90"/>
  <c r="AN18" i="90"/>
  <c r="AN29" i="90"/>
  <c r="AN26" i="90" s="1"/>
  <c r="AA23" i="93"/>
  <c r="AA24" i="93"/>
  <c r="X18" i="90"/>
  <c r="X17" i="90"/>
  <c r="X16" i="90"/>
  <c r="X15" i="90"/>
  <c r="X14" i="90"/>
  <c r="X13" i="90"/>
  <c r="W18" i="90"/>
  <c r="Z16" i="90"/>
  <c r="Y15" i="90"/>
  <c r="W14" i="90"/>
  <c r="Y18" i="90"/>
  <c r="W17" i="90"/>
  <c r="Z15" i="90"/>
  <c r="Y14" i="90"/>
  <c r="W13" i="90"/>
  <c r="Z17" i="90"/>
  <c r="Y16" i="90"/>
  <c r="W15" i="90"/>
  <c r="Z13" i="90"/>
  <c r="Z18" i="90"/>
  <c r="Y17" i="90"/>
  <c r="W16" i="90"/>
  <c r="Z14" i="90"/>
  <c r="Y13" i="90"/>
  <c r="AN25" i="90" l="1"/>
  <c r="AN28" i="90"/>
  <c r="AN27" i="90"/>
  <c r="K20" i="89"/>
  <c r="K19" i="89"/>
  <c r="K18" i="89"/>
  <c r="K17" i="89"/>
  <c r="K16" i="89"/>
  <c r="N7" i="89"/>
  <c r="M7" i="89"/>
  <c r="L7" i="89"/>
  <c r="K7" i="89"/>
  <c r="L11" i="88"/>
  <c r="L10" i="88"/>
  <c r="L9" i="88"/>
  <c r="L8" i="88"/>
  <c r="I7" i="88"/>
  <c r="J15" i="88" s="1"/>
  <c r="H7" i="88"/>
  <c r="I15" i="88" s="1"/>
  <c r="G7" i="88"/>
  <c r="H15" i="88" s="1"/>
  <c r="AJ41" i="87"/>
  <c r="AD41" i="87"/>
  <c r="AC41" i="87"/>
  <c r="AB41" i="87"/>
  <c r="AA41" i="87"/>
  <c r="AD39" i="87"/>
  <c r="AC39" i="87"/>
  <c r="AB39" i="87"/>
  <c r="AA39" i="87"/>
  <c r="Z39" i="87"/>
  <c r="AD38" i="87"/>
  <c r="AC38" i="87"/>
  <c r="AB38" i="87"/>
  <c r="AA38" i="87"/>
  <c r="Z38" i="87"/>
  <c r="AD37" i="87"/>
  <c r="AC37" i="87"/>
  <c r="AB37" i="87"/>
  <c r="AA37" i="87"/>
  <c r="Z37" i="87"/>
  <c r="AD36" i="87"/>
  <c r="AC36" i="87"/>
  <c r="AB36" i="87"/>
  <c r="AA36" i="87"/>
  <c r="Z36" i="87"/>
  <c r="AD35" i="87"/>
  <c r="AC35" i="87"/>
  <c r="AB35" i="87"/>
  <c r="AA35" i="87"/>
  <c r="Z35" i="87"/>
  <c r="AD34" i="87"/>
  <c r="AC34" i="87"/>
  <c r="AB34" i="87"/>
  <c r="AA34" i="87"/>
  <c r="Z34" i="87"/>
  <c r="AD33" i="87"/>
  <c r="AC33" i="87"/>
  <c r="AB33" i="87"/>
  <c r="AA33" i="87"/>
  <c r="Z33" i="87"/>
  <c r="AD32" i="87"/>
  <c r="AC32" i="87"/>
  <c r="AB32" i="87"/>
  <c r="AA32" i="87"/>
  <c r="Z32" i="87"/>
  <c r="AD31" i="87"/>
  <c r="AC31" i="87"/>
  <c r="AB31" i="87"/>
  <c r="AA31" i="87"/>
  <c r="Z31" i="87"/>
  <c r="AD30" i="87"/>
  <c r="AC30" i="87"/>
  <c r="AB30" i="87"/>
  <c r="AA30" i="87"/>
  <c r="Z30" i="87"/>
  <c r="AD29" i="87"/>
  <c r="AC29" i="87"/>
  <c r="AB29" i="87"/>
  <c r="AA29" i="87"/>
  <c r="Z29" i="87"/>
  <c r="G29" i="87"/>
  <c r="AD28" i="87"/>
  <c r="AC28" i="87"/>
  <c r="AB28" i="87"/>
  <c r="AA28" i="87"/>
  <c r="Z28" i="87"/>
  <c r="AD27" i="87"/>
  <c r="AC27" i="87"/>
  <c r="AB27" i="87"/>
  <c r="AA27" i="87"/>
  <c r="Z27" i="87"/>
  <c r="AD26" i="87"/>
  <c r="AC26" i="87"/>
  <c r="AB26" i="87"/>
  <c r="AA26" i="87"/>
  <c r="Z26" i="87"/>
  <c r="AD25" i="87"/>
  <c r="AC25" i="87"/>
  <c r="AB25" i="87"/>
  <c r="AA25" i="87"/>
  <c r="Z25" i="87"/>
  <c r="AD24" i="87"/>
  <c r="AC24" i="87"/>
  <c r="AB24" i="87"/>
  <c r="AA24" i="87"/>
  <c r="Z24" i="87"/>
  <c r="AD23" i="87"/>
  <c r="AC23" i="87"/>
  <c r="AB23" i="87"/>
  <c r="AA23" i="87"/>
  <c r="Z23" i="87"/>
  <c r="G23" i="87"/>
  <c r="AD22" i="87"/>
  <c r="AC22" i="87"/>
  <c r="AB22" i="87"/>
  <c r="AA22" i="87"/>
  <c r="Z22" i="87"/>
  <c r="AD21" i="87"/>
  <c r="AC21" i="87"/>
  <c r="AB21" i="87"/>
  <c r="AA21" i="87"/>
  <c r="Z21" i="87"/>
  <c r="AD20" i="87"/>
  <c r="AC20" i="87"/>
  <c r="AB20" i="87"/>
  <c r="AA20" i="87"/>
  <c r="Z20" i="87"/>
  <c r="AD19" i="87"/>
  <c r="AC19" i="87"/>
  <c r="AB19" i="87"/>
  <c r="AA19" i="87"/>
  <c r="Z19" i="87"/>
  <c r="AD18" i="87"/>
  <c r="AC18" i="87"/>
  <c r="AB18" i="87"/>
  <c r="AA18" i="87"/>
  <c r="Z18" i="87"/>
  <c r="AD17" i="87"/>
  <c r="AC17" i="87"/>
  <c r="AB17" i="87"/>
  <c r="AA17" i="87"/>
  <c r="Z17" i="87"/>
  <c r="G17" i="87"/>
  <c r="AD16" i="87"/>
  <c r="AC16" i="87"/>
  <c r="AB16" i="87"/>
  <c r="AA16" i="87"/>
  <c r="Z16" i="87"/>
  <c r="AD15" i="87"/>
  <c r="AC15" i="87"/>
  <c r="AB15" i="87"/>
  <c r="AA15" i="87"/>
  <c r="Z15" i="87"/>
  <c r="AD14" i="87"/>
  <c r="AC14" i="87"/>
  <c r="AB14" i="87"/>
  <c r="AA14" i="87"/>
  <c r="Z14" i="87"/>
  <c r="AD13" i="87"/>
  <c r="AC13" i="87"/>
  <c r="AB13" i="87"/>
  <c r="AA13" i="87"/>
  <c r="Z13" i="87"/>
  <c r="AD12" i="87"/>
  <c r="AC12" i="87"/>
  <c r="AB12" i="87"/>
  <c r="AA12" i="87"/>
  <c r="Z12" i="87"/>
  <c r="AD11" i="87"/>
  <c r="AC11" i="87"/>
  <c r="AB11" i="87"/>
  <c r="AA11" i="87"/>
  <c r="Z11" i="87"/>
  <c r="G11" i="87"/>
  <c r="AD10" i="87"/>
  <c r="AC10" i="87"/>
  <c r="AB10" i="87"/>
  <c r="AA10" i="87"/>
  <c r="Z10" i="87"/>
  <c r="AD9" i="87"/>
  <c r="AC9" i="87"/>
  <c r="AB9" i="87"/>
  <c r="AA9" i="87"/>
  <c r="Z9" i="87"/>
  <c r="AD8" i="87"/>
  <c r="AC8" i="87"/>
  <c r="AB8" i="87"/>
  <c r="AA8" i="87"/>
  <c r="Z8" i="87"/>
  <c r="AD7" i="87"/>
  <c r="AC7" i="87"/>
  <c r="AB7" i="87"/>
  <c r="AA7" i="87"/>
  <c r="Z7" i="87"/>
  <c r="AD6" i="87"/>
  <c r="AC6" i="87"/>
  <c r="AB6" i="87"/>
  <c r="AA6" i="87"/>
  <c r="Z6" i="87"/>
  <c r="AD5" i="87"/>
  <c r="AC5" i="87"/>
  <c r="AB5" i="87"/>
  <c r="AA5" i="87"/>
  <c r="Z5" i="87"/>
  <c r="G5" i="87"/>
  <c r="AD4" i="87"/>
  <c r="AC4" i="87"/>
  <c r="AB4" i="87"/>
  <c r="AA4" i="87"/>
  <c r="Z4" i="87"/>
  <c r="O10" i="86"/>
  <c r="P9" i="86"/>
  <c r="M9" i="86"/>
  <c r="L9" i="86"/>
  <c r="K9" i="86"/>
  <c r="P8" i="86"/>
  <c r="M8" i="86"/>
  <c r="L8" i="86"/>
  <c r="K8" i="86"/>
  <c r="AB7" i="86"/>
  <c r="P7" i="86"/>
  <c r="M7" i="86"/>
  <c r="L7" i="86"/>
  <c r="K7" i="86"/>
  <c r="AB6" i="86"/>
  <c r="AB15" i="86" s="1"/>
  <c r="P6" i="86"/>
  <c r="M6" i="86"/>
  <c r="L6" i="86"/>
  <c r="K6" i="86"/>
  <c r="AB5" i="86"/>
  <c r="AB4" i="86"/>
  <c r="AE3" i="86"/>
  <c r="AD3" i="86"/>
  <c r="AC3" i="86" a="1"/>
  <c r="AC3" i="86" s="1"/>
  <c r="V3" i="86" a="1"/>
  <c r="G18" i="87" a="1"/>
  <c r="G24" i="87" a="1"/>
  <c r="X4" i="89" a="1"/>
  <c r="P7" i="89" a="1"/>
  <c r="G30" i="87" a="1"/>
  <c r="J31" i="87" l="1"/>
  <c r="J33" i="87"/>
  <c r="H33" i="87"/>
  <c r="J32" i="87"/>
  <c r="H32" i="87"/>
  <c r="I33" i="87"/>
  <c r="H31" i="87"/>
  <c r="G33" i="87"/>
  <c r="I32" i="87"/>
  <c r="G32" i="87"/>
  <c r="J30" i="87"/>
  <c r="I31" i="87"/>
  <c r="H30" i="87"/>
  <c r="G30" i="87"/>
  <c r="G31" i="87"/>
  <c r="I30" i="87"/>
  <c r="V13" i="89"/>
  <c r="T7" i="89"/>
  <c r="R13" i="89"/>
  <c r="Q12" i="89"/>
  <c r="U8" i="89"/>
  <c r="V12" i="89"/>
  <c r="V9" i="89"/>
  <c r="U11" i="89"/>
  <c r="T10" i="89"/>
  <c r="S9" i="89"/>
  <c r="R8" i="89"/>
  <c r="Q7" i="89"/>
  <c r="P11" i="89"/>
  <c r="R7" i="89"/>
  <c r="V11" i="89"/>
  <c r="T8" i="89"/>
  <c r="Q13" i="89"/>
  <c r="T9" i="89"/>
  <c r="V10" i="89"/>
  <c r="S8" i="89"/>
  <c r="Q11" i="89"/>
  <c r="P13" i="89"/>
  <c r="U9" i="89"/>
  <c r="V8" i="89"/>
  <c r="S13" i="89"/>
  <c r="Q10" i="89"/>
  <c r="S11" i="89"/>
  <c r="P7" i="89"/>
  <c r="T11" i="89"/>
  <c r="U10" i="89"/>
  <c r="S7" i="89"/>
  <c r="U7" i="89"/>
  <c r="R11" i="89"/>
  <c r="P8" i="89"/>
  <c r="T12" i="89"/>
  <c r="Q8" i="89"/>
  <c r="U12" i="89"/>
  <c r="P12" i="89"/>
  <c r="P10" i="89"/>
  <c r="V7" i="89"/>
  <c r="S12" i="89"/>
  <c r="Q9" i="89"/>
  <c r="U13" i="89"/>
  <c r="R9" i="89"/>
  <c r="R12" i="89"/>
  <c r="P9" i="89"/>
  <c r="T13" i="89"/>
  <c r="R10" i="89"/>
  <c r="S10" i="89"/>
  <c r="AB39" i="89"/>
  <c r="Y36" i="89"/>
  <c r="AC14" i="89"/>
  <c r="Y28" i="89"/>
  <c r="AC6" i="89"/>
  <c r="AA25" i="89"/>
  <c r="Y4" i="89"/>
  <c r="AC38" i="89"/>
  <c r="AA17" i="89"/>
  <c r="Y16" i="89"/>
  <c r="AA29" i="89"/>
  <c r="Y12" i="89"/>
  <c r="AA13" i="89"/>
  <c r="AC26" i="89"/>
  <c r="Y40" i="89"/>
  <c r="AA9" i="89"/>
  <c r="AC10" i="89"/>
  <c r="AC22" i="89"/>
  <c r="Y24" i="89"/>
  <c r="AA37" i="89"/>
  <c r="Y8" i="89"/>
  <c r="Y20" i="89"/>
  <c r="AA21" i="89"/>
  <c r="AA33" i="89"/>
  <c r="AC34" i="89"/>
  <c r="AC18" i="89"/>
  <c r="Y32" i="89"/>
  <c r="AC30" i="89"/>
  <c r="Y5" i="89"/>
  <c r="AA10" i="89"/>
  <c r="AC15" i="89"/>
  <c r="Y21" i="89"/>
  <c r="AA26" i="89"/>
  <c r="AC31" i="89"/>
  <c r="Y37" i="89"/>
  <c r="AB6" i="89"/>
  <c r="X12" i="89"/>
  <c r="Z17" i="89"/>
  <c r="AB22" i="89"/>
  <c r="X28" i="89"/>
  <c r="Z33" i="89"/>
  <c r="AB38" i="89"/>
  <c r="AA5" i="89"/>
  <c r="AC7" i="89"/>
  <c r="Y13" i="89"/>
  <c r="AA18" i="89"/>
  <c r="AC23" i="89"/>
  <c r="Y29" i="89"/>
  <c r="AA34" i="89"/>
  <c r="AC39" i="89"/>
  <c r="X4" i="89"/>
  <c r="Z9" i="89"/>
  <c r="AB14" i="89"/>
  <c r="X20" i="89"/>
  <c r="Z25" i="89"/>
  <c r="AB30" i="89"/>
  <c r="X36" i="89"/>
  <c r="AC11" i="89"/>
  <c r="AA22" i="89"/>
  <c r="Y33" i="89"/>
  <c r="X8" i="89"/>
  <c r="AB18" i="89"/>
  <c r="Z29" i="89"/>
  <c r="X40" i="89"/>
  <c r="Z4" i="89"/>
  <c r="AB9" i="89"/>
  <c r="X15" i="89"/>
  <c r="Z20" i="89"/>
  <c r="AB25" i="89"/>
  <c r="X31" i="89"/>
  <c r="Z36" i="89"/>
  <c r="AA6" i="89"/>
  <c r="Y17" i="89"/>
  <c r="AC27" i="89"/>
  <c r="AA38" i="89"/>
  <c r="Z13" i="89"/>
  <c r="X24" i="89"/>
  <c r="AB34" i="89"/>
  <c r="X7" i="89"/>
  <c r="Z12" i="89"/>
  <c r="AB17" i="89"/>
  <c r="X23" i="89"/>
  <c r="Z28" i="89"/>
  <c r="AB33" i="89"/>
  <c r="X39" i="89"/>
  <c r="AC19" i="89"/>
  <c r="X16" i="89"/>
  <c r="Z37" i="89"/>
  <c r="Z8" i="89"/>
  <c r="X19" i="89"/>
  <c r="AB29" i="89"/>
  <c r="Z40" i="89"/>
  <c r="Y7" i="89"/>
  <c r="AA12" i="89"/>
  <c r="AC17" i="89"/>
  <c r="Y23" i="89"/>
  <c r="AA28" i="89"/>
  <c r="AC33" i="89"/>
  <c r="Y39" i="89"/>
  <c r="AB8" i="89"/>
  <c r="X14" i="89"/>
  <c r="Z19" i="89"/>
  <c r="AB24" i="89"/>
  <c r="X30" i="89"/>
  <c r="Z35" i="89"/>
  <c r="AB40" i="89"/>
  <c r="AC4" i="89"/>
  <c r="Y10" i="89"/>
  <c r="AA15" i="89"/>
  <c r="AC20" i="89"/>
  <c r="Y26" i="89"/>
  <c r="AA31" i="89"/>
  <c r="AC36" i="89"/>
  <c r="AB7" i="89"/>
  <c r="X13" i="89"/>
  <c r="Z18" i="89"/>
  <c r="AB23" i="89"/>
  <c r="X29" i="89"/>
  <c r="Z34" i="89"/>
  <c r="Y25" i="89"/>
  <c r="Z21" i="89"/>
  <c r="X11" i="89"/>
  <c r="AB21" i="89"/>
  <c r="Z32" i="89"/>
  <c r="AA8" i="89"/>
  <c r="AC13" i="89"/>
  <c r="Y19" i="89"/>
  <c r="AA24" i="89"/>
  <c r="AC29" i="89"/>
  <c r="Y35" i="89"/>
  <c r="AA40" i="89"/>
  <c r="AB4" i="89"/>
  <c r="X10" i="89"/>
  <c r="Z15" i="89"/>
  <c r="AB20" i="89"/>
  <c r="X26" i="89"/>
  <c r="Z31" i="89"/>
  <c r="AB36" i="89"/>
  <c r="Y6" i="89"/>
  <c r="AA11" i="89"/>
  <c r="AC16" i="89"/>
  <c r="Y22" i="89"/>
  <c r="AA27" i="89"/>
  <c r="AC32" i="89"/>
  <c r="Y38" i="89"/>
  <c r="X9" i="89"/>
  <c r="Z14" i="89"/>
  <c r="AB19" i="89"/>
  <c r="X25" i="89"/>
  <c r="Z30" i="89"/>
  <c r="AB35" i="89"/>
  <c r="Y9" i="89"/>
  <c r="AA30" i="89"/>
  <c r="Z5" i="89"/>
  <c r="AB26" i="89"/>
  <c r="AB13" i="89"/>
  <c r="Z24" i="89"/>
  <c r="X35" i="89"/>
  <c r="AA4" i="89"/>
  <c r="AC9" i="89"/>
  <c r="Y15" i="89"/>
  <c r="AA20" i="89"/>
  <c r="AC25" i="89"/>
  <c r="Y31" i="89"/>
  <c r="AA36" i="89"/>
  <c r="X6" i="89"/>
  <c r="Z11" i="89"/>
  <c r="AB16" i="89"/>
  <c r="X22" i="89"/>
  <c r="Z27" i="89"/>
  <c r="AB32" i="89"/>
  <c r="X38" i="89"/>
  <c r="AA7" i="89"/>
  <c r="AC12" i="89"/>
  <c r="Y18" i="89"/>
  <c r="AA23" i="89"/>
  <c r="AC28" i="89"/>
  <c r="Y34" i="89"/>
  <c r="AA39" i="89"/>
  <c r="X5" i="89"/>
  <c r="Z10" i="89"/>
  <c r="AB15" i="89"/>
  <c r="X21" i="89"/>
  <c r="Z26" i="89"/>
  <c r="AB31" i="89"/>
  <c r="X37" i="89"/>
  <c r="AA14" i="89"/>
  <c r="AC35" i="89"/>
  <c r="AB10" i="89"/>
  <c r="X32" i="89"/>
  <c r="AB5" i="89"/>
  <c r="Z16" i="89"/>
  <c r="X27" i="89"/>
  <c r="AB37" i="89"/>
  <c r="AC5" i="89"/>
  <c r="Y11" i="89"/>
  <c r="AA16" i="89"/>
  <c r="AC21" i="89"/>
  <c r="Y27" i="89"/>
  <c r="AA32" i="89"/>
  <c r="AC37" i="89"/>
  <c r="Z7" i="89"/>
  <c r="AB12" i="89"/>
  <c r="X18" i="89"/>
  <c r="Z23" i="89"/>
  <c r="AB28" i="89"/>
  <c r="X34" i="89"/>
  <c r="Z39" i="89"/>
  <c r="AC8" i="89"/>
  <c r="Y14" i="89"/>
  <c r="AA19" i="89"/>
  <c r="AC24" i="89"/>
  <c r="Y30" i="89"/>
  <c r="AA35" i="89"/>
  <c r="AC40" i="89"/>
  <c r="Z6" i="89"/>
  <c r="AB11" i="89"/>
  <c r="X17" i="89"/>
  <c r="Z22" i="89"/>
  <c r="AB27" i="89"/>
  <c r="X33" i="89"/>
  <c r="Z38" i="89"/>
  <c r="G27" i="87"/>
  <c r="I27" i="87"/>
  <c r="G26" i="87"/>
  <c r="H25" i="87"/>
  <c r="G24" i="87"/>
  <c r="I25" i="87"/>
  <c r="H27" i="87"/>
  <c r="J27" i="87"/>
  <c r="H24" i="87"/>
  <c r="I26" i="87"/>
  <c r="J24" i="87"/>
  <c r="J25" i="87"/>
  <c r="H26" i="87"/>
  <c r="I24" i="87"/>
  <c r="J26" i="87"/>
  <c r="G25" i="87"/>
  <c r="I20" i="87"/>
  <c r="I18" i="87"/>
  <c r="G20" i="87"/>
  <c r="G18" i="87"/>
  <c r="J21" i="87"/>
  <c r="H20" i="87"/>
  <c r="H18" i="87"/>
  <c r="J18" i="87"/>
  <c r="H19" i="87"/>
  <c r="J19" i="87"/>
  <c r="G19" i="87"/>
  <c r="H21" i="87"/>
  <c r="I19" i="87"/>
  <c r="J20" i="87"/>
  <c r="G21" i="87"/>
  <c r="I21" i="87"/>
  <c r="Q8" i="87"/>
  <c r="U8" i="87" s="1"/>
  <c r="AD44" i="87" s="1"/>
  <c r="AD50" i="87" s="1"/>
  <c r="Q10" i="87"/>
  <c r="T10" i="87" s="1"/>
  <c r="AC46" i="87" s="1"/>
  <c r="AC52" i="87" s="1"/>
  <c r="Q7" i="87"/>
  <c r="U7" i="87" s="1"/>
  <c r="AD43" i="87" s="1"/>
  <c r="AD49" i="87" s="1"/>
  <c r="Q6" i="87"/>
  <c r="S10" i="87"/>
  <c r="AB46" i="87" s="1"/>
  <c r="AB52" i="87" s="1"/>
  <c r="Q9" i="87"/>
  <c r="U9" i="87" s="1"/>
  <c r="AD45" i="87" s="1"/>
  <c r="AD51" i="87" s="1"/>
  <c r="R10" i="87"/>
  <c r="AA46" i="87" s="1"/>
  <c r="AA52" i="87" s="1"/>
  <c r="Z42" i="87"/>
  <c r="Z48" i="87" s="1"/>
  <c r="Q15" i="87"/>
  <c r="U15" i="87" s="1"/>
  <c r="T6" i="87"/>
  <c r="AC42" i="87" s="1"/>
  <c r="AC48" i="87" s="1"/>
  <c r="AL4" i="87"/>
  <c r="S6" i="87"/>
  <c r="AB42" i="87" s="1"/>
  <c r="AB48" i="87" s="1"/>
  <c r="R6" i="87"/>
  <c r="AA42" i="87" s="1"/>
  <c r="AA48" i="87" s="1"/>
  <c r="U6" i="87"/>
  <c r="AD42" i="87" s="1"/>
  <c r="AD48" i="87" s="1"/>
  <c r="T7" i="87"/>
  <c r="AC43" i="87" s="1"/>
  <c r="AC49" i="87" s="1"/>
  <c r="Q16" i="87"/>
  <c r="U16" i="87" s="1"/>
  <c r="Q18" i="87"/>
  <c r="U18" i="87" s="1"/>
  <c r="R9" i="87"/>
  <c r="AA45" i="87" s="1"/>
  <c r="AA51" i="87" s="1"/>
  <c r="Z46" i="87"/>
  <c r="Z52" i="87" s="1"/>
  <c r="Q19" i="87"/>
  <c r="U19" i="87" s="1"/>
  <c r="U10" i="87"/>
  <c r="AD46" i="87" s="1"/>
  <c r="AD52" i="87" s="1"/>
  <c r="W3" i="86"/>
  <c r="W37" i="86" s="1"/>
  <c r="V3" i="86"/>
  <c r="V37" i="86" s="1"/>
  <c r="AB13" i="86"/>
  <c r="X3" i="86"/>
  <c r="X37" i="86" s="1"/>
  <c r="Y3" i="86"/>
  <c r="Y37" i="86" s="1"/>
  <c r="AB14" i="86"/>
  <c r="AF3" i="86"/>
  <c r="AB16" i="86"/>
  <c r="M11" i="85"/>
  <c r="L11" i="85"/>
  <c r="K11" i="85"/>
  <c r="J11" i="85"/>
  <c r="I11" i="85"/>
  <c r="M10" i="85"/>
  <c r="L10" i="85"/>
  <c r="K10" i="85"/>
  <c r="J10" i="85"/>
  <c r="I10" i="85"/>
  <c r="E11" i="85"/>
  <c r="E10" i="85"/>
  <c r="P17" i="89" a="1"/>
  <c r="Q23" i="89" l="1"/>
  <c r="R22" i="89"/>
  <c r="R20" i="89"/>
  <c r="T18" i="89"/>
  <c r="S17" i="89"/>
  <c r="S23" i="89"/>
  <c r="T21" i="89"/>
  <c r="Q20" i="89"/>
  <c r="S18" i="89"/>
  <c r="Q17" i="89"/>
  <c r="R23" i="89"/>
  <c r="P21" i="89"/>
  <c r="T19" i="89"/>
  <c r="Q18" i="89"/>
  <c r="P17" i="89"/>
  <c r="R19" i="89"/>
  <c r="T17" i="89"/>
  <c r="S22" i="89"/>
  <c r="T20" i="89"/>
  <c r="Q19" i="89"/>
  <c r="P22" i="89"/>
  <c r="P19" i="89"/>
  <c r="Q22" i="89"/>
  <c r="S20" i="89"/>
  <c r="P18" i="89"/>
  <c r="Q21" i="89"/>
  <c r="R21" i="89"/>
  <c r="P20" i="89"/>
  <c r="S19" i="89"/>
  <c r="P23" i="89"/>
  <c r="S21" i="89"/>
  <c r="R17" i="89"/>
  <c r="T22" i="89"/>
  <c r="T23" i="89"/>
  <c r="R18" i="89"/>
  <c r="AL5" i="87"/>
  <c r="AE3" i="87" a="1"/>
  <c r="AF3" i="87" s="1"/>
  <c r="R8" i="87"/>
  <c r="AA44" i="87" s="1"/>
  <c r="AA50" i="87" s="1"/>
  <c r="Z43" i="87"/>
  <c r="Z49" i="87" s="1"/>
  <c r="AL8" i="87"/>
  <c r="AL18" i="87" s="1"/>
  <c r="R7" i="87"/>
  <c r="AA43" i="87" s="1"/>
  <c r="AA49" i="87" s="1"/>
  <c r="S8" i="87"/>
  <c r="AB44" i="87" s="1"/>
  <c r="AB50" i="87" s="1"/>
  <c r="AL6" i="87"/>
  <c r="T8" i="87"/>
  <c r="AC44" i="87" s="1"/>
  <c r="AC50" i="87" s="1"/>
  <c r="Q17" i="87"/>
  <c r="U17" i="87" s="1"/>
  <c r="U20" i="87" s="1"/>
  <c r="V15" i="87" s="1"/>
  <c r="W15" i="87" s="1"/>
  <c r="S7" i="87"/>
  <c r="AB43" i="87" s="1"/>
  <c r="AB49" i="87" s="1"/>
  <c r="Z44" i="87"/>
  <c r="Z50" i="87" s="1"/>
  <c r="Z45" i="87"/>
  <c r="Z51" i="87" s="1"/>
  <c r="S9" i="87"/>
  <c r="AB45" i="87" s="1"/>
  <c r="AB51" i="87" s="1"/>
  <c r="AL7" i="87"/>
  <c r="AL17" i="87" s="1"/>
  <c r="T9" i="87"/>
  <c r="AC45" i="87" s="1"/>
  <c r="AC51" i="87" s="1"/>
  <c r="M8" i="89"/>
  <c r="L8" i="89"/>
  <c r="J16" i="89"/>
  <c r="K8" i="89"/>
  <c r="N8" i="89"/>
  <c r="M12" i="89"/>
  <c r="L12" i="89"/>
  <c r="J20" i="89"/>
  <c r="K12" i="89"/>
  <c r="N12" i="89"/>
  <c r="J17" i="89"/>
  <c r="M9" i="89"/>
  <c r="N9" i="89"/>
  <c r="K9" i="89"/>
  <c r="L9" i="89"/>
  <c r="M10" i="89"/>
  <c r="J18" i="89"/>
  <c r="L10" i="89"/>
  <c r="N10" i="89"/>
  <c r="K10" i="89"/>
  <c r="J19" i="89"/>
  <c r="M11" i="89"/>
  <c r="K11" i="89"/>
  <c r="N11" i="89"/>
  <c r="L11" i="89"/>
  <c r="G9" i="88"/>
  <c r="I9" i="88"/>
  <c r="H9" i="88"/>
  <c r="I8" i="88"/>
  <c r="H8" i="88"/>
  <c r="G8" i="88"/>
  <c r="I10" i="88"/>
  <c r="H10" i="88"/>
  <c r="G10" i="88"/>
  <c r="I11" i="88"/>
  <c r="H11" i="88"/>
  <c r="G11" i="88"/>
  <c r="AL14" i="87"/>
  <c r="L24" i="87" a="1"/>
  <c r="R18" i="87"/>
  <c r="S18" i="87" s="1"/>
  <c r="L18" i="87" a="1"/>
  <c r="R17" i="87"/>
  <c r="S17" i="87" s="1"/>
  <c r="R15" i="87"/>
  <c r="S15" i="87" s="1"/>
  <c r="L6" i="87" a="1"/>
  <c r="L12" i="87" a="1"/>
  <c r="R16" i="87"/>
  <c r="S16" i="87" s="1"/>
  <c r="AI3" i="87"/>
  <c r="AE3" i="87"/>
  <c r="AH3" i="87"/>
  <c r="L30" i="87" a="1"/>
  <c r="R19" i="87"/>
  <c r="S19" i="87" s="1"/>
  <c r="AL15" i="87"/>
  <c r="AL16" i="87"/>
  <c r="F15" i="86" a="1"/>
  <c r="D6" i="83"/>
  <c r="R18" i="82"/>
  <c r="Q18" i="82"/>
  <c r="T18" i="82" s="1" a="1"/>
  <c r="T18" i="82" s="1"/>
  <c r="Q20" i="82"/>
  <c r="R19" i="82"/>
  <c r="S19" i="82" s="1"/>
  <c r="R20" i="82"/>
  <c r="R17" i="82"/>
  <c r="Q19" i="82"/>
  <c r="Q17" i="82"/>
  <c r="T17" i="82" s="1" a="1"/>
  <c r="T17" i="82" s="1"/>
  <c r="AG3" i="87" l="1"/>
  <c r="AO3" i="87" s="1"/>
  <c r="T19" i="82" a="1"/>
  <c r="T19" i="82" s="1"/>
  <c r="S20" i="82"/>
  <c r="S18" i="82"/>
  <c r="T20" i="82" a="1"/>
  <c r="T20" i="82" s="1"/>
  <c r="V18" i="87"/>
  <c r="W18" i="87" s="1"/>
  <c r="AE41" i="87"/>
  <c r="AM3" i="87"/>
  <c r="AG41" i="87"/>
  <c r="AI41" i="87"/>
  <c r="AQ3" i="87"/>
  <c r="V19" i="87"/>
  <c r="W19" i="87" s="1"/>
  <c r="L33" i="87"/>
  <c r="L32" i="87"/>
  <c r="L31" i="87"/>
  <c r="L30" i="87"/>
  <c r="O33" i="87"/>
  <c r="O32" i="87"/>
  <c r="O31" i="87"/>
  <c r="O30" i="87"/>
  <c r="N33" i="87"/>
  <c r="N32" i="87"/>
  <c r="N31" i="87"/>
  <c r="N30" i="87"/>
  <c r="M32" i="87"/>
  <c r="M31" i="87"/>
  <c r="M30" i="87"/>
  <c r="M33" i="87"/>
  <c r="AH41" i="87"/>
  <c r="AP3" i="87"/>
  <c r="O9" i="87"/>
  <c r="O8" i="87"/>
  <c r="O7" i="87"/>
  <c r="O6" i="87"/>
  <c r="N9" i="87"/>
  <c r="N8" i="87"/>
  <c r="N7" i="87"/>
  <c r="N6" i="87"/>
  <c r="M8" i="87"/>
  <c r="M6" i="87"/>
  <c r="L9" i="87"/>
  <c r="L7" i="87"/>
  <c r="L8" i="87"/>
  <c r="L6" i="87"/>
  <c r="M9" i="87"/>
  <c r="M7" i="87"/>
  <c r="O27" i="87"/>
  <c r="O26" i="87"/>
  <c r="O25" i="87"/>
  <c r="M27" i="87"/>
  <c r="L26" i="87"/>
  <c r="O24" i="87"/>
  <c r="L27" i="87"/>
  <c r="N25" i="87"/>
  <c r="N24" i="87"/>
  <c r="N26" i="87"/>
  <c r="M25" i="87"/>
  <c r="M24" i="87"/>
  <c r="L25" i="87"/>
  <c r="L24" i="87"/>
  <c r="N27" i="87"/>
  <c r="M26" i="87"/>
  <c r="V16" i="87"/>
  <c r="W16" i="87" s="1"/>
  <c r="V17" i="87"/>
  <c r="W17" i="87" s="1"/>
  <c r="AF41" i="87"/>
  <c r="AN3" i="87"/>
  <c r="O15" i="87"/>
  <c r="O14" i="87"/>
  <c r="O13" i="87"/>
  <c r="O12" i="87"/>
  <c r="M15" i="87"/>
  <c r="M14" i="87"/>
  <c r="L14" i="87"/>
  <c r="N12" i="87"/>
  <c r="N15" i="87"/>
  <c r="N13" i="87"/>
  <c r="M12" i="87"/>
  <c r="L15" i="87"/>
  <c r="M13" i="87"/>
  <c r="L12" i="87"/>
  <c r="N14" i="87"/>
  <c r="L13" i="87"/>
  <c r="L21" i="87"/>
  <c r="L20" i="87"/>
  <c r="L19" i="87"/>
  <c r="L18" i="87"/>
  <c r="O21" i="87"/>
  <c r="O20" i="87"/>
  <c r="O19" i="87"/>
  <c r="O18" i="87"/>
  <c r="N21" i="87"/>
  <c r="N20" i="87"/>
  <c r="N19" i="87"/>
  <c r="N18" i="87"/>
  <c r="M20" i="87"/>
  <c r="M19" i="87"/>
  <c r="M18" i="87"/>
  <c r="M21" i="87"/>
  <c r="H17" i="86"/>
  <c r="G16" i="86"/>
  <c r="F15" i="86"/>
  <c r="G17" i="86"/>
  <c r="F16" i="86"/>
  <c r="H15" i="86"/>
  <c r="H16" i="86"/>
  <c r="G15" i="86"/>
  <c r="F17" i="86"/>
  <c r="E13" i="85"/>
  <c r="E14" i="85" s="1"/>
  <c r="S17" i="82"/>
  <c r="X6" i="83"/>
  <c r="W6" i="83"/>
  <c r="V6" i="83"/>
  <c r="T6" i="83"/>
  <c r="S6" i="83"/>
  <c r="R6" i="83"/>
  <c r="P6" i="83"/>
  <c r="O6" i="83"/>
  <c r="N6" i="83"/>
  <c r="L6" i="83"/>
  <c r="L7" i="83" s="1"/>
  <c r="K6" i="83"/>
  <c r="J6" i="83"/>
  <c r="H6" i="83"/>
  <c r="G6" i="83"/>
  <c r="F6" i="83"/>
  <c r="H7" i="83" s="1"/>
  <c r="C6" i="83"/>
  <c r="B6" i="83"/>
  <c r="AA3" i="83"/>
  <c r="L19" i="85" a="1"/>
  <c r="E18" i="85"/>
  <c r="M19" i="85" a="1"/>
  <c r="J19" i="85" a="1"/>
  <c r="K19" i="85" a="1"/>
  <c r="E17" i="85"/>
  <c r="Z10" i="85" s="1" a="1"/>
  <c r="I19" i="85" a="1"/>
  <c r="I20" i="85" l="1"/>
  <c r="I19" i="85"/>
  <c r="Z14" i="85"/>
  <c r="Z13" i="85"/>
  <c r="Z12" i="85"/>
  <c r="Z11" i="85"/>
  <c r="Z10" i="85"/>
  <c r="K20" i="85"/>
  <c r="K19" i="85"/>
  <c r="J20" i="85"/>
  <c r="J19" i="85"/>
  <c r="M20" i="85"/>
  <c r="M19" i="85"/>
  <c r="L20" i="85"/>
  <c r="L19" i="85"/>
  <c r="M15" i="85" a="1"/>
  <c r="T21" i="82"/>
  <c r="T7" i="83"/>
  <c r="X7" i="83"/>
  <c r="D7" i="83"/>
  <c r="P7" i="83"/>
  <c r="AH25" i="87" a="1"/>
  <c r="AH25" i="87" s="1"/>
  <c r="AE46" i="87" a="1"/>
  <c r="AE46" i="87" s="1"/>
  <c r="AH38" i="87" a="1"/>
  <c r="AH38" i="87" s="1"/>
  <c r="AE26" i="87" a="1"/>
  <c r="AE26" i="87" s="1"/>
  <c r="AH27" i="87" a="1"/>
  <c r="AH27" i="87" s="1"/>
  <c r="AE27" i="87" a="1"/>
  <c r="AE27" i="87" s="1"/>
  <c r="AF28" i="87" a="1"/>
  <c r="AF28" i="87" s="1"/>
  <c r="AF27" i="87" a="1"/>
  <c r="AF27" i="87" s="1"/>
  <c r="AF26" i="87" a="1"/>
  <c r="AF26" i="87" s="1"/>
  <c r="AF25" i="87" a="1"/>
  <c r="AF25" i="87" s="1"/>
  <c r="AF24" i="87" a="1"/>
  <c r="AF24" i="87" s="1"/>
  <c r="AF39" i="87" a="1"/>
  <c r="AF39" i="87" s="1"/>
  <c r="AF38" i="87" a="1"/>
  <c r="AF38" i="87" s="1"/>
  <c r="AF37" i="87" a="1"/>
  <c r="AF37" i="87" s="1"/>
  <c r="AF36" i="87" a="1"/>
  <c r="AF36" i="87" s="1"/>
  <c r="AF35" i="87" a="1"/>
  <c r="AF35" i="87" s="1"/>
  <c r="AF34" i="87" a="1"/>
  <c r="AF34" i="87" s="1"/>
  <c r="AF33" i="87" a="1"/>
  <c r="AF33" i="87" s="1"/>
  <c r="AF32" i="87" a="1"/>
  <c r="AF32" i="87" s="1"/>
  <c r="AF31" i="87" a="1"/>
  <c r="AF31" i="87" s="1"/>
  <c r="AF30" i="87" a="1"/>
  <c r="AF30" i="87" s="1"/>
  <c r="AF21" i="87" a="1"/>
  <c r="AF21" i="87" s="1"/>
  <c r="AF20" i="87" a="1"/>
  <c r="AF20" i="87" s="1"/>
  <c r="AF15" i="87" a="1"/>
  <c r="AF15" i="87" s="1"/>
  <c r="AF14" i="87" a="1"/>
  <c r="AF14" i="87" s="1"/>
  <c r="AF13" i="87" a="1"/>
  <c r="AF13" i="87" s="1"/>
  <c r="AF12" i="87" a="1"/>
  <c r="AF12" i="87" s="1"/>
  <c r="AF19" i="87" a="1"/>
  <c r="AF19" i="87" s="1"/>
  <c r="AF23" i="87" a="1"/>
  <c r="AF23" i="87" s="1"/>
  <c r="AF16" i="87" a="1"/>
  <c r="AF16" i="87" s="1"/>
  <c r="AF45" i="87" a="1"/>
  <c r="AF45" i="87" s="1"/>
  <c r="AF11" i="87" a="1"/>
  <c r="AF11" i="87" s="1"/>
  <c r="AF44" i="87" a="1"/>
  <c r="AF44" i="87" s="1"/>
  <c r="AF29" i="87" a="1"/>
  <c r="AF29" i="87" s="1"/>
  <c r="AF22" i="87" a="1"/>
  <c r="AF22" i="87" s="1"/>
  <c r="AF10" i="87" a="1"/>
  <c r="AF10" i="87" s="1"/>
  <c r="AF43" i="87" a="1"/>
  <c r="AF43" i="87" s="1"/>
  <c r="AF17" i="87" a="1"/>
  <c r="AF17" i="87" s="1"/>
  <c r="AF5" i="87" a="1"/>
  <c r="AF5" i="87" s="1"/>
  <c r="AF46" i="87" a="1"/>
  <c r="AF46" i="87" s="1"/>
  <c r="AF9" i="87" a="1"/>
  <c r="AF9" i="87" s="1"/>
  <c r="AF6" i="87" a="1"/>
  <c r="AF6" i="87" s="1"/>
  <c r="AF4" i="87" a="1"/>
  <c r="AF4" i="87" s="1"/>
  <c r="AF42" i="87" a="1"/>
  <c r="AF42" i="87" s="1"/>
  <c r="AF8" i="87" a="1"/>
  <c r="AF8" i="87" s="1"/>
  <c r="AF7" i="87" a="1"/>
  <c r="AF7" i="87" s="1"/>
  <c r="AF18" i="87" a="1"/>
  <c r="AF18" i="87" s="1"/>
  <c r="AH18" i="87" a="1"/>
  <c r="AH18" i="87" s="1"/>
  <c r="AH43" i="87" a="1"/>
  <c r="AH43" i="87" s="1"/>
  <c r="AH14" i="87" a="1"/>
  <c r="AH14" i="87" s="1"/>
  <c r="AH34" i="87" a="1"/>
  <c r="AH34" i="87" s="1"/>
  <c r="AH26" i="87" a="1"/>
  <c r="AH26" i="87" s="1"/>
  <c r="AE8" i="87" a="1"/>
  <c r="AE8" i="87" s="1"/>
  <c r="AE20" i="87" a="1"/>
  <c r="AE20" i="87" s="1"/>
  <c r="AE32" i="87" a="1"/>
  <c r="AE32" i="87" s="1"/>
  <c r="AE16" i="87" a="1"/>
  <c r="AE16" i="87" s="1"/>
  <c r="AE43" i="87" a="1"/>
  <c r="AE43" i="87" s="1"/>
  <c r="AH10" i="87" a="1"/>
  <c r="AH10" i="87" s="1"/>
  <c r="AH44" i="87" a="1"/>
  <c r="AH44" i="87" s="1"/>
  <c r="AH29" i="87" a="1"/>
  <c r="AH29" i="87" s="1"/>
  <c r="AH31" i="87" a="1"/>
  <c r="AH31" i="87" s="1"/>
  <c r="AH39" i="87" a="1"/>
  <c r="AH39" i="87" s="1"/>
  <c r="AE5" i="87" a="1"/>
  <c r="AE5" i="87" s="1"/>
  <c r="AE21" i="87" a="1"/>
  <c r="AE21" i="87" s="1"/>
  <c r="AE33" i="87" a="1"/>
  <c r="AE33" i="87" s="1"/>
  <c r="AE37" i="87" a="1"/>
  <c r="AE37" i="87" s="1"/>
  <c r="AE44" i="87" a="1"/>
  <c r="AE44" i="87" s="1"/>
  <c r="AH4" i="87" a="1"/>
  <c r="AH4" i="87" s="1"/>
  <c r="AH8" i="87" a="1"/>
  <c r="AH8" i="87" s="1"/>
  <c r="AH17" i="87" a="1"/>
  <c r="AH17" i="87" s="1"/>
  <c r="AH23" i="87" a="1"/>
  <c r="AH23" i="87" s="1"/>
  <c r="AH45" i="87" a="1"/>
  <c r="AH45" i="87" s="1"/>
  <c r="AH12" i="87" a="1"/>
  <c r="AH12" i="87" s="1"/>
  <c r="AH20" i="87" a="1"/>
  <c r="AH20" i="87" s="1"/>
  <c r="AH32" i="87" a="1"/>
  <c r="AH32" i="87" s="1"/>
  <c r="AH36" i="87" a="1"/>
  <c r="AH36" i="87" s="1"/>
  <c r="AH24" i="87" a="1"/>
  <c r="AH24" i="87" s="1"/>
  <c r="AH28" i="87" a="1"/>
  <c r="AH28" i="87" s="1"/>
  <c r="AE6" i="87" a="1"/>
  <c r="AE6" i="87" s="1"/>
  <c r="AE11" i="87" a="1"/>
  <c r="AE11" i="87" s="1"/>
  <c r="AE14" i="87" a="1"/>
  <c r="AE14" i="87" s="1"/>
  <c r="AE17" i="87" a="1"/>
  <c r="AE17" i="87" s="1"/>
  <c r="AE30" i="87" a="1"/>
  <c r="AE30" i="87" s="1"/>
  <c r="AE34" i="87" a="1"/>
  <c r="AE34" i="87" s="1"/>
  <c r="AE38" i="87" a="1"/>
  <c r="AE38" i="87" s="1"/>
  <c r="AE25" i="87" a="1"/>
  <c r="AE25" i="87" s="1"/>
  <c r="AE28" i="87" a="1"/>
  <c r="AE28" i="87" s="1"/>
  <c r="AE45" i="87" a="1"/>
  <c r="AE45" i="87" s="1"/>
  <c r="AH6" i="87" a="1"/>
  <c r="AH6" i="87" s="1"/>
  <c r="AH22" i="87" a="1"/>
  <c r="AH22" i="87" s="1"/>
  <c r="AH19" i="87" a="1"/>
  <c r="AH19" i="87" s="1"/>
  <c r="AH30" i="87" a="1"/>
  <c r="AH30" i="87" s="1"/>
  <c r="AE10" i="87" a="1"/>
  <c r="AE10" i="87" s="1"/>
  <c r="AE12" i="87" a="1"/>
  <c r="AE12" i="87" s="1"/>
  <c r="AE22" i="87" a="1"/>
  <c r="AE22" i="87" s="1"/>
  <c r="AE36" i="87" a="1"/>
  <c r="AE36" i="87" s="1"/>
  <c r="AH7" i="87" a="1"/>
  <c r="AH7" i="87" s="1"/>
  <c r="AH16" i="87" a="1"/>
  <c r="AH16" i="87" s="1"/>
  <c r="AH15" i="87" a="1"/>
  <c r="AH15" i="87" s="1"/>
  <c r="AH35" i="87" a="1"/>
  <c r="AH35" i="87" s="1"/>
  <c r="AE9" i="87" a="1"/>
  <c r="AE9" i="87" s="1"/>
  <c r="AE13" i="87" a="1"/>
  <c r="AE13" i="87" s="1"/>
  <c r="AE24" i="87" a="1"/>
  <c r="AE24" i="87" s="1"/>
  <c r="AE23" i="87" a="1"/>
  <c r="AE23" i="87" s="1"/>
  <c r="AG46" i="87" a="1"/>
  <c r="AG46" i="87" s="1"/>
  <c r="AG45" i="87" a="1"/>
  <c r="AG45" i="87" s="1"/>
  <c r="AG44" i="87" a="1"/>
  <c r="AG44" i="87" s="1"/>
  <c r="AG43" i="87" a="1"/>
  <c r="AG43" i="87" s="1"/>
  <c r="AG42" i="87" a="1"/>
  <c r="AG42" i="87" s="1"/>
  <c r="AG28" i="87" a="1"/>
  <c r="AG28" i="87" s="1"/>
  <c r="AG27" i="87" a="1"/>
  <c r="AG27" i="87" s="1"/>
  <c r="AG26" i="87" a="1"/>
  <c r="AG26" i="87" s="1"/>
  <c r="AG39" i="87" a="1"/>
  <c r="AG39" i="87" s="1"/>
  <c r="AG38" i="87" a="1"/>
  <c r="AG38" i="87" s="1"/>
  <c r="AG37" i="87" a="1"/>
  <c r="AG37" i="87" s="1"/>
  <c r="AG36" i="87" a="1"/>
  <c r="AG36" i="87" s="1"/>
  <c r="AG35" i="87" a="1"/>
  <c r="AG35" i="87" s="1"/>
  <c r="AG34" i="87" a="1"/>
  <c r="AG34" i="87" s="1"/>
  <c r="AG33" i="87" a="1"/>
  <c r="AG33" i="87" s="1"/>
  <c r="AG32" i="87" a="1"/>
  <c r="AG32" i="87" s="1"/>
  <c r="AG31" i="87" a="1"/>
  <c r="AG31" i="87" s="1"/>
  <c r="AG30" i="87" a="1"/>
  <c r="AG30" i="87" s="1"/>
  <c r="AG23" i="87" a="1"/>
  <c r="AG23" i="87" s="1"/>
  <c r="AG16" i="87" a="1"/>
  <c r="AG16" i="87" s="1"/>
  <c r="AG25" i="87" a="1"/>
  <c r="AG25" i="87" s="1"/>
  <c r="AG22" i="87" a="1"/>
  <c r="AG22" i="87" s="1"/>
  <c r="AG18" i="87" a="1"/>
  <c r="AG18" i="87" s="1"/>
  <c r="AG17" i="87" a="1"/>
  <c r="AG17" i="87" s="1"/>
  <c r="AG29" i="87" a="1"/>
  <c r="AG29" i="87" s="1"/>
  <c r="AG24" i="87" a="1"/>
  <c r="AG24" i="87" s="1"/>
  <c r="AG21" i="87" a="1"/>
  <c r="AG21" i="87" s="1"/>
  <c r="AG20" i="87" a="1"/>
  <c r="AG20" i="87" s="1"/>
  <c r="AG15" i="87" a="1"/>
  <c r="AG15" i="87" s="1"/>
  <c r="AG14" i="87" a="1"/>
  <c r="AG14" i="87" s="1"/>
  <c r="AG13" i="87" a="1"/>
  <c r="AG13" i="87" s="1"/>
  <c r="AG12" i="87" a="1"/>
  <c r="AG12" i="87" s="1"/>
  <c r="AG19" i="87" a="1"/>
  <c r="AG19" i="87" s="1"/>
  <c r="AG11" i="87" a="1"/>
  <c r="AG11" i="87" s="1"/>
  <c r="AG9" i="87" a="1"/>
  <c r="AG9" i="87" s="1"/>
  <c r="AG8" i="87" a="1"/>
  <c r="AG8" i="87" s="1"/>
  <c r="AG7" i="87" a="1"/>
  <c r="AG7" i="87" s="1"/>
  <c r="AG6" i="87" a="1"/>
  <c r="AG6" i="87" s="1"/>
  <c r="AG10" i="87" a="1"/>
  <c r="AG10" i="87" s="1"/>
  <c r="AG4" i="87" a="1"/>
  <c r="AG4" i="87" s="1"/>
  <c r="AG5" i="87" a="1"/>
  <c r="AG5" i="87" s="1"/>
  <c r="AI46" i="87" a="1"/>
  <c r="AI46" i="87" s="1"/>
  <c r="AI45" i="87" a="1"/>
  <c r="AI45" i="87" s="1"/>
  <c r="AI44" i="87" a="1"/>
  <c r="AI44" i="87" s="1"/>
  <c r="AI43" i="87" a="1"/>
  <c r="AI43" i="87" s="1"/>
  <c r="AI42" i="87" a="1"/>
  <c r="AI42" i="87" s="1"/>
  <c r="AI28" i="87" a="1"/>
  <c r="AI28" i="87" s="1"/>
  <c r="AI27" i="87" a="1"/>
  <c r="AI27" i="87" s="1"/>
  <c r="AI26" i="87" a="1"/>
  <c r="AI26" i="87" s="1"/>
  <c r="AI29" i="87" a="1"/>
  <c r="AI29" i="87" s="1"/>
  <c r="AI23" i="87" a="1"/>
  <c r="AI23" i="87" s="1"/>
  <c r="AI16" i="87" a="1"/>
  <c r="AI16" i="87" s="1"/>
  <c r="AI22" i="87" a="1"/>
  <c r="AI22" i="87" s="1"/>
  <c r="AI18" i="87" a="1"/>
  <c r="AI18" i="87" s="1"/>
  <c r="AI17" i="87" a="1"/>
  <c r="AI17" i="87" s="1"/>
  <c r="AI25" i="87" a="1"/>
  <c r="AI25" i="87" s="1"/>
  <c r="AI21" i="87" a="1"/>
  <c r="AI21" i="87" s="1"/>
  <c r="AI20" i="87" a="1"/>
  <c r="AI20" i="87" s="1"/>
  <c r="AI15" i="87" a="1"/>
  <c r="AI15" i="87" s="1"/>
  <c r="AI14" i="87" a="1"/>
  <c r="AI14" i="87" s="1"/>
  <c r="AI13" i="87" a="1"/>
  <c r="AI13" i="87" s="1"/>
  <c r="AI12" i="87" a="1"/>
  <c r="AI12" i="87" s="1"/>
  <c r="AI39" i="87" a="1"/>
  <c r="AI39" i="87" s="1"/>
  <c r="AI37" i="87" a="1"/>
  <c r="AI37" i="87" s="1"/>
  <c r="AI35" i="87" a="1"/>
  <c r="AI35" i="87" s="1"/>
  <c r="AI33" i="87" a="1"/>
  <c r="AI33" i="87" s="1"/>
  <c r="AI31" i="87" a="1"/>
  <c r="AI31" i="87" s="1"/>
  <c r="AI11" i="87" a="1"/>
  <c r="AI11" i="87" s="1"/>
  <c r="AI9" i="87" a="1"/>
  <c r="AI9" i="87" s="1"/>
  <c r="AI8" i="87" a="1"/>
  <c r="AI8" i="87" s="1"/>
  <c r="AI7" i="87" a="1"/>
  <c r="AI7" i="87" s="1"/>
  <c r="AI6" i="87" a="1"/>
  <c r="AI6" i="87" s="1"/>
  <c r="AI38" i="87" a="1"/>
  <c r="AI38" i="87" s="1"/>
  <c r="AI30" i="87" a="1"/>
  <c r="AI30" i="87" s="1"/>
  <c r="AI5" i="87" a="1"/>
  <c r="AI5" i="87" s="1"/>
  <c r="AI32" i="87" a="1"/>
  <c r="AI32" i="87" s="1"/>
  <c r="AI4" i="87" a="1"/>
  <c r="AI4" i="87" s="1"/>
  <c r="AI34" i="87" a="1"/>
  <c r="AI34" i="87" s="1"/>
  <c r="AI24" i="87" a="1"/>
  <c r="AI24" i="87" s="1"/>
  <c r="AI36" i="87" a="1"/>
  <c r="AI36" i="87" s="1"/>
  <c r="AI19" i="87" a="1"/>
  <c r="AI19" i="87" s="1"/>
  <c r="AI10" i="87" a="1"/>
  <c r="AI10" i="87" s="1"/>
  <c r="AH9" i="87" a="1"/>
  <c r="AH9" i="87" s="1"/>
  <c r="AH5" i="87" a="1"/>
  <c r="AH5" i="87" s="1"/>
  <c r="AH11" i="87" a="1"/>
  <c r="AH11" i="87" s="1"/>
  <c r="AH42" i="87" a="1"/>
  <c r="AH42" i="87" s="1"/>
  <c r="AH46" i="87" a="1"/>
  <c r="AH46" i="87" s="1"/>
  <c r="AH13" i="87" a="1"/>
  <c r="AH13" i="87" s="1"/>
  <c r="AH21" i="87" a="1"/>
  <c r="AH21" i="87" s="1"/>
  <c r="AH33" i="87" a="1"/>
  <c r="AH33" i="87" s="1"/>
  <c r="AH37" i="87" a="1"/>
  <c r="AH37" i="87" s="1"/>
  <c r="AE4" i="87" a="1"/>
  <c r="AE4" i="87" s="1"/>
  <c r="AE7" i="87" a="1"/>
  <c r="AE7" i="87" s="1"/>
  <c r="AE19" i="87" a="1"/>
  <c r="AE19" i="87" s="1"/>
  <c r="AE15" i="87" a="1"/>
  <c r="AE15" i="87" s="1"/>
  <c r="AE18" i="87" a="1"/>
  <c r="AE18" i="87" s="1"/>
  <c r="AE31" i="87" a="1"/>
  <c r="AE31" i="87" s="1"/>
  <c r="AE35" i="87" a="1"/>
  <c r="AE35" i="87" s="1"/>
  <c r="AE39" i="87" a="1"/>
  <c r="AE39" i="87" s="1"/>
  <c r="AE29" i="87" a="1"/>
  <c r="AE29" i="87" s="1"/>
  <c r="AE42" i="87" a="1"/>
  <c r="AE42" i="87" s="1"/>
  <c r="L16" i="86" a="1"/>
  <c r="L14" i="86" a="1"/>
  <c r="L17" i="86" a="1"/>
  <c r="K15" i="86" a="1"/>
  <c r="K15" i="86" s="1"/>
  <c r="K17" i="86" a="1"/>
  <c r="K17" i="86" s="1"/>
  <c r="L15" i="86" a="1"/>
  <c r="K14" i="86" a="1"/>
  <c r="K14" i="86" s="1"/>
  <c r="K16" i="86" a="1"/>
  <c r="K16" i="86" s="1"/>
  <c r="Q27" i="82"/>
  <c r="Q26" i="82"/>
  <c r="Q25" i="82"/>
  <c r="Q24" i="82"/>
  <c r="R27" i="82"/>
  <c r="R25" i="82"/>
  <c r="S27" i="82"/>
  <c r="S26" i="82"/>
  <c r="S25" i="82"/>
  <c r="S24" i="82"/>
  <c r="R26" i="82"/>
  <c r="R24" i="82"/>
  <c r="U12" i="82"/>
  <c r="U11" i="82"/>
  <c r="U10" i="82"/>
  <c r="G23" i="74"/>
  <c r="G24" i="74" s="1"/>
  <c r="G25" i="74" s="1"/>
  <c r="G26" i="74" s="1"/>
  <c r="G27" i="74" s="1"/>
  <c r="G28" i="74" s="1"/>
  <c r="G29" i="74" s="1"/>
  <c r="G30" i="74" s="1"/>
  <c r="G31" i="74" s="1"/>
  <c r="G32" i="74" s="1"/>
  <c r="G33" i="74" s="1"/>
  <c r="G34" i="74" s="1"/>
  <c r="G35" i="74" s="1"/>
  <c r="G36" i="74" s="1"/>
  <c r="J22" i="74" a="1"/>
  <c r="J24" i="74" s="1"/>
  <c r="P21" i="74"/>
  <c r="Q21" i="74" s="1"/>
  <c r="L21" i="74"/>
  <c r="G5" i="74"/>
  <c r="G6" i="74" s="1"/>
  <c r="G7" i="74" s="1"/>
  <c r="G8" i="74" s="1"/>
  <c r="G9" i="74" s="1"/>
  <c r="G10" i="74" s="1"/>
  <c r="G11" i="74" s="1"/>
  <c r="G12" i="74" s="1"/>
  <c r="G13" i="74" s="1"/>
  <c r="G14" i="74" s="1"/>
  <c r="G15" i="74" s="1"/>
  <c r="G16" i="74" s="1"/>
  <c r="G17" i="74" s="1"/>
  <c r="G18" i="74" s="1"/>
  <c r="A5" i="74"/>
  <c r="A6" i="74" s="1"/>
  <c r="A7" i="74" s="1"/>
  <c r="A8" i="74" s="1"/>
  <c r="A9" i="74" s="1"/>
  <c r="A10" i="74" s="1"/>
  <c r="A11" i="74" s="1"/>
  <c r="A12" i="74" s="1"/>
  <c r="A13" i="74" s="1"/>
  <c r="A14" i="74" s="1"/>
  <c r="A15" i="74" s="1"/>
  <c r="A16" i="74" s="1"/>
  <c r="A17" i="74" s="1"/>
  <c r="A18" i="74" s="1"/>
  <c r="J4" i="74" a="1"/>
  <c r="J4" i="74" s="1"/>
  <c r="P3" i="74"/>
  <c r="Q3" i="74" s="1"/>
  <c r="L3" i="74"/>
  <c r="L6" i="75"/>
  <c r="K6" i="75"/>
  <c r="J6" i="75"/>
  <c r="I6" i="75"/>
  <c r="Q13" i="75" s="1"/>
  <c r="V5" i="75"/>
  <c r="V6" i="75" s="1"/>
  <c r="V7" i="75" s="1"/>
  <c r="V8" i="75" s="1"/>
  <c r="V9" i="75" s="1"/>
  <c r="V10" i="75" s="1"/>
  <c r="V11" i="75" s="1"/>
  <c r="V12" i="75" s="1"/>
  <c r="V13" i="75" s="1"/>
  <c r="V14" i="75" s="1"/>
  <c r="V15" i="75" s="1"/>
  <c r="V16" i="75" s="1"/>
  <c r="V17" i="75" s="1"/>
  <c r="V18" i="75" s="1"/>
  <c r="N5" i="75"/>
  <c r="N6" i="75" s="1"/>
  <c r="N7" i="75" s="1"/>
  <c r="N8" i="75" s="1"/>
  <c r="N9" i="75" s="1"/>
  <c r="N10" i="75" s="1"/>
  <c r="N11" i="75" s="1"/>
  <c r="N12" i="75" s="1"/>
  <c r="N13" i="75" s="1"/>
  <c r="N14" i="75" s="1"/>
  <c r="N15" i="75" s="1"/>
  <c r="N16" i="75" s="1"/>
  <c r="N17" i="75" s="1"/>
  <c r="N18" i="75" s="1"/>
  <c r="L5" i="75"/>
  <c r="K5" i="75"/>
  <c r="J5" i="75"/>
  <c r="I5" i="75"/>
  <c r="A5" i="75"/>
  <c r="A6" i="75" s="1"/>
  <c r="A7" i="75" s="1"/>
  <c r="A8" i="75" s="1"/>
  <c r="A9" i="75" s="1"/>
  <c r="A10" i="75" s="1"/>
  <c r="A11" i="75" s="1"/>
  <c r="A12" i="75" s="1"/>
  <c r="A13" i="75" s="1"/>
  <c r="A14" i="75" s="1"/>
  <c r="A15" i="75" s="1"/>
  <c r="A16" i="75" s="1"/>
  <c r="A17" i="75" s="1"/>
  <c r="A18" i="75" s="1"/>
  <c r="Y4" i="75" a="1"/>
  <c r="Y4" i="75" s="1"/>
  <c r="L4" i="75"/>
  <c r="K4" i="75"/>
  <c r="J4" i="75"/>
  <c r="I4" i="75"/>
  <c r="AE3" i="75"/>
  <c r="AF3" i="75" s="1"/>
  <c r="AA3" i="75"/>
  <c r="AB3" i="75" s="1"/>
  <c r="K18" i="76"/>
  <c r="J18" i="76"/>
  <c r="G18" i="76"/>
  <c r="K17" i="76"/>
  <c r="J17" i="76"/>
  <c r="G17" i="76"/>
  <c r="K16" i="76"/>
  <c r="J16" i="76"/>
  <c r="L16" i="76" s="1"/>
  <c r="G16" i="76"/>
  <c r="K15" i="76"/>
  <c r="J15" i="76"/>
  <c r="G15" i="76"/>
  <c r="K14" i="76"/>
  <c r="J14" i="76"/>
  <c r="G14" i="76"/>
  <c r="K13" i="76"/>
  <c r="J13" i="76"/>
  <c r="G13" i="76"/>
  <c r="K12" i="76"/>
  <c r="J12" i="76"/>
  <c r="L12" i="76" s="1"/>
  <c r="G12" i="76"/>
  <c r="K11" i="76"/>
  <c r="J11" i="76"/>
  <c r="L11" i="76" s="1"/>
  <c r="G11" i="76"/>
  <c r="K10" i="76"/>
  <c r="J10" i="76"/>
  <c r="G10" i="76"/>
  <c r="L9" i="76"/>
  <c r="K9" i="76"/>
  <c r="J9" i="76"/>
  <c r="G9" i="76"/>
  <c r="K8" i="76"/>
  <c r="J8" i="76"/>
  <c r="G8" i="76"/>
  <c r="K7" i="76"/>
  <c r="J7" i="76"/>
  <c r="L7" i="76" s="1"/>
  <c r="G7" i="76"/>
  <c r="K6" i="76"/>
  <c r="J6" i="76"/>
  <c r="L6" i="76" s="1"/>
  <c r="G6" i="76"/>
  <c r="L5" i="76"/>
  <c r="K5" i="76"/>
  <c r="J5" i="76"/>
  <c r="G5" i="76"/>
  <c r="A5" i="76"/>
  <c r="A6" i="76" s="1"/>
  <c r="A7" i="76" s="1"/>
  <c r="A8" i="76" s="1"/>
  <c r="A9" i="76" s="1"/>
  <c r="A10" i="76" s="1"/>
  <c r="A11" i="76" s="1"/>
  <c r="A12" i="76" s="1"/>
  <c r="A13" i="76" s="1"/>
  <c r="A14" i="76" s="1"/>
  <c r="A15" i="76" s="1"/>
  <c r="A16" i="76" s="1"/>
  <c r="A17" i="76" s="1"/>
  <c r="A18" i="76" s="1"/>
  <c r="K4" i="76"/>
  <c r="J4" i="76"/>
  <c r="L4" i="76" s="1"/>
  <c r="M4" i="76" s="1"/>
  <c r="G4" i="76"/>
  <c r="H4" i="76" s="1"/>
  <c r="I5" i="78"/>
  <c r="I6" i="78" s="1"/>
  <c r="I7" i="78" s="1"/>
  <c r="I8" i="78" s="1"/>
  <c r="I9" i="78" s="1"/>
  <c r="I10" i="78" s="1"/>
  <c r="I11" i="78" s="1"/>
  <c r="I12" i="78" s="1"/>
  <c r="I13" i="78" s="1"/>
  <c r="I14" i="78" s="1"/>
  <c r="I15" i="78" s="1"/>
  <c r="I16" i="78" s="1"/>
  <c r="I17" i="78" s="1"/>
  <c r="I18" i="78" s="1"/>
  <c r="L4" i="78" a="1"/>
  <c r="L6" i="78" s="1"/>
  <c r="R3" i="78"/>
  <c r="S3" i="78" s="1"/>
  <c r="N3" i="78"/>
  <c r="G5" i="77"/>
  <c r="G6" i="77" s="1"/>
  <c r="G7" i="77" s="1"/>
  <c r="G8" i="77" s="1"/>
  <c r="G9" i="77" s="1"/>
  <c r="G10" i="77" s="1"/>
  <c r="G11" i="77" s="1"/>
  <c r="G12" i="77" s="1"/>
  <c r="G13" i="77" s="1"/>
  <c r="J4" i="77" a="1"/>
  <c r="J5" i="77" s="1"/>
  <c r="O3" i="77"/>
  <c r="L3" i="77"/>
  <c r="I5" i="79"/>
  <c r="H5" i="79"/>
  <c r="I4" i="79"/>
  <c r="H4" i="79"/>
  <c r="U13" i="82"/>
  <c r="L8" i="76" l="1"/>
  <c r="L13" i="76"/>
  <c r="Q4" i="75"/>
  <c r="P18" i="75"/>
  <c r="L17" i="76"/>
  <c r="M13" i="79"/>
  <c r="L4" i="79"/>
  <c r="L18" i="76"/>
  <c r="J15" i="85" a="1"/>
  <c r="J15" i="85" s="1"/>
  <c r="L15" i="85" a="1"/>
  <c r="L16" i="85" s="1"/>
  <c r="K15" i="85" a="1"/>
  <c r="K15" i="85" s="1"/>
  <c r="I15" i="85" a="1"/>
  <c r="I15" i="85" s="1"/>
  <c r="H5" i="76"/>
  <c r="H6" i="76" s="1"/>
  <c r="H7" i="76" s="1"/>
  <c r="H8" i="76" s="1"/>
  <c r="H9" i="76" s="1"/>
  <c r="H10" i="76" s="1"/>
  <c r="H11" i="76" s="1"/>
  <c r="H12" i="76" s="1"/>
  <c r="H13" i="76" s="1"/>
  <c r="H14" i="76" s="1"/>
  <c r="H15" i="76" s="1"/>
  <c r="H16" i="76" s="1"/>
  <c r="H17" i="76" s="1"/>
  <c r="H18" i="76" s="1"/>
  <c r="M5" i="76"/>
  <c r="M6" i="76" s="1"/>
  <c r="M7" i="76" s="1"/>
  <c r="M8" i="76" s="1"/>
  <c r="M9" i="76" s="1"/>
  <c r="P4" i="75"/>
  <c r="L14" i="76"/>
  <c r="M6" i="79"/>
  <c r="M7" i="79"/>
  <c r="O6" i="75"/>
  <c r="Q6" i="75"/>
  <c r="AA4" i="83"/>
  <c r="AA5" i="83" s="1"/>
  <c r="M5" i="79"/>
  <c r="L10" i="76"/>
  <c r="L15" i="76"/>
  <c r="Q5" i="75"/>
  <c r="P5" i="75"/>
  <c r="AI51" i="87"/>
  <c r="AJ27" i="87"/>
  <c r="AI49" i="87"/>
  <c r="AJ28" i="87"/>
  <c r="AJ30" i="87"/>
  <c r="AJ6" i="87"/>
  <c r="AJ12" i="87"/>
  <c r="AJ31" i="87"/>
  <c r="AJ7" i="87"/>
  <c r="AG52" i="87"/>
  <c r="AJ10" i="87"/>
  <c r="AJ8" i="87"/>
  <c r="AJ26" i="87"/>
  <c r="AJ18" i="87"/>
  <c r="AI50" i="87"/>
  <c r="AE48" i="87"/>
  <c r="AJ42" i="87"/>
  <c r="AJ21" i="87"/>
  <c r="AJ4" i="87"/>
  <c r="AJ25" i="87"/>
  <c r="AJ17" i="87"/>
  <c r="AJ44" i="87"/>
  <c r="AE50" i="87"/>
  <c r="AJ5" i="87"/>
  <c r="AH50" i="87"/>
  <c r="AJ16" i="87"/>
  <c r="AF49" i="87"/>
  <c r="AF50" i="87"/>
  <c r="AJ9" i="87"/>
  <c r="AH49" i="87"/>
  <c r="AG49" i="87"/>
  <c r="AJ39" i="87"/>
  <c r="AJ15" i="87"/>
  <c r="AH52" i="87"/>
  <c r="AG50" i="87"/>
  <c r="AJ24" i="87"/>
  <c r="AJ36" i="87"/>
  <c r="AJ38" i="87"/>
  <c r="AJ14" i="87"/>
  <c r="AJ37" i="87"/>
  <c r="AJ32" i="87"/>
  <c r="AF48" i="87"/>
  <c r="AF52" i="87"/>
  <c r="AJ46" i="87"/>
  <c r="AG48" i="87"/>
  <c r="AE49" i="87"/>
  <c r="AJ43" i="87"/>
  <c r="AJ29" i="87"/>
  <c r="AJ23" i="87"/>
  <c r="AJ35" i="87"/>
  <c r="AJ19" i="87"/>
  <c r="AH48" i="87"/>
  <c r="AI48" i="87"/>
  <c r="AI52" i="87"/>
  <c r="AG51" i="87"/>
  <c r="AJ13" i="87"/>
  <c r="AJ22" i="87"/>
  <c r="AE51" i="87"/>
  <c r="AJ45" i="87"/>
  <c r="AJ34" i="87"/>
  <c r="AJ11" i="87"/>
  <c r="AH51" i="87"/>
  <c r="AJ33" i="87"/>
  <c r="AJ20" i="87"/>
  <c r="AF51" i="87"/>
  <c r="AE52" i="87"/>
  <c r="N17" i="86"/>
  <c r="M17" i="86"/>
  <c r="L17" i="86"/>
  <c r="L15" i="86"/>
  <c r="M15" i="86"/>
  <c r="N15" i="86"/>
  <c r="M14" i="86"/>
  <c r="L14" i="86"/>
  <c r="N14" i="86"/>
  <c r="M16" i="86"/>
  <c r="L16" i="86"/>
  <c r="N16" i="86"/>
  <c r="M15" i="85"/>
  <c r="M16" i="85"/>
  <c r="J5" i="74"/>
  <c r="T25" i="82" a="1"/>
  <c r="T25" i="82" s="1"/>
  <c r="T26" i="82" a="1"/>
  <c r="T26" i="82" s="1"/>
  <c r="T27" i="82" a="1"/>
  <c r="T27" i="82" s="1"/>
  <c r="T24" i="82" a="1"/>
  <c r="T24" i="82" s="1"/>
  <c r="J6" i="74"/>
  <c r="M21" i="74"/>
  <c r="J22" i="74"/>
  <c r="J25" i="74"/>
  <c r="J7" i="74"/>
  <c r="J23" i="74"/>
  <c r="M3" i="74"/>
  <c r="Y5" i="75"/>
  <c r="O5" i="75"/>
  <c r="R5" i="75" s="1"/>
  <c r="T5" i="75" s="1"/>
  <c r="P6" i="75"/>
  <c r="Q7" i="75"/>
  <c r="Q14" i="75"/>
  <c r="Q15" i="75"/>
  <c r="Q16" i="75"/>
  <c r="Q17" i="75"/>
  <c r="Q18" i="75"/>
  <c r="O4" i="75"/>
  <c r="R4" i="75" s="1"/>
  <c r="T4" i="75" s="1"/>
  <c r="Y6" i="75"/>
  <c r="O8" i="75"/>
  <c r="O9" i="75"/>
  <c r="O10" i="75"/>
  <c r="O11" i="75"/>
  <c r="O12" i="75"/>
  <c r="O13" i="75"/>
  <c r="Y7" i="75"/>
  <c r="O7" i="75"/>
  <c r="P8" i="75"/>
  <c r="P9" i="75"/>
  <c r="P10" i="75"/>
  <c r="P11" i="75"/>
  <c r="P12" i="75"/>
  <c r="P13" i="75"/>
  <c r="O14" i="75"/>
  <c r="O15" i="75"/>
  <c r="O16" i="75"/>
  <c r="O17" i="75"/>
  <c r="O18" i="75"/>
  <c r="P7" i="75"/>
  <c r="Q8" i="75"/>
  <c r="Q9" i="75"/>
  <c r="Q10" i="75"/>
  <c r="Q11" i="75"/>
  <c r="Q12" i="75"/>
  <c r="P14" i="75"/>
  <c r="P15" i="75"/>
  <c r="P16" i="75"/>
  <c r="P17" i="75"/>
  <c r="M10" i="76"/>
  <c r="M11" i="76" s="1"/>
  <c r="M12" i="76" s="1"/>
  <c r="M13" i="76" s="1"/>
  <c r="M14" i="76" s="1"/>
  <c r="M15" i="76" s="1"/>
  <c r="M16" i="76" s="1"/>
  <c r="M17" i="76" s="1"/>
  <c r="M18" i="76" s="1"/>
  <c r="O3" i="78"/>
  <c r="L5" i="78"/>
  <c r="L7" i="78"/>
  <c r="L4" i="78"/>
  <c r="J4" i="77"/>
  <c r="L7" i="79"/>
  <c r="L6" i="79"/>
  <c r="L8" i="79"/>
  <c r="M8" i="79"/>
  <c r="M4" i="79"/>
  <c r="K4" i="79" s="1"/>
  <c r="L9" i="79"/>
  <c r="L10" i="79"/>
  <c r="L11" i="79"/>
  <c r="L12" i="79"/>
  <c r="L13" i="79"/>
  <c r="L5" i="79"/>
  <c r="M9" i="79"/>
  <c r="M10" i="79"/>
  <c r="M11" i="79"/>
  <c r="M12" i="79"/>
  <c r="A25" i="70" a="1"/>
  <c r="J16" i="85" l="1"/>
  <c r="K16" i="85"/>
  <c r="I16" i="85"/>
  <c r="L15" i="85"/>
  <c r="H21" i="76"/>
  <c r="R13" i="75"/>
  <c r="T13" i="75" s="1"/>
  <c r="R18" i="75"/>
  <c r="T18" i="75" s="1"/>
  <c r="R9" i="75"/>
  <c r="T9" i="75" s="1"/>
  <c r="R15" i="75"/>
  <c r="T15" i="75" s="1"/>
  <c r="R6" i="75"/>
  <c r="T6" i="75" s="1"/>
  <c r="V9" i="86"/>
  <c r="W15" i="86"/>
  <c r="X34" i="86"/>
  <c r="Y8" i="86"/>
  <c r="W18" i="86"/>
  <c r="W21" i="86"/>
  <c r="V34" i="86"/>
  <c r="Y19" i="86"/>
  <c r="W11" i="86"/>
  <c r="V20" i="86"/>
  <c r="W19" i="86"/>
  <c r="Y11" i="86"/>
  <c r="V27" i="86"/>
  <c r="W35" i="86"/>
  <c r="Y23" i="86"/>
  <c r="Y21" i="86"/>
  <c r="V13" i="86"/>
  <c r="W20" i="86"/>
  <c r="W4" i="86"/>
  <c r="W22" i="86"/>
  <c r="AJ52" i="87"/>
  <c r="AJ51" i="87"/>
  <c r="AQ8" i="87"/>
  <c r="Y7" i="86"/>
  <c r="V12" i="86"/>
  <c r="V10" i="86"/>
  <c r="V38" i="86"/>
  <c r="W32" i="86"/>
  <c r="W7" i="86"/>
  <c r="W34" i="86"/>
  <c r="W31" i="86"/>
  <c r="V32" i="86"/>
  <c r="Y33" i="86"/>
  <c r="AN8" i="87"/>
  <c r="X13" i="86"/>
  <c r="Y26" i="86"/>
  <c r="Y32" i="86"/>
  <c r="V33" i="86"/>
  <c r="W5" i="86"/>
  <c r="W9" i="86"/>
  <c r="W13" i="86"/>
  <c r="W33" i="86"/>
  <c r="W27" i="86"/>
  <c r="AO5" i="87"/>
  <c r="AP5" i="87"/>
  <c r="AN5" i="87"/>
  <c r="AQ5" i="87"/>
  <c r="AM5" i="87"/>
  <c r="AJ49" i="87"/>
  <c r="AM7" i="87"/>
  <c r="AP7" i="87"/>
  <c r="AO7" i="87"/>
  <c r="AN7" i="87"/>
  <c r="AQ7" i="87"/>
  <c r="AO8" i="87"/>
  <c r="AJ48" i="87"/>
  <c r="AP8" i="87"/>
  <c r="AM6" i="87"/>
  <c r="AN6" i="87"/>
  <c r="AO6" i="87"/>
  <c r="AP6" i="87"/>
  <c r="AQ6" i="87"/>
  <c r="AM8" i="87"/>
  <c r="AJ50" i="87"/>
  <c r="AQ4" i="87"/>
  <c r="AN4" i="87"/>
  <c r="AP4" i="87"/>
  <c r="AO4" i="87"/>
  <c r="AM4" i="87"/>
  <c r="X35" i="86"/>
  <c r="X4" i="86"/>
  <c r="X21" i="86"/>
  <c r="X22" i="86"/>
  <c r="Y30" i="86"/>
  <c r="Y34" i="86"/>
  <c r="Y38" i="86"/>
  <c r="Y25" i="86"/>
  <c r="V8" i="86"/>
  <c r="V22" i="86"/>
  <c r="V31" i="86"/>
  <c r="V24" i="86"/>
  <c r="X15" i="86"/>
  <c r="X11" i="86"/>
  <c r="X25" i="86"/>
  <c r="X26" i="86"/>
  <c r="Y16" i="86"/>
  <c r="Y13" i="86"/>
  <c r="Y6" i="86"/>
  <c r="Y4" i="86"/>
  <c r="Y24" i="86"/>
  <c r="Y31" i="86"/>
  <c r="Y12" i="86"/>
  <c r="Y29" i="86"/>
  <c r="V14" i="86"/>
  <c r="V25" i="86"/>
  <c r="V18" i="86"/>
  <c r="V29" i="86"/>
  <c r="V19" i="86"/>
  <c r="V35" i="86"/>
  <c r="V5" i="86"/>
  <c r="V28" i="86"/>
  <c r="W24" i="86"/>
  <c r="W28" i="86"/>
  <c r="W12" i="86"/>
  <c r="W8" i="86"/>
  <c r="W14" i="86"/>
  <c r="W26" i="86"/>
  <c r="W6" i="86"/>
  <c r="W23" i="86"/>
  <c r="X23" i="86"/>
  <c r="X24" i="86"/>
  <c r="X20" i="86"/>
  <c r="X12" i="86"/>
  <c r="X29" i="86"/>
  <c r="X38" i="86"/>
  <c r="X16" i="86"/>
  <c r="X30" i="86"/>
  <c r="X19" i="86"/>
  <c r="X8" i="86"/>
  <c r="X28" i="86"/>
  <c r="Y14" i="86"/>
  <c r="Y27" i="86"/>
  <c r="Y20" i="86"/>
  <c r="Y9" i="86"/>
  <c r="V21" i="86"/>
  <c r="V17" i="86"/>
  <c r="V15" i="86"/>
  <c r="V4" i="86"/>
  <c r="X5" i="86"/>
  <c r="X9" i="86"/>
  <c r="X32" i="86"/>
  <c r="X14" i="86"/>
  <c r="Y22" i="86"/>
  <c r="Y18" i="86"/>
  <c r="Y10" i="86"/>
  <c r="Y15" i="86"/>
  <c r="Y5" i="86"/>
  <c r="Y28" i="86"/>
  <c r="Y35" i="86"/>
  <c r="Y17" i="86"/>
  <c r="V16" i="86"/>
  <c r="V7" i="86"/>
  <c r="V26" i="86"/>
  <c r="V6" i="86"/>
  <c r="V23" i="86"/>
  <c r="V30" i="86"/>
  <c r="V11" i="86"/>
  <c r="W29" i="86"/>
  <c r="W38" i="86"/>
  <c r="W17" i="86"/>
  <c r="W25" i="86"/>
  <c r="W16" i="86"/>
  <c r="W30" i="86"/>
  <c r="W10" i="86"/>
  <c r="X27" i="86"/>
  <c r="X10" i="86"/>
  <c r="X6" i="86"/>
  <c r="X31" i="86"/>
  <c r="X17" i="86"/>
  <c r="X33" i="86"/>
  <c r="X7" i="86"/>
  <c r="X18" i="86"/>
  <c r="M21" i="76"/>
  <c r="N6" i="78"/>
  <c r="T28" i="82"/>
  <c r="L5" i="77"/>
  <c r="L4" i="77"/>
  <c r="N5" i="78"/>
  <c r="N7" i="78"/>
  <c r="L24" i="74"/>
  <c r="L5" i="74"/>
  <c r="L7" i="74"/>
  <c r="L25" i="74"/>
  <c r="L6" i="74"/>
  <c r="M25" i="74"/>
  <c r="M24" i="74"/>
  <c r="M23" i="74"/>
  <c r="M22" i="74"/>
  <c r="K25" i="74"/>
  <c r="K24" i="74"/>
  <c r="K23" i="74"/>
  <c r="K22" i="74"/>
  <c r="L23" i="74"/>
  <c r="M6" i="74"/>
  <c r="M5" i="74"/>
  <c r="M7" i="74"/>
  <c r="M4" i="74"/>
  <c r="K4" i="74"/>
  <c r="L4" i="74"/>
  <c r="K7" i="74"/>
  <c r="K5" i="74"/>
  <c r="K6" i="74"/>
  <c r="L22" i="74"/>
  <c r="R14" i="75"/>
  <c r="T14" i="75" s="1"/>
  <c r="R7" i="75"/>
  <c r="T7" i="75" s="1"/>
  <c r="R12" i="75"/>
  <c r="T12" i="75" s="1"/>
  <c r="R8" i="75"/>
  <c r="T8" i="75" s="1"/>
  <c r="R17" i="75"/>
  <c r="T17" i="75" s="1"/>
  <c r="R11" i="75"/>
  <c r="T11" i="75" s="1"/>
  <c r="R16" i="75"/>
  <c r="T16" i="75" s="1"/>
  <c r="R10" i="75"/>
  <c r="T10" i="75" s="1"/>
  <c r="N4" i="78"/>
  <c r="M7" i="78"/>
  <c r="M6" i="78"/>
  <c r="M5" i="78"/>
  <c r="M4" i="78"/>
  <c r="O7" i="78"/>
  <c r="O6" i="78"/>
  <c r="O5" i="78"/>
  <c r="O4" i="78"/>
  <c r="K5" i="77"/>
  <c r="K4" i="77"/>
  <c r="K10" i="79"/>
  <c r="O10" i="79"/>
  <c r="E22" i="79" s="1"/>
  <c r="K8" i="79"/>
  <c r="O8" i="79"/>
  <c r="E20" i="79" s="1"/>
  <c r="K13" i="79"/>
  <c r="O13" i="79"/>
  <c r="E25" i="79" s="1"/>
  <c r="K9" i="79"/>
  <c r="O9" i="79"/>
  <c r="E21" i="79" s="1"/>
  <c r="O6" i="79"/>
  <c r="E18" i="79" s="1"/>
  <c r="K6" i="79"/>
  <c r="O5" i="79"/>
  <c r="E17" i="79" s="1"/>
  <c r="K5" i="79"/>
  <c r="K12" i="79"/>
  <c r="O12" i="79"/>
  <c r="E24" i="79" s="1"/>
  <c r="K7" i="79"/>
  <c r="O7" i="79"/>
  <c r="E19" i="79" s="1"/>
  <c r="K11" i="79"/>
  <c r="O11" i="79"/>
  <c r="E23" i="79" s="1"/>
  <c r="O4" i="79"/>
  <c r="M19" i="70"/>
  <c r="R12" i="70"/>
  <c r="X2" i="70"/>
  <c r="V2" i="70" a="1"/>
  <c r="V4" i="70" s="1"/>
  <c r="E2" i="70" a="1"/>
  <c r="G2" i="70" s="1"/>
  <c r="AM14" i="87" a="1"/>
  <c r="AM18" i="87" l="1"/>
  <c r="AM14" i="87"/>
  <c r="AM16" i="87"/>
  <c r="AM15" i="87"/>
  <c r="AM17" i="87"/>
  <c r="E4" i="70"/>
  <c r="Z34" i="86"/>
  <c r="Z13" i="86"/>
  <c r="V3" i="70"/>
  <c r="H7" i="79"/>
  <c r="AP9" i="87"/>
  <c r="Z9" i="86"/>
  <c r="Z32" i="86"/>
  <c r="Z27" i="86"/>
  <c r="Z11" i="86"/>
  <c r="Z33" i="86"/>
  <c r="Z28" i="86"/>
  <c r="Z29" i="86"/>
  <c r="Z15" i="86"/>
  <c r="Z20" i="86"/>
  <c r="Z12" i="86"/>
  <c r="Z5" i="86"/>
  <c r="Y39" i="86"/>
  <c r="Z10" i="86"/>
  <c r="Z7" i="86"/>
  <c r="AR8" i="87"/>
  <c r="AN18" i="87" s="1"/>
  <c r="AR7" i="87"/>
  <c r="AN17" i="87" s="1"/>
  <c r="AN9" i="87"/>
  <c r="AR6" i="87"/>
  <c r="AN16" i="87" s="1"/>
  <c r="AM9" i="87"/>
  <c r="AR4" i="87"/>
  <c r="AQ9" i="87"/>
  <c r="AO9" i="87"/>
  <c r="AR5" i="87"/>
  <c r="AN15" i="87" s="1"/>
  <c r="Z17" i="86"/>
  <c r="Z18" i="86"/>
  <c r="Z23" i="86"/>
  <c r="Z21" i="86"/>
  <c r="X39" i="86"/>
  <c r="Z25" i="86"/>
  <c r="Z22" i="86"/>
  <c r="Z26" i="86"/>
  <c r="Z30" i="86"/>
  <c r="Z31" i="86"/>
  <c r="W39" i="86"/>
  <c r="Z16" i="86"/>
  <c r="V39" i="86"/>
  <c r="Z35" i="86"/>
  <c r="Z6" i="86"/>
  <c r="Z4" i="86"/>
  <c r="Z38" i="86"/>
  <c r="Z19" i="86"/>
  <c r="Z14" i="86"/>
  <c r="Z8" i="86"/>
  <c r="Z24" i="86"/>
  <c r="O4" i="77"/>
  <c r="O12" i="77"/>
  <c r="O6" i="77"/>
  <c r="O10" i="77"/>
  <c r="O9" i="77"/>
  <c r="O5" i="77"/>
  <c r="O13" i="77"/>
  <c r="O7" i="77"/>
  <c r="O11" i="77"/>
  <c r="O8" i="77"/>
  <c r="P34" i="74"/>
  <c r="P27" i="74"/>
  <c r="P33" i="74"/>
  <c r="P30" i="74"/>
  <c r="P26" i="74"/>
  <c r="P36" i="74"/>
  <c r="P32" i="74"/>
  <c r="P29" i="74"/>
  <c r="P25" i="74"/>
  <c r="P24" i="74"/>
  <c r="P23" i="74"/>
  <c r="P22" i="74"/>
  <c r="P35" i="74"/>
  <c r="P31" i="74"/>
  <c r="P28" i="74"/>
  <c r="O12" i="74"/>
  <c r="O10" i="74"/>
  <c r="O8" i="74"/>
  <c r="O5" i="74"/>
  <c r="O17" i="74"/>
  <c r="O15" i="74"/>
  <c r="O13" i="74"/>
  <c r="O4" i="74"/>
  <c r="O18" i="74"/>
  <c r="O16" i="74"/>
  <c r="O14" i="74"/>
  <c r="O11" i="74"/>
  <c r="O9" i="74"/>
  <c r="O7" i="74"/>
  <c r="O6" i="74"/>
  <c r="Q11" i="74"/>
  <c r="Q9" i="74"/>
  <c r="Q7" i="74"/>
  <c r="Q17" i="74"/>
  <c r="Q15" i="74"/>
  <c r="Q13" i="74"/>
  <c r="Q18" i="74"/>
  <c r="Q16" i="74"/>
  <c r="Q14" i="74"/>
  <c r="Q6" i="74"/>
  <c r="Q12" i="74"/>
  <c r="Q10" i="74"/>
  <c r="Q8" i="74"/>
  <c r="Q5" i="74"/>
  <c r="Q4" i="74"/>
  <c r="P17" i="74"/>
  <c r="P15" i="74"/>
  <c r="P13" i="74"/>
  <c r="P4" i="74"/>
  <c r="P12" i="74"/>
  <c r="P8" i="74"/>
  <c r="P5" i="74"/>
  <c r="P11" i="74"/>
  <c r="P9" i="74"/>
  <c r="P7" i="74"/>
  <c r="P10" i="74"/>
  <c r="P18" i="74"/>
  <c r="P16" i="74"/>
  <c r="P14" i="74"/>
  <c r="P6" i="74"/>
  <c r="O35" i="74"/>
  <c r="O31" i="74"/>
  <c r="O28" i="74"/>
  <c r="O22" i="74"/>
  <c r="O34" i="74"/>
  <c r="O27" i="74"/>
  <c r="O25" i="74"/>
  <c r="O33" i="74"/>
  <c r="O30" i="74"/>
  <c r="O26" i="74"/>
  <c r="O36" i="74"/>
  <c r="O32" i="74"/>
  <c r="O29" i="74"/>
  <c r="O24" i="74"/>
  <c r="O23" i="74"/>
  <c r="Q33" i="74"/>
  <c r="Q30" i="74"/>
  <c r="Q26" i="74"/>
  <c r="Q27" i="74"/>
  <c r="Q36" i="74"/>
  <c r="Q32" i="74"/>
  <c r="Q29" i="74"/>
  <c r="Q25" i="74"/>
  <c r="Q24" i="74"/>
  <c r="Q23" i="74"/>
  <c r="Q22" i="74"/>
  <c r="Q35" i="74"/>
  <c r="Q31" i="74"/>
  <c r="Q28" i="74"/>
  <c r="Q34" i="74"/>
  <c r="S15" i="78"/>
  <c r="S12" i="78"/>
  <c r="S8" i="78"/>
  <c r="S4" i="78"/>
  <c r="S18" i="78"/>
  <c r="S14" i="78"/>
  <c r="S11" i="78"/>
  <c r="S7" i="78"/>
  <c r="S6" i="78"/>
  <c r="S5" i="78"/>
  <c r="S16" i="78"/>
  <c r="S9" i="78"/>
  <c r="S17" i="78"/>
  <c r="S13" i="78"/>
  <c r="S10" i="78"/>
  <c r="Q17" i="78"/>
  <c r="Q13" i="78"/>
  <c r="Q10" i="78"/>
  <c r="Q14" i="78"/>
  <c r="Q5" i="78"/>
  <c r="Q16" i="78"/>
  <c r="Q9" i="78"/>
  <c r="Q7" i="78"/>
  <c r="Q15" i="78"/>
  <c r="Q12" i="78"/>
  <c r="Q8" i="78"/>
  <c r="Q18" i="78"/>
  <c r="Q11" i="78"/>
  <c r="Q6" i="78"/>
  <c r="Q4" i="78"/>
  <c r="R16" i="78"/>
  <c r="R9" i="78"/>
  <c r="R4" i="78"/>
  <c r="R17" i="78"/>
  <c r="R10" i="78"/>
  <c r="R15" i="78"/>
  <c r="R12" i="78"/>
  <c r="R8" i="78"/>
  <c r="R13" i="78"/>
  <c r="R18" i="78"/>
  <c r="R14" i="78"/>
  <c r="R11" i="78"/>
  <c r="R7" i="78"/>
  <c r="R6" i="78"/>
  <c r="R5" i="78"/>
  <c r="N4" i="77"/>
  <c r="N13" i="77"/>
  <c r="N12" i="77"/>
  <c r="N11" i="77"/>
  <c r="N10" i="77"/>
  <c r="N9" i="77"/>
  <c r="N8" i="77"/>
  <c r="N7" i="77"/>
  <c r="N6" i="77"/>
  <c r="N5" i="77"/>
  <c r="H9" i="79" a="1"/>
  <c r="H9" i="79" s="1"/>
  <c r="E16" i="79"/>
  <c r="F4" i="70"/>
  <c r="G3" i="70"/>
  <c r="F2" i="70"/>
  <c r="E2" i="70"/>
  <c r="G4" i="70"/>
  <c r="F3" i="70"/>
  <c r="E3" i="70"/>
  <c r="W4" i="70"/>
  <c r="X3" i="70"/>
  <c r="W2" i="70"/>
  <c r="W3" i="70"/>
  <c r="V2" i="70"/>
  <c r="X4" i="70"/>
  <c r="F7" i="69"/>
  <c r="F8" i="69"/>
  <c r="F9" i="69"/>
  <c r="F10" i="69"/>
  <c r="F11" i="69"/>
  <c r="F12" i="69"/>
  <c r="F13" i="69"/>
  <c r="F14" i="69"/>
  <c r="F15" i="69"/>
  <c r="F16" i="69"/>
  <c r="F17" i="69"/>
  <c r="F18" i="69"/>
  <c r="F19" i="69"/>
  <c r="F20" i="69"/>
  <c r="F21" i="69"/>
  <c r="F22" i="69"/>
  <c r="F23" i="69"/>
  <c r="F24" i="69"/>
  <c r="F25" i="69"/>
  <c r="F26" i="69"/>
  <c r="F6" i="69"/>
  <c r="E6" i="69"/>
  <c r="E7" i="69"/>
  <c r="E8" i="69"/>
  <c r="E9" i="69"/>
  <c r="E10" i="69"/>
  <c r="E11" i="69"/>
  <c r="E12" i="69"/>
  <c r="E13" i="69"/>
  <c r="E14" i="69"/>
  <c r="E15" i="69"/>
  <c r="E16" i="69"/>
  <c r="E17" i="69"/>
  <c r="E18" i="69"/>
  <c r="E19" i="69"/>
  <c r="E20" i="69"/>
  <c r="E21" i="69"/>
  <c r="E22" i="69"/>
  <c r="E23" i="69"/>
  <c r="E24" i="69"/>
  <c r="E25" i="69"/>
  <c r="E26" i="69"/>
  <c r="E5" i="69"/>
  <c r="BB5" i="68" a="1"/>
  <c r="BB5" i="68" s="1"/>
  <c r="AI47" i="68"/>
  <c r="AI33" i="68"/>
  <c r="AI19" i="68"/>
  <c r="AI5" i="68"/>
  <c r="I7" i="68"/>
  <c r="J7" i="68"/>
  <c r="K7" i="68"/>
  <c r="L7" i="68"/>
  <c r="I8" i="68"/>
  <c r="AG17" i="68" s="1"/>
  <c r="J8" i="68"/>
  <c r="K8" i="68"/>
  <c r="L8" i="68"/>
  <c r="I9" i="68"/>
  <c r="J9" i="68"/>
  <c r="K9" i="68"/>
  <c r="L9" i="68"/>
  <c r="I10" i="68"/>
  <c r="J10" i="68"/>
  <c r="K10" i="68"/>
  <c r="L10" i="68"/>
  <c r="I11" i="68"/>
  <c r="J11" i="68"/>
  <c r="K11" i="68"/>
  <c r="L11" i="68"/>
  <c r="I12" i="68"/>
  <c r="J12" i="68"/>
  <c r="K12" i="68"/>
  <c r="L12" i="68"/>
  <c r="I13" i="68"/>
  <c r="J13" i="68"/>
  <c r="K13" i="68"/>
  <c r="L13" i="68"/>
  <c r="I14" i="68"/>
  <c r="J14" i="68"/>
  <c r="K14" i="68"/>
  <c r="L14" i="68"/>
  <c r="I15" i="68"/>
  <c r="J15" i="68"/>
  <c r="K15" i="68"/>
  <c r="L15" i="68"/>
  <c r="I16" i="68"/>
  <c r="J16" i="68"/>
  <c r="K16" i="68"/>
  <c r="L16" i="68"/>
  <c r="I17" i="68"/>
  <c r="J17" i="68"/>
  <c r="K17" i="68"/>
  <c r="L17" i="68"/>
  <c r="I18" i="68"/>
  <c r="J18" i="68"/>
  <c r="K18" i="68"/>
  <c r="L18" i="68"/>
  <c r="I19" i="68"/>
  <c r="J19" i="68"/>
  <c r="K19" i="68"/>
  <c r="L19" i="68"/>
  <c r="I20" i="68"/>
  <c r="J20" i="68"/>
  <c r="K20" i="68"/>
  <c r="L20" i="68"/>
  <c r="I21" i="68"/>
  <c r="J21" i="68"/>
  <c r="K21" i="68"/>
  <c r="L21" i="68"/>
  <c r="I22" i="68"/>
  <c r="J22" i="68"/>
  <c r="K22" i="68"/>
  <c r="L22" i="68"/>
  <c r="I23" i="68"/>
  <c r="J23" i="68"/>
  <c r="K23" i="68"/>
  <c r="L23" i="68"/>
  <c r="I24" i="68"/>
  <c r="J24" i="68"/>
  <c r="K24" i="68"/>
  <c r="L24" i="68"/>
  <c r="I25" i="68"/>
  <c r="J25" i="68"/>
  <c r="K25" i="68"/>
  <c r="L25" i="68"/>
  <c r="I26" i="68"/>
  <c r="J26" i="68"/>
  <c r="K26" i="68"/>
  <c r="L26" i="68"/>
  <c r="J6" i="68"/>
  <c r="K6" i="68"/>
  <c r="L6" i="68"/>
  <c r="I6" i="68"/>
  <c r="H6" i="68"/>
  <c r="H7" i="68"/>
  <c r="H8" i="68"/>
  <c r="H9" i="68"/>
  <c r="H10" i="68"/>
  <c r="H11" i="68"/>
  <c r="H12" i="68"/>
  <c r="H13" i="68"/>
  <c r="H14" i="68"/>
  <c r="H15" i="68"/>
  <c r="H16" i="68"/>
  <c r="H17" i="68"/>
  <c r="H18" i="68"/>
  <c r="H19" i="68"/>
  <c r="H20" i="68"/>
  <c r="H21" i="68"/>
  <c r="H22" i="68"/>
  <c r="H23" i="68"/>
  <c r="H24" i="68"/>
  <c r="H25" i="68"/>
  <c r="H26" i="68"/>
  <c r="H5" i="68"/>
  <c r="K8" i="69"/>
  <c r="P5" i="69" a="1"/>
  <c r="J7" i="69" a="1"/>
  <c r="I6" i="69"/>
  <c r="L7" i="69"/>
  <c r="K6" i="69"/>
  <c r="I8" i="69"/>
  <c r="L6" i="69"/>
  <c r="K7" i="69"/>
  <c r="J8" i="69"/>
  <c r="I9" i="69"/>
  <c r="J6" i="69"/>
  <c r="M6" i="69" s="1"/>
  <c r="I7" i="69"/>
  <c r="L8" i="69"/>
  <c r="M8" i="69" s="1"/>
  <c r="J7" i="69" l="1"/>
  <c r="R11" i="69"/>
  <c r="Q7" i="69"/>
  <c r="P12" i="69"/>
  <c r="Q12" i="69"/>
  <c r="R12" i="69"/>
  <c r="R10" i="69"/>
  <c r="P5" i="69"/>
  <c r="R6" i="69"/>
  <c r="P7" i="69"/>
  <c r="R7" i="69"/>
  <c r="Q5" i="69"/>
  <c r="Q8" i="69"/>
  <c r="P8" i="69"/>
  <c r="R8" i="69"/>
  <c r="P9" i="69"/>
  <c r="R5" i="69"/>
  <c r="Q11" i="69"/>
  <c r="Q9" i="69"/>
  <c r="P10" i="69"/>
  <c r="P11" i="69"/>
  <c r="R9" i="69"/>
  <c r="P6" i="69"/>
  <c r="Q10" i="69"/>
  <c r="Q6" i="69"/>
  <c r="P7" i="77"/>
  <c r="BP6" i="68"/>
  <c r="AS18" i="68"/>
  <c r="BE9" i="68"/>
  <c r="AG59" i="68"/>
  <c r="AI59" i="68" s="1"/>
  <c r="BF7" i="68"/>
  <c r="BD9" i="68"/>
  <c r="BC9" i="68"/>
  <c r="AH59" i="68"/>
  <c r="AT18" i="68"/>
  <c r="BB9" i="68"/>
  <c r="AV18" i="68"/>
  <c r="BB8" i="68"/>
  <c r="P5" i="77"/>
  <c r="P4" i="77"/>
  <c r="P12" i="77"/>
  <c r="AC7" i="86"/>
  <c r="AD7" i="86"/>
  <c r="AF5" i="86"/>
  <c r="AC6" i="86"/>
  <c r="AF7" i="86"/>
  <c r="AD5" i="86"/>
  <c r="AO16" i="87"/>
  <c r="AP16" i="87" s="1"/>
  <c r="AM19" i="87"/>
  <c r="AN14" i="87"/>
  <c r="AN19" i="87" s="1"/>
  <c r="AR9" i="87"/>
  <c r="AO17" i="87"/>
  <c r="AP17" i="87" s="1"/>
  <c r="AO18" i="87"/>
  <c r="AP18" i="87" s="1"/>
  <c r="AO15" i="87"/>
  <c r="AP15" i="87" s="1"/>
  <c r="AE4" i="86"/>
  <c r="AC4" i="86"/>
  <c r="AD4" i="86"/>
  <c r="AF4" i="86"/>
  <c r="AD6" i="86"/>
  <c r="AE7" i="86"/>
  <c r="AC5" i="86"/>
  <c r="AE6" i="86"/>
  <c r="AF6" i="86"/>
  <c r="AE5" i="86"/>
  <c r="P6" i="77"/>
  <c r="P10" i="77"/>
  <c r="P9" i="77"/>
  <c r="P11" i="77"/>
  <c r="P8" i="77"/>
  <c r="P13" i="77"/>
  <c r="T14" i="78"/>
  <c r="K24" i="72" a="1"/>
  <c r="L26" i="72" s="1"/>
  <c r="T11" i="78"/>
  <c r="T5" i="78"/>
  <c r="T17" i="78"/>
  <c r="R32" i="74"/>
  <c r="R22" i="74"/>
  <c r="R18" i="74"/>
  <c r="R17" i="74"/>
  <c r="R12" i="74"/>
  <c r="R23" i="74"/>
  <c r="R28" i="74"/>
  <c r="R4" i="74"/>
  <c r="R9" i="74"/>
  <c r="R36" i="74"/>
  <c r="R11" i="74"/>
  <c r="R5" i="74"/>
  <c r="R24" i="74"/>
  <c r="R26" i="74"/>
  <c r="R27" i="74"/>
  <c r="R31" i="74"/>
  <c r="R6" i="74"/>
  <c r="R14" i="74"/>
  <c r="R13" i="74"/>
  <c r="R8" i="74"/>
  <c r="R33" i="74"/>
  <c r="R25" i="74"/>
  <c r="R29" i="74"/>
  <c r="R30" i="74"/>
  <c r="R34" i="74"/>
  <c r="R35" i="74"/>
  <c r="R7" i="74"/>
  <c r="R16" i="74"/>
  <c r="R15" i="74"/>
  <c r="R10" i="74"/>
  <c r="Z4" i="75"/>
  <c r="Z5" i="75"/>
  <c r="Z6" i="75"/>
  <c r="Z7" i="75"/>
  <c r="AB6" i="75"/>
  <c r="AA4" i="75"/>
  <c r="AB4" i="75"/>
  <c r="AB7" i="75"/>
  <c r="AA7" i="75"/>
  <c r="AA6" i="75"/>
  <c r="AA5" i="75"/>
  <c r="AB5" i="75"/>
  <c r="T15" i="78"/>
  <c r="T4" i="78"/>
  <c r="T8" i="78"/>
  <c r="T9" i="78"/>
  <c r="T10" i="78"/>
  <c r="T18" i="78"/>
  <c r="T7" i="78"/>
  <c r="T6" i="78"/>
  <c r="T12" i="78"/>
  <c r="T16" i="78"/>
  <c r="T13" i="78"/>
  <c r="I16" i="79"/>
  <c r="I17" i="79"/>
  <c r="H16" i="79"/>
  <c r="H17" i="79"/>
  <c r="C27" i="70"/>
  <c r="C25" i="70"/>
  <c r="C26" i="70"/>
  <c r="A27" i="70"/>
  <c r="A25" i="70"/>
  <c r="A26" i="70"/>
  <c r="B26" i="70"/>
  <c r="B27" i="70"/>
  <c r="B25" i="70"/>
  <c r="A30" i="70" a="1"/>
  <c r="P10" i="72" a="1"/>
  <c r="Z10" i="71" a="1"/>
  <c r="P24" i="71" a="1"/>
  <c r="U24" i="71" a="1"/>
  <c r="K3" i="71" a="1"/>
  <c r="A20" i="70" a="1"/>
  <c r="E7" i="70" a="1"/>
  <c r="A15" i="70" a="1"/>
  <c r="E32" i="70"/>
  <c r="BC6" i="68"/>
  <c r="BB7" i="68"/>
  <c r="AH17" i="68"/>
  <c r="AI17" i="68" s="1"/>
  <c r="AH31" i="68"/>
  <c r="AH45" i="68"/>
  <c r="BE8" i="68"/>
  <c r="BP7" i="68"/>
  <c r="BE6" i="68"/>
  <c r="BD8" i="68"/>
  <c r="BD7" i="68"/>
  <c r="BF8" i="68"/>
  <c r="AG31" i="68"/>
  <c r="AI31" i="68" s="1"/>
  <c r="AG45" i="68"/>
  <c r="AI45" i="68" s="1"/>
  <c r="AU18" i="68"/>
  <c r="BB6" i="68"/>
  <c r="BE7" i="68"/>
  <c r="BF6" i="68"/>
  <c r="BE5" i="68"/>
  <c r="BD6" i="68"/>
  <c r="BC8" i="68"/>
  <c r="BC7" i="68"/>
  <c r="BD5" i="68"/>
  <c r="BC5" i="68"/>
  <c r="X6" i="64"/>
  <c r="Y6" i="64"/>
  <c r="Z6" i="64"/>
  <c r="AA6" i="64"/>
  <c r="AB6" i="64"/>
  <c r="Y7" i="64"/>
  <c r="Z7" i="64"/>
  <c r="AA7" i="64"/>
  <c r="AB7" i="64"/>
  <c r="Y8" i="64"/>
  <c r="Z8" i="64"/>
  <c r="AA8" i="64"/>
  <c r="AB8" i="64"/>
  <c r="Y9" i="64"/>
  <c r="Z9" i="64"/>
  <c r="AA9" i="64"/>
  <c r="AB9" i="64"/>
  <c r="Y10" i="64"/>
  <c r="Z10" i="64"/>
  <c r="AA10" i="64"/>
  <c r="AB10" i="64"/>
  <c r="Y11" i="64"/>
  <c r="Z11" i="64"/>
  <c r="AA11" i="64"/>
  <c r="AB11" i="64"/>
  <c r="Y12" i="64"/>
  <c r="Z12" i="64"/>
  <c r="AA12" i="64"/>
  <c r="AC12" i="64" s="1"/>
  <c r="AB12" i="64"/>
  <c r="Y13" i="64"/>
  <c r="Z13" i="64"/>
  <c r="AA13" i="64"/>
  <c r="AB13" i="64"/>
  <c r="Y14" i="64"/>
  <c r="Z14" i="64"/>
  <c r="AA14" i="64"/>
  <c r="AB14" i="64"/>
  <c r="Y15" i="64"/>
  <c r="Z15" i="64"/>
  <c r="AA15" i="64"/>
  <c r="AB15" i="64"/>
  <c r="Y16" i="64"/>
  <c r="Z16" i="64"/>
  <c r="AA16" i="64"/>
  <c r="AB16" i="64"/>
  <c r="Y17" i="64"/>
  <c r="Z17" i="64"/>
  <c r="AA17" i="64"/>
  <c r="AB17" i="64"/>
  <c r="Y18" i="64"/>
  <c r="Z18" i="64"/>
  <c r="AA18" i="64"/>
  <c r="AB18" i="64"/>
  <c r="Y19" i="64"/>
  <c r="Z19" i="64"/>
  <c r="AA19" i="64"/>
  <c r="AB19" i="64"/>
  <c r="Y20" i="64"/>
  <c r="Z20" i="64"/>
  <c r="AA20" i="64"/>
  <c r="AB20" i="64"/>
  <c r="Y5" i="64"/>
  <c r="Z5" i="64"/>
  <c r="AA5" i="64"/>
  <c r="AB5" i="64"/>
  <c r="X5" i="64"/>
  <c r="G3" i="64"/>
  <c r="G4" i="64"/>
  <c r="M7" i="69"/>
  <c r="AC13" i="86" a="1"/>
  <c r="AC15" i="86" l="1"/>
  <c r="AC13" i="86"/>
  <c r="AC14" i="86"/>
  <c r="AC16" i="86"/>
  <c r="AC18" i="64"/>
  <c r="AC8" i="64"/>
  <c r="AG6" i="64"/>
  <c r="AC19" i="64"/>
  <c r="AC17" i="64"/>
  <c r="AC13" i="64"/>
  <c r="AC11" i="64"/>
  <c r="AC7" i="64"/>
  <c r="AC15" i="64"/>
  <c r="AC20" i="64"/>
  <c r="AC16" i="64"/>
  <c r="AD8" i="86"/>
  <c r="AG7" i="86"/>
  <c r="AD16" i="86" s="1"/>
  <c r="AG6" i="86"/>
  <c r="AD15" i="86" s="1"/>
  <c r="AO14" i="87"/>
  <c r="AP14" i="87" s="1"/>
  <c r="AO19" i="87"/>
  <c r="AP19" i="87" s="1"/>
  <c r="AE8" i="86"/>
  <c r="AG5" i="86"/>
  <c r="AD14" i="86" s="1"/>
  <c r="AG4" i="86"/>
  <c r="AC8" i="86"/>
  <c r="AF8" i="86"/>
  <c r="L24" i="72"/>
  <c r="M25" i="72"/>
  <c r="N25" i="72"/>
  <c r="N26" i="72"/>
  <c r="K11" i="77"/>
  <c r="N27" i="72"/>
  <c r="K24" i="72"/>
  <c r="N24" i="72"/>
  <c r="M24" i="72"/>
  <c r="K26" i="72"/>
  <c r="K27" i="72"/>
  <c r="K25" i="72"/>
  <c r="M26" i="72"/>
  <c r="M27" i="72"/>
  <c r="L27" i="72"/>
  <c r="L25" i="72"/>
  <c r="K13" i="74"/>
  <c r="K31" i="74"/>
  <c r="AF5" i="75"/>
  <c r="AF18" i="75"/>
  <c r="AF17" i="75"/>
  <c r="AF16" i="75"/>
  <c r="AF15" i="75"/>
  <c r="AF14" i="75"/>
  <c r="AF13" i="75"/>
  <c r="AF6" i="75"/>
  <c r="AF12" i="75"/>
  <c r="AF11" i="75"/>
  <c r="AF10" i="75"/>
  <c r="AF9" i="75"/>
  <c r="AF8" i="75"/>
  <c r="AF7" i="75"/>
  <c r="AF4" i="75"/>
  <c r="AE4" i="75"/>
  <c r="AE5" i="75"/>
  <c r="AE18" i="75"/>
  <c r="AE17" i="75"/>
  <c r="AE16" i="75"/>
  <c r="AE15" i="75"/>
  <c r="AE14" i="75"/>
  <c r="AE13" i="75"/>
  <c r="AE6" i="75"/>
  <c r="AE12" i="75"/>
  <c r="AE11" i="75"/>
  <c r="AE10" i="75"/>
  <c r="AE9" i="75"/>
  <c r="AE8" i="75"/>
  <c r="AE7" i="75"/>
  <c r="AD12" i="75"/>
  <c r="AD11" i="75"/>
  <c r="AD10" i="75"/>
  <c r="AD9" i="75"/>
  <c r="AD8" i="75"/>
  <c r="AD7" i="75"/>
  <c r="AD4" i="75"/>
  <c r="AD5" i="75"/>
  <c r="AD18" i="75"/>
  <c r="AD17" i="75"/>
  <c r="AD16" i="75"/>
  <c r="AD15" i="75"/>
  <c r="AD14" i="75"/>
  <c r="AD13" i="75"/>
  <c r="AD6" i="75"/>
  <c r="M13" i="78"/>
  <c r="L25" i="79"/>
  <c r="L21" i="79"/>
  <c r="L19" i="79"/>
  <c r="L18" i="79"/>
  <c r="L16" i="79"/>
  <c r="L24" i="79"/>
  <c r="L23" i="79"/>
  <c r="L20" i="79"/>
  <c r="L17" i="79"/>
  <c r="L22" i="79"/>
  <c r="M24" i="79"/>
  <c r="M17" i="79"/>
  <c r="M25" i="79"/>
  <c r="M23" i="79"/>
  <c r="M18" i="79"/>
  <c r="M16" i="79"/>
  <c r="M22" i="79"/>
  <c r="M20" i="79"/>
  <c r="M19" i="79"/>
  <c r="M21" i="79"/>
  <c r="A30" i="70"/>
  <c r="C30" i="70"/>
  <c r="C32" i="70"/>
  <c r="C31" i="70"/>
  <c r="B31" i="70"/>
  <c r="B32" i="70"/>
  <c r="B30" i="70"/>
  <c r="A31" i="70"/>
  <c r="A32" i="70"/>
  <c r="L3" i="71"/>
  <c r="M4" i="71"/>
  <c r="M3" i="71"/>
  <c r="K6" i="71"/>
  <c r="N5" i="71"/>
  <c r="L5" i="71"/>
  <c r="L4" i="71"/>
  <c r="L6" i="71"/>
  <c r="M6" i="71"/>
  <c r="K4" i="71"/>
  <c r="K3" i="71"/>
  <c r="N6" i="71"/>
  <c r="K5" i="71"/>
  <c r="N4" i="71"/>
  <c r="N3" i="71"/>
  <c r="M5" i="71"/>
  <c r="Z10" i="71"/>
  <c r="AC12" i="71"/>
  <c r="AA12" i="71"/>
  <c r="AC11" i="71"/>
  <c r="Z11" i="71"/>
  <c r="AC10" i="71"/>
  <c r="AA11" i="71"/>
  <c r="AB11" i="71"/>
  <c r="AB12" i="71"/>
  <c r="AA10" i="71"/>
  <c r="AB10" i="71"/>
  <c r="AC13" i="71"/>
  <c r="AB13" i="71"/>
  <c r="AA13" i="71"/>
  <c r="Z13" i="71"/>
  <c r="Z12" i="71"/>
  <c r="X27" i="71"/>
  <c r="U24" i="71"/>
  <c r="V26" i="71"/>
  <c r="W24" i="71"/>
  <c r="X24" i="71"/>
  <c r="U26" i="71"/>
  <c r="V27" i="71"/>
  <c r="W25" i="71"/>
  <c r="X25" i="71"/>
  <c r="U25" i="71"/>
  <c r="X26" i="71"/>
  <c r="U27" i="71"/>
  <c r="W26" i="71"/>
  <c r="W27" i="71"/>
  <c r="V24" i="71"/>
  <c r="V25" i="71"/>
  <c r="Q13" i="72"/>
  <c r="R12" i="72"/>
  <c r="P10" i="72"/>
  <c r="S10" i="72"/>
  <c r="Q10" i="72"/>
  <c r="P11" i="72"/>
  <c r="S11" i="72"/>
  <c r="R10" i="72"/>
  <c r="Q12" i="72"/>
  <c r="P13" i="72"/>
  <c r="S13" i="72"/>
  <c r="R13" i="72"/>
  <c r="Q11" i="72"/>
  <c r="P12" i="72"/>
  <c r="S12" i="72"/>
  <c r="R11" i="72"/>
  <c r="S27" i="71"/>
  <c r="P25" i="71"/>
  <c r="Q25" i="71"/>
  <c r="R25" i="71"/>
  <c r="S25" i="71"/>
  <c r="P26" i="71"/>
  <c r="Q26" i="71"/>
  <c r="R26" i="71"/>
  <c r="S26" i="71"/>
  <c r="P27" i="71"/>
  <c r="R27" i="71"/>
  <c r="Q24" i="71"/>
  <c r="S24" i="71"/>
  <c r="Q27" i="71"/>
  <c r="R24" i="71"/>
  <c r="P24" i="71"/>
  <c r="E9" i="70"/>
  <c r="E8" i="70"/>
  <c r="E7" i="70"/>
  <c r="C21" i="70"/>
  <c r="B20" i="70"/>
  <c r="C22" i="70"/>
  <c r="B21" i="70"/>
  <c r="A20" i="70"/>
  <c r="B22" i="70"/>
  <c r="A21" i="70"/>
  <c r="A22" i="70"/>
  <c r="C20" i="70"/>
  <c r="B17" i="70"/>
  <c r="A16" i="70"/>
  <c r="A17" i="70"/>
  <c r="C15" i="70"/>
  <c r="C16" i="70"/>
  <c r="B16" i="70"/>
  <c r="B15" i="70"/>
  <c r="A15" i="70"/>
  <c r="C17" i="70"/>
  <c r="AA21" i="64"/>
  <c r="AC14" i="64"/>
  <c r="AA22" i="64"/>
  <c r="AB21" i="64"/>
  <c r="AC10" i="64"/>
  <c r="AC9" i="64"/>
  <c r="Z22" i="64"/>
  <c r="Z21" i="64"/>
  <c r="AB22" i="64"/>
  <c r="AG5" i="64"/>
  <c r="BF11" i="68"/>
  <c r="BF9" i="68"/>
  <c r="BC12" i="68"/>
  <c r="Y21" i="64"/>
  <c r="AF8" i="64"/>
  <c r="BD12" i="68"/>
  <c r="BP8" i="68"/>
  <c r="BH22" i="68" s="1"/>
  <c r="BB12" i="68"/>
  <c r="BH21" i="68"/>
  <c r="BP9" i="68"/>
  <c r="BE12" i="68"/>
  <c r="AC6" i="64"/>
  <c r="Y22" i="64"/>
  <c r="C25" i="66"/>
  <c r="B25" i="66"/>
  <c r="A25" i="66"/>
  <c r="A24" i="66"/>
  <c r="G23" i="66"/>
  <c r="F23" i="66"/>
  <c r="E23" i="66"/>
  <c r="C23" i="66"/>
  <c r="A23" i="66"/>
  <c r="G22" i="66"/>
  <c r="F22" i="66"/>
  <c r="E22" i="66"/>
  <c r="C22" i="66"/>
  <c r="B22" i="66"/>
  <c r="A22" i="66"/>
  <c r="G21" i="66"/>
  <c r="F21" i="66"/>
  <c r="E21" i="66"/>
  <c r="B21" i="66"/>
  <c r="A21" i="66"/>
  <c r="G20" i="66"/>
  <c r="F20" i="66"/>
  <c r="E20" i="66"/>
  <c r="C20" i="66"/>
  <c r="B20" i="66"/>
  <c r="A20" i="66"/>
  <c r="G19" i="66"/>
  <c r="F19" i="66"/>
  <c r="E19" i="66"/>
  <c r="C19" i="66"/>
  <c r="A19" i="66"/>
  <c r="G18" i="66"/>
  <c r="F18" i="66"/>
  <c r="E18" i="66"/>
  <c r="C18" i="66"/>
  <c r="A18" i="66"/>
  <c r="G17" i="66"/>
  <c r="F17" i="66"/>
  <c r="E17" i="66"/>
  <c r="C17" i="66"/>
  <c r="B17" i="66"/>
  <c r="A17" i="66"/>
  <c r="G16" i="66"/>
  <c r="F16" i="66"/>
  <c r="E16" i="66"/>
  <c r="B16" i="66"/>
  <c r="A16" i="66"/>
  <c r="G15" i="66"/>
  <c r="F15" i="66"/>
  <c r="E15" i="66"/>
  <c r="C15" i="66"/>
  <c r="A15" i="66"/>
  <c r="G14" i="66"/>
  <c r="F14" i="66"/>
  <c r="E14" i="66"/>
  <c r="B14" i="66"/>
  <c r="A14" i="66"/>
  <c r="G13" i="66"/>
  <c r="F13" i="66"/>
  <c r="E13" i="66"/>
  <c r="C13" i="66"/>
  <c r="A13" i="66"/>
  <c r="G12" i="66"/>
  <c r="F12" i="66"/>
  <c r="E12" i="66"/>
  <c r="C12" i="66"/>
  <c r="B12" i="66"/>
  <c r="A12" i="66"/>
  <c r="G11" i="66"/>
  <c r="F11" i="66"/>
  <c r="E11" i="66"/>
  <c r="C11" i="66"/>
  <c r="A11" i="66"/>
  <c r="G10" i="66"/>
  <c r="F10" i="66"/>
  <c r="E10" i="66"/>
  <c r="C10" i="66"/>
  <c r="B10" i="66"/>
  <c r="A10" i="66"/>
  <c r="G9" i="66"/>
  <c r="F9" i="66"/>
  <c r="E9" i="66"/>
  <c r="B9" i="66"/>
  <c r="A9" i="66"/>
  <c r="G8" i="66"/>
  <c r="F8" i="66"/>
  <c r="E8" i="66"/>
  <c r="C8" i="66"/>
  <c r="A8" i="66"/>
  <c r="G7" i="66"/>
  <c r="F7" i="66"/>
  <c r="E7" i="66"/>
  <c r="A7" i="66"/>
  <c r="G6" i="66"/>
  <c r="F6" i="66"/>
  <c r="E6" i="66"/>
  <c r="C6" i="66"/>
  <c r="B6" i="66"/>
  <c r="A6" i="66"/>
  <c r="E12" i="70" a="1"/>
  <c r="I6" i="66" a="1"/>
  <c r="J8" i="66" l="1"/>
  <c r="I6" i="66"/>
  <c r="I10" i="66"/>
  <c r="J10" i="66"/>
  <c r="I9" i="66"/>
  <c r="J9" i="66"/>
  <c r="I7" i="66"/>
  <c r="I8" i="66"/>
  <c r="J6" i="66"/>
  <c r="J7" i="66"/>
  <c r="F14" i="70"/>
  <c r="F12" i="70"/>
  <c r="G12" i="70"/>
  <c r="E13" i="70"/>
  <c r="G13" i="70"/>
  <c r="E12" i="70"/>
  <c r="G14" i="70"/>
  <c r="F13" i="70"/>
  <c r="E14" i="70"/>
  <c r="BJ12" i="68" a="1"/>
  <c r="V12" i="68" a="1"/>
  <c r="AE14" i="86"/>
  <c r="AF14" i="86" s="1"/>
  <c r="AE16" i="86"/>
  <c r="AF16" i="86" s="1"/>
  <c r="AE15" i="86"/>
  <c r="AF15" i="86" s="1"/>
  <c r="BJ6" i="68" a="1"/>
  <c r="BK6" i="68" s="1"/>
  <c r="AC17" i="86"/>
  <c r="AG8" i="86"/>
  <c r="AD13" i="86"/>
  <c r="AD17" i="86" s="1"/>
  <c r="AG15" i="75"/>
  <c r="AG5" i="75"/>
  <c r="AG10" i="75"/>
  <c r="AG13" i="75"/>
  <c r="AG17" i="75"/>
  <c r="AG7" i="75"/>
  <c r="AG11" i="75"/>
  <c r="AG14" i="75"/>
  <c r="AG18" i="75"/>
  <c r="AG8" i="75"/>
  <c r="AG12" i="75"/>
  <c r="AG9" i="75"/>
  <c r="AG6" i="75"/>
  <c r="AG16" i="75"/>
  <c r="AG4" i="75"/>
  <c r="O18" i="79"/>
  <c r="E30" i="79" s="1"/>
  <c r="K18" i="79"/>
  <c r="O23" i="79"/>
  <c r="E35" i="79" s="1"/>
  <c r="K23" i="79"/>
  <c r="O19" i="79"/>
  <c r="E31" i="79" s="1"/>
  <c r="K19" i="79"/>
  <c r="K22" i="79"/>
  <c r="O22" i="79"/>
  <c r="E34" i="79" s="1"/>
  <c r="K24" i="79"/>
  <c r="O24" i="79"/>
  <c r="E36" i="79" s="1"/>
  <c r="O21" i="79"/>
  <c r="E33" i="79" s="1"/>
  <c r="K21" i="79"/>
  <c r="K20" i="79"/>
  <c r="O20" i="79"/>
  <c r="E32" i="79" s="1"/>
  <c r="K17" i="79"/>
  <c r="O17" i="79"/>
  <c r="E29" i="79" s="1"/>
  <c r="O16" i="79"/>
  <c r="K16" i="79"/>
  <c r="O25" i="79"/>
  <c r="E37" i="79" s="1"/>
  <c r="K25" i="79"/>
  <c r="P24" i="72" a="1"/>
  <c r="K24" i="71" a="1"/>
  <c r="Z24" i="71" a="1"/>
  <c r="C28" i="66"/>
  <c r="AC21" i="64"/>
  <c r="AC22" i="64"/>
  <c r="BH23" i="68"/>
  <c r="AG8" i="64"/>
  <c r="AG7" i="64" s="1"/>
  <c r="AK5" i="64"/>
  <c r="AF6" i="64"/>
  <c r="BP10" i="68"/>
  <c r="BH17" i="68" s="1"/>
  <c r="BH18" i="68" s="1"/>
  <c r="AF5" i="64"/>
  <c r="AH5" i="64" s="1"/>
  <c r="A28" i="66"/>
  <c r="F27" i="66"/>
  <c r="E27" i="66"/>
  <c r="B27" i="66"/>
  <c r="G27" i="66"/>
  <c r="B28" i="66"/>
  <c r="G28" i="66"/>
  <c r="C27" i="66"/>
  <c r="F28" i="66"/>
  <c r="A27" i="66"/>
  <c r="E28" i="66"/>
  <c r="I4" i="64"/>
  <c r="J4" i="64"/>
  <c r="I5" i="64"/>
  <c r="J5" i="64"/>
  <c r="I6" i="64"/>
  <c r="J6" i="64"/>
  <c r="I7" i="64"/>
  <c r="J7" i="64"/>
  <c r="I8" i="64"/>
  <c r="J8" i="64"/>
  <c r="I9" i="64"/>
  <c r="J9" i="64"/>
  <c r="I10" i="64"/>
  <c r="J10" i="64"/>
  <c r="I11" i="64"/>
  <c r="J11" i="64"/>
  <c r="I12" i="64"/>
  <c r="J12" i="64"/>
  <c r="I13" i="64"/>
  <c r="J13" i="64"/>
  <c r="I14" i="64"/>
  <c r="J14" i="64"/>
  <c r="I15" i="64"/>
  <c r="J15" i="64"/>
  <c r="I16" i="64"/>
  <c r="J16" i="64"/>
  <c r="I17" i="64"/>
  <c r="J17" i="64"/>
  <c r="I18" i="64"/>
  <c r="J18" i="64"/>
  <c r="H5" i="64"/>
  <c r="H6" i="64"/>
  <c r="H7" i="64"/>
  <c r="H8" i="64"/>
  <c r="H9" i="64"/>
  <c r="H10" i="64"/>
  <c r="H11" i="64"/>
  <c r="H12" i="64"/>
  <c r="H13" i="64"/>
  <c r="H14" i="64"/>
  <c r="H15" i="64"/>
  <c r="H16" i="64"/>
  <c r="H17" i="64"/>
  <c r="H18" i="64"/>
  <c r="H4" i="64"/>
  <c r="A5" i="64"/>
  <c r="X7" i="64" s="1"/>
  <c r="BL7" i="68" l="1"/>
  <c r="BM9" i="68"/>
  <c r="BL6" i="68"/>
  <c r="BJ8" i="68"/>
  <c r="BK7" i="68"/>
  <c r="BJ6" i="68"/>
  <c r="BL8" i="68"/>
  <c r="BJ9" i="68"/>
  <c r="BM7" i="68"/>
  <c r="BK8" i="68"/>
  <c r="BM6" i="68"/>
  <c r="BL9" i="68"/>
  <c r="BJ7" i="68"/>
  <c r="BM8" i="68"/>
  <c r="BK9" i="68"/>
  <c r="AE13" i="86"/>
  <c r="AF13" i="86" s="1"/>
  <c r="AE17" i="86"/>
  <c r="AF17" i="86" s="1"/>
  <c r="Z13" i="75"/>
  <c r="H19" i="79"/>
  <c r="E28" i="79"/>
  <c r="H21" i="79" a="1"/>
  <c r="H21" i="79" s="1"/>
  <c r="N6" i="69"/>
  <c r="BL12" i="68"/>
  <c r="BM12" i="68"/>
  <c r="BM13" i="68"/>
  <c r="BL14" i="68"/>
  <c r="BK13" i="68"/>
  <c r="BL15" i="68"/>
  <c r="BL13" i="68"/>
  <c r="BK12" i="68"/>
  <c r="BJ15" i="68"/>
  <c r="BK15" i="68"/>
  <c r="BJ14" i="68"/>
  <c r="BM15" i="68"/>
  <c r="BJ13" i="68"/>
  <c r="BM14" i="68"/>
  <c r="BJ12" i="68"/>
  <c r="BK14" i="68"/>
  <c r="AH39" i="68"/>
  <c r="AI37" i="68"/>
  <c r="AH38" i="68"/>
  <c r="AI52" i="68"/>
  <c r="AG53" i="68"/>
  <c r="AJ51" i="68" a="1"/>
  <c r="AJ51" i="68" s="1"/>
  <c r="AH25" i="68"/>
  <c r="AH24" i="68"/>
  <c r="AG17" i="64"/>
  <c r="AH16" i="68"/>
  <c r="AL15" i="68" s="1"/>
  <c r="AG10" i="68"/>
  <c r="AI11" i="68"/>
  <c r="T7" i="68"/>
  <c r="S7" i="68"/>
  <c r="T9" i="69"/>
  <c r="T11" i="69"/>
  <c r="T10" i="69"/>
  <c r="AH30" i="68"/>
  <c r="AL29" i="68" s="1"/>
  <c r="T6" i="68"/>
  <c r="S6" i="68"/>
  <c r="AH44" i="68"/>
  <c r="AL43" i="68" s="1"/>
  <c r="N8" i="69"/>
  <c r="W14" i="68"/>
  <c r="V15" i="68"/>
  <c r="V14" i="68"/>
  <c r="Y13" i="68"/>
  <c r="V12" i="68"/>
  <c r="V13" i="68"/>
  <c r="W12" i="68"/>
  <c r="AG12" i="64"/>
  <c r="N7" i="69"/>
  <c r="AH58" i="68"/>
  <c r="AL57" i="68" s="1"/>
  <c r="S8" i="68"/>
  <c r="T8" i="68"/>
  <c r="AC27" i="71"/>
  <c r="Z27" i="71"/>
  <c r="AA27" i="71"/>
  <c r="AB26" i="71"/>
  <c r="AC26" i="71"/>
  <c r="AA24" i="71"/>
  <c r="Z25" i="71"/>
  <c r="AB27" i="71"/>
  <c r="AA25" i="71"/>
  <c r="AC24" i="71"/>
  <c r="AA26" i="71"/>
  <c r="AC25" i="71"/>
  <c r="AB24" i="71"/>
  <c r="AB25" i="71"/>
  <c r="Z24" i="71"/>
  <c r="Z26" i="71"/>
  <c r="K24" i="71"/>
  <c r="N27" i="71"/>
  <c r="L27" i="71"/>
  <c r="N25" i="71"/>
  <c r="K27" i="71"/>
  <c r="N26" i="71"/>
  <c r="L26" i="71"/>
  <c r="N24" i="71"/>
  <c r="K26" i="71"/>
  <c r="M26" i="71"/>
  <c r="M27" i="71"/>
  <c r="M24" i="71"/>
  <c r="M25" i="71"/>
  <c r="L25" i="71"/>
  <c r="L24" i="71"/>
  <c r="K25" i="71"/>
  <c r="P24" i="72"/>
  <c r="R24" i="72"/>
  <c r="Q24" i="72"/>
  <c r="R25" i="72"/>
  <c r="S27" i="72"/>
  <c r="Q27" i="72"/>
  <c r="S26" i="72"/>
  <c r="P27" i="72"/>
  <c r="Q26" i="72"/>
  <c r="P26" i="72"/>
  <c r="Q25" i="72"/>
  <c r="P25" i="72"/>
  <c r="S24" i="72"/>
  <c r="R27" i="72"/>
  <c r="S25" i="72"/>
  <c r="R26" i="72"/>
  <c r="AH53" i="68"/>
  <c r="AI53" i="68"/>
  <c r="AJ25" i="68" a="1"/>
  <c r="AJ25" i="68" s="1"/>
  <c r="AJ9" i="68" a="1"/>
  <c r="AJ9" i="68" s="1"/>
  <c r="AH9" i="68"/>
  <c r="AG9" i="68"/>
  <c r="AI9" i="68"/>
  <c r="AG37" i="68"/>
  <c r="AG24" i="68"/>
  <c r="AK6" i="64"/>
  <c r="AG13" i="64"/>
  <c r="AG18" i="64"/>
  <c r="AF17" i="64"/>
  <c r="AH6" i="64"/>
  <c r="AF12" i="64"/>
  <c r="AF7" i="64"/>
  <c r="A6" i="64"/>
  <c r="X8" i="64" s="1"/>
  <c r="G5" i="64"/>
  <c r="BB13" i="68" a="1"/>
  <c r="BE13" i="68" l="1"/>
  <c r="BB13" i="68"/>
  <c r="BC13" i="68"/>
  <c r="BC23" i="68" s="1"/>
  <c r="BD13" i="68"/>
  <c r="AK17" i="64"/>
  <c r="BE22" i="68"/>
  <c r="BD18" i="68"/>
  <c r="BB17" i="68"/>
  <c r="AH17" i="64"/>
  <c r="AH51" i="68"/>
  <c r="AG51" i="68"/>
  <c r="AK51" i="68" s="1"/>
  <c r="AI38" i="68"/>
  <c r="AJ24" i="68" a="1"/>
  <c r="AJ24" i="68" s="1"/>
  <c r="AK24" i="68" s="1"/>
  <c r="AJ38" i="68" a="1"/>
  <c r="AJ38" i="68" s="1"/>
  <c r="AI24" i="68"/>
  <c r="AI51" i="68"/>
  <c r="AG38" i="68"/>
  <c r="X14" i="68"/>
  <c r="Y15" i="68"/>
  <c r="Y12" i="68"/>
  <c r="AI10" i="68"/>
  <c r="AJ10" i="68" a="1"/>
  <c r="AJ10" i="68" s="1"/>
  <c r="AK10" i="68" s="1"/>
  <c r="AH11" i="68"/>
  <c r="Y14" i="68"/>
  <c r="AH12" i="64"/>
  <c r="X15" i="68"/>
  <c r="AH10" i="68"/>
  <c r="AG39" i="68"/>
  <c r="AH52" i="68"/>
  <c r="W13" i="68"/>
  <c r="V15" i="69"/>
  <c r="V11" i="69"/>
  <c r="AH37" i="68"/>
  <c r="X11" i="69"/>
  <c r="AG25" i="68"/>
  <c r="AK25" i="68" s="1"/>
  <c r="E17" i="70" a="1"/>
  <c r="F18" i="70" s="1"/>
  <c r="I2" i="70" s="1"/>
  <c r="U17" i="69"/>
  <c r="Y11" i="69"/>
  <c r="X10" i="69"/>
  <c r="AJ37" i="68" a="1"/>
  <c r="AJ37" i="68" s="1"/>
  <c r="AK37" i="68" s="1"/>
  <c r="AI25" i="68"/>
  <c r="AJ53" i="68" a="1"/>
  <c r="AJ53" i="68" s="1"/>
  <c r="AK53" i="68" s="1"/>
  <c r="AS12" i="68" a="1"/>
  <c r="AU13" i="68" s="1"/>
  <c r="X13" i="68"/>
  <c r="I29" i="79"/>
  <c r="H28" i="79"/>
  <c r="H29" i="79"/>
  <c r="I28" i="79"/>
  <c r="AH23" i="68"/>
  <c r="AG23" i="68"/>
  <c r="AG52" i="68"/>
  <c r="Y9" i="69"/>
  <c r="W9" i="69"/>
  <c r="U11" i="69"/>
  <c r="AI23" i="68"/>
  <c r="BP5" i="68"/>
  <c r="BP11" i="68" s="1"/>
  <c r="BP12" i="68" s="1"/>
  <c r="AG11" i="68"/>
  <c r="AJ39" i="68" a="1"/>
  <c r="AJ39" i="68" s="1"/>
  <c r="Y10" i="69"/>
  <c r="W11" i="69"/>
  <c r="AJ11" i="68" a="1"/>
  <c r="AJ11" i="68" s="1"/>
  <c r="AI39" i="68"/>
  <c r="V10" i="69"/>
  <c r="AJ52" i="68" a="1"/>
  <c r="AJ52" i="68" s="1"/>
  <c r="U10" i="69"/>
  <c r="V17" i="69"/>
  <c r="W15" i="68"/>
  <c r="AJ23" i="68" a="1"/>
  <c r="AJ23" i="68" s="1"/>
  <c r="U9" i="69"/>
  <c r="X9" i="69"/>
  <c r="V9" i="69"/>
  <c r="W10" i="69"/>
  <c r="X12" i="68"/>
  <c r="AK9" i="68"/>
  <c r="AK12" i="64"/>
  <c r="AF18" i="64"/>
  <c r="AH18" i="64" s="1"/>
  <c r="AF13" i="64"/>
  <c r="AH13" i="64" s="1"/>
  <c r="AH7" i="64"/>
  <c r="A7" i="64"/>
  <c r="X9" i="64" s="1"/>
  <c r="G6" i="64"/>
  <c r="C18" i="63"/>
  <c r="C12" i="63"/>
  <c r="C17" i="63" s="1"/>
  <c r="B12" i="63"/>
  <c r="B17" i="63" s="1"/>
  <c r="A8" i="63"/>
  <c r="A9" i="63" s="1"/>
  <c r="AI17" i="64" l="1"/>
  <c r="AJ17" i="64" s="1"/>
  <c r="AK38" i="68"/>
  <c r="AI12" i="64"/>
  <c r="AJ12" i="64" s="1"/>
  <c r="AV14" i="68"/>
  <c r="AT14" i="68"/>
  <c r="G19" i="70"/>
  <c r="AU15" i="68"/>
  <c r="AK11" i="68"/>
  <c r="AG16" i="68" s="1"/>
  <c r="BD22" i="68"/>
  <c r="BD23" i="68"/>
  <c r="AK39" i="68"/>
  <c r="BD17" i="68"/>
  <c r="BE18" i="68"/>
  <c r="AK23" i="68"/>
  <c r="AG30" i="68" s="1"/>
  <c r="AG29" i="68" s="1"/>
  <c r="AI29" i="68" s="1"/>
  <c r="U16" i="69"/>
  <c r="U15" i="69" s="1"/>
  <c r="W15" i="69" s="1"/>
  <c r="BE23" i="68"/>
  <c r="BE17" i="68"/>
  <c r="BP13" i="68"/>
  <c r="AU14" i="68"/>
  <c r="V16" i="69"/>
  <c r="Z15" i="69" s="1"/>
  <c r="G17" i="70"/>
  <c r="AT13" i="68"/>
  <c r="AV15" i="68"/>
  <c r="F17" i="70"/>
  <c r="AK52" i="68"/>
  <c r="AG58" i="68" s="1"/>
  <c r="BB23" i="68"/>
  <c r="E19" i="70"/>
  <c r="E17" i="70"/>
  <c r="G18" i="70"/>
  <c r="AV12" i="68"/>
  <c r="AS13" i="68"/>
  <c r="AS15" i="68"/>
  <c r="AT12" i="68"/>
  <c r="AT15" i="68"/>
  <c r="E18" i="70"/>
  <c r="W17" i="69"/>
  <c r="F19" i="70"/>
  <c r="I3" i="70" s="1"/>
  <c r="BB22" i="68"/>
  <c r="AS14" i="68"/>
  <c r="AV13" i="68"/>
  <c r="AU12" i="68"/>
  <c r="AS12" i="68"/>
  <c r="L36" i="79"/>
  <c r="L34" i="79"/>
  <c r="L32" i="79"/>
  <c r="L29" i="79"/>
  <c r="L31" i="79"/>
  <c r="L35" i="79"/>
  <c r="L30" i="79"/>
  <c r="L28" i="79"/>
  <c r="L33" i="79"/>
  <c r="L37" i="79"/>
  <c r="M35" i="79"/>
  <c r="M30" i="79"/>
  <c r="M28" i="79"/>
  <c r="M34" i="79"/>
  <c r="M32" i="79"/>
  <c r="M29" i="79"/>
  <c r="M31" i="79"/>
  <c r="M37" i="79"/>
  <c r="M33" i="79"/>
  <c r="M36" i="79"/>
  <c r="BC18" i="68"/>
  <c r="BC22" i="68"/>
  <c r="BC17" i="68"/>
  <c r="BB18" i="68"/>
  <c r="A10" i="63"/>
  <c r="A14" i="63" s="1"/>
  <c r="A19" i="63" s="1"/>
  <c r="AI6" i="64"/>
  <c r="AJ6" i="64" s="1"/>
  <c r="AI5" i="64"/>
  <c r="AJ5" i="64" s="1"/>
  <c r="A8" i="64"/>
  <c r="X10" i="64" s="1"/>
  <c r="G7" i="64"/>
  <c r="B9" i="63" a="1"/>
  <c r="A13" i="63"/>
  <c r="A18" i="63" s="1"/>
  <c r="A12" i="63"/>
  <c r="A17" i="63" s="1"/>
  <c r="AE18" i="61" a="1"/>
  <c r="AE19" i="61" s="1"/>
  <c r="I6" i="70" a="1"/>
  <c r="I7" i="70" l="1"/>
  <c r="J8" i="70"/>
  <c r="J7" i="70"/>
  <c r="J9" i="70"/>
  <c r="I9" i="70"/>
  <c r="I6" i="70"/>
  <c r="J6" i="70"/>
  <c r="I10" i="70"/>
  <c r="J10" i="70"/>
  <c r="I8" i="70"/>
  <c r="AG44" i="68"/>
  <c r="AG43" i="68" s="1"/>
  <c r="AI43" i="68" s="1"/>
  <c r="L7" i="70"/>
  <c r="L6" i="70"/>
  <c r="J3" i="70"/>
  <c r="W16" i="69"/>
  <c r="Z11" i="69" s="1"/>
  <c r="AP8" i="68" a="1"/>
  <c r="AP8" i="68" s="1"/>
  <c r="AQ8" i="68" s="1"/>
  <c r="AR8" i="68" s="1"/>
  <c r="AP12" i="68" a="1"/>
  <c r="AP12" i="68" s="1"/>
  <c r="AQ12" i="68" s="1"/>
  <c r="AR12" i="68" s="1"/>
  <c r="AP11" i="68" a="1"/>
  <c r="AP11" i="68" s="1"/>
  <c r="AQ11" i="68" s="1"/>
  <c r="AR11" i="68" s="1"/>
  <c r="AP25" i="68" a="1"/>
  <c r="AP25" i="68" s="1"/>
  <c r="AQ25" i="68" s="1"/>
  <c r="AR25" i="68" s="1"/>
  <c r="AP13" i="68" a="1"/>
  <c r="AP13" i="68" s="1"/>
  <c r="AQ13" i="68" s="1"/>
  <c r="AR13" i="68" s="1"/>
  <c r="AP18" i="68" a="1"/>
  <c r="AP18" i="68" s="1"/>
  <c r="AQ18" i="68" s="1"/>
  <c r="AR18" i="68" s="1"/>
  <c r="AP16" i="68" a="1"/>
  <c r="AP16" i="68" s="1"/>
  <c r="AQ16" i="68" s="1"/>
  <c r="AR16" i="68" s="1"/>
  <c r="AP9" i="68" a="1"/>
  <c r="AP9" i="68" s="1"/>
  <c r="AQ9" i="68" s="1"/>
  <c r="AR9" i="68" s="1"/>
  <c r="AP24" i="68" a="1"/>
  <c r="AP24" i="68" s="1"/>
  <c r="AQ24" i="68" s="1"/>
  <c r="AR24" i="68" s="1"/>
  <c r="AP26" i="68" a="1"/>
  <c r="AP26" i="68" s="1"/>
  <c r="AQ26" i="68" s="1"/>
  <c r="AR26" i="68" s="1"/>
  <c r="AP10" i="68" a="1"/>
  <c r="AP10" i="68" s="1"/>
  <c r="AQ10" i="68" s="1"/>
  <c r="AR10" i="68" s="1"/>
  <c r="AP6" i="68" a="1"/>
  <c r="AP6" i="68" s="1"/>
  <c r="AQ6" i="68" s="1"/>
  <c r="AR6" i="68" s="1"/>
  <c r="AP7" i="68" a="1"/>
  <c r="AP7" i="68" s="1"/>
  <c r="AQ7" i="68" s="1"/>
  <c r="AR7" i="68" s="1"/>
  <c r="AP23" i="68" a="1"/>
  <c r="AP23" i="68" s="1"/>
  <c r="AQ23" i="68" s="1"/>
  <c r="AR23" i="68" s="1"/>
  <c r="AP22" i="68" a="1"/>
  <c r="AP22" i="68" s="1"/>
  <c r="AQ22" i="68" s="1"/>
  <c r="AR22" i="68" s="1"/>
  <c r="J2" i="70"/>
  <c r="AP14" i="68" a="1"/>
  <c r="AP14" i="68" s="1"/>
  <c r="AQ14" i="68" s="1"/>
  <c r="AR14" i="68" s="1"/>
  <c r="AP20" i="68" a="1"/>
  <c r="AP20" i="68" s="1"/>
  <c r="AQ20" i="68" s="1"/>
  <c r="AR20" i="68" s="1"/>
  <c r="AP19" i="68" a="1"/>
  <c r="AP19" i="68" s="1"/>
  <c r="AQ19" i="68" s="1"/>
  <c r="AR19" i="68" s="1"/>
  <c r="AP21" i="68" a="1"/>
  <c r="AP21" i="68" s="1"/>
  <c r="AQ21" i="68" s="1"/>
  <c r="AR21" i="68" s="1"/>
  <c r="AP17" i="68" a="1"/>
  <c r="AP17" i="68" s="1"/>
  <c r="AQ17" i="68" s="1"/>
  <c r="AR17" i="68" s="1"/>
  <c r="AP15" i="68" a="1"/>
  <c r="AP15" i="68" s="1"/>
  <c r="AQ15" i="68" s="1"/>
  <c r="AR15" i="68" s="1"/>
  <c r="O29" i="79"/>
  <c r="E41" i="79" s="1"/>
  <c r="K29" i="79"/>
  <c r="K30" i="79"/>
  <c r="O30" i="79"/>
  <c r="E42" i="79" s="1"/>
  <c r="O32" i="79"/>
  <c r="E44" i="79" s="1"/>
  <c r="K32" i="79"/>
  <c r="K37" i="79"/>
  <c r="O37" i="79"/>
  <c r="E49" i="79" s="1"/>
  <c r="O35" i="79"/>
  <c r="E47" i="79" s="1"/>
  <c r="K35" i="79"/>
  <c r="O34" i="79"/>
  <c r="E46" i="79" s="1"/>
  <c r="K34" i="79"/>
  <c r="K28" i="79"/>
  <c r="O28" i="79"/>
  <c r="K33" i="79"/>
  <c r="O33" i="79"/>
  <c r="E45" i="79" s="1"/>
  <c r="K31" i="79"/>
  <c r="O31" i="79"/>
  <c r="E43" i="79" s="1"/>
  <c r="K36" i="79"/>
  <c r="O36" i="79"/>
  <c r="E48" i="79" s="1"/>
  <c r="AI30" i="68"/>
  <c r="AL23" i="68" s="1"/>
  <c r="AN23" i="68" s="1"/>
  <c r="AG15" i="68"/>
  <c r="AI15" i="68" s="1"/>
  <c r="AI16" i="68"/>
  <c r="L26" i="70"/>
  <c r="AI44" i="68"/>
  <c r="AG57" i="68"/>
  <c r="AI57" i="68" s="1"/>
  <c r="AI58" i="68"/>
  <c r="A9" i="64"/>
  <c r="X11" i="64" s="1"/>
  <c r="G8" i="64"/>
  <c r="E23" i="63" a="1"/>
  <c r="C10" i="63"/>
  <c r="B9" i="63"/>
  <c r="B13" i="63" s="1"/>
  <c r="B18" i="63" s="1"/>
  <c r="B10" i="63"/>
  <c r="C9" i="63"/>
  <c r="AE20" i="61"/>
  <c r="AG18" i="61"/>
  <c r="AG19" i="61"/>
  <c r="AF18" i="61"/>
  <c r="AG20" i="61"/>
  <c r="AF19" i="61"/>
  <c r="AE18" i="61"/>
  <c r="AF20" i="61"/>
  <c r="L10" i="70" a="1"/>
  <c r="M11" i="70" l="1"/>
  <c r="L10" i="70"/>
  <c r="L11" i="70"/>
  <c r="M10" i="70"/>
  <c r="I13" i="70" a="1"/>
  <c r="I13" i="70" s="1"/>
  <c r="L2" i="70" a="1"/>
  <c r="M3" i="70" s="1"/>
  <c r="I23" i="70" a="1"/>
  <c r="J24" i="70" s="1"/>
  <c r="Z9" i="69"/>
  <c r="AA9" i="69" s="1"/>
  <c r="Z10" i="69"/>
  <c r="AA10" i="69" s="1"/>
  <c r="X15" i="69"/>
  <c r="Y15" i="69" s="1"/>
  <c r="AB15" i="69"/>
  <c r="AA15" i="69"/>
  <c r="AL24" i="68"/>
  <c r="AM24" i="68" s="1"/>
  <c r="AN29" i="68"/>
  <c r="AM23" i="68"/>
  <c r="AJ29" i="68"/>
  <c r="AK29" i="68" s="1"/>
  <c r="AM29" i="68"/>
  <c r="I27" i="70" a="1"/>
  <c r="J27" i="70" s="1"/>
  <c r="AL25" i="68"/>
  <c r="AM25" i="68" s="1"/>
  <c r="I17" i="70" a="1"/>
  <c r="J18" i="70" s="1"/>
  <c r="E40" i="79"/>
  <c r="H33" i="79" a="1"/>
  <c r="H33" i="79" s="1"/>
  <c r="H31" i="79"/>
  <c r="AJ15" i="68"/>
  <c r="AK15" i="68" s="1"/>
  <c r="AL11" i="68"/>
  <c r="AL10" i="68"/>
  <c r="AM15" i="68"/>
  <c r="AL9" i="68"/>
  <c r="AN15" i="68"/>
  <c r="AJ43" i="68"/>
  <c r="AK43" i="68" s="1"/>
  <c r="AJ57" i="68"/>
  <c r="AK57" i="68" s="1"/>
  <c r="AB11" i="69"/>
  <c r="AA11" i="69"/>
  <c r="AL38" i="68"/>
  <c r="AL39" i="68"/>
  <c r="AN43" i="68"/>
  <c r="AM43" i="68"/>
  <c r="AL37" i="68"/>
  <c r="AL52" i="68"/>
  <c r="AN57" i="68"/>
  <c r="AL53" i="68"/>
  <c r="AM57" i="68"/>
  <c r="AL51" i="68"/>
  <c r="A10" i="64"/>
  <c r="X12" i="64" s="1"/>
  <c r="G9" i="64"/>
  <c r="G25" i="63"/>
  <c r="F24" i="63"/>
  <c r="E23" i="63"/>
  <c r="F25" i="63"/>
  <c r="E24" i="63"/>
  <c r="E25" i="63"/>
  <c r="G23" i="63"/>
  <c r="G24" i="63"/>
  <c r="F23" i="63"/>
  <c r="B14" i="63"/>
  <c r="B19" i="63" s="1"/>
  <c r="R4" i="61" a="1"/>
  <c r="E13" i="59"/>
  <c r="E12" i="59"/>
  <c r="E11" i="59"/>
  <c r="A11" i="59" a="1"/>
  <c r="A12" i="59" s="1"/>
  <c r="I47" i="58" a="1"/>
  <c r="I50" i="58" s="1"/>
  <c r="E47" i="58" a="1"/>
  <c r="F49" i="58" s="1"/>
  <c r="A32" i="58"/>
  <c r="D30" i="58" s="1" a="1"/>
  <c r="E30" i="58" s="1"/>
  <c r="G30" i="58" a="1"/>
  <c r="I30" i="58" s="1"/>
  <c r="V4" i="58" a="1"/>
  <c r="I4" i="58" a="1"/>
  <c r="L8" i="58" s="1"/>
  <c r="E4" i="58" a="1"/>
  <c r="E5" i="58" s="1"/>
  <c r="A6" i="57"/>
  <c r="A5" i="57"/>
  <c r="E4" i="57" a="1"/>
  <c r="U5" i="57" a="1"/>
  <c r="U11" i="57" a="1"/>
  <c r="V13" i="57" l="1"/>
  <c r="W11" i="57"/>
  <c r="U13" i="57"/>
  <c r="U11" i="57"/>
  <c r="W13" i="57"/>
  <c r="U12" i="57"/>
  <c r="V11" i="57"/>
  <c r="V12" i="57"/>
  <c r="W12" i="57"/>
  <c r="V6" i="57"/>
  <c r="W7" i="57"/>
  <c r="U5" i="57"/>
  <c r="V7" i="57"/>
  <c r="W5" i="57"/>
  <c r="U6" i="57"/>
  <c r="V5" i="57"/>
  <c r="W6" i="57"/>
  <c r="U7" i="57"/>
  <c r="F6" i="57"/>
  <c r="F5" i="57"/>
  <c r="G4" i="57"/>
  <c r="E4" i="57"/>
  <c r="E5" i="57"/>
  <c r="F4" i="57"/>
  <c r="G5" i="57"/>
  <c r="G6" i="57"/>
  <c r="G7" i="57"/>
  <c r="E6" i="57"/>
  <c r="F7" i="57"/>
  <c r="E7" i="57"/>
  <c r="F5" i="58"/>
  <c r="AB9" i="69"/>
  <c r="AB10" i="69"/>
  <c r="J13" i="70"/>
  <c r="I23" i="70"/>
  <c r="I24" i="70"/>
  <c r="J23" i="70"/>
  <c r="M2" i="70"/>
  <c r="L4" i="58"/>
  <c r="I14" i="70"/>
  <c r="K5" i="58"/>
  <c r="J14" i="70"/>
  <c r="M6" i="58"/>
  <c r="G49" i="58"/>
  <c r="L7" i="58"/>
  <c r="G31" i="58"/>
  <c r="J48" i="58"/>
  <c r="J50" i="58"/>
  <c r="L2" i="70"/>
  <c r="L14" i="70" s="1" a="1"/>
  <c r="L15" i="70" s="1"/>
  <c r="L3" i="70"/>
  <c r="E31" i="58"/>
  <c r="F47" i="58"/>
  <c r="E48" i="58"/>
  <c r="AN24" i="68"/>
  <c r="I28" i="70"/>
  <c r="J17" i="70"/>
  <c r="AN25" i="68"/>
  <c r="J28" i="70"/>
  <c r="I27" i="70"/>
  <c r="L22" i="70" a="1"/>
  <c r="M23" i="70" s="1"/>
  <c r="I18" i="70"/>
  <c r="I17" i="70"/>
  <c r="H41" i="79"/>
  <c r="I41" i="79"/>
  <c r="H40" i="79"/>
  <c r="I40" i="79"/>
  <c r="AM10" i="68"/>
  <c r="AN10" i="68"/>
  <c r="AN11" i="68"/>
  <c r="AM11" i="68"/>
  <c r="AM9" i="68"/>
  <c r="AN9" i="68"/>
  <c r="AM51" i="68"/>
  <c r="AN51" i="68"/>
  <c r="AM52" i="68"/>
  <c r="AN52" i="68"/>
  <c r="AN39" i="68"/>
  <c r="AM39" i="68"/>
  <c r="AM53" i="68"/>
  <c r="AN53" i="68"/>
  <c r="AN37" i="68"/>
  <c r="AM37" i="68"/>
  <c r="AN38" i="68"/>
  <c r="AM38" i="68"/>
  <c r="G6" i="58"/>
  <c r="K48" i="58"/>
  <c r="K50" i="58"/>
  <c r="E4" i="58"/>
  <c r="G48" i="58"/>
  <c r="J47" i="58"/>
  <c r="J49" i="58"/>
  <c r="G32" i="58"/>
  <c r="M5" i="58"/>
  <c r="M7" i="58"/>
  <c r="D30" i="58"/>
  <c r="H30" i="58"/>
  <c r="H32" i="58"/>
  <c r="K4" i="58"/>
  <c r="L6" i="58"/>
  <c r="D31" i="58"/>
  <c r="E47" i="58"/>
  <c r="K47" i="58"/>
  <c r="K49" i="58"/>
  <c r="B12" i="59"/>
  <c r="A11" i="64"/>
  <c r="X13" i="64" s="1"/>
  <c r="G10" i="64"/>
  <c r="C14" i="63"/>
  <c r="C19" i="63" s="1"/>
  <c r="E17" i="63" s="1" a="1"/>
  <c r="R4" i="61"/>
  <c r="R6" i="61"/>
  <c r="R5" i="61"/>
  <c r="C13" i="59"/>
  <c r="A11" i="59"/>
  <c r="E15" i="59"/>
  <c r="G13" i="59" s="1"/>
  <c r="C12" i="59"/>
  <c r="B11" i="59"/>
  <c r="A13" i="59"/>
  <c r="C11" i="59"/>
  <c r="B13" i="59"/>
  <c r="V8" i="58"/>
  <c r="X6" i="58"/>
  <c r="W5" i="58"/>
  <c r="V4" i="58"/>
  <c r="W8" i="58"/>
  <c r="W6" i="58"/>
  <c r="X4" i="58"/>
  <c r="X7" i="58"/>
  <c r="V6" i="58"/>
  <c r="W4" i="58"/>
  <c r="W7" i="58"/>
  <c r="V5" i="58"/>
  <c r="X8" i="58"/>
  <c r="E6" i="58"/>
  <c r="G4" i="58"/>
  <c r="G5" i="58"/>
  <c r="F4" i="58"/>
  <c r="F6" i="58"/>
  <c r="X5" i="58"/>
  <c r="V7" i="58"/>
  <c r="M8" i="58"/>
  <c r="I8" i="58"/>
  <c r="J7" i="58"/>
  <c r="K6" i="58"/>
  <c r="L5" i="58"/>
  <c r="M4" i="58"/>
  <c r="I4" i="58"/>
  <c r="I5" i="58"/>
  <c r="I6" i="58"/>
  <c r="I7" i="58"/>
  <c r="J8" i="58"/>
  <c r="J4" i="58"/>
  <c r="J5" i="58"/>
  <c r="J6" i="58"/>
  <c r="K7" i="58"/>
  <c r="K8" i="58"/>
  <c r="I32" i="58"/>
  <c r="H31" i="58"/>
  <c r="G30" i="58"/>
  <c r="I31" i="58"/>
  <c r="E49" i="58"/>
  <c r="G47" i="58"/>
  <c r="F48" i="58"/>
  <c r="L47" i="58"/>
  <c r="L48" i="58"/>
  <c r="L49" i="58"/>
  <c r="L50" i="58"/>
  <c r="I47" i="58"/>
  <c r="I48" i="58"/>
  <c r="I49" i="58"/>
  <c r="E4" i="56" a="1"/>
  <c r="E7" i="56" s="1"/>
  <c r="I10" i="57" a="1"/>
  <c r="L38" i="70" a="1"/>
  <c r="D34" i="58" a="1"/>
  <c r="E52" i="58" a="1"/>
  <c r="F55" i="58" l="1"/>
  <c r="F53" i="58"/>
  <c r="G54" i="58"/>
  <c r="E52" i="58"/>
  <c r="F54" i="58"/>
  <c r="G52" i="58"/>
  <c r="G53" i="58"/>
  <c r="E53" i="58"/>
  <c r="F52" i="58"/>
  <c r="G55" i="58"/>
  <c r="E54" i="58"/>
  <c r="E55" i="58"/>
  <c r="E36" i="58"/>
  <c r="E35" i="58"/>
  <c r="E34" i="58"/>
  <c r="D36" i="58"/>
  <c r="D34" i="58"/>
  <c r="D35" i="58"/>
  <c r="L39" i="70"/>
  <c r="M40" i="70"/>
  <c r="M39" i="70"/>
  <c r="L40" i="70"/>
  <c r="L41" i="70"/>
  <c r="M38" i="70"/>
  <c r="M41" i="70"/>
  <c r="L38" i="70"/>
  <c r="K12" i="57"/>
  <c r="I10" i="57"/>
  <c r="K11" i="57"/>
  <c r="I11" i="57"/>
  <c r="K10" i="57"/>
  <c r="J11" i="57"/>
  <c r="J10" i="57"/>
  <c r="I12" i="57"/>
  <c r="J12" i="57"/>
  <c r="I40" i="58" a="1"/>
  <c r="L18" i="58"/>
  <c r="M21" i="58"/>
  <c r="L21" i="58"/>
  <c r="L22" i="58"/>
  <c r="L19" i="58"/>
  <c r="M22" i="58"/>
  <c r="L22" i="70"/>
  <c r="M22" i="70"/>
  <c r="L23" i="70"/>
  <c r="L14" i="70"/>
  <c r="M15" i="70"/>
  <c r="O2" i="70" s="1"/>
  <c r="O8" i="70" s="1"/>
  <c r="M27" i="70" s="1"/>
  <c r="M14" i="70"/>
  <c r="M26" i="70" s="1"/>
  <c r="F33" i="70" s="1" a="1"/>
  <c r="F34" i="70" s="1"/>
  <c r="L47" i="79"/>
  <c r="L42" i="79"/>
  <c r="L40" i="79"/>
  <c r="L48" i="79"/>
  <c r="L46" i="79"/>
  <c r="L44" i="79"/>
  <c r="L41" i="79"/>
  <c r="L49" i="79"/>
  <c r="L45" i="79"/>
  <c r="L43" i="79"/>
  <c r="M46" i="79"/>
  <c r="M44" i="79"/>
  <c r="M41" i="79"/>
  <c r="M47" i="79"/>
  <c r="M49" i="79"/>
  <c r="M45" i="79"/>
  <c r="M43" i="79"/>
  <c r="M48" i="79"/>
  <c r="M42" i="79"/>
  <c r="M40" i="79"/>
  <c r="G12" i="59"/>
  <c r="A12" i="64"/>
  <c r="X14" i="64" s="1"/>
  <c r="G11" i="64"/>
  <c r="E19" i="63"/>
  <c r="G17" i="63"/>
  <c r="G18" i="63"/>
  <c r="F17" i="63"/>
  <c r="G19" i="63"/>
  <c r="F18" i="63"/>
  <c r="E17" i="63"/>
  <c r="F19" i="63"/>
  <c r="E18" i="63"/>
  <c r="G11" i="59"/>
  <c r="L59" i="58" a="1"/>
  <c r="M18" i="58"/>
  <c r="L20" i="58"/>
  <c r="M20" i="58"/>
  <c r="M19" i="58"/>
  <c r="D38" i="58" a="1"/>
  <c r="E10" i="57" a="1"/>
  <c r="E12" i="57" s="1"/>
  <c r="E6" i="56"/>
  <c r="E5" i="56"/>
  <c r="E4" i="56"/>
  <c r="G40" i="58" l="1" a="1"/>
  <c r="H42" i="58" s="1"/>
  <c r="K40" i="58" a="1"/>
  <c r="F23" i="70" a="1"/>
  <c r="F24" i="70" s="1"/>
  <c r="G34" i="70"/>
  <c r="F33" i="70"/>
  <c r="G15" i="59"/>
  <c r="I11" i="59" s="1"/>
  <c r="I13" i="59" s="1"/>
  <c r="L30" i="70" a="1"/>
  <c r="L30" i="70" s="1"/>
  <c r="F32" i="70" a="1"/>
  <c r="G32" i="70" s="1"/>
  <c r="L34" i="70" a="1"/>
  <c r="L35" i="70" s="1"/>
  <c r="G33" i="70"/>
  <c r="K48" i="79"/>
  <c r="O48" i="79"/>
  <c r="O41" i="79"/>
  <c r="K41" i="79"/>
  <c r="K40" i="79"/>
  <c r="O40" i="79"/>
  <c r="O43" i="79"/>
  <c r="K43" i="79"/>
  <c r="K44" i="79"/>
  <c r="O44" i="79"/>
  <c r="K42" i="79"/>
  <c r="O42" i="79"/>
  <c r="O49" i="79"/>
  <c r="K49" i="79"/>
  <c r="O45" i="79"/>
  <c r="K45" i="79"/>
  <c r="O46" i="79"/>
  <c r="K46" i="79"/>
  <c r="K47" i="79"/>
  <c r="O47" i="79"/>
  <c r="A13" i="64"/>
  <c r="X15" i="64" s="1"/>
  <c r="G12" i="64"/>
  <c r="I4" i="56" a="1"/>
  <c r="F12" i="57"/>
  <c r="F10" i="57"/>
  <c r="E10" i="57"/>
  <c r="G11" i="57"/>
  <c r="F11" i="57"/>
  <c r="G10" i="57"/>
  <c r="E11" i="57"/>
  <c r="G12" i="57"/>
  <c r="L41" i="58"/>
  <c r="K41" i="58"/>
  <c r="L40" i="58"/>
  <c r="K40" i="58"/>
  <c r="I41" i="58"/>
  <c r="I42" i="58"/>
  <c r="I40" i="58"/>
  <c r="L61" i="58"/>
  <c r="L60" i="58"/>
  <c r="L59" i="58"/>
  <c r="L62" i="58"/>
  <c r="D39" i="58"/>
  <c r="D38" i="58"/>
  <c r="E16" i="58" a="1"/>
  <c r="I18" i="58" a="1"/>
  <c r="N59" i="58" a="1"/>
  <c r="O18" i="58" a="1"/>
  <c r="I59" i="58" a="1"/>
  <c r="E57" i="58" a="1"/>
  <c r="I15" i="57" a="1"/>
  <c r="K35" i="58" a="1"/>
  <c r="L36" i="58" l="1"/>
  <c r="L35" i="58"/>
  <c r="K36" i="58"/>
  <c r="K35" i="58"/>
  <c r="G41" i="58"/>
  <c r="G42" i="58"/>
  <c r="H41" i="58"/>
  <c r="G40" i="58"/>
  <c r="H40" i="58"/>
  <c r="G24" i="70"/>
  <c r="F23" i="70"/>
  <c r="G23" i="70"/>
  <c r="M31" i="70"/>
  <c r="M30" i="70"/>
  <c r="L31" i="70"/>
  <c r="F32" i="70"/>
  <c r="R2" i="70" s="1" a="1"/>
  <c r="S3" i="70" s="1"/>
  <c r="M35" i="70"/>
  <c r="L34" i="70"/>
  <c r="M34" i="70"/>
  <c r="H45" i="79" a="1"/>
  <c r="H45" i="79" s="1"/>
  <c r="H43" i="79"/>
  <c r="I12" i="59"/>
  <c r="A14" i="64"/>
  <c r="X16" i="64" s="1"/>
  <c r="G13" i="64"/>
  <c r="M10" i="57" a="1"/>
  <c r="M12" i="57" s="1"/>
  <c r="I7" i="56"/>
  <c r="I5" i="56"/>
  <c r="I6" i="56"/>
  <c r="I4" i="56"/>
  <c r="K11" i="59" a="1"/>
  <c r="M12" i="59" s="1"/>
  <c r="K62" i="58"/>
  <c r="J61" i="58"/>
  <c r="I60" i="58"/>
  <c r="J62" i="58"/>
  <c r="I61" i="58"/>
  <c r="K59" i="58"/>
  <c r="J60" i="58"/>
  <c r="K60" i="58"/>
  <c r="J59" i="58"/>
  <c r="I62" i="58"/>
  <c r="I59" i="58"/>
  <c r="K61" i="58"/>
  <c r="E16" i="58"/>
  <c r="E18" i="58"/>
  <c r="E17" i="58"/>
  <c r="P20" i="58"/>
  <c r="O19" i="58"/>
  <c r="O20" i="58"/>
  <c r="P18" i="58"/>
  <c r="Q18" i="58"/>
  <c r="Q20" i="58"/>
  <c r="O18" i="58"/>
  <c r="Q19" i="58"/>
  <c r="P19" i="58"/>
  <c r="K30" i="58" a="1"/>
  <c r="P60" i="58"/>
  <c r="O59" i="58"/>
  <c r="P61" i="58"/>
  <c r="O60" i="58"/>
  <c r="N59" i="58"/>
  <c r="P59" i="58"/>
  <c r="N60" i="58"/>
  <c r="O61" i="58"/>
  <c r="N61" i="58"/>
  <c r="E57" i="58"/>
  <c r="E59" i="58"/>
  <c r="E58" i="58"/>
  <c r="J22" i="58"/>
  <c r="I21" i="58"/>
  <c r="K19" i="58"/>
  <c r="J18" i="58"/>
  <c r="K22" i="58"/>
  <c r="K20" i="58"/>
  <c r="I19" i="58"/>
  <c r="I22" i="58"/>
  <c r="I20" i="58"/>
  <c r="K21" i="58"/>
  <c r="J19" i="58"/>
  <c r="J21" i="58"/>
  <c r="K18" i="58"/>
  <c r="I18" i="58"/>
  <c r="J20" i="58"/>
  <c r="I17" i="57"/>
  <c r="K15" i="57"/>
  <c r="K16" i="57"/>
  <c r="J15" i="57"/>
  <c r="K17" i="57"/>
  <c r="J16" i="57"/>
  <c r="I15" i="57"/>
  <c r="J17" i="57"/>
  <c r="I16" i="57"/>
  <c r="O11" i="58" a="1"/>
  <c r="N53" i="58" a="1"/>
  <c r="O55" i="58" l="1"/>
  <c r="O53" i="58"/>
  <c r="P54" i="58"/>
  <c r="O54" i="58"/>
  <c r="P55" i="58"/>
  <c r="N54" i="58"/>
  <c r="N53" i="58"/>
  <c r="P53" i="58"/>
  <c r="N55" i="58"/>
  <c r="O12" i="58"/>
  <c r="O11" i="58"/>
  <c r="P13" i="58"/>
  <c r="Q11" i="58"/>
  <c r="O13" i="58"/>
  <c r="P11" i="58"/>
  <c r="Q12" i="58"/>
  <c r="P12" i="58"/>
  <c r="Q13" i="58"/>
  <c r="E27" i="70" a="1"/>
  <c r="F29" i="70" s="1"/>
  <c r="R4" i="70"/>
  <c r="T2" i="70"/>
  <c r="R3" i="70"/>
  <c r="S4" i="70"/>
  <c r="T3" i="70"/>
  <c r="R2" i="70"/>
  <c r="T4" i="70"/>
  <c r="S2" i="70"/>
  <c r="A15" i="64"/>
  <c r="X17" i="64" s="1"/>
  <c r="G14" i="64"/>
  <c r="N12" i="57"/>
  <c r="O11" i="57"/>
  <c r="M10" i="57"/>
  <c r="O10" i="57"/>
  <c r="N11" i="57"/>
  <c r="N10" i="57"/>
  <c r="M11" i="57"/>
  <c r="O12" i="57"/>
  <c r="F4" i="56" a="1"/>
  <c r="L13" i="59"/>
  <c r="K11" i="59"/>
  <c r="K12" i="59"/>
  <c r="L12" i="59"/>
  <c r="M11" i="59"/>
  <c r="L11" i="59"/>
  <c r="M13" i="59"/>
  <c r="K13" i="59"/>
  <c r="K32" i="58"/>
  <c r="M30" i="58"/>
  <c r="M31" i="58"/>
  <c r="K30" i="58"/>
  <c r="L32" i="58"/>
  <c r="L31" i="58"/>
  <c r="K31" i="58"/>
  <c r="M32" i="58"/>
  <c r="L30" i="58"/>
  <c r="O4" i="58" a="1"/>
  <c r="X52" i="58" a="1"/>
  <c r="N47" i="58" a="1"/>
  <c r="I20" i="57" a="1"/>
  <c r="J21" i="57" s="1"/>
  <c r="AA10" i="58" a="1"/>
  <c r="R8" i="70" a="1"/>
  <c r="R33" i="70" a="1"/>
  <c r="S36" i="70" l="1"/>
  <c r="T34" i="70"/>
  <c r="S37" i="70"/>
  <c r="R34" i="70"/>
  <c r="T36" i="70"/>
  <c r="S34" i="70"/>
  <c r="S38" i="70"/>
  <c r="T33" i="70"/>
  <c r="R37" i="70"/>
  <c r="S35" i="70"/>
  <c r="S33" i="70"/>
  <c r="R35" i="70"/>
  <c r="R38" i="70"/>
  <c r="R33" i="70"/>
  <c r="R36" i="70"/>
  <c r="T37" i="70"/>
  <c r="T35" i="70"/>
  <c r="T38" i="70"/>
  <c r="S8" i="70"/>
  <c r="T8" i="70"/>
  <c r="R8" i="70"/>
  <c r="AA12" i="58"/>
  <c r="AA10" i="58"/>
  <c r="AA11" i="58"/>
  <c r="F28" i="70"/>
  <c r="E27" i="70"/>
  <c r="G29" i="70"/>
  <c r="F27" i="70"/>
  <c r="E28" i="70"/>
  <c r="E29" i="70"/>
  <c r="G28" i="70"/>
  <c r="G27" i="70"/>
  <c r="W8" i="70"/>
  <c r="V8" i="70"/>
  <c r="A18" i="59" a="1"/>
  <c r="C18" i="59" s="1"/>
  <c r="O11" i="59" a="1"/>
  <c r="Q11" i="59" s="1"/>
  <c r="A16" i="64"/>
  <c r="X18" i="64" s="1"/>
  <c r="G15" i="64"/>
  <c r="Q10" i="57" a="1"/>
  <c r="Q10" i="57" s="1"/>
  <c r="F6" i="56"/>
  <c r="F4" i="56"/>
  <c r="F5" i="56"/>
  <c r="F7" i="56"/>
  <c r="K21" i="57"/>
  <c r="K20" i="57"/>
  <c r="K22" i="57"/>
  <c r="I21" i="57"/>
  <c r="J20" i="57"/>
  <c r="J22" i="57"/>
  <c r="I20" i="57"/>
  <c r="I22" i="57"/>
  <c r="O13" i="59"/>
  <c r="P11" i="59"/>
  <c r="Q12" i="59"/>
  <c r="P12" i="59"/>
  <c r="O11" i="59"/>
  <c r="X54" i="58"/>
  <c r="X53" i="58"/>
  <c r="X52" i="58"/>
  <c r="Q8" i="58"/>
  <c r="R7" i="58"/>
  <c r="S6" i="58"/>
  <c r="O6" i="58"/>
  <c r="P5" i="58"/>
  <c r="Q4" i="58"/>
  <c r="R8" i="58"/>
  <c r="Q7" i="58"/>
  <c r="Q6" i="58"/>
  <c r="Q5" i="58"/>
  <c r="P4" i="58"/>
  <c r="P8" i="58"/>
  <c r="P7" i="58"/>
  <c r="P6" i="58"/>
  <c r="O5" i="58"/>
  <c r="O4" i="58"/>
  <c r="S8" i="58"/>
  <c r="R6" i="58"/>
  <c r="R4" i="58"/>
  <c r="O8" i="58"/>
  <c r="S5" i="58"/>
  <c r="S7" i="58"/>
  <c r="R5" i="58"/>
  <c r="O7" i="58"/>
  <c r="S4" i="58"/>
  <c r="Q50" i="58"/>
  <c r="Q49" i="58"/>
  <c r="Q48" i="58"/>
  <c r="Q47" i="58"/>
  <c r="P50" i="58"/>
  <c r="P49" i="58"/>
  <c r="P48" i="58"/>
  <c r="P47" i="58"/>
  <c r="N50" i="58"/>
  <c r="N48" i="58"/>
  <c r="O50" i="58"/>
  <c r="O48" i="58"/>
  <c r="O47" i="58"/>
  <c r="N47" i="58"/>
  <c r="O49" i="58"/>
  <c r="N49" i="58"/>
  <c r="O30" i="58" a="1"/>
  <c r="S58" i="58" a="1"/>
  <c r="U17" i="58" a="1"/>
  <c r="T9" i="70" a="1"/>
  <c r="T9" i="70" l="1"/>
  <c r="T10" i="70"/>
  <c r="X20" i="58"/>
  <c r="X19" i="58"/>
  <c r="U18" i="58"/>
  <c r="V21" i="58"/>
  <c r="X17" i="58"/>
  <c r="V19" i="58"/>
  <c r="Y20" i="58"/>
  <c r="Y17" i="58"/>
  <c r="W18" i="58"/>
  <c r="X18" i="58"/>
  <c r="W20" i="58"/>
  <c r="W19" i="58"/>
  <c r="V18" i="58"/>
  <c r="U20" i="58"/>
  <c r="V20" i="58"/>
  <c r="W17" i="58"/>
  <c r="U21" i="58"/>
  <c r="Y19" i="58"/>
  <c r="X21" i="58"/>
  <c r="Y21" i="58"/>
  <c r="V17" i="58"/>
  <c r="U19" i="58"/>
  <c r="W21" i="58"/>
  <c r="U17" i="58"/>
  <c r="Y18" i="58"/>
  <c r="U60" i="58"/>
  <c r="T61" i="58"/>
  <c r="T59" i="58"/>
  <c r="V58" i="58"/>
  <c r="V60" i="58"/>
  <c r="S59" i="58"/>
  <c r="S58" i="58"/>
  <c r="S61" i="58"/>
  <c r="V59" i="58"/>
  <c r="S60" i="58"/>
  <c r="U58" i="58"/>
  <c r="U59" i="58"/>
  <c r="V61" i="58"/>
  <c r="T58" i="58"/>
  <c r="U61" i="58"/>
  <c r="T60" i="58"/>
  <c r="E42" i="70" a="1"/>
  <c r="E43" i="70" s="1"/>
  <c r="E37" i="70" a="1"/>
  <c r="F39" i="70" s="1"/>
  <c r="E47" i="70" a="1"/>
  <c r="F47" i="70" s="1"/>
  <c r="Q13" i="59"/>
  <c r="O12" i="59"/>
  <c r="P13" i="59"/>
  <c r="S9" i="70"/>
  <c r="S12" i="70" s="1"/>
  <c r="X8" i="70"/>
  <c r="B18" i="59"/>
  <c r="E18" i="59" s="1"/>
  <c r="C19" i="59"/>
  <c r="A18" i="59"/>
  <c r="B19" i="59"/>
  <c r="E19" i="59" s="1"/>
  <c r="C20" i="59"/>
  <c r="A19" i="59"/>
  <c r="A20" i="59"/>
  <c r="B20" i="59"/>
  <c r="E20" i="59" s="1"/>
  <c r="E22" i="59" s="1"/>
  <c r="G19" i="59" s="1"/>
  <c r="J4" i="56" a="1"/>
  <c r="J7" i="56" s="1"/>
  <c r="A17" i="64"/>
  <c r="X19" i="64" s="1"/>
  <c r="G16" i="64"/>
  <c r="Q12" i="57"/>
  <c r="R11" i="57"/>
  <c r="R10" i="57"/>
  <c r="Q11" i="57"/>
  <c r="S12" i="57"/>
  <c r="S11" i="57"/>
  <c r="R12" i="57"/>
  <c r="S10" i="57"/>
  <c r="M20" i="57" a="1"/>
  <c r="O21" i="57" s="1"/>
  <c r="O32" i="58"/>
  <c r="O30" i="58"/>
  <c r="P30" i="58"/>
  <c r="P31" i="58"/>
  <c r="O31" i="58"/>
  <c r="P32" i="58"/>
  <c r="O23" i="58" a="1"/>
  <c r="AA4" i="58" a="1"/>
  <c r="N64" i="58" a="1"/>
  <c r="X47" i="58" a="1"/>
  <c r="E42" i="70" l="1"/>
  <c r="G42" i="70"/>
  <c r="F43" i="70"/>
  <c r="E44" i="70"/>
  <c r="G44" i="70"/>
  <c r="G43" i="70"/>
  <c r="F44" i="70"/>
  <c r="F42" i="70"/>
  <c r="G39" i="70"/>
  <c r="E39" i="70"/>
  <c r="F37" i="70"/>
  <c r="E38" i="70"/>
  <c r="F38" i="70"/>
  <c r="E37" i="70"/>
  <c r="G38" i="70"/>
  <c r="G37" i="70"/>
  <c r="E49" i="70"/>
  <c r="G48" i="70"/>
  <c r="E48" i="70"/>
  <c r="F49" i="70"/>
  <c r="E47" i="70"/>
  <c r="F48" i="70"/>
  <c r="G49" i="70"/>
  <c r="G47" i="70"/>
  <c r="J5" i="56"/>
  <c r="V9" i="70" a="1"/>
  <c r="W11" i="70" s="1"/>
  <c r="R15" i="70" a="1"/>
  <c r="T15" i="70" s="1"/>
  <c r="J6" i="56"/>
  <c r="J4" i="56"/>
  <c r="G4" i="56" s="1" a="1"/>
  <c r="R20" i="70" a="1"/>
  <c r="T22" i="70" s="1"/>
  <c r="T12" i="70"/>
  <c r="A18" i="64"/>
  <c r="G17" i="64"/>
  <c r="N22" i="57"/>
  <c r="N21" i="57"/>
  <c r="M22" i="57"/>
  <c r="O22" i="57"/>
  <c r="O20" i="57"/>
  <c r="M21" i="57"/>
  <c r="N20" i="57"/>
  <c r="M20" i="57"/>
  <c r="G20" i="59"/>
  <c r="G22" i="59" s="1"/>
  <c r="I19" i="59" s="1"/>
  <c r="G18" i="59"/>
  <c r="P27" i="58"/>
  <c r="O26" i="58"/>
  <c r="Q24" i="58"/>
  <c r="P23" i="58"/>
  <c r="P26" i="58"/>
  <c r="P24" i="58"/>
  <c r="O27" i="58"/>
  <c r="O25" i="58"/>
  <c r="Q26" i="58"/>
  <c r="O24" i="58"/>
  <c r="Q25" i="58"/>
  <c r="Q23" i="58"/>
  <c r="Q27" i="58"/>
  <c r="P25" i="58"/>
  <c r="O23" i="58"/>
  <c r="X49" i="58"/>
  <c r="X48" i="58"/>
  <c r="X50" i="58"/>
  <c r="X47" i="58"/>
  <c r="P67" i="58"/>
  <c r="O66" i="58"/>
  <c r="N65" i="58"/>
  <c r="O67" i="58"/>
  <c r="N66" i="58"/>
  <c r="P64" i="58"/>
  <c r="P66" i="58"/>
  <c r="N67" i="58"/>
  <c r="N64" i="58"/>
  <c r="O64" i="58"/>
  <c r="P65" i="58"/>
  <c r="O65" i="58"/>
  <c r="AA8" i="58"/>
  <c r="AA4" i="58"/>
  <c r="AA6" i="58"/>
  <c r="AA5" i="58"/>
  <c r="AA7" i="58"/>
  <c r="W9" i="70" l="1"/>
  <c r="X9" i="70"/>
  <c r="X11" i="70"/>
  <c r="V9" i="70"/>
  <c r="R27" i="70" a="1"/>
  <c r="T28" i="70" s="1"/>
  <c r="X10" i="70"/>
  <c r="V10" i="70"/>
  <c r="V11" i="70"/>
  <c r="W10" i="70"/>
  <c r="W12" i="70" s="1"/>
  <c r="R15" i="70"/>
  <c r="R16" i="70"/>
  <c r="T17" i="70"/>
  <c r="S17" i="70"/>
  <c r="S16" i="70"/>
  <c r="T16" i="70"/>
  <c r="R17" i="70"/>
  <c r="S15" i="70"/>
  <c r="S22" i="70"/>
  <c r="S21" i="70"/>
  <c r="R21" i="70"/>
  <c r="S20" i="70"/>
  <c r="R22" i="70"/>
  <c r="R20" i="70"/>
  <c r="T21" i="70"/>
  <c r="T20" i="70"/>
  <c r="G18" i="64"/>
  <c r="X20" i="64"/>
  <c r="X58" i="58" a="1"/>
  <c r="X60" i="58" s="1"/>
  <c r="G5" i="56"/>
  <c r="G4" i="56"/>
  <c r="G6" i="56"/>
  <c r="G7" i="56"/>
  <c r="AA17" i="58" a="1"/>
  <c r="AA19" i="58" s="1"/>
  <c r="I20" i="59"/>
  <c r="K18" i="59" s="1" a="1"/>
  <c r="R26" i="70" a="1"/>
  <c r="T26" i="70" l="1"/>
  <c r="X26" i="70" s="1"/>
  <c r="S26" i="70"/>
  <c r="R26" i="70"/>
  <c r="V26" i="70" s="1"/>
  <c r="X12" i="70"/>
  <c r="V12" i="70"/>
  <c r="V20" i="70" a="1"/>
  <c r="W22" i="70" s="1"/>
  <c r="V27" i="70" a="1"/>
  <c r="W27" i="70" s="1"/>
  <c r="R29" i="70"/>
  <c r="T27" i="70"/>
  <c r="S27" i="70"/>
  <c r="S28" i="70"/>
  <c r="R27" i="70"/>
  <c r="S29" i="70"/>
  <c r="R28" i="70"/>
  <c r="V15" i="70" a="1"/>
  <c r="T29" i="70"/>
  <c r="W26" i="70"/>
  <c r="K4" i="56" a="1"/>
  <c r="K7" i="56" s="1"/>
  <c r="X58" i="58"/>
  <c r="X59" i="58"/>
  <c r="T6" i="61"/>
  <c r="T5" i="61" s="1"/>
  <c r="T4" i="61" s="1"/>
  <c r="V4" i="61" s="1" a="1"/>
  <c r="AA18" i="58"/>
  <c r="AA17" i="58"/>
  <c r="K20" i="59"/>
  <c r="M18" i="59"/>
  <c r="L19" i="59"/>
  <c r="M19" i="59"/>
  <c r="K18" i="59"/>
  <c r="L20" i="59"/>
  <c r="L18" i="59"/>
  <c r="M20" i="59"/>
  <c r="K19" i="59"/>
  <c r="V22" i="70" l="1"/>
  <c r="X22" i="70"/>
  <c r="V20" i="70"/>
  <c r="X20" i="70"/>
  <c r="W20" i="70"/>
  <c r="W21" i="70"/>
  <c r="V21" i="70"/>
  <c r="X21" i="70"/>
  <c r="V29" i="70"/>
  <c r="W28" i="70"/>
  <c r="X29" i="70"/>
  <c r="V27" i="70"/>
  <c r="X28" i="70"/>
  <c r="W29" i="70"/>
  <c r="V28" i="70"/>
  <c r="X27" i="70"/>
  <c r="X16" i="70"/>
  <c r="X15" i="70"/>
  <c r="W17" i="70"/>
  <c r="X17" i="70"/>
  <c r="V15" i="70"/>
  <c r="W15" i="70"/>
  <c r="V16" i="70"/>
  <c r="V17" i="70"/>
  <c r="W16" i="70"/>
  <c r="K6" i="56"/>
  <c r="K4" i="56"/>
  <c r="Z4" i="56" s="1" a="1"/>
  <c r="K5" i="56"/>
  <c r="I10" i="56" s="1" a="1"/>
  <c r="V6" i="61"/>
  <c r="V4" i="61"/>
  <c r="V7" i="61"/>
  <c r="V5" i="61"/>
  <c r="A25" i="59" a="1"/>
  <c r="O18" i="59" a="1"/>
  <c r="M4" i="56" l="1" a="1"/>
  <c r="M6" i="56" s="1"/>
  <c r="Z4" i="56"/>
  <c r="Z6" i="56"/>
  <c r="Z5" i="56"/>
  <c r="K10" i="56"/>
  <c r="I12" i="56"/>
  <c r="I11" i="56"/>
  <c r="I10" i="56"/>
  <c r="J11" i="56"/>
  <c r="K12" i="56"/>
  <c r="J12" i="56"/>
  <c r="J10" i="56"/>
  <c r="K11" i="56"/>
  <c r="M5" i="56"/>
  <c r="N4" i="56"/>
  <c r="N6" i="56"/>
  <c r="O5" i="56"/>
  <c r="O4" i="56"/>
  <c r="N5" i="56"/>
  <c r="M4" i="56"/>
  <c r="Q20" i="59"/>
  <c r="P19" i="59"/>
  <c r="O18" i="59"/>
  <c r="Q19" i="59"/>
  <c r="O20" i="59"/>
  <c r="P18" i="59"/>
  <c r="P20" i="59"/>
  <c r="Q18" i="59"/>
  <c r="O19" i="59"/>
  <c r="B27" i="59"/>
  <c r="A26" i="59"/>
  <c r="C26" i="59"/>
  <c r="M26" i="59" s="1"/>
  <c r="A25" i="59"/>
  <c r="K25" i="59" s="1"/>
  <c r="A27" i="59"/>
  <c r="B25" i="59"/>
  <c r="L25" i="59" s="1"/>
  <c r="C25" i="59"/>
  <c r="M25" i="59" s="1"/>
  <c r="C27" i="59"/>
  <c r="M27" i="59" s="1"/>
  <c r="B26" i="59"/>
  <c r="L26" i="59" s="1"/>
  <c r="O6" i="56" l="1"/>
  <c r="AB6" i="56"/>
  <c r="M10" i="56" a="1"/>
  <c r="O13" i="56" s="1"/>
  <c r="AB5" i="56"/>
  <c r="AB4" i="56" s="1"/>
  <c r="AD4" i="56" s="1" a="1"/>
  <c r="O25" i="59" a="1"/>
  <c r="M11" i="56" l="1"/>
  <c r="M13" i="56"/>
  <c r="O12" i="56"/>
  <c r="M10" i="56"/>
  <c r="O10" i="56"/>
  <c r="N10" i="56"/>
  <c r="N13" i="56"/>
  <c r="N11" i="56"/>
  <c r="M12" i="56"/>
  <c r="O11" i="56"/>
  <c r="N12" i="56"/>
  <c r="AD5" i="56"/>
  <c r="AD4" i="56"/>
  <c r="AD7" i="56"/>
  <c r="AD6" i="56"/>
  <c r="O27" i="59"/>
  <c r="Q25" i="59"/>
  <c r="Q27" i="59"/>
  <c r="O26" i="59"/>
  <c r="P27" i="59"/>
  <c r="P25" i="59"/>
  <c r="P26" i="59"/>
  <c r="Q26" i="59"/>
  <c r="O25" i="59"/>
  <c r="K32" i="59" l="1" a="1"/>
  <c r="W25" i="59" a="1"/>
  <c r="S25" i="59" a="1"/>
  <c r="A32" i="59" a="1"/>
  <c r="U29" i="59"/>
  <c r="K32" i="59" l="1"/>
  <c r="M32" i="59"/>
  <c r="L32" i="59"/>
  <c r="L34" i="59"/>
  <c r="M34" i="59"/>
  <c r="K33" i="59"/>
  <c r="L33" i="59"/>
  <c r="K34" i="59"/>
  <c r="M33" i="59"/>
  <c r="W27" i="59"/>
  <c r="Y25" i="59"/>
  <c r="X26" i="59"/>
  <c r="Y27" i="59"/>
  <c r="W26" i="59"/>
  <c r="Y26" i="59"/>
  <c r="W25" i="59"/>
  <c r="X27" i="59"/>
  <c r="X25" i="59"/>
  <c r="C34" i="59"/>
  <c r="B33" i="59"/>
  <c r="A32" i="59"/>
  <c r="A34" i="59"/>
  <c r="E39" i="59" s="1"/>
  <c r="B32" i="59"/>
  <c r="C33" i="59"/>
  <c r="B34" i="59"/>
  <c r="C32" i="59"/>
  <c r="A33" i="59"/>
  <c r="E38" i="59" s="1"/>
  <c r="U27" i="59"/>
  <c r="T26" i="59"/>
  <c r="S25" i="59"/>
  <c r="S26" i="59"/>
  <c r="T27" i="59"/>
  <c r="U25" i="59"/>
  <c r="U26" i="59"/>
  <c r="S27" i="59"/>
  <c r="T25" i="59"/>
  <c r="E37" i="59" l="1"/>
  <c r="A37" i="59" a="1"/>
  <c r="A39" i="59" l="1"/>
  <c r="C37" i="59"/>
  <c r="B39" i="59"/>
  <c r="B37" i="59"/>
  <c r="C38" i="59"/>
  <c r="C39" i="59"/>
  <c r="A38" i="59"/>
  <c r="A37" i="59"/>
  <c r="B38" i="59"/>
  <c r="E41" i="59"/>
  <c r="G37" i="59" s="1"/>
  <c r="G39" i="59" l="1"/>
  <c r="G38" i="59"/>
  <c r="G41" i="59" l="1"/>
  <c r="I37" i="59" s="1"/>
  <c r="I39" i="59" l="1"/>
  <c r="I38" i="59"/>
  <c r="K37" i="59" s="1" a="1"/>
  <c r="M38" i="59" l="1"/>
  <c r="L37" i="59"/>
  <c r="L38" i="59"/>
  <c r="M39" i="59"/>
  <c r="K38" i="59"/>
  <c r="K39" i="59"/>
  <c r="K37" i="59"/>
  <c r="M37" i="59"/>
  <c r="L39" i="59"/>
  <c r="O37" i="59" l="1" a="1"/>
  <c r="A44" i="59" a="1"/>
  <c r="C45" i="59" l="1"/>
  <c r="B44" i="59"/>
  <c r="E44" i="59" s="1"/>
  <c r="C46" i="59"/>
  <c r="A45" i="59"/>
  <c r="B46" i="59"/>
  <c r="E46" i="59" s="1"/>
  <c r="C44" i="59"/>
  <c r="B45" i="59"/>
  <c r="E45" i="59" s="1"/>
  <c r="A46" i="59"/>
  <c r="A44" i="59"/>
  <c r="P39" i="59"/>
  <c r="O38" i="59"/>
  <c r="Q38" i="59"/>
  <c r="O37" i="59"/>
  <c r="P38" i="59"/>
  <c r="O39" i="59"/>
  <c r="P37" i="59"/>
  <c r="Q37" i="59"/>
  <c r="Q39" i="59"/>
  <c r="E48" i="59" l="1"/>
  <c r="G44" i="59" s="1"/>
  <c r="G46" i="59" l="1"/>
  <c r="G45" i="59"/>
  <c r="G48" i="59" l="1"/>
  <c r="I45" i="59" s="1"/>
  <c r="I46" i="59" l="1"/>
  <c r="K44" i="59" s="1" a="1"/>
  <c r="M45" i="59" l="1"/>
  <c r="L44" i="59"/>
  <c r="L46" i="59"/>
  <c r="M44" i="59"/>
  <c r="K46" i="59"/>
  <c r="K44" i="59"/>
  <c r="M46" i="59"/>
  <c r="K45" i="59"/>
  <c r="L45" i="59"/>
  <c r="O44" i="59" l="1" a="1"/>
  <c r="A51" i="59" a="1"/>
  <c r="P46" i="59" l="1"/>
  <c r="O45" i="59"/>
  <c r="Q46" i="59"/>
  <c r="Q44" i="59"/>
  <c r="O46" i="59"/>
  <c r="P44" i="59"/>
  <c r="P45" i="59"/>
  <c r="Q45" i="59"/>
  <c r="O44" i="59"/>
  <c r="C52" i="59"/>
  <c r="M52" i="59" s="1"/>
  <c r="B51" i="59"/>
  <c r="L51" i="59" s="1"/>
  <c r="A53" i="59"/>
  <c r="A51" i="59"/>
  <c r="K51" i="59" s="1"/>
  <c r="B53" i="59"/>
  <c r="C51" i="59"/>
  <c r="M51" i="59" s="1"/>
  <c r="B52" i="59"/>
  <c r="L52" i="59" s="1"/>
  <c r="C53" i="59"/>
  <c r="M53" i="59" s="1"/>
  <c r="A52" i="59"/>
  <c r="O51" i="59" l="1" a="1"/>
  <c r="Q53" i="59" l="1"/>
  <c r="P52" i="59"/>
  <c r="O51" i="59"/>
  <c r="O52" i="59"/>
  <c r="P53" i="59"/>
  <c r="Q52" i="59"/>
  <c r="Q51" i="59"/>
  <c r="O53" i="59"/>
  <c r="P51" i="59"/>
  <c r="K58" i="59" l="1" a="1"/>
  <c r="U55" i="59"/>
  <c r="S51" i="59" a="1"/>
  <c r="A58" i="59" a="1"/>
  <c r="K58" i="59" l="1"/>
  <c r="K59" i="59"/>
  <c r="L58" i="59"/>
  <c r="K60" i="59"/>
  <c r="M60" i="59"/>
  <c r="M58" i="59"/>
  <c r="L59" i="59"/>
  <c r="L60" i="59"/>
  <c r="M59" i="59"/>
  <c r="A60" i="59"/>
  <c r="E65" i="59" s="1"/>
  <c r="C58" i="59"/>
  <c r="B60" i="59"/>
  <c r="B58" i="59"/>
  <c r="C60" i="59"/>
  <c r="A59" i="59"/>
  <c r="E64" i="59" s="1"/>
  <c r="C59" i="59"/>
  <c r="A58" i="59"/>
  <c r="B59" i="59"/>
  <c r="S53" i="59"/>
  <c r="U51" i="59"/>
  <c r="T52" i="59"/>
  <c r="U52" i="59"/>
  <c r="S51" i="59"/>
  <c r="U53" i="59"/>
  <c r="S52" i="59"/>
  <c r="T53" i="59"/>
  <c r="T51" i="59"/>
  <c r="E63" i="59" l="1"/>
  <c r="A63" i="59" a="1"/>
  <c r="C65" i="59" l="1"/>
  <c r="B64" i="59"/>
  <c r="A63" i="59"/>
  <c r="B65" i="59"/>
  <c r="C63" i="59"/>
  <c r="A64" i="59"/>
  <c r="A65" i="59"/>
  <c r="B63" i="59"/>
  <c r="C64" i="59"/>
  <c r="E67" i="59"/>
  <c r="G63" i="59" s="1"/>
  <c r="G64" i="59" l="1"/>
  <c r="G65" i="59"/>
  <c r="G67" i="59" l="1"/>
  <c r="I63" i="59" s="1"/>
  <c r="I65" i="59" l="1"/>
  <c r="I64" i="59"/>
  <c r="K63" i="59" s="1" a="1"/>
  <c r="K65" i="59" l="1"/>
  <c r="M63" i="59"/>
  <c r="L64" i="59"/>
  <c r="L65" i="59"/>
  <c r="K63" i="59"/>
  <c r="M65" i="59"/>
  <c r="L63" i="59"/>
  <c r="M64" i="59"/>
  <c r="K64" i="59"/>
  <c r="O63" i="59" l="1" a="1"/>
  <c r="A70" i="59" a="1"/>
  <c r="A72" i="59" l="1"/>
  <c r="C70" i="59"/>
  <c r="C72" i="59"/>
  <c r="A71" i="59"/>
  <c r="B72" i="59"/>
  <c r="E72" i="59" s="1"/>
  <c r="A70" i="59"/>
  <c r="B70" i="59"/>
  <c r="E70" i="59" s="1"/>
  <c r="C71" i="59"/>
  <c r="B71" i="59"/>
  <c r="E71" i="59" s="1"/>
  <c r="Q65" i="59"/>
  <c r="P64" i="59"/>
  <c r="O63" i="59"/>
  <c r="Q64" i="59"/>
  <c r="O64" i="59"/>
  <c r="O65" i="59"/>
  <c r="Q63" i="59"/>
  <c r="P65" i="59"/>
  <c r="P63" i="59"/>
  <c r="E74" i="59" l="1"/>
  <c r="G70" i="59" s="1"/>
  <c r="G72" i="59" l="1"/>
  <c r="G71" i="59"/>
  <c r="G74" i="59" l="1"/>
  <c r="I71" i="59" s="1"/>
  <c r="I72" i="59" l="1"/>
  <c r="K70" i="59" s="1" a="1"/>
  <c r="K72" i="59" s="1"/>
  <c r="K70" i="59" l="1"/>
  <c r="M70" i="59"/>
  <c r="M72" i="59"/>
  <c r="L71" i="59"/>
  <c r="K71" i="59"/>
  <c r="L70" i="59"/>
  <c r="O70" i="59" s="1" a="1"/>
  <c r="L72" i="59"/>
  <c r="M71" i="59"/>
  <c r="A77" i="59" s="1" a="1"/>
  <c r="A79" i="59" l="1"/>
  <c r="C77" i="59"/>
  <c r="M77" i="59" s="1"/>
  <c r="C78" i="59"/>
  <c r="M78" i="59" s="1"/>
  <c r="A77" i="59"/>
  <c r="K77" i="59" s="1"/>
  <c r="A78" i="59"/>
  <c r="B78" i="59"/>
  <c r="L78" i="59" s="1"/>
  <c r="C79" i="59"/>
  <c r="M79" i="59" s="1"/>
  <c r="B77" i="59"/>
  <c r="L77" i="59" s="1"/>
  <c r="B79" i="59"/>
  <c r="Q72" i="59"/>
  <c r="P71" i="59"/>
  <c r="O70" i="59"/>
  <c r="P72" i="59"/>
  <c r="Q70" i="59"/>
  <c r="O72" i="59"/>
  <c r="Q71" i="59"/>
  <c r="P70" i="59"/>
  <c r="O71" i="59"/>
  <c r="O77" i="59" l="1" a="1"/>
  <c r="Q78" i="59" s="1"/>
  <c r="P79" i="59" l="1"/>
  <c r="O79" i="59"/>
  <c r="O78" i="59"/>
  <c r="Q79" i="59"/>
  <c r="P77" i="59"/>
  <c r="Q77" i="59"/>
  <c r="P78" i="59"/>
  <c r="O77" i="59"/>
  <c r="S77" i="59" s="1" a="1"/>
  <c r="A84" i="59" a="1"/>
  <c r="U81" i="59"/>
  <c r="K84" i="59" a="1"/>
  <c r="M85" i="59" l="1"/>
  <c r="L84" i="59"/>
  <c r="L85" i="59"/>
  <c r="K86" i="59"/>
  <c r="L86" i="59"/>
  <c r="K84" i="59"/>
  <c r="K85" i="59"/>
  <c r="M84" i="59"/>
  <c r="M86" i="59"/>
  <c r="T79" i="59"/>
  <c r="S78" i="59"/>
  <c r="T78" i="59"/>
  <c r="U79" i="59"/>
  <c r="T77" i="59"/>
  <c r="U77" i="59"/>
  <c r="S79" i="59"/>
  <c r="S77" i="59"/>
  <c r="U78" i="59"/>
  <c r="B86" i="59"/>
  <c r="A85" i="59"/>
  <c r="E90" i="59" s="1"/>
  <c r="A86" i="59"/>
  <c r="E91" i="59" s="1"/>
  <c r="B84" i="59"/>
  <c r="C85" i="59"/>
  <c r="C86" i="59"/>
  <c r="A84" i="59"/>
  <c r="B85" i="59"/>
  <c r="C84" i="59"/>
  <c r="E89" i="59" l="1"/>
  <c r="A89" i="59" a="1"/>
  <c r="E93" i="59" l="1"/>
  <c r="C90" i="59"/>
  <c r="B89" i="59"/>
  <c r="B91" i="59"/>
  <c r="C89" i="59"/>
  <c r="A90" i="59"/>
  <c r="B90" i="59"/>
  <c r="C91" i="59"/>
  <c r="A89" i="59"/>
  <c r="A91" i="59"/>
  <c r="G91" i="59" l="1"/>
  <c r="G90" i="59"/>
  <c r="G89" i="59"/>
  <c r="G93" i="59" l="1"/>
  <c r="I89" i="59" l="1"/>
  <c r="I90" i="59" s="1"/>
  <c r="I91" i="59" l="1"/>
  <c r="K89" i="59" s="1" a="1"/>
  <c r="M91" i="59" s="1"/>
  <c r="L91" i="59" l="1"/>
  <c r="M90" i="59"/>
  <c r="M89" i="59"/>
  <c r="K89" i="59"/>
  <c r="K91" i="59"/>
  <c r="L90" i="59"/>
  <c r="L89" i="59"/>
  <c r="K90" i="59"/>
  <c r="O89" i="59" l="1" a="1"/>
  <c r="O91" i="59" s="1"/>
  <c r="A96" i="59" a="1"/>
  <c r="C98" i="59" s="1"/>
  <c r="P91" i="59" l="1"/>
  <c r="O90" i="59"/>
  <c r="P89" i="59"/>
  <c r="Q91" i="59"/>
  <c r="O89" i="59"/>
  <c r="Q90" i="59"/>
  <c r="Q89" i="59"/>
  <c r="P90" i="59"/>
  <c r="A97" i="59"/>
  <c r="B98" i="59"/>
  <c r="E98" i="59" s="1"/>
  <c r="C96" i="59"/>
  <c r="A96" i="59"/>
  <c r="A98" i="59"/>
  <c r="B97" i="59"/>
  <c r="E97" i="59" s="1"/>
  <c r="B96" i="59"/>
  <c r="E96" i="59" s="1"/>
  <c r="C97" i="59"/>
  <c r="E100" i="59" l="1"/>
  <c r="G96" i="59" s="1"/>
  <c r="G97" i="59" l="1"/>
  <c r="G98" i="59"/>
  <c r="G100" i="59" l="1"/>
  <c r="I97" i="59" s="1"/>
  <c r="I98" i="59" l="1"/>
  <c r="K96" i="59" s="1" a="1"/>
  <c r="M98" i="59" l="1"/>
  <c r="L97" i="59"/>
  <c r="K96" i="59"/>
  <c r="L98" i="59"/>
  <c r="M96" i="59"/>
  <c r="K98" i="59"/>
  <c r="L96" i="59"/>
  <c r="M97" i="59"/>
  <c r="K97" i="59"/>
  <c r="O96" i="59" l="1" a="1"/>
  <c r="A103" i="59" a="1"/>
  <c r="C105" i="59" l="1"/>
  <c r="M105" i="59" s="1"/>
  <c r="B104" i="59"/>
  <c r="L104" i="59" s="1"/>
  <c r="A103" i="59"/>
  <c r="K103" i="59" s="1"/>
  <c r="B105" i="59"/>
  <c r="C103" i="59"/>
  <c r="M103" i="59" s="1"/>
  <c r="A105" i="59"/>
  <c r="B103" i="59"/>
  <c r="L103" i="59" s="1"/>
  <c r="C104" i="59"/>
  <c r="M104" i="59" s="1"/>
  <c r="A104" i="59"/>
  <c r="O98" i="59"/>
  <c r="Q96" i="59"/>
  <c r="Q98" i="59"/>
  <c r="O97" i="59"/>
  <c r="P97" i="59"/>
  <c r="Q97" i="59"/>
  <c r="P96" i="59"/>
  <c r="O96" i="59"/>
  <c r="P98" i="59"/>
  <c r="O103" i="59" l="1" a="1"/>
  <c r="P105" i="59" l="1"/>
  <c r="O104" i="59"/>
  <c r="Q104" i="59"/>
  <c r="O103" i="59"/>
  <c r="P104" i="59"/>
  <c r="Q103" i="59"/>
  <c r="O105" i="59"/>
  <c r="P103" i="59"/>
  <c r="Q105" i="59"/>
  <c r="U107" i="59" l="1"/>
  <c r="S103" i="59" a="1"/>
  <c r="A110" i="59" a="1"/>
  <c r="K110" i="59" a="1"/>
  <c r="C111" i="59" l="1"/>
  <c r="B110" i="59"/>
  <c r="C112" i="59"/>
  <c r="A111" i="59"/>
  <c r="E116" i="59" s="1"/>
  <c r="B112" i="59"/>
  <c r="C110" i="59"/>
  <c r="A110" i="59"/>
  <c r="B111" i="59"/>
  <c r="A112" i="59"/>
  <c r="E117" i="59" s="1"/>
  <c r="U104" i="59"/>
  <c r="T103" i="59"/>
  <c r="S105" i="59"/>
  <c r="S103" i="59"/>
  <c r="T104" i="59"/>
  <c r="S104" i="59"/>
  <c r="T105" i="59"/>
  <c r="U103" i="59"/>
  <c r="U105" i="59"/>
  <c r="L112" i="59"/>
  <c r="K111" i="59"/>
  <c r="K112" i="59"/>
  <c r="L110" i="59"/>
  <c r="M111" i="59"/>
  <c r="K110" i="59"/>
  <c r="L111" i="59"/>
  <c r="M112" i="59"/>
  <c r="M110" i="59"/>
  <c r="A115" i="59" l="1" a="1"/>
  <c r="E115" i="59"/>
  <c r="E119" i="59" l="1"/>
  <c r="B117" i="59"/>
  <c r="A116" i="59"/>
  <c r="B116" i="59"/>
  <c r="C117" i="59"/>
  <c r="C115" i="59"/>
  <c r="B115" i="59"/>
  <c r="C116" i="59"/>
  <c r="A115" i="59"/>
  <c r="A117" i="59"/>
  <c r="G117" i="59" l="1"/>
  <c r="G116" i="59"/>
  <c r="G115" i="59"/>
  <c r="G119" i="59" l="1"/>
  <c r="I115" i="59" s="1"/>
  <c r="I117" i="59" l="1"/>
  <c r="I116" i="59"/>
  <c r="K115" i="59" s="1" a="1"/>
  <c r="K117" i="59" l="1"/>
  <c r="M115" i="59"/>
  <c r="L117" i="59"/>
  <c r="L115" i="59"/>
  <c r="M116" i="59"/>
  <c r="K115" i="59"/>
  <c r="K116" i="59"/>
  <c r="M117" i="59"/>
  <c r="L116" i="59"/>
  <c r="A122" i="59" l="1" a="1"/>
  <c r="O115" i="59" a="1"/>
  <c r="Q117" i="59" l="1"/>
  <c r="P116" i="59"/>
  <c r="O115" i="59"/>
  <c r="P117" i="59"/>
  <c r="Q115" i="59"/>
  <c r="O117" i="59"/>
  <c r="P115" i="59"/>
  <c r="O116" i="59"/>
  <c r="Q116" i="59"/>
  <c r="A124" i="59"/>
  <c r="C122" i="59"/>
  <c r="C123" i="59"/>
  <c r="A122" i="59"/>
  <c r="B123" i="59"/>
  <c r="E123" i="59" s="1"/>
  <c r="A123" i="59"/>
  <c r="B124" i="59"/>
  <c r="E124" i="59" s="1"/>
  <c r="B122" i="59"/>
  <c r="E122" i="59" s="1"/>
  <c r="C124" i="59"/>
  <c r="E126" i="59" l="1"/>
  <c r="G123" i="59" s="1"/>
  <c r="G122" i="59" l="1"/>
  <c r="G124" i="59"/>
  <c r="G126" i="59" s="1"/>
  <c r="I123" i="59" s="1"/>
  <c r="I124" i="59" l="1"/>
  <c r="K122" i="59" s="1" a="1"/>
  <c r="K124" i="59" l="1"/>
  <c r="M122" i="59"/>
  <c r="L123" i="59"/>
  <c r="M124" i="59"/>
  <c r="K123" i="59"/>
  <c r="L122" i="59"/>
  <c r="M123" i="59"/>
  <c r="K122" i="59"/>
  <c r="L124" i="59"/>
  <c r="O122" i="59" l="1" a="1"/>
  <c r="A129" i="59" a="1"/>
  <c r="C130" i="59" l="1"/>
  <c r="M130" i="59" s="1"/>
  <c r="B129" i="59"/>
  <c r="L129" i="59" s="1"/>
  <c r="A131" i="59"/>
  <c r="C129" i="59"/>
  <c r="M129" i="59" s="1"/>
  <c r="C131" i="59"/>
  <c r="M131" i="59" s="1"/>
  <c r="A129" i="59"/>
  <c r="K129" i="59" s="1"/>
  <c r="B131" i="59"/>
  <c r="A130" i="59"/>
  <c r="B130" i="59"/>
  <c r="L130" i="59" s="1"/>
  <c r="Q124" i="59"/>
  <c r="P123" i="59"/>
  <c r="O122" i="59"/>
  <c r="Q123" i="59"/>
  <c r="O123" i="59"/>
  <c r="Q122" i="59"/>
  <c r="O124" i="59"/>
  <c r="P122" i="59"/>
  <c r="P124" i="59"/>
  <c r="O129" i="59" l="1" a="1"/>
  <c r="Q131" i="59" s="1"/>
  <c r="O131" i="59" l="1"/>
  <c r="Q129" i="59"/>
  <c r="O130" i="59"/>
  <c r="P129" i="59"/>
  <c r="Q130" i="59"/>
  <c r="O129" i="59"/>
  <c r="A136" i="59" s="1" a="1"/>
  <c r="P130" i="59"/>
  <c r="P131" i="59"/>
  <c r="S129" i="59" a="1"/>
  <c r="K136" i="59" l="1" a="1"/>
  <c r="M138" i="59" s="1"/>
  <c r="U133" i="59"/>
  <c r="M137" i="59"/>
  <c r="L136" i="59"/>
  <c r="L138" i="59"/>
  <c r="K138" i="59"/>
  <c r="M136" i="59"/>
  <c r="A138" i="59"/>
  <c r="E143" i="59" s="1"/>
  <c r="C136" i="59"/>
  <c r="B138" i="59"/>
  <c r="A137" i="59"/>
  <c r="E142" i="59" s="1"/>
  <c r="B136" i="59"/>
  <c r="C138" i="59"/>
  <c r="A136" i="59"/>
  <c r="B137" i="59"/>
  <c r="C137" i="59"/>
  <c r="S131" i="59"/>
  <c r="U129" i="59"/>
  <c r="T131" i="59"/>
  <c r="S130" i="59"/>
  <c r="T129" i="59"/>
  <c r="U131" i="59"/>
  <c r="S129" i="59"/>
  <c r="U130" i="59"/>
  <c r="T130" i="59"/>
  <c r="K136" i="59" l="1"/>
  <c r="L137" i="59"/>
  <c r="K137" i="59"/>
  <c r="E141" i="59"/>
  <c r="A141" i="59" a="1"/>
  <c r="C143" i="59" l="1"/>
  <c r="B142" i="59"/>
  <c r="A141" i="59"/>
  <c r="C142" i="59"/>
  <c r="B141" i="59"/>
  <c r="B143" i="59"/>
  <c r="A143" i="59"/>
  <c r="A142" i="59"/>
  <c r="C141" i="59"/>
  <c r="E145" i="59"/>
  <c r="G141" i="59"/>
  <c r="G142" i="59" l="1"/>
  <c r="G143" i="59"/>
  <c r="G145" i="59" l="1"/>
  <c r="I141" i="59" s="1"/>
  <c r="I142" i="59" l="1"/>
  <c r="I143" i="59"/>
  <c r="K141" i="59" l="1" a="1"/>
  <c r="L143" i="59" s="1"/>
  <c r="K143" i="59" l="1"/>
  <c r="L142" i="59"/>
  <c r="L141" i="59"/>
  <c r="M143" i="59"/>
  <c r="M141" i="59"/>
  <c r="K142" i="59"/>
  <c r="M142" i="59"/>
  <c r="K141" i="59"/>
  <c r="A148" i="59" s="1" a="1"/>
  <c r="O141" i="59" l="1" a="1"/>
  <c r="P143" i="59" s="1"/>
  <c r="C149" i="59"/>
  <c r="B148" i="59"/>
  <c r="E148" i="59" s="1"/>
  <c r="C150" i="59"/>
  <c r="A149" i="59"/>
  <c r="B149" i="59"/>
  <c r="E149" i="59" s="1"/>
  <c r="C148" i="59"/>
  <c r="A148" i="59"/>
  <c r="A150" i="59"/>
  <c r="B150" i="59"/>
  <c r="E150" i="59" s="1"/>
  <c r="O142" i="59" l="1"/>
  <c r="Q143" i="59"/>
  <c r="O143" i="59"/>
  <c r="P141" i="59"/>
  <c r="O141" i="59"/>
  <c r="Q142" i="59"/>
  <c r="P142" i="59"/>
  <c r="Q141" i="59"/>
  <c r="E152" i="59"/>
  <c r="G149" i="59" s="1"/>
  <c r="G150" i="59" l="1"/>
  <c r="G152" i="59" s="1"/>
  <c r="I149" i="59" s="1"/>
  <c r="G148" i="59"/>
  <c r="I150" i="59" l="1"/>
  <c r="K148" i="59" s="1" a="1"/>
  <c r="M149" i="59" l="1"/>
  <c r="L148" i="59"/>
  <c r="L150" i="59"/>
  <c r="M148" i="59"/>
  <c r="M150" i="59"/>
  <c r="K149" i="59"/>
  <c r="K148" i="59"/>
  <c r="K150" i="59"/>
  <c r="L149" i="59"/>
  <c r="O148" i="59" l="1" a="1"/>
  <c r="A155" i="59" a="1"/>
  <c r="C156" i="59" l="1"/>
  <c r="M156" i="59" s="1"/>
  <c r="B155" i="59"/>
  <c r="L155" i="59" s="1"/>
  <c r="A157" i="59"/>
  <c r="A155" i="59"/>
  <c r="K155" i="59" s="1"/>
  <c r="B157" i="59"/>
  <c r="C155" i="59"/>
  <c r="M155" i="59" s="1"/>
  <c r="B156" i="59"/>
  <c r="L156" i="59" s="1"/>
  <c r="A156" i="59"/>
  <c r="C157" i="59"/>
  <c r="M157" i="59" s="1"/>
  <c r="P150" i="59"/>
  <c r="O149" i="59"/>
  <c r="Q150" i="59"/>
  <c r="Q148" i="59"/>
  <c r="P149" i="59"/>
  <c r="P148" i="59"/>
  <c r="O148" i="59"/>
  <c r="Q149" i="59"/>
  <c r="O150" i="59"/>
  <c r="O155" i="59" l="1" a="1"/>
  <c r="Q157" i="59" l="1"/>
  <c r="P156" i="59"/>
  <c r="O155" i="59"/>
  <c r="O156" i="59"/>
  <c r="Q156" i="59"/>
  <c r="Q155" i="59"/>
  <c r="P155" i="59"/>
  <c r="P157" i="59"/>
  <c r="O157" i="59"/>
  <c r="U159" i="59" l="1"/>
  <c r="S155" i="59" a="1"/>
  <c r="A162" i="59" a="1"/>
  <c r="K162" i="59" a="1"/>
  <c r="M164" i="59" l="1"/>
  <c r="L163" i="59"/>
  <c r="K162" i="59"/>
  <c r="M163" i="59"/>
  <c r="K164" i="59"/>
  <c r="L162" i="59"/>
  <c r="K163" i="59"/>
  <c r="M162" i="59"/>
  <c r="L164" i="59"/>
  <c r="S157" i="59"/>
  <c r="U155" i="59"/>
  <c r="T156" i="59"/>
  <c r="U156" i="59"/>
  <c r="S155" i="59"/>
  <c r="S156" i="59"/>
  <c r="T155" i="59"/>
  <c r="T157" i="59"/>
  <c r="U157" i="59"/>
  <c r="B164" i="59"/>
  <c r="A163" i="59"/>
  <c r="E168" i="59" s="1"/>
  <c r="C164" i="59"/>
  <c r="C162" i="59"/>
  <c r="B162" i="59"/>
  <c r="B163" i="59"/>
  <c r="A162" i="59"/>
  <c r="C163" i="59"/>
  <c r="A164" i="59"/>
  <c r="E169" i="59" s="1"/>
  <c r="E167" i="59" l="1"/>
  <c r="A167" i="59" a="1"/>
  <c r="E171" i="59" l="1"/>
  <c r="C168" i="59"/>
  <c r="B167" i="59"/>
  <c r="C169" i="59"/>
  <c r="A168" i="59"/>
  <c r="A169" i="59"/>
  <c r="B169" i="59"/>
  <c r="A167" i="59"/>
  <c r="B168" i="59"/>
  <c r="C167" i="59"/>
  <c r="G169" i="59" l="1"/>
  <c r="G168" i="59"/>
  <c r="G167" i="59"/>
  <c r="G171" i="59" l="1"/>
  <c r="I167" i="59" s="1"/>
  <c r="I168" i="59" l="1"/>
  <c r="I169" i="59"/>
  <c r="K167" i="59" s="1" a="1"/>
  <c r="M169" i="59" l="1"/>
  <c r="L168" i="59"/>
  <c r="K167" i="59"/>
  <c r="K169" i="59"/>
  <c r="L167" i="59"/>
  <c r="L169" i="59"/>
  <c r="M167" i="59"/>
  <c r="M168" i="59"/>
  <c r="K168" i="59"/>
  <c r="A174" i="59" l="1" a="1"/>
  <c r="O167" i="59" a="1"/>
  <c r="O169" i="59" l="1"/>
  <c r="Q167" i="59"/>
  <c r="P169" i="59"/>
  <c r="P167" i="59"/>
  <c r="P168" i="59"/>
  <c r="Q168" i="59"/>
  <c r="Q169" i="59"/>
  <c r="O167" i="59"/>
  <c r="O168" i="59"/>
  <c r="C176" i="59"/>
  <c r="B175" i="59"/>
  <c r="E175" i="59" s="1"/>
  <c r="A174" i="59"/>
  <c r="C175" i="59"/>
  <c r="B176" i="59"/>
  <c r="E176" i="59" s="1"/>
  <c r="B174" i="59"/>
  <c r="E174" i="59" s="1"/>
  <c r="C174" i="59"/>
  <c r="A176" i="59"/>
  <c r="A175" i="59"/>
  <c r="E178" i="59" l="1"/>
  <c r="G174" i="59" s="1"/>
  <c r="G175" i="59" l="1"/>
  <c r="G176" i="59"/>
  <c r="G178" i="59" s="1"/>
  <c r="I175" i="59" s="1"/>
  <c r="I176" i="59" s="1"/>
  <c r="K174" i="59" l="1" a="1"/>
  <c r="M176" i="59" l="1"/>
  <c r="L175" i="59"/>
  <c r="K174" i="59"/>
  <c r="K175" i="59"/>
  <c r="M174" i="59"/>
  <c r="M175" i="59"/>
  <c r="L176" i="59"/>
  <c r="K176" i="59"/>
  <c r="L174" i="59"/>
  <c r="O174" i="59" l="1" a="1"/>
  <c r="A181" i="59" a="1"/>
  <c r="C183" i="59" l="1"/>
  <c r="M183" i="59" s="1"/>
  <c r="B182" i="59"/>
  <c r="L182" i="59" s="1"/>
  <c r="A181" i="59"/>
  <c r="K181" i="59" s="1"/>
  <c r="B183" i="59"/>
  <c r="C181" i="59"/>
  <c r="M181" i="59" s="1"/>
  <c r="A182" i="59"/>
  <c r="C182" i="59"/>
  <c r="M182" i="59" s="1"/>
  <c r="A183" i="59"/>
  <c r="B181" i="59"/>
  <c r="L181" i="59" s="1"/>
  <c r="O176" i="59"/>
  <c r="Q174" i="59"/>
  <c r="P175" i="59"/>
  <c r="P176" i="59"/>
  <c r="O174" i="59"/>
  <c r="Q176" i="59"/>
  <c r="P174" i="59"/>
  <c r="Q175" i="59"/>
  <c r="O175" i="59"/>
  <c r="O181" i="59" l="1" a="1"/>
  <c r="P183" i="59" l="1"/>
  <c r="O182" i="59"/>
  <c r="Q182" i="59"/>
  <c r="O181" i="59"/>
  <c r="P182" i="59"/>
  <c r="O183" i="59"/>
  <c r="Q183" i="59"/>
  <c r="Q181" i="59"/>
  <c r="P181" i="59"/>
  <c r="A188" i="59" l="1" a="1"/>
  <c r="S181" i="59" a="1"/>
  <c r="U185" i="59"/>
  <c r="K188" i="59" a="1"/>
  <c r="U182" i="59" l="1"/>
  <c r="T181" i="59"/>
  <c r="S183" i="59"/>
  <c r="S181" i="59"/>
  <c r="U183" i="59"/>
  <c r="U181" i="59"/>
  <c r="S182" i="59"/>
  <c r="T182" i="59"/>
  <c r="T183" i="59"/>
  <c r="K190" i="59"/>
  <c r="M190" i="59"/>
  <c r="K189" i="59"/>
  <c r="L190" i="59"/>
  <c r="L188" i="59"/>
  <c r="M189" i="59"/>
  <c r="K188" i="59"/>
  <c r="L189" i="59"/>
  <c r="M188" i="59"/>
  <c r="C190" i="59"/>
  <c r="B189" i="59"/>
  <c r="A188" i="59"/>
  <c r="C189" i="59"/>
  <c r="B190" i="59"/>
  <c r="B188" i="59"/>
  <c r="C188" i="59"/>
  <c r="A189" i="59"/>
  <c r="E194" i="59" s="1"/>
  <c r="A190" i="59"/>
  <c r="E195" i="59" s="1"/>
  <c r="E193" i="59" l="1"/>
  <c r="A193" i="59" a="1"/>
  <c r="E197" i="59" l="1"/>
  <c r="G193" i="59" s="1"/>
  <c r="A195" i="59"/>
  <c r="C193" i="59"/>
  <c r="C194" i="59"/>
  <c r="A193" i="59"/>
  <c r="B194" i="59"/>
  <c r="B193" i="59"/>
  <c r="A194" i="59"/>
  <c r="B195" i="59"/>
  <c r="C195" i="59"/>
  <c r="G195" i="59" l="1"/>
  <c r="G194" i="59"/>
  <c r="G197" i="59" l="1"/>
  <c r="I193" i="59" s="1"/>
  <c r="I195" i="59" l="1"/>
  <c r="I194" i="59"/>
  <c r="K193" i="59" s="1" a="1"/>
  <c r="M194" i="59" l="1"/>
  <c r="L193" i="59"/>
  <c r="M195" i="59"/>
  <c r="K194" i="59"/>
  <c r="K195" i="59"/>
  <c r="L195" i="59"/>
  <c r="K193" i="59"/>
  <c r="L194" i="59"/>
  <c r="M193" i="59"/>
  <c r="O193" i="59" l="1" a="1"/>
  <c r="A200" i="59" a="1"/>
  <c r="C201" i="59" l="1"/>
  <c r="B200" i="59"/>
  <c r="E200" i="59" s="1"/>
  <c r="B202" i="59"/>
  <c r="E202" i="59" s="1"/>
  <c r="C200" i="59"/>
  <c r="A202" i="59"/>
  <c r="C202" i="59"/>
  <c r="A200" i="59"/>
  <c r="A201" i="59"/>
  <c r="B201" i="59"/>
  <c r="E201" i="59" s="1"/>
  <c r="P195" i="59"/>
  <c r="O194" i="59"/>
  <c r="P194" i="59"/>
  <c r="Q193" i="59"/>
  <c r="O195" i="59"/>
  <c r="Q195" i="59"/>
  <c r="O193" i="59"/>
  <c r="Q194" i="59"/>
  <c r="P193" i="59"/>
  <c r="E204" i="59" l="1"/>
  <c r="G202" i="59" s="1"/>
  <c r="G201" i="59" l="1"/>
  <c r="G204" i="59" s="1"/>
  <c r="G200" i="59"/>
  <c r="I201" i="59" l="1"/>
  <c r="I202" i="59" l="1"/>
  <c r="K200" i="59" s="1" a="1"/>
  <c r="M201" i="59" l="1"/>
  <c r="L200" i="59"/>
  <c r="K202" i="59"/>
  <c r="K200" i="59"/>
  <c r="M202" i="59"/>
  <c r="M200" i="59"/>
  <c r="L201" i="59"/>
  <c r="L202" i="59"/>
  <c r="K201" i="59"/>
  <c r="O200" i="59" l="1" a="1"/>
  <c r="A207" i="59" a="1"/>
  <c r="C208" i="59" l="1"/>
  <c r="M208" i="59" s="1"/>
  <c r="B207" i="59"/>
  <c r="L207" i="59" s="1"/>
  <c r="B208" i="59"/>
  <c r="L208" i="59" s="1"/>
  <c r="C209" i="59"/>
  <c r="M209" i="59" s="1"/>
  <c r="C207" i="59"/>
  <c r="M207" i="59" s="1"/>
  <c r="A209" i="59"/>
  <c r="B209" i="59"/>
  <c r="A207" i="59"/>
  <c r="K207" i="59" s="1"/>
  <c r="A208" i="59"/>
  <c r="P202" i="59"/>
  <c r="O201" i="59"/>
  <c r="O202" i="59"/>
  <c r="P200" i="59"/>
  <c r="Q201" i="59"/>
  <c r="P201" i="59"/>
  <c r="Q202" i="59"/>
  <c r="Q200" i="59"/>
  <c r="O200" i="59"/>
  <c r="O207" i="59" l="1" a="1"/>
  <c r="Q209" i="59" l="1"/>
  <c r="P208" i="59"/>
  <c r="O207" i="59"/>
  <c r="P209" i="59"/>
  <c r="Q207" i="59"/>
  <c r="O208" i="59"/>
  <c r="P207" i="59"/>
  <c r="Q208" i="59"/>
  <c r="O209" i="59"/>
  <c r="U211" i="59" l="1"/>
  <c r="A214" i="59" a="1"/>
  <c r="S207" i="59" a="1"/>
  <c r="K214" i="59" a="1"/>
  <c r="M216" i="59" l="1"/>
  <c r="L215" i="59"/>
  <c r="K214" i="59"/>
  <c r="K215" i="59"/>
  <c r="M215" i="59"/>
  <c r="L214" i="59"/>
  <c r="M214" i="59"/>
  <c r="K216" i="59"/>
  <c r="L216" i="59"/>
  <c r="S209" i="59"/>
  <c r="U207" i="59"/>
  <c r="U209" i="59"/>
  <c r="S208" i="59"/>
  <c r="T209" i="59"/>
  <c r="S207" i="59"/>
  <c r="T207" i="59"/>
  <c r="T208" i="59"/>
  <c r="U208" i="59"/>
  <c r="A216" i="59"/>
  <c r="E221" i="59" s="1"/>
  <c r="C214" i="59"/>
  <c r="C215" i="59"/>
  <c r="A214" i="59"/>
  <c r="B215" i="59"/>
  <c r="B216" i="59"/>
  <c r="C216" i="59"/>
  <c r="A215" i="59"/>
  <c r="E220" i="59" s="1"/>
  <c r="B214" i="59"/>
  <c r="E219" i="59" l="1"/>
  <c r="A219" i="59" a="1"/>
  <c r="E223" i="59" l="1"/>
  <c r="G219" i="59" s="1"/>
  <c r="C221" i="59"/>
  <c r="B220" i="59"/>
  <c r="A219" i="59"/>
  <c r="A221" i="59"/>
  <c r="B219" i="59"/>
  <c r="C219" i="59"/>
  <c r="C220" i="59"/>
  <c r="B221" i="59"/>
  <c r="A220" i="59"/>
  <c r="G221" i="59" l="1"/>
  <c r="G220" i="59"/>
  <c r="G223" i="59" l="1"/>
  <c r="I219" i="59" s="1"/>
  <c r="I220" i="59" s="1"/>
  <c r="K219" i="59" s="1" a="1"/>
  <c r="I221" i="59"/>
  <c r="L221" i="59" l="1"/>
  <c r="K220" i="59"/>
  <c r="L220" i="59"/>
  <c r="M219" i="59"/>
  <c r="L219" i="59"/>
  <c r="M220" i="59"/>
  <c r="K219" i="59"/>
  <c r="K221" i="59"/>
  <c r="M221" i="59"/>
  <c r="A226" i="59" l="1" a="1"/>
  <c r="O219" i="59" a="1"/>
  <c r="O221" i="59" l="1"/>
  <c r="Q219" i="59"/>
  <c r="Q220" i="59"/>
  <c r="P219" i="59"/>
  <c r="P221" i="59"/>
  <c r="O219" i="59"/>
  <c r="O220" i="59"/>
  <c r="P220" i="59"/>
  <c r="Q221" i="59"/>
  <c r="C228" i="59"/>
  <c r="B227" i="59"/>
  <c r="E227" i="59" s="1"/>
  <c r="A226" i="59"/>
  <c r="B228" i="59"/>
  <c r="E228" i="59" s="1"/>
  <c r="A227" i="59"/>
  <c r="C226" i="59"/>
  <c r="C227" i="59"/>
  <c r="B226" i="59"/>
  <c r="E226" i="59" s="1"/>
  <c r="A228" i="59"/>
  <c r="E230" i="59" l="1"/>
  <c r="G227" i="59" s="1"/>
  <c r="G228" i="59" l="1"/>
  <c r="G226" i="59"/>
  <c r="G230" i="59" l="1"/>
  <c r="I227" i="59" s="1"/>
  <c r="I228" i="59" l="1"/>
  <c r="K226" i="59" s="1" a="1"/>
  <c r="M228" i="59" l="1"/>
  <c r="L227" i="59"/>
  <c r="K226" i="59"/>
  <c r="L228" i="59"/>
  <c r="K227" i="59"/>
  <c r="K228" i="59"/>
  <c r="L226" i="59"/>
  <c r="M227" i="59"/>
  <c r="M226" i="59"/>
  <c r="A233" i="59" l="1" a="1"/>
  <c r="O226" i="59" a="1"/>
  <c r="O228" i="59" l="1"/>
  <c r="Q226" i="59"/>
  <c r="Q227" i="59"/>
  <c r="P226" i="59"/>
  <c r="P227" i="59"/>
  <c r="P228" i="59"/>
  <c r="O227" i="59"/>
  <c r="O226" i="59"/>
  <c r="O233" i="59" s="1" a="1"/>
  <c r="Q228" i="59"/>
  <c r="C235" i="59"/>
  <c r="M235" i="59" s="1"/>
  <c r="B234" i="59"/>
  <c r="L234" i="59" s="1"/>
  <c r="A233" i="59"/>
  <c r="K233" i="59" s="1"/>
  <c r="B235" i="59"/>
  <c r="A234" i="59"/>
  <c r="C233" i="59"/>
  <c r="M233" i="59" s="1"/>
  <c r="C234" i="59"/>
  <c r="M234" i="59" s="1"/>
  <c r="B233" i="59"/>
  <c r="L233" i="59" s="1"/>
  <c r="A235" i="59"/>
  <c r="P235" i="59" l="1"/>
  <c r="O234" i="59"/>
  <c r="O235" i="59"/>
  <c r="Q233" i="59"/>
  <c r="Q234" i="59"/>
  <c r="Q235" i="59"/>
  <c r="O233" i="59"/>
  <c r="P234" i="59"/>
  <c r="P233" i="59"/>
  <c r="A240" i="59" l="1" a="1"/>
  <c r="U237" i="59"/>
  <c r="S233" i="59" a="1"/>
  <c r="K240" i="59" a="1"/>
  <c r="U234" i="59" l="1"/>
  <c r="T233" i="59"/>
  <c r="U235" i="59"/>
  <c r="T234" i="59"/>
  <c r="S233" i="59"/>
  <c r="S234" i="59"/>
  <c r="S235" i="59"/>
  <c r="U233" i="59"/>
  <c r="T235" i="59"/>
  <c r="L242" i="59"/>
  <c r="K241" i="59"/>
  <c r="K242" i="59"/>
  <c r="M240" i="59"/>
  <c r="L240" i="59"/>
  <c r="L241" i="59"/>
  <c r="K240" i="59"/>
  <c r="M242" i="59"/>
  <c r="M241" i="59"/>
  <c r="C242" i="59"/>
  <c r="B241" i="59"/>
  <c r="A240" i="59"/>
  <c r="B242" i="59"/>
  <c r="A241" i="59"/>
  <c r="A242" i="59"/>
  <c r="B240" i="59"/>
  <c r="C241" i="59"/>
  <c r="C240" i="59"/>
  <c r="W251" i="59" l="1" a="1"/>
  <c r="W246" i="59" a="1"/>
  <c r="W256" i="59" a="1"/>
  <c r="X256" i="59" a="1"/>
  <c r="Y256" i="59" a="1"/>
  <c r="W248" i="59" l="1"/>
  <c r="Y246" i="59"/>
  <c r="Y247" i="59"/>
  <c r="X246" i="59"/>
  <c r="X247" i="59"/>
  <c r="X248" i="59"/>
  <c r="W246" i="59"/>
  <c r="W247" i="59"/>
  <c r="Y248" i="59"/>
  <c r="X258" i="59"/>
  <c r="X257" i="59"/>
  <c r="X256" i="59"/>
  <c r="W258" i="59"/>
  <c r="W257" i="59"/>
  <c r="W256" i="59"/>
  <c r="Y258" i="59"/>
  <c r="Y257" i="59"/>
  <c r="Y256" i="59"/>
  <c r="Y253" i="59"/>
  <c r="X252" i="59"/>
  <c r="W251" i="59"/>
  <c r="X253" i="59"/>
  <c r="W252" i="59"/>
  <c r="Y251" i="59"/>
  <c r="Y252" i="59"/>
  <c r="X251" i="59"/>
  <c r="W253" i="59"/>
  <c r="S34" i="55" l="1"/>
  <c r="AX32" i="55"/>
  <c r="AY32" i="55" s="1"/>
  <c r="AZ32" i="55" s="1"/>
  <c r="BA32" i="55" s="1"/>
  <c r="BB32" i="55" s="1"/>
  <c r="BC32" i="55" s="1"/>
  <c r="BD32" i="55" s="1"/>
  <c r="BE32" i="55" s="1"/>
  <c r="AL32" i="55"/>
  <c r="AM32" i="55" s="1"/>
  <c r="AN32" i="55" s="1"/>
  <c r="AO32" i="55" s="1"/>
  <c r="AP32" i="55" s="1"/>
  <c r="AQ32" i="55" s="1"/>
  <c r="AR32" i="55" s="1"/>
  <c r="AS32" i="55" s="1"/>
  <c r="DF32" i="55"/>
  <c r="DG32" i="55" s="1"/>
  <c r="DH32" i="55" s="1"/>
  <c r="DI32" i="55" s="1"/>
  <c r="DJ32" i="55" s="1"/>
  <c r="DK32" i="55" s="1"/>
  <c r="DL32" i="55" s="1"/>
  <c r="DM32" i="55" s="1"/>
  <c r="CT32" i="55"/>
  <c r="CU32" i="55" s="1"/>
  <c r="CV32" i="55" s="1"/>
  <c r="CW32" i="55" s="1"/>
  <c r="CX32" i="55" s="1"/>
  <c r="CY32" i="55" s="1"/>
  <c r="CZ32" i="55" s="1"/>
  <c r="DA32" i="55" s="1"/>
  <c r="CH32" i="55"/>
  <c r="CI32" i="55" s="1"/>
  <c r="CJ32" i="55" s="1"/>
  <c r="CK32" i="55" s="1"/>
  <c r="CL32" i="55" s="1"/>
  <c r="CM32" i="55" s="1"/>
  <c r="CN32" i="55" s="1"/>
  <c r="CO32" i="55" s="1"/>
  <c r="BV32" i="55"/>
  <c r="BW32" i="55" s="1"/>
  <c r="BX32" i="55" s="1"/>
  <c r="BY32" i="55" s="1"/>
  <c r="BZ32" i="55" s="1"/>
  <c r="CA32" i="55" s="1"/>
  <c r="CB32" i="55" s="1"/>
  <c r="CC32" i="55" s="1"/>
  <c r="BJ32" i="55"/>
  <c r="BK32" i="55" s="1"/>
  <c r="BL32" i="55" s="1"/>
  <c r="BM32" i="55" s="1"/>
  <c r="BN32" i="55" s="1"/>
  <c r="BO32" i="55" s="1"/>
  <c r="BP32" i="55" s="1"/>
  <c r="BQ32" i="55" s="1"/>
  <c r="LB32" i="55"/>
  <c r="LC32" i="55" s="1"/>
  <c r="LD32" i="55" s="1"/>
  <c r="LE32" i="55" s="1"/>
  <c r="LF32" i="55" s="1"/>
  <c r="LG32" i="55" s="1"/>
  <c r="LH32" i="55" s="1"/>
  <c r="LI32" i="55" s="1"/>
  <c r="KP32" i="55"/>
  <c r="KQ32" i="55" s="1"/>
  <c r="KR32" i="55" s="1"/>
  <c r="KS32" i="55" s="1"/>
  <c r="KT32" i="55" s="1"/>
  <c r="KU32" i="55" s="1"/>
  <c r="KV32" i="55" s="1"/>
  <c r="KW32" i="55" s="1"/>
  <c r="KD32" i="55"/>
  <c r="KE32" i="55" s="1"/>
  <c r="KF32" i="55" s="1"/>
  <c r="KG32" i="55" s="1"/>
  <c r="KH32" i="55" s="1"/>
  <c r="KI32" i="55" s="1"/>
  <c r="KJ32" i="55" s="1"/>
  <c r="KK32" i="55" s="1"/>
  <c r="JR32" i="55"/>
  <c r="JS32" i="55" s="1"/>
  <c r="JT32" i="55" s="1"/>
  <c r="JU32" i="55" s="1"/>
  <c r="JV32" i="55" s="1"/>
  <c r="JW32" i="55" s="1"/>
  <c r="JX32" i="55" s="1"/>
  <c r="JY32" i="55" s="1"/>
  <c r="JH32" i="55"/>
  <c r="JI32" i="55" s="1"/>
  <c r="JJ32" i="55" s="1"/>
  <c r="JK32" i="55" s="1"/>
  <c r="JL32" i="55" s="1"/>
  <c r="JM32" i="55" s="1"/>
  <c r="JF32" i="55"/>
  <c r="JG32" i="55" s="1"/>
  <c r="IT32" i="55"/>
  <c r="IU32" i="55" s="1"/>
  <c r="IV32" i="55" s="1"/>
  <c r="IW32" i="55" s="1"/>
  <c r="IX32" i="55" s="1"/>
  <c r="IY32" i="55" s="1"/>
  <c r="IZ32" i="55" s="1"/>
  <c r="JA32" i="55" s="1"/>
  <c r="IH32" i="55"/>
  <c r="II32" i="55" s="1"/>
  <c r="IJ32" i="55" s="1"/>
  <c r="IK32" i="55" s="1"/>
  <c r="IL32" i="55" s="1"/>
  <c r="IM32" i="55" s="1"/>
  <c r="IN32" i="55" s="1"/>
  <c r="IO32" i="55" s="1"/>
  <c r="HV32" i="55"/>
  <c r="HW32" i="55" s="1"/>
  <c r="HX32" i="55" s="1"/>
  <c r="HY32" i="55" s="1"/>
  <c r="HZ32" i="55" s="1"/>
  <c r="IA32" i="55" s="1"/>
  <c r="IB32" i="55" s="1"/>
  <c r="IC32" i="55" s="1"/>
  <c r="HL32" i="55"/>
  <c r="HM32" i="55" s="1"/>
  <c r="HN32" i="55" s="1"/>
  <c r="HO32" i="55" s="1"/>
  <c r="HP32" i="55" s="1"/>
  <c r="HQ32" i="55" s="1"/>
  <c r="HJ32" i="55"/>
  <c r="HK32" i="55" s="1"/>
  <c r="GZ32" i="55"/>
  <c r="HA32" i="55" s="1"/>
  <c r="HB32" i="55" s="1"/>
  <c r="HC32" i="55" s="1"/>
  <c r="HD32" i="55" s="1"/>
  <c r="HE32" i="55" s="1"/>
  <c r="GX32" i="55"/>
  <c r="GY32" i="55" s="1"/>
  <c r="GM32" i="55"/>
  <c r="GN32" i="55" s="1"/>
  <c r="GO32" i="55" s="1"/>
  <c r="GP32" i="55" s="1"/>
  <c r="GQ32" i="55" s="1"/>
  <c r="GR32" i="55" s="1"/>
  <c r="GS32" i="55" s="1"/>
  <c r="GL32" i="55"/>
  <c r="FZ32" i="55"/>
  <c r="GA32" i="55" s="1"/>
  <c r="GB32" i="55" s="1"/>
  <c r="GC32" i="55" s="1"/>
  <c r="GD32" i="55" s="1"/>
  <c r="GE32" i="55" s="1"/>
  <c r="GF32" i="55" s="1"/>
  <c r="GG32" i="55" s="1"/>
  <c r="FN32" i="55"/>
  <c r="FO32" i="55" s="1"/>
  <c r="FP32" i="55" s="1"/>
  <c r="FQ32" i="55" s="1"/>
  <c r="FR32" i="55" s="1"/>
  <c r="FS32" i="55" s="1"/>
  <c r="FT32" i="55" s="1"/>
  <c r="FU32" i="55" s="1"/>
  <c r="FB32" i="55"/>
  <c r="FC32" i="55" s="1"/>
  <c r="FD32" i="55" s="1"/>
  <c r="FE32" i="55" s="1"/>
  <c r="FF32" i="55" s="1"/>
  <c r="FG32" i="55" s="1"/>
  <c r="FH32" i="55" s="1"/>
  <c r="FI32" i="55" s="1"/>
  <c r="EP32" i="55"/>
  <c r="EQ32" i="55" s="1"/>
  <c r="ER32" i="55" s="1"/>
  <c r="ES32" i="55" s="1"/>
  <c r="ET32" i="55" s="1"/>
  <c r="EU32" i="55" s="1"/>
  <c r="EV32" i="55" s="1"/>
  <c r="EW32" i="55" s="1"/>
  <c r="ED32" i="55"/>
  <c r="EE32" i="55" s="1"/>
  <c r="EF32" i="55" s="1"/>
  <c r="EG32" i="55" s="1"/>
  <c r="EH32" i="55" s="1"/>
  <c r="EI32" i="55" s="1"/>
  <c r="EJ32" i="55" s="1"/>
  <c r="EK32" i="55" s="1"/>
  <c r="ML32" i="55"/>
  <c r="MM32" i="55" s="1"/>
  <c r="MN32" i="55" s="1"/>
  <c r="MO32" i="55" s="1"/>
  <c r="MP32" i="55" s="1"/>
  <c r="MQ32" i="55" s="1"/>
  <c r="MR32" i="55" s="1"/>
  <c r="MS32" i="55" s="1"/>
  <c r="LZ32" i="55"/>
  <c r="MA32" i="55" s="1"/>
  <c r="MB32" i="55" s="1"/>
  <c r="MC32" i="55" s="1"/>
  <c r="MD32" i="55" s="1"/>
  <c r="ME32" i="55" s="1"/>
  <c r="MF32" i="55" s="1"/>
  <c r="MG32" i="55" s="1"/>
  <c r="LN32" i="55"/>
  <c r="LO32" i="55" s="1"/>
  <c r="LP32" i="55" s="1"/>
  <c r="LQ32" i="55" s="1"/>
  <c r="LR32" i="55" s="1"/>
  <c r="LS32" i="55" s="1"/>
  <c r="LT32" i="55" s="1"/>
  <c r="LU32" i="55" s="1"/>
  <c r="DR32" i="55"/>
  <c r="DS32" i="55" s="1"/>
  <c r="DT32" i="55" s="1"/>
  <c r="DU32" i="55" s="1"/>
  <c r="DV32" i="55" s="1"/>
  <c r="DW32" i="55" s="1"/>
  <c r="DX32" i="55" s="1"/>
  <c r="DY32" i="55" s="1"/>
  <c r="S35" i="55" l="1"/>
  <c r="Z32" i="55"/>
  <c r="AA32" i="55" s="1"/>
  <c r="AB32" i="55" s="1"/>
  <c r="AC32" i="55" s="1"/>
  <c r="AD32" i="55" s="1"/>
  <c r="AE32" i="55" s="1"/>
  <c r="AF32" i="55" s="1"/>
  <c r="AG32" i="55" s="1"/>
  <c r="Y1" i="55"/>
  <c r="AK1" i="55" s="1"/>
  <c r="AW1" i="55" s="1"/>
  <c r="BI1" i="55" s="1"/>
  <c r="BU1" i="55" s="1"/>
  <c r="CG1" i="55" s="1"/>
  <c r="CS1" i="55" s="1"/>
  <c r="DE1" i="55" s="1"/>
  <c r="DQ1" i="55" s="1"/>
  <c r="EC1" i="55" s="1"/>
  <c r="EO1" i="55" s="1"/>
  <c r="FA1" i="55" s="1"/>
  <c r="FM1" i="55" s="1"/>
  <c r="FY1" i="55" s="1"/>
  <c r="GK1" i="55" s="1"/>
  <c r="GW1" i="55" s="1"/>
  <c r="HI1" i="55" s="1"/>
  <c r="HU1" i="55" s="1"/>
  <c r="IG1" i="55" s="1"/>
  <c r="IS1" i="55" s="1"/>
  <c r="JE1" i="55" s="1"/>
  <c r="JQ1" i="55" s="1"/>
  <c r="KC1" i="55" s="1"/>
  <c r="KO1" i="55" s="1"/>
  <c r="LA1" i="55" s="1"/>
  <c r="LM1" i="55" s="1"/>
  <c r="LY1" i="55" s="1"/>
  <c r="MK1" i="55" s="1"/>
  <c r="L6" i="55" a="1"/>
  <c r="L13" i="55" s="1"/>
  <c r="M5" i="55" a="1"/>
  <c r="R5" i="55" s="1"/>
  <c r="J129" i="55"/>
  <c r="I129" i="55"/>
  <c r="H129" i="55"/>
  <c r="G129" i="55"/>
  <c r="F129" i="55"/>
  <c r="E129" i="55"/>
  <c r="D129" i="55"/>
  <c r="C129" i="55"/>
  <c r="B129" i="55"/>
  <c r="J128" i="55"/>
  <c r="I128" i="55"/>
  <c r="H128" i="55"/>
  <c r="G128" i="55"/>
  <c r="F128" i="55"/>
  <c r="E128" i="55"/>
  <c r="D128" i="55"/>
  <c r="C128" i="55"/>
  <c r="B128" i="55"/>
  <c r="J127" i="55"/>
  <c r="I127" i="55"/>
  <c r="H127" i="55"/>
  <c r="G127" i="55"/>
  <c r="F127" i="55"/>
  <c r="E127" i="55"/>
  <c r="D127" i="55"/>
  <c r="C127" i="55"/>
  <c r="B127" i="55"/>
  <c r="J126" i="55"/>
  <c r="I126" i="55"/>
  <c r="H126" i="55"/>
  <c r="G126" i="55"/>
  <c r="F126" i="55"/>
  <c r="E126" i="55"/>
  <c r="D126" i="55"/>
  <c r="C126" i="55"/>
  <c r="B126" i="55"/>
  <c r="J125" i="55"/>
  <c r="I125" i="55"/>
  <c r="H125" i="55"/>
  <c r="G125" i="55"/>
  <c r="F125" i="55"/>
  <c r="E125" i="55"/>
  <c r="D125" i="55"/>
  <c r="C125" i="55"/>
  <c r="B125" i="55"/>
  <c r="A104" i="55"/>
  <c r="A105" i="55" s="1"/>
  <c r="A106" i="55" s="1"/>
  <c r="A107" i="55" s="1"/>
  <c r="A108" i="55" s="1"/>
  <c r="A109" i="55" s="1"/>
  <c r="A110" i="55" s="1"/>
  <c r="A111" i="55" s="1"/>
  <c r="A112" i="55" s="1"/>
  <c r="A113" i="55" s="1"/>
  <c r="A114" i="55" s="1"/>
  <c r="A115" i="55" s="1"/>
  <c r="A116" i="55" s="1"/>
  <c r="A117" i="55" s="1"/>
  <c r="A118" i="55" s="1"/>
  <c r="A119" i="55" s="1"/>
  <c r="A120" i="55" s="1"/>
  <c r="A121" i="55" s="1"/>
  <c r="A122" i="55" s="1"/>
  <c r="A123" i="55" s="1"/>
  <c r="S36" i="55" l="1"/>
  <c r="O5" i="55"/>
  <c r="Q5" i="55"/>
  <c r="M5" i="55"/>
  <c r="L10" i="55"/>
  <c r="L6" i="55"/>
  <c r="L11" i="55"/>
  <c r="S5" i="55"/>
  <c r="L7" i="55"/>
  <c r="L12" i="55"/>
  <c r="U5" i="55"/>
  <c r="L8" i="55"/>
  <c r="L14" i="55"/>
  <c r="P5" i="55"/>
  <c r="T5" i="55"/>
  <c r="N5" i="55"/>
  <c r="L9" i="55"/>
  <c r="L234" i="54" a="1"/>
  <c r="L234" i="54" s="1"/>
  <c r="N233" i="54"/>
  <c r="O233" i="54" s="1"/>
  <c r="P233" i="54" s="1"/>
  <c r="L216" i="54" a="1"/>
  <c r="L216" i="54" s="1"/>
  <c r="N215" i="54"/>
  <c r="O215" i="54" s="1"/>
  <c r="P215" i="54" s="1"/>
  <c r="L203" i="54" a="1"/>
  <c r="L203" i="54" s="1"/>
  <c r="N202" i="54"/>
  <c r="O202" i="54" s="1"/>
  <c r="P202" i="54" s="1"/>
  <c r="L190" i="54" a="1"/>
  <c r="L190" i="54" s="1"/>
  <c r="M189" i="54" a="1"/>
  <c r="M189" i="54" s="1"/>
  <c r="L177" i="54" a="1"/>
  <c r="L177" i="54" s="1"/>
  <c r="M176" i="54" a="1"/>
  <c r="M176" i="54" s="1"/>
  <c r="P176" i="54"/>
  <c r="T176" i="54"/>
  <c r="L163" i="54" a="1"/>
  <c r="L163" i="54" s="1"/>
  <c r="N162" i="54"/>
  <c r="O162" i="54" s="1"/>
  <c r="P162" i="54" s="1"/>
  <c r="L149" i="54" a="1"/>
  <c r="L149" i="54" s="1"/>
  <c r="N148" i="54"/>
  <c r="O148" i="54" s="1"/>
  <c r="P148" i="54" s="1"/>
  <c r="L122" i="54" a="1"/>
  <c r="L124" i="54" s="1"/>
  <c r="L127" i="54"/>
  <c r="M122" i="54" a="1"/>
  <c r="N121" i="54"/>
  <c r="O121" i="54" s="1"/>
  <c r="P121" i="54" s="1"/>
  <c r="Q121" i="54" s="1"/>
  <c r="R121" i="54" s="1"/>
  <c r="S121" i="54" s="1"/>
  <c r="T121" i="54" s="1"/>
  <c r="U121" i="54" s="1"/>
  <c r="L96" i="54" a="1"/>
  <c r="L96" i="54" s="1"/>
  <c r="M95" i="54" a="1"/>
  <c r="M95" i="54" s="1"/>
  <c r="M90" i="54" a="1"/>
  <c r="O90" i="54" s="1"/>
  <c r="M85" i="54" a="1"/>
  <c r="M85" i="54" s="1"/>
  <c r="L73" i="54" a="1"/>
  <c r="L73" i="54" s="1"/>
  <c r="M73" i="54" a="1"/>
  <c r="N72" i="54"/>
  <c r="O72" i="54" s="1"/>
  <c r="P72" i="54" s="1"/>
  <c r="Q72" i="54" s="1"/>
  <c r="R72" i="54" s="1"/>
  <c r="S72" i="54" s="1"/>
  <c r="T72" i="54" s="1"/>
  <c r="U72" i="54" s="1"/>
  <c r="M54" i="54" a="1"/>
  <c r="O54" i="54" s="1"/>
  <c r="L41" i="54" a="1"/>
  <c r="L41" i="54" s="1"/>
  <c r="M40" i="54" a="1"/>
  <c r="M40" i="54" s="1"/>
  <c r="L28" i="54" a="1"/>
  <c r="L28" i="54" s="1"/>
  <c r="M27" i="54" a="1"/>
  <c r="O27" i="54" s="1"/>
  <c r="P27" i="54"/>
  <c r="L14" i="54" a="1"/>
  <c r="L16" i="54" s="1"/>
  <c r="M13" i="54" a="1"/>
  <c r="O13" i="54" s="1"/>
  <c r="M13" i="54"/>
  <c r="P13" i="54"/>
  <c r="Q13" i="54"/>
  <c r="N6" i="54"/>
  <c r="O6" i="54"/>
  <c r="P6" i="54"/>
  <c r="Q6" i="54"/>
  <c r="R6" i="54"/>
  <c r="S6" i="54"/>
  <c r="T6" i="54"/>
  <c r="U6" i="54"/>
  <c r="N7" i="54"/>
  <c r="O7" i="54"/>
  <c r="P7" i="54"/>
  <c r="Q7" i="54"/>
  <c r="R7" i="54"/>
  <c r="S7" i="54"/>
  <c r="T7" i="54"/>
  <c r="U7" i="54"/>
  <c r="N8" i="54"/>
  <c r="O8" i="54"/>
  <c r="P8" i="54"/>
  <c r="Q8" i="54"/>
  <c r="R8" i="54"/>
  <c r="S8" i="54"/>
  <c r="T8" i="54"/>
  <c r="U8" i="54"/>
  <c r="N9" i="54"/>
  <c r="O9" i="54"/>
  <c r="P9" i="54"/>
  <c r="Q9" i="54"/>
  <c r="R9" i="54"/>
  <c r="S9" i="54"/>
  <c r="T9" i="54"/>
  <c r="U9" i="54"/>
  <c r="M9" i="54"/>
  <c r="M8" i="54"/>
  <c r="M7" i="54"/>
  <c r="M6" i="54"/>
  <c r="M5" i="54" a="1"/>
  <c r="M5" i="54" s="1"/>
  <c r="J129" i="54"/>
  <c r="I129" i="54"/>
  <c r="H129" i="54"/>
  <c r="G129" i="54"/>
  <c r="F129" i="54"/>
  <c r="E129" i="54"/>
  <c r="D129" i="54"/>
  <c r="C129" i="54"/>
  <c r="B129" i="54"/>
  <c r="J128" i="54"/>
  <c r="I128" i="54"/>
  <c r="H128" i="54"/>
  <c r="G128" i="54"/>
  <c r="F128" i="54"/>
  <c r="E128" i="54"/>
  <c r="D128" i="54"/>
  <c r="C128" i="54"/>
  <c r="B128" i="54"/>
  <c r="J127" i="54"/>
  <c r="I127" i="54"/>
  <c r="H127" i="54"/>
  <c r="G127" i="54"/>
  <c r="F127" i="54"/>
  <c r="E127" i="54"/>
  <c r="D127" i="54"/>
  <c r="C127" i="54"/>
  <c r="B127" i="54"/>
  <c r="J126" i="54"/>
  <c r="I126" i="54"/>
  <c r="H126" i="54"/>
  <c r="G126" i="54"/>
  <c r="F126" i="54"/>
  <c r="E126" i="54"/>
  <c r="D126" i="54"/>
  <c r="C126" i="54"/>
  <c r="B126" i="54"/>
  <c r="J125" i="54"/>
  <c r="I125" i="54"/>
  <c r="H125" i="54"/>
  <c r="G125" i="54"/>
  <c r="F125" i="54"/>
  <c r="E125" i="54"/>
  <c r="D125" i="54"/>
  <c r="C125" i="54"/>
  <c r="B125" i="54"/>
  <c r="A104" i="54"/>
  <c r="A105" i="54" s="1"/>
  <c r="A106" i="54" s="1"/>
  <c r="A107" i="54" s="1"/>
  <c r="A108" i="54" s="1"/>
  <c r="A109" i="54" s="1"/>
  <c r="A110" i="54" s="1"/>
  <c r="A111" i="54" s="1"/>
  <c r="A112" i="54" s="1"/>
  <c r="A113" i="54" s="1"/>
  <c r="A114" i="54" s="1"/>
  <c r="A115" i="54" s="1"/>
  <c r="A116" i="54" s="1"/>
  <c r="A117" i="54" s="1"/>
  <c r="A118" i="54" s="1"/>
  <c r="A119" i="54" s="1"/>
  <c r="A120" i="54" s="1"/>
  <c r="A121" i="54" s="1"/>
  <c r="A122" i="54" s="1"/>
  <c r="A123" i="54" s="1"/>
  <c r="L185" i="51" a="1"/>
  <c r="L185" i="51" s="1"/>
  <c r="N184" i="51"/>
  <c r="O184" i="51" s="1"/>
  <c r="P184" i="51" s="1"/>
  <c r="L167" i="51" a="1"/>
  <c r="L167" i="51" s="1"/>
  <c r="O166" i="51"/>
  <c r="P166" i="51" s="1"/>
  <c r="N166" i="51"/>
  <c r="L154" i="51" a="1"/>
  <c r="L154" i="51" s="1"/>
  <c r="N153" i="51"/>
  <c r="O153" i="51" s="1"/>
  <c r="P153" i="51" s="1"/>
  <c r="L141" i="51" a="1"/>
  <c r="L141" i="51" s="1"/>
  <c r="L146" i="51"/>
  <c r="M140" i="51" a="1"/>
  <c r="N140" i="51" s="1"/>
  <c r="M140" i="51"/>
  <c r="S140" i="51"/>
  <c r="U140" i="51"/>
  <c r="L128" i="51" a="1"/>
  <c r="L128" i="51" s="1"/>
  <c r="L131" i="51"/>
  <c r="L134" i="51"/>
  <c r="M127" i="51" a="1"/>
  <c r="M127" i="51" s="1"/>
  <c r="L114" i="51" a="1"/>
  <c r="L114" i="51" s="1"/>
  <c r="N113" i="51"/>
  <c r="O113" i="51" s="1"/>
  <c r="P113" i="51" s="1"/>
  <c r="L100" i="51" a="1"/>
  <c r="L100" i="51" s="1"/>
  <c r="N99" i="51"/>
  <c r="O99" i="51" s="1"/>
  <c r="P99" i="51" s="1"/>
  <c r="L73" i="51" a="1"/>
  <c r="L73" i="51" s="1"/>
  <c r="M73" i="51" a="1"/>
  <c r="N72" i="51"/>
  <c r="O72" i="51" s="1"/>
  <c r="P72" i="51" s="1"/>
  <c r="Q72" i="51" s="1"/>
  <c r="R72" i="51" s="1"/>
  <c r="S72" i="51" s="1"/>
  <c r="T72" i="51" s="1"/>
  <c r="U72" i="51" s="1"/>
  <c r="M54" i="51" a="1"/>
  <c r="M54" i="51" s="1"/>
  <c r="L41" i="51" a="1"/>
  <c r="L41" i="51" s="1"/>
  <c r="M40" i="51" a="1"/>
  <c r="M40" i="51" s="1"/>
  <c r="L28" i="51" a="1"/>
  <c r="L28" i="51" s="1"/>
  <c r="M27" i="51" a="1"/>
  <c r="M27" i="51" s="1"/>
  <c r="L14" i="51" a="1"/>
  <c r="L16" i="51" s="1"/>
  <c r="M13" i="51" a="1"/>
  <c r="O13" i="51" s="1"/>
  <c r="N6" i="51"/>
  <c r="O6" i="51"/>
  <c r="P6" i="51"/>
  <c r="Q6" i="51"/>
  <c r="R6" i="51"/>
  <c r="S6" i="51"/>
  <c r="T6" i="51"/>
  <c r="U6" i="51"/>
  <c r="N7" i="51"/>
  <c r="O7" i="51"/>
  <c r="P7" i="51"/>
  <c r="Q7" i="51"/>
  <c r="R7" i="51"/>
  <c r="S7" i="51"/>
  <c r="T7" i="51"/>
  <c r="U7" i="51"/>
  <c r="N8" i="51"/>
  <c r="O8" i="51"/>
  <c r="P8" i="51"/>
  <c r="Q8" i="51"/>
  <c r="R8" i="51"/>
  <c r="S8" i="51"/>
  <c r="T8" i="51"/>
  <c r="U8" i="51"/>
  <c r="N9" i="51"/>
  <c r="O9" i="51"/>
  <c r="P9" i="51"/>
  <c r="Q9" i="51"/>
  <c r="R9" i="51"/>
  <c r="S9" i="51"/>
  <c r="T9" i="51"/>
  <c r="U9" i="51"/>
  <c r="M9" i="51"/>
  <c r="M8" i="51"/>
  <c r="M7" i="51"/>
  <c r="M6" i="51"/>
  <c r="M5" i="51" a="1"/>
  <c r="M5" i="51" s="1"/>
  <c r="L18" i="54" l="1"/>
  <c r="L35" i="54"/>
  <c r="L143" i="51"/>
  <c r="N13" i="54"/>
  <c r="M27" i="54"/>
  <c r="L117" i="51"/>
  <c r="P140" i="51"/>
  <c r="L156" i="51"/>
  <c r="L123" i="54"/>
  <c r="L14" i="54"/>
  <c r="R40" i="54"/>
  <c r="T13" i="54"/>
  <c r="N40" i="54"/>
  <c r="L148" i="51"/>
  <c r="U27" i="54"/>
  <c r="S37" i="55"/>
  <c r="L135" i="51"/>
  <c r="T140" i="51"/>
  <c r="L155" i="51"/>
  <c r="T27" i="54"/>
  <c r="L30" i="54"/>
  <c r="Q54" i="54"/>
  <c r="Q90" i="54"/>
  <c r="L210" i="54"/>
  <c r="R27" i="54"/>
  <c r="L184" i="54"/>
  <c r="L121" i="51"/>
  <c r="L133" i="51"/>
  <c r="Q140" i="51"/>
  <c r="U13" i="54"/>
  <c r="L22" i="54"/>
  <c r="Q27" i="54"/>
  <c r="S40" i="54"/>
  <c r="T95" i="54"/>
  <c r="L129" i="54"/>
  <c r="L154" i="54"/>
  <c r="L180" i="54"/>
  <c r="S95" i="54"/>
  <c r="L115" i="51"/>
  <c r="L130" i="51"/>
  <c r="O140" i="51"/>
  <c r="L160" i="51"/>
  <c r="R13" i="54"/>
  <c r="L17" i="54"/>
  <c r="N27" i="54"/>
  <c r="P40" i="54"/>
  <c r="L76" i="54"/>
  <c r="O95" i="54"/>
  <c r="L125" i="54"/>
  <c r="P189" i="54"/>
  <c r="L129" i="51"/>
  <c r="L159" i="51"/>
  <c r="R127" i="51"/>
  <c r="L157" i="51"/>
  <c r="R85" i="54"/>
  <c r="L99" i="54"/>
  <c r="L172" i="51"/>
  <c r="L21" i="54"/>
  <c r="L15" i="54"/>
  <c r="L33" i="54"/>
  <c r="L46" i="54"/>
  <c r="L103" i="54"/>
  <c r="L170" i="54"/>
  <c r="L223" i="54"/>
  <c r="L173" i="51"/>
  <c r="L120" i="51"/>
  <c r="L170" i="51"/>
  <c r="L192" i="51"/>
  <c r="L19" i="54"/>
  <c r="L221" i="54"/>
  <c r="L241" i="54"/>
  <c r="L168" i="51"/>
  <c r="L188" i="51"/>
  <c r="L217" i="54"/>
  <c r="T5" i="51"/>
  <c r="L107" i="51"/>
  <c r="T127" i="51"/>
  <c r="O127" i="51"/>
  <c r="P5" i="51"/>
  <c r="L103" i="51"/>
  <c r="L116" i="51"/>
  <c r="S127" i="51"/>
  <c r="N127" i="51"/>
  <c r="R140" i="51"/>
  <c r="L147" i="51"/>
  <c r="L142" i="51"/>
  <c r="L174" i="51"/>
  <c r="L169" i="51"/>
  <c r="L191" i="51"/>
  <c r="L187" i="51"/>
  <c r="L34" i="54"/>
  <c r="L29" i="54"/>
  <c r="L44" i="54"/>
  <c r="U54" i="54"/>
  <c r="P54" i="54"/>
  <c r="P85" i="54"/>
  <c r="U90" i="54"/>
  <c r="P90" i="54"/>
  <c r="L98" i="54"/>
  <c r="L130" i="54"/>
  <c r="L126" i="54"/>
  <c r="L122" i="54"/>
  <c r="L152" i="54"/>
  <c r="L169" i="54"/>
  <c r="L206" i="54"/>
  <c r="L237" i="54"/>
  <c r="L190" i="51"/>
  <c r="L186" i="51"/>
  <c r="L48" i="54"/>
  <c r="L43" i="54"/>
  <c r="T54" i="54"/>
  <c r="N54" i="54"/>
  <c r="T85" i="54"/>
  <c r="O85" i="54"/>
  <c r="T90" i="54"/>
  <c r="N90" i="54"/>
  <c r="L156" i="54"/>
  <c r="L151" i="54"/>
  <c r="L166" i="54"/>
  <c r="L197" i="54"/>
  <c r="P127" i="51"/>
  <c r="L144" i="51"/>
  <c r="L161" i="51"/>
  <c r="L193" i="51"/>
  <c r="L189" i="51"/>
  <c r="L31" i="54"/>
  <c r="T40" i="54"/>
  <c r="O40" i="54"/>
  <c r="L47" i="54"/>
  <c r="L42" i="54"/>
  <c r="R54" i="54"/>
  <c r="M54" i="54"/>
  <c r="L80" i="54"/>
  <c r="S85" i="54"/>
  <c r="N85" i="54"/>
  <c r="R90" i="54"/>
  <c r="M90" i="54"/>
  <c r="P95" i="54"/>
  <c r="L102" i="54"/>
  <c r="L128" i="54"/>
  <c r="L155" i="54"/>
  <c r="L150" i="54"/>
  <c r="L165" i="54"/>
  <c r="T189" i="54"/>
  <c r="L193" i="54"/>
  <c r="L219" i="54"/>
  <c r="Y5" i="55" a="1"/>
  <c r="L240" i="54"/>
  <c r="L236" i="54"/>
  <c r="L239" i="54"/>
  <c r="L235" i="54"/>
  <c r="L242" i="54"/>
  <c r="L238" i="54"/>
  <c r="L222" i="54"/>
  <c r="L218" i="54"/>
  <c r="L224" i="54"/>
  <c r="L220" i="54"/>
  <c r="L209" i="54"/>
  <c r="L205" i="54"/>
  <c r="L208" i="54"/>
  <c r="L204" i="54"/>
  <c r="L211" i="54"/>
  <c r="L207" i="54"/>
  <c r="L196" i="54"/>
  <c r="L192" i="54"/>
  <c r="L195" i="54"/>
  <c r="L191" i="54"/>
  <c r="L198" i="54"/>
  <c r="L194" i="54"/>
  <c r="S189" i="54"/>
  <c r="O189" i="54"/>
  <c r="R189" i="54"/>
  <c r="N189" i="54"/>
  <c r="U189" i="54"/>
  <c r="Q189" i="54"/>
  <c r="L183" i="54"/>
  <c r="L179" i="54"/>
  <c r="L182" i="54"/>
  <c r="L178" i="54"/>
  <c r="L185" i="54"/>
  <c r="L181" i="54"/>
  <c r="S176" i="54"/>
  <c r="O176" i="54"/>
  <c r="R176" i="54"/>
  <c r="N176" i="54"/>
  <c r="U176" i="54"/>
  <c r="Q176" i="54"/>
  <c r="L168" i="54"/>
  <c r="L164" i="54"/>
  <c r="L171" i="54"/>
  <c r="L167" i="54"/>
  <c r="L157" i="54"/>
  <c r="L153" i="54"/>
  <c r="L101" i="54"/>
  <c r="L97" i="54"/>
  <c r="L104" i="54"/>
  <c r="L100" i="54"/>
  <c r="R95" i="54"/>
  <c r="N95" i="54"/>
  <c r="U95" i="54"/>
  <c r="Q95" i="54"/>
  <c r="S90" i="54"/>
  <c r="U85" i="54"/>
  <c r="Q85" i="54"/>
  <c r="L79" i="54"/>
  <c r="L75" i="54"/>
  <c r="L78" i="54"/>
  <c r="L74" i="54"/>
  <c r="L81" i="54"/>
  <c r="L77" i="54"/>
  <c r="S54" i="54"/>
  <c r="L49" i="54"/>
  <c r="L45" i="54"/>
  <c r="U40" i="54"/>
  <c r="Q40" i="54"/>
  <c r="L36" i="54"/>
  <c r="L32" i="54"/>
  <c r="S27" i="54"/>
  <c r="L20" i="54"/>
  <c r="S13" i="54"/>
  <c r="S5" i="54"/>
  <c r="O5" i="54"/>
  <c r="T5" i="54"/>
  <c r="P5" i="54"/>
  <c r="R5" i="54"/>
  <c r="N5" i="54"/>
  <c r="U5" i="54"/>
  <c r="Q5" i="54"/>
  <c r="L175" i="51"/>
  <c r="L171" i="51"/>
  <c r="L162" i="51"/>
  <c r="L158" i="51"/>
  <c r="L149" i="51"/>
  <c r="L145" i="51"/>
  <c r="L136" i="51"/>
  <c r="L132" i="51"/>
  <c r="U127" i="51"/>
  <c r="Q127" i="51"/>
  <c r="L119" i="51"/>
  <c r="L122" i="51"/>
  <c r="L118" i="51"/>
  <c r="L106" i="51"/>
  <c r="L102" i="51"/>
  <c r="L105" i="51"/>
  <c r="L101" i="51"/>
  <c r="L108" i="51"/>
  <c r="L104" i="51"/>
  <c r="L80" i="51"/>
  <c r="L76" i="51"/>
  <c r="L79" i="51"/>
  <c r="L75" i="51"/>
  <c r="L78" i="51"/>
  <c r="L74" i="51"/>
  <c r="L81" i="51"/>
  <c r="L77" i="51"/>
  <c r="P54" i="51"/>
  <c r="O54" i="51"/>
  <c r="R54" i="51"/>
  <c r="N54" i="51"/>
  <c r="T54" i="51"/>
  <c r="S54" i="51"/>
  <c r="U54" i="51"/>
  <c r="Q54" i="51"/>
  <c r="L48" i="51"/>
  <c r="L47" i="51"/>
  <c r="L46" i="51"/>
  <c r="L42" i="51"/>
  <c r="L44" i="51"/>
  <c r="L43" i="51"/>
  <c r="L49" i="51"/>
  <c r="L45" i="51"/>
  <c r="T40" i="51"/>
  <c r="O40" i="51"/>
  <c r="P40" i="51"/>
  <c r="S40" i="51"/>
  <c r="R40" i="51"/>
  <c r="N40" i="51"/>
  <c r="U40" i="51"/>
  <c r="Q40" i="51"/>
  <c r="L35" i="51"/>
  <c r="L31" i="51"/>
  <c r="L34" i="51"/>
  <c r="L30" i="51"/>
  <c r="L33" i="51"/>
  <c r="L29" i="51"/>
  <c r="L36" i="51"/>
  <c r="L32" i="51"/>
  <c r="T27" i="51"/>
  <c r="P27" i="51"/>
  <c r="S27" i="51"/>
  <c r="O27" i="51"/>
  <c r="R27" i="51"/>
  <c r="N27" i="51"/>
  <c r="U27" i="51"/>
  <c r="Q27" i="51"/>
  <c r="L19" i="51"/>
  <c r="L15" i="51"/>
  <c r="L22" i="51"/>
  <c r="L18" i="51"/>
  <c r="L14" i="51"/>
  <c r="L21" i="51"/>
  <c r="L17" i="51"/>
  <c r="L20" i="51"/>
  <c r="R13" i="51"/>
  <c r="N13" i="51"/>
  <c r="U13" i="51"/>
  <c r="Q13" i="51"/>
  <c r="M13" i="51"/>
  <c r="T13" i="51"/>
  <c r="P13" i="51"/>
  <c r="S13" i="51"/>
  <c r="S5" i="51"/>
  <c r="O5" i="51"/>
  <c r="R5" i="51"/>
  <c r="N5" i="51"/>
  <c r="U5" i="51"/>
  <c r="Q5" i="51"/>
  <c r="S38" i="55" l="1"/>
  <c r="Z5" i="55"/>
  <c r="AC5" i="55"/>
  <c r="AE5" i="55"/>
  <c r="Y5" i="55"/>
  <c r="AA5" i="55"/>
  <c r="AF5" i="55"/>
  <c r="AB5" i="55"/>
  <c r="AD5" i="55"/>
  <c r="AG5" i="55"/>
  <c r="S80" i="51"/>
  <c r="T79" i="51"/>
  <c r="O78" i="51"/>
  <c r="M81" i="51"/>
  <c r="M80" i="51"/>
  <c r="O76" i="51"/>
  <c r="S73" i="51"/>
  <c r="T81" i="54"/>
  <c r="N79" i="54"/>
  <c r="T79" i="54"/>
  <c r="U81" i="54"/>
  <c r="M78" i="54"/>
  <c r="T78" i="54"/>
  <c r="M79" i="54"/>
  <c r="T73" i="54"/>
  <c r="Q75" i="54"/>
  <c r="P23" i="51"/>
  <c r="U23" i="54"/>
  <c r="R23" i="54"/>
  <c r="P23" i="54"/>
  <c r="U23" i="51"/>
  <c r="O23" i="51"/>
  <c r="R23" i="51"/>
  <c r="T23" i="51"/>
  <c r="S23" i="51"/>
  <c r="N23" i="54"/>
  <c r="Q23" i="54"/>
  <c r="Q23" i="51"/>
  <c r="O23" i="54"/>
  <c r="M23" i="54"/>
  <c r="M28" i="54" a="1"/>
  <c r="M23" i="51"/>
  <c r="M28" i="51" a="1"/>
  <c r="N23" i="51"/>
  <c r="S23" i="54"/>
  <c r="T23" i="54"/>
  <c r="J129" i="51"/>
  <c r="I129" i="51"/>
  <c r="H129" i="51"/>
  <c r="G129" i="51"/>
  <c r="F129" i="51"/>
  <c r="E129" i="51"/>
  <c r="D129" i="51"/>
  <c r="C129" i="51"/>
  <c r="B129" i="51"/>
  <c r="J128" i="51"/>
  <c r="I128" i="51"/>
  <c r="H128" i="51"/>
  <c r="G128" i="51"/>
  <c r="F128" i="51"/>
  <c r="E128" i="51"/>
  <c r="D128" i="51"/>
  <c r="C128" i="51"/>
  <c r="B128" i="51"/>
  <c r="J127" i="51"/>
  <c r="I127" i="51"/>
  <c r="H127" i="51"/>
  <c r="G127" i="51"/>
  <c r="F127" i="51"/>
  <c r="E127" i="51"/>
  <c r="D127" i="51"/>
  <c r="C127" i="51"/>
  <c r="B127" i="51"/>
  <c r="J126" i="51"/>
  <c r="I126" i="51"/>
  <c r="H126" i="51"/>
  <c r="G126" i="51"/>
  <c r="F126" i="51"/>
  <c r="E126" i="51"/>
  <c r="D126" i="51"/>
  <c r="C126" i="51"/>
  <c r="B126" i="51"/>
  <c r="J125" i="51"/>
  <c r="I125" i="51"/>
  <c r="H125" i="51"/>
  <c r="G125" i="51"/>
  <c r="F125" i="51"/>
  <c r="E125" i="51"/>
  <c r="D125" i="51"/>
  <c r="C125" i="51"/>
  <c r="B125" i="51"/>
  <c r="A104" i="51"/>
  <c r="A105" i="51" s="1"/>
  <c r="A106" i="51" s="1"/>
  <c r="A107" i="51" s="1"/>
  <c r="A108" i="51" s="1"/>
  <c r="A109" i="51" s="1"/>
  <c r="A110" i="51" s="1"/>
  <c r="A111" i="51" s="1"/>
  <c r="A112" i="51" s="1"/>
  <c r="A113" i="51" s="1"/>
  <c r="A114" i="51" s="1"/>
  <c r="A115" i="51" s="1"/>
  <c r="A116" i="51" s="1"/>
  <c r="A117" i="51" s="1"/>
  <c r="A118" i="51" s="1"/>
  <c r="A119" i="51" s="1"/>
  <c r="A120" i="51" s="1"/>
  <c r="A121" i="51" s="1"/>
  <c r="A122" i="51" s="1"/>
  <c r="A123" i="51" s="1"/>
  <c r="C8" i="47"/>
  <c r="B8" i="47"/>
  <c r="B7" i="47"/>
  <c r="R951" i="43"/>
  <c r="Q951" i="43"/>
  <c r="R938" i="43"/>
  <c r="Q938" i="43"/>
  <c r="R925" i="43"/>
  <c r="Q925" i="43"/>
  <c r="R912" i="43"/>
  <c r="Q912" i="43"/>
  <c r="R899" i="43"/>
  <c r="Q899" i="43"/>
  <c r="R886" i="43"/>
  <c r="Q886" i="43"/>
  <c r="R873" i="43"/>
  <c r="Q873" i="43"/>
  <c r="R860" i="43"/>
  <c r="Q860" i="43"/>
  <c r="R847" i="43"/>
  <c r="Q847" i="43"/>
  <c r="R834" i="43"/>
  <c r="Q834" i="43"/>
  <c r="R821" i="43"/>
  <c r="Q821" i="43"/>
  <c r="R808" i="43"/>
  <c r="Q808" i="43"/>
  <c r="R795" i="43"/>
  <c r="Q795" i="43"/>
  <c r="R782" i="43"/>
  <c r="Q782" i="43"/>
  <c r="R769" i="43"/>
  <c r="Q769" i="43"/>
  <c r="R756" i="43"/>
  <c r="Q756" i="43"/>
  <c r="R743" i="43"/>
  <c r="Q743" i="43"/>
  <c r="R730" i="43"/>
  <c r="Q730" i="43"/>
  <c r="R717" i="43"/>
  <c r="Q717" i="43"/>
  <c r="R704" i="43"/>
  <c r="Q704" i="43"/>
  <c r="R691" i="43"/>
  <c r="Q691" i="43"/>
  <c r="R678" i="43"/>
  <c r="Q678" i="43"/>
  <c r="R665" i="43"/>
  <c r="Q665" i="43"/>
  <c r="R652" i="43"/>
  <c r="Q652" i="43"/>
  <c r="R639" i="43"/>
  <c r="Q639" i="43"/>
  <c r="R626" i="43"/>
  <c r="Q626" i="43"/>
  <c r="R613" i="43"/>
  <c r="Q613" i="43"/>
  <c r="R600" i="43"/>
  <c r="Q600" i="43"/>
  <c r="R587" i="43"/>
  <c r="Q587" i="43"/>
  <c r="R574" i="43"/>
  <c r="Q574" i="43"/>
  <c r="R561" i="43"/>
  <c r="Q561" i="43"/>
  <c r="R548" i="43"/>
  <c r="Q548" i="43"/>
  <c r="R535" i="43"/>
  <c r="Q535" i="43"/>
  <c r="R522" i="43"/>
  <c r="Q522" i="43"/>
  <c r="R509" i="43"/>
  <c r="Q509" i="43"/>
  <c r="R496" i="43"/>
  <c r="Q496" i="43"/>
  <c r="R483" i="43"/>
  <c r="Q483" i="43"/>
  <c r="R470" i="43"/>
  <c r="Q470" i="43"/>
  <c r="R457" i="43"/>
  <c r="Q457" i="43"/>
  <c r="R444" i="43"/>
  <c r="Q444" i="43"/>
  <c r="R431" i="43"/>
  <c r="Q431" i="43"/>
  <c r="R418" i="43"/>
  <c r="Q418" i="43"/>
  <c r="R405" i="43"/>
  <c r="Q405" i="43"/>
  <c r="R392" i="43"/>
  <c r="Q392" i="43"/>
  <c r="R379" i="43"/>
  <c r="Q379" i="43"/>
  <c r="R366" i="43"/>
  <c r="Q366" i="43"/>
  <c r="R353" i="43"/>
  <c r="Q353" i="43"/>
  <c r="R340" i="43"/>
  <c r="Q340" i="43"/>
  <c r="R327" i="43"/>
  <c r="Q327" i="43"/>
  <c r="R314" i="43"/>
  <c r="Q314" i="43"/>
  <c r="R301" i="43"/>
  <c r="Q301" i="43"/>
  <c r="R288" i="43"/>
  <c r="Q288" i="43"/>
  <c r="R275" i="43"/>
  <c r="Q275" i="43"/>
  <c r="R262" i="43"/>
  <c r="Q262" i="43"/>
  <c r="R249" i="43"/>
  <c r="Q249" i="43"/>
  <c r="R236" i="43"/>
  <c r="Q236" i="43"/>
  <c r="R223" i="43"/>
  <c r="Q223" i="43"/>
  <c r="R210" i="43"/>
  <c r="Q210" i="43"/>
  <c r="R197" i="43"/>
  <c r="Q197" i="43"/>
  <c r="R184" i="43"/>
  <c r="Q184" i="43"/>
  <c r="R171" i="43"/>
  <c r="Q171" i="43"/>
  <c r="R158" i="43"/>
  <c r="Q158" i="43"/>
  <c r="R145" i="43"/>
  <c r="Q145" i="43"/>
  <c r="R132" i="43"/>
  <c r="Q132" i="43"/>
  <c r="R119" i="43"/>
  <c r="Q119" i="43"/>
  <c r="R106" i="43"/>
  <c r="Q106" i="43"/>
  <c r="R93" i="43"/>
  <c r="Q93" i="43"/>
  <c r="R80" i="43"/>
  <c r="Q80" i="43"/>
  <c r="R67" i="43"/>
  <c r="Q67" i="43"/>
  <c r="R54" i="43"/>
  <c r="Q54" i="43"/>
  <c r="R41" i="43"/>
  <c r="Q41" i="43"/>
  <c r="R28" i="43"/>
  <c r="Q28" i="43"/>
  <c r="R15" i="43"/>
  <c r="Q15" i="43"/>
  <c r="R951" i="42"/>
  <c r="Q951" i="42"/>
  <c r="R938" i="42"/>
  <c r="Q938" i="42"/>
  <c r="R925" i="42"/>
  <c r="Q925" i="42"/>
  <c r="R912" i="42"/>
  <c r="Q912" i="42"/>
  <c r="R899" i="42"/>
  <c r="Q899" i="42"/>
  <c r="R886" i="42"/>
  <c r="Q886" i="42"/>
  <c r="R873" i="42"/>
  <c r="Q873" i="42"/>
  <c r="R860" i="42"/>
  <c r="Q860" i="42"/>
  <c r="R847" i="42"/>
  <c r="Q847" i="42"/>
  <c r="R834" i="42"/>
  <c r="Q834" i="42"/>
  <c r="R821" i="42"/>
  <c r="Q821" i="42"/>
  <c r="R808" i="42"/>
  <c r="Q808" i="42"/>
  <c r="R795" i="42"/>
  <c r="Q795" i="42"/>
  <c r="R782" i="42"/>
  <c r="Q782" i="42"/>
  <c r="R769" i="42"/>
  <c r="Q769" i="42"/>
  <c r="R756" i="42"/>
  <c r="Q756" i="42"/>
  <c r="R743" i="42"/>
  <c r="Q743" i="42"/>
  <c r="R730" i="42"/>
  <c r="Q730" i="42"/>
  <c r="R717" i="42"/>
  <c r="Q717" i="42"/>
  <c r="R704" i="42"/>
  <c r="Q704" i="42"/>
  <c r="R691" i="42"/>
  <c r="Q691" i="42"/>
  <c r="R678" i="42"/>
  <c r="Q678" i="42"/>
  <c r="R665" i="42"/>
  <c r="Q665" i="42"/>
  <c r="R652" i="42"/>
  <c r="Q652" i="42"/>
  <c r="R639" i="42"/>
  <c r="Q639" i="42"/>
  <c r="R626" i="42"/>
  <c r="Q626" i="42"/>
  <c r="R613" i="42"/>
  <c r="Q613" i="42"/>
  <c r="R600" i="42"/>
  <c r="Q600" i="42"/>
  <c r="R587" i="42"/>
  <c r="Q587" i="42"/>
  <c r="R574" i="42"/>
  <c r="Q574" i="42"/>
  <c r="R561" i="42"/>
  <c r="Q561" i="42"/>
  <c r="R548" i="42"/>
  <c r="Q548" i="42"/>
  <c r="R535" i="42"/>
  <c r="Q535" i="42"/>
  <c r="R522" i="42"/>
  <c r="Q522" i="42"/>
  <c r="R509" i="42"/>
  <c r="Q509" i="42"/>
  <c r="R496" i="42"/>
  <c r="Q496" i="42"/>
  <c r="R483" i="42"/>
  <c r="Q483" i="42"/>
  <c r="R470" i="42"/>
  <c r="Q470" i="42"/>
  <c r="R457" i="42"/>
  <c r="Q457" i="42"/>
  <c r="R444" i="42"/>
  <c r="Q444" i="42"/>
  <c r="R431" i="42"/>
  <c r="Q431" i="42"/>
  <c r="R418" i="42"/>
  <c r="Q418" i="42"/>
  <c r="R405" i="42"/>
  <c r="Q405" i="42"/>
  <c r="R392" i="42"/>
  <c r="Q392" i="42"/>
  <c r="R379" i="42"/>
  <c r="Q379" i="42"/>
  <c r="R366" i="42"/>
  <c r="Q366" i="42"/>
  <c r="R353" i="42"/>
  <c r="Q353" i="42"/>
  <c r="R340" i="42"/>
  <c r="Q340" i="42"/>
  <c r="R327" i="42"/>
  <c r="Q327" i="42"/>
  <c r="R314" i="42"/>
  <c r="Q314" i="42"/>
  <c r="R301" i="42"/>
  <c r="Q301" i="42"/>
  <c r="R288" i="42"/>
  <c r="Q288" i="42"/>
  <c r="R275" i="42"/>
  <c r="Q275" i="42"/>
  <c r="R262" i="42"/>
  <c r="Q262" i="42"/>
  <c r="R249" i="42"/>
  <c r="Q249" i="42"/>
  <c r="R236" i="42"/>
  <c r="Q236" i="42"/>
  <c r="R223" i="42"/>
  <c r="Q223" i="42"/>
  <c r="R210" i="42"/>
  <c r="Q210" i="42"/>
  <c r="R197" i="42"/>
  <c r="Q197" i="42"/>
  <c r="R184" i="42"/>
  <c r="Q184" i="42"/>
  <c r="R171" i="42"/>
  <c r="Q171" i="42"/>
  <c r="R158" i="42"/>
  <c r="Q158" i="42"/>
  <c r="R145" i="42"/>
  <c r="Q145" i="42"/>
  <c r="R132" i="42"/>
  <c r="Q132" i="42"/>
  <c r="R119" i="42"/>
  <c r="Q119" i="42"/>
  <c r="R106" i="42"/>
  <c r="Q106" i="42"/>
  <c r="R93" i="42"/>
  <c r="Q93" i="42"/>
  <c r="R80" i="42"/>
  <c r="Q80" i="42"/>
  <c r="R67" i="42"/>
  <c r="Q67" i="42"/>
  <c r="R54" i="42"/>
  <c r="Q54" i="42"/>
  <c r="R41" i="42"/>
  <c r="Q41" i="42"/>
  <c r="R28" i="42"/>
  <c r="Q28" i="42"/>
  <c r="R15" i="42"/>
  <c r="Q15" i="42"/>
  <c r="AZ42" i="40" a="1"/>
  <c r="BH42" i="40" s="1"/>
  <c r="BW45" i="40"/>
  <c r="BX45" i="40" s="1"/>
  <c r="BY45" i="40" s="1"/>
  <c r="J43" i="40"/>
  <c r="K43" i="40" s="1"/>
  <c r="L43" i="40" s="1"/>
  <c r="C43" i="40"/>
  <c r="D43" i="40" s="1"/>
  <c r="E43" i="40" s="1"/>
  <c r="BW32" i="40"/>
  <c r="BX32" i="40" s="1"/>
  <c r="BY32" i="40" s="1"/>
  <c r="C30" i="40"/>
  <c r="D30" i="40" s="1"/>
  <c r="E30" i="40" s="1"/>
  <c r="F30" i="40" s="1"/>
  <c r="G30" i="40" s="1"/>
  <c r="H30" i="40" s="1"/>
  <c r="I30" i="40" s="1"/>
  <c r="J30" i="40" s="1"/>
  <c r="EJ27" i="40"/>
  <c r="EJ28" i="40" s="1"/>
  <c r="EJ29" i="40" s="1"/>
  <c r="DX27" i="40"/>
  <c r="DX28" i="40" s="1"/>
  <c r="DX29" i="40" s="1"/>
  <c r="DQ27" i="40"/>
  <c r="DQ28" i="40" s="1"/>
  <c r="DQ29" i="40" s="1"/>
  <c r="DQ30" i="40" s="1"/>
  <c r="DQ31" i="40" s="1"/>
  <c r="DQ32" i="40" s="1"/>
  <c r="DQ33" i="40" s="1"/>
  <c r="DQ34" i="40" s="1"/>
  <c r="DQ35" i="40" s="1"/>
  <c r="DQ36" i="40" s="1"/>
  <c r="DQ37" i="40" s="1"/>
  <c r="DQ38" i="40" s="1"/>
  <c r="DQ39" i="40" s="1"/>
  <c r="DQ40" i="40" s="1"/>
  <c r="DQ41" i="40" s="1"/>
  <c r="DQ42" i="40" s="1"/>
  <c r="DQ43" i="40" s="1"/>
  <c r="DQ44" i="40" s="1"/>
  <c r="DQ45" i="40" s="1"/>
  <c r="DQ46" i="40" s="1"/>
  <c r="DQ47" i="40" s="1"/>
  <c r="DQ48" i="40" s="1"/>
  <c r="DQ49" i="40" s="1"/>
  <c r="DQ50" i="40" s="1"/>
  <c r="DQ51" i="40" s="1"/>
  <c r="DQ52" i="40" s="1"/>
  <c r="DQ53" i="40" s="1"/>
  <c r="DQ54" i="40" s="1"/>
  <c r="DQ55" i="40" s="1"/>
  <c r="DQ56" i="40" s="1"/>
  <c r="DQ57" i="40" s="1"/>
  <c r="DQ58" i="40" s="1"/>
  <c r="DQ59" i="40" s="1"/>
  <c r="DQ60" i="40" s="1"/>
  <c r="DQ61" i="40" s="1"/>
  <c r="DQ62" i="40" s="1"/>
  <c r="DQ63" i="40" s="1"/>
  <c r="DQ64" i="40" s="1"/>
  <c r="DQ65" i="40" s="1"/>
  <c r="DQ66" i="40" s="1"/>
  <c r="DQ67" i="40" s="1"/>
  <c r="DQ68" i="40" s="1"/>
  <c r="DQ69" i="40" s="1"/>
  <c r="DQ70" i="40" s="1"/>
  <c r="DQ71" i="40" s="1"/>
  <c r="DQ72" i="40" s="1"/>
  <c r="DQ73" i="40" s="1"/>
  <c r="DQ74" i="40" s="1"/>
  <c r="DQ75" i="40" s="1"/>
  <c r="DQ76" i="40" s="1"/>
  <c r="DQ77" i="40" s="1"/>
  <c r="DQ78" i="40" s="1"/>
  <c r="DQ79" i="40" s="1"/>
  <c r="DQ80" i="40" s="1"/>
  <c r="DQ81" i="40" s="1"/>
  <c r="DQ82" i="40" s="1"/>
  <c r="DQ83" i="40" s="1"/>
  <c r="DQ84" i="40" s="1"/>
  <c r="DQ85" i="40" s="1"/>
  <c r="DQ86" i="40" s="1"/>
  <c r="DQ87" i="40" s="1"/>
  <c r="DQ88" i="40" s="1"/>
  <c r="DQ89" i="40" s="1"/>
  <c r="DQ90" i="40" s="1"/>
  <c r="DQ91" i="40" s="1"/>
  <c r="DQ92" i="40" s="1"/>
  <c r="DQ93" i="40" s="1"/>
  <c r="DQ94" i="40" s="1"/>
  <c r="DQ95" i="40" s="1"/>
  <c r="DQ96" i="40" s="1"/>
  <c r="DQ97" i="40" s="1"/>
  <c r="DQ98" i="40" s="1"/>
  <c r="DQ99" i="40" s="1"/>
  <c r="DQ100" i="40" s="1"/>
  <c r="DQ101" i="40" s="1"/>
  <c r="DQ102" i="40" s="1"/>
  <c r="DQ103" i="40" s="1"/>
  <c r="DQ104" i="40" s="1"/>
  <c r="DQ105" i="40" s="1"/>
  <c r="DQ106" i="40" s="1"/>
  <c r="DQ107" i="40" s="1"/>
  <c r="DQ108" i="40" s="1"/>
  <c r="DQ109" i="40" s="1"/>
  <c r="DQ110" i="40" s="1"/>
  <c r="DQ111" i="40" s="1"/>
  <c r="DQ112" i="40" s="1"/>
  <c r="DQ113" i="40" s="1"/>
  <c r="DQ114" i="40" s="1"/>
  <c r="DQ115" i="40" s="1"/>
  <c r="DQ116" i="40" s="1"/>
  <c r="DQ117" i="40" s="1"/>
  <c r="DQ118" i="40" s="1"/>
  <c r="DQ119" i="40" s="1"/>
  <c r="DQ120" i="40" s="1"/>
  <c r="DQ121" i="40" s="1"/>
  <c r="DQ122" i="40" s="1"/>
  <c r="DQ123" i="40" s="1"/>
  <c r="DQ124" i="40" s="1"/>
  <c r="DQ125" i="40" s="1"/>
  <c r="DQ126" i="40" s="1"/>
  <c r="DQ127" i="40" s="1"/>
  <c r="DQ128" i="40" s="1"/>
  <c r="DQ129" i="40" s="1"/>
  <c r="DQ130" i="40" s="1"/>
  <c r="DQ131" i="40" s="1"/>
  <c r="DQ132" i="40" s="1"/>
  <c r="DQ133" i="40" s="1"/>
  <c r="DQ134" i="40" s="1"/>
  <c r="DQ135" i="40" s="1"/>
  <c r="DQ136" i="40" s="1"/>
  <c r="DQ137" i="40" s="1"/>
  <c r="DQ138" i="40" s="1"/>
  <c r="DQ139" i="40" s="1"/>
  <c r="DQ140" i="40" s="1"/>
  <c r="DQ141" i="40" s="1"/>
  <c r="DQ142" i="40" s="1"/>
  <c r="DQ143" i="40" s="1"/>
  <c r="DQ144" i="40" s="1"/>
  <c r="DQ145" i="40" s="1"/>
  <c r="EL25" i="40"/>
  <c r="EM25" i="40" s="1"/>
  <c r="EN25" i="40" s="1"/>
  <c r="EE25" i="40"/>
  <c r="EF25" i="40" s="1"/>
  <c r="EG25" i="40" s="1"/>
  <c r="DZ25" i="40"/>
  <c r="EA25" i="40" s="1"/>
  <c r="EB25" i="40" s="1"/>
  <c r="DU25" i="40"/>
  <c r="DS25" i="40"/>
  <c r="DT25" i="40" s="1"/>
  <c r="DG25" i="40"/>
  <c r="DH25" i="40" s="1"/>
  <c r="DI25" i="40" s="1"/>
  <c r="CO25" i="40"/>
  <c r="CP25" i="40" s="1"/>
  <c r="CQ25" i="40" s="1"/>
  <c r="CY20" i="40"/>
  <c r="CY21" i="40" s="1"/>
  <c r="CY22" i="40" s="1"/>
  <c r="CY23" i="40" s="1"/>
  <c r="CY24" i="40" s="1"/>
  <c r="CY25" i="40" s="1"/>
  <c r="CY26" i="40" s="1"/>
  <c r="CY27" i="40" s="1"/>
  <c r="CY28" i="40" s="1"/>
  <c r="CY29" i="40" s="1"/>
  <c r="CY30" i="40" s="1"/>
  <c r="CY31" i="40" s="1"/>
  <c r="CY32" i="40" s="1"/>
  <c r="CY33" i="40" s="1"/>
  <c r="CY34" i="40" s="1"/>
  <c r="CY35" i="40" s="1"/>
  <c r="CY36" i="40" s="1"/>
  <c r="CY37" i="40" s="1"/>
  <c r="CY38" i="40" s="1"/>
  <c r="CY39" i="40" s="1"/>
  <c r="CY40" i="40" s="1"/>
  <c r="CY41" i="40" s="1"/>
  <c r="CY42" i="40" s="1"/>
  <c r="CY43" i="40" s="1"/>
  <c r="CY44" i="40" s="1"/>
  <c r="CY45" i="40" s="1"/>
  <c r="CY46" i="40" s="1"/>
  <c r="CY47" i="40" s="1"/>
  <c r="CY48" i="40" s="1"/>
  <c r="CY49" i="40" s="1"/>
  <c r="CY50" i="40" s="1"/>
  <c r="CY51" i="40" s="1"/>
  <c r="CY52" i="40" s="1"/>
  <c r="CY53" i="40" s="1"/>
  <c r="CY54" i="40" s="1"/>
  <c r="CY55" i="40" s="1"/>
  <c r="CY56" i="40" s="1"/>
  <c r="CY57" i="40" s="1"/>
  <c r="CY58" i="40" s="1"/>
  <c r="CY59" i="40" s="1"/>
  <c r="CY60" i="40" s="1"/>
  <c r="CY61" i="40" s="1"/>
  <c r="CY62" i="40" s="1"/>
  <c r="CY63" i="40" s="1"/>
  <c r="CY64" i="40" s="1"/>
  <c r="CY65" i="40" s="1"/>
  <c r="CY66" i="40" s="1"/>
  <c r="CY67" i="40" s="1"/>
  <c r="CY68" i="40" s="1"/>
  <c r="CY69" i="40" s="1"/>
  <c r="CY70" i="40" s="1"/>
  <c r="CY71" i="40" s="1"/>
  <c r="CY72" i="40" s="1"/>
  <c r="CY73" i="40" s="1"/>
  <c r="CY74" i="40" s="1"/>
  <c r="CY75" i="40" s="1"/>
  <c r="CY76" i="40" s="1"/>
  <c r="CY77" i="40" s="1"/>
  <c r="CY78" i="40" s="1"/>
  <c r="CY79" i="40" s="1"/>
  <c r="CY80" i="40" s="1"/>
  <c r="CY81" i="40" s="1"/>
  <c r="CY82" i="40" s="1"/>
  <c r="CY83" i="40" s="1"/>
  <c r="CY84" i="40" s="1"/>
  <c r="CY85" i="40" s="1"/>
  <c r="CY86" i="40" s="1"/>
  <c r="CY87" i="40" s="1"/>
  <c r="CY88" i="40" s="1"/>
  <c r="CY89" i="40" s="1"/>
  <c r="CY90" i="40" s="1"/>
  <c r="CY91" i="40" s="1"/>
  <c r="CY92" i="40" s="1"/>
  <c r="CY93" i="40" s="1"/>
  <c r="CY94" i="40" s="1"/>
  <c r="CY95" i="40" s="1"/>
  <c r="CY96" i="40" s="1"/>
  <c r="CY97" i="40" s="1"/>
  <c r="CY98" i="40" s="1"/>
  <c r="CY99" i="40" s="1"/>
  <c r="CY100" i="40" s="1"/>
  <c r="CY101" i="40" s="1"/>
  <c r="CY102" i="40" s="1"/>
  <c r="CY103" i="40" s="1"/>
  <c r="CY104" i="40" s="1"/>
  <c r="CY105" i="40" s="1"/>
  <c r="CY106" i="40" s="1"/>
  <c r="CY107" i="40" s="1"/>
  <c r="CY108" i="40" s="1"/>
  <c r="CY109" i="40" s="1"/>
  <c r="CY110" i="40" s="1"/>
  <c r="CY111" i="40" s="1"/>
  <c r="CY112" i="40" s="1"/>
  <c r="CY113" i="40" s="1"/>
  <c r="CY114" i="40" s="1"/>
  <c r="CY115" i="40" s="1"/>
  <c r="CY116" i="40" s="1"/>
  <c r="CY117" i="40" s="1"/>
  <c r="CY118" i="40" s="1"/>
  <c r="CY119" i="40" s="1"/>
  <c r="CY120" i="40" s="1"/>
  <c r="CY121" i="40" s="1"/>
  <c r="CY122" i="40" s="1"/>
  <c r="CY123" i="40" s="1"/>
  <c r="CY124" i="40" s="1"/>
  <c r="CY125" i="40" s="1"/>
  <c r="CY126" i="40" s="1"/>
  <c r="CY127" i="40" s="1"/>
  <c r="CY128" i="40" s="1"/>
  <c r="CY129" i="40" s="1"/>
  <c r="CY130" i="40" s="1"/>
  <c r="CY131" i="40" s="1"/>
  <c r="CY132" i="40" s="1"/>
  <c r="CY133" i="40" s="1"/>
  <c r="CY134" i="40" s="1"/>
  <c r="CY135" i="40" s="1"/>
  <c r="CY136" i="40" s="1"/>
  <c r="CY137" i="40" s="1"/>
  <c r="CY138" i="40" s="1"/>
  <c r="CG20" i="40"/>
  <c r="CG21" i="40" s="1"/>
  <c r="CG22" i="40" s="1"/>
  <c r="CG23" i="40" s="1"/>
  <c r="CG24" i="40" s="1"/>
  <c r="CG25" i="40" s="1"/>
  <c r="CG26" i="40" s="1"/>
  <c r="CG27" i="40" s="1"/>
  <c r="CG28" i="40" s="1"/>
  <c r="CG29" i="40" s="1"/>
  <c r="CG30" i="40" s="1"/>
  <c r="CG31" i="40" s="1"/>
  <c r="CG32" i="40" s="1"/>
  <c r="CG33" i="40" s="1"/>
  <c r="CG34" i="40" s="1"/>
  <c r="CG35" i="40" s="1"/>
  <c r="CG36" i="40" s="1"/>
  <c r="CG37" i="40" s="1"/>
  <c r="CG38" i="40" s="1"/>
  <c r="CG39" i="40" s="1"/>
  <c r="CG40" i="40" s="1"/>
  <c r="CG41" i="40" s="1"/>
  <c r="CG42" i="40" s="1"/>
  <c r="CG43" i="40" s="1"/>
  <c r="CG44" i="40" s="1"/>
  <c r="CG45" i="40" s="1"/>
  <c r="CG46" i="40" s="1"/>
  <c r="CG47" i="40" s="1"/>
  <c r="CG48" i="40" s="1"/>
  <c r="CG49" i="40" s="1"/>
  <c r="CG50" i="40" s="1"/>
  <c r="CG51" i="40" s="1"/>
  <c r="CG52" i="40" s="1"/>
  <c r="CG53" i="40" s="1"/>
  <c r="CG54" i="40" s="1"/>
  <c r="CG55" i="40" s="1"/>
  <c r="CG56" i="40" s="1"/>
  <c r="CG57" i="40" s="1"/>
  <c r="CG58" i="40" s="1"/>
  <c r="CG59" i="40" s="1"/>
  <c r="CG60" i="40" s="1"/>
  <c r="CG61" i="40" s="1"/>
  <c r="CG62" i="40" s="1"/>
  <c r="CG63" i="40" s="1"/>
  <c r="CG64" i="40" s="1"/>
  <c r="CG65" i="40" s="1"/>
  <c r="CG66" i="40" s="1"/>
  <c r="CG67" i="40" s="1"/>
  <c r="CG68" i="40" s="1"/>
  <c r="CG69" i="40" s="1"/>
  <c r="CG70" i="40" s="1"/>
  <c r="CG71" i="40" s="1"/>
  <c r="CG72" i="40" s="1"/>
  <c r="CG73" i="40" s="1"/>
  <c r="CG74" i="40" s="1"/>
  <c r="CG75" i="40" s="1"/>
  <c r="CG76" i="40" s="1"/>
  <c r="CG77" i="40" s="1"/>
  <c r="CG78" i="40" s="1"/>
  <c r="CG79" i="40" s="1"/>
  <c r="CG80" i="40" s="1"/>
  <c r="CG81" i="40" s="1"/>
  <c r="CG82" i="40" s="1"/>
  <c r="CG83" i="40" s="1"/>
  <c r="CG84" i="40" s="1"/>
  <c r="CG85" i="40" s="1"/>
  <c r="CG86" i="40" s="1"/>
  <c r="CG87" i="40" s="1"/>
  <c r="CG88" i="40" s="1"/>
  <c r="CG89" i="40" s="1"/>
  <c r="CG90" i="40" s="1"/>
  <c r="CG91" i="40" s="1"/>
  <c r="CG92" i="40" s="1"/>
  <c r="CG93" i="40" s="1"/>
  <c r="CG94" i="40" s="1"/>
  <c r="CG95" i="40" s="1"/>
  <c r="CG96" i="40" s="1"/>
  <c r="CG97" i="40" s="1"/>
  <c r="CG98" i="40" s="1"/>
  <c r="CG99" i="40" s="1"/>
  <c r="CG100" i="40" s="1"/>
  <c r="CG101" i="40" s="1"/>
  <c r="CG102" i="40" s="1"/>
  <c r="CG103" i="40" s="1"/>
  <c r="CG104" i="40" s="1"/>
  <c r="CG105" i="40" s="1"/>
  <c r="CG106" i="40" s="1"/>
  <c r="CG107" i="40" s="1"/>
  <c r="CG108" i="40" s="1"/>
  <c r="CG109" i="40" s="1"/>
  <c r="CG110" i="40" s="1"/>
  <c r="CG111" i="40" s="1"/>
  <c r="CG112" i="40" s="1"/>
  <c r="CG113" i="40" s="1"/>
  <c r="CG114" i="40" s="1"/>
  <c r="CG115" i="40" s="1"/>
  <c r="CG116" i="40" s="1"/>
  <c r="CG117" i="40" s="1"/>
  <c r="CG118" i="40" s="1"/>
  <c r="CG119" i="40" s="1"/>
  <c r="CG120" i="40" s="1"/>
  <c r="CG121" i="40" s="1"/>
  <c r="CG122" i="40" s="1"/>
  <c r="CG123" i="40" s="1"/>
  <c r="CG124" i="40" s="1"/>
  <c r="CG125" i="40" s="1"/>
  <c r="CG126" i="40" s="1"/>
  <c r="CG127" i="40" s="1"/>
  <c r="CG128" i="40" s="1"/>
  <c r="CG129" i="40" s="1"/>
  <c r="CG130" i="40" s="1"/>
  <c r="CG131" i="40" s="1"/>
  <c r="CG132" i="40" s="1"/>
  <c r="CG133" i="40" s="1"/>
  <c r="CG134" i="40" s="1"/>
  <c r="CG135" i="40" s="1"/>
  <c r="CG136" i="40" s="1"/>
  <c r="CG137" i="40" s="1"/>
  <c r="CG138" i="40" s="1"/>
  <c r="DA18" i="40"/>
  <c r="DB18" i="40" s="1"/>
  <c r="DC18" i="40" s="1"/>
  <c r="CI18" i="40"/>
  <c r="CJ18" i="40" s="1"/>
  <c r="CK18" i="40" s="1"/>
  <c r="BW18" i="40"/>
  <c r="BX18" i="40" s="1"/>
  <c r="BY18" i="40" s="1"/>
  <c r="BW5" i="40"/>
  <c r="BX5" i="40" s="1"/>
  <c r="BY5" i="40" s="1"/>
  <c r="BA42" i="40" l="1"/>
  <c r="S39" i="55"/>
  <c r="B13" i="47" a="1"/>
  <c r="B15" i="47" s="1"/>
  <c r="BE42" i="40"/>
  <c r="BF42" i="40"/>
  <c r="AK5" i="55" a="1"/>
  <c r="BB42" i="40"/>
  <c r="R75" i="54"/>
  <c r="U80" i="54"/>
  <c r="N80" i="54"/>
  <c r="S73" i="54"/>
  <c r="U77" i="54"/>
  <c r="S75" i="54"/>
  <c r="O74" i="54"/>
  <c r="S81" i="54"/>
  <c r="O79" i="51"/>
  <c r="O81" i="51"/>
  <c r="N77" i="51"/>
  <c r="O73" i="51"/>
  <c r="N75" i="51"/>
  <c r="N78" i="51"/>
  <c r="N75" i="54"/>
  <c r="N74" i="54"/>
  <c r="N81" i="54"/>
  <c r="U76" i="54"/>
  <c r="O77" i="51"/>
  <c r="Q78" i="54"/>
  <c r="T74" i="54"/>
  <c r="Q73" i="54"/>
  <c r="Q76" i="54"/>
  <c r="T76" i="54"/>
  <c r="T75" i="54"/>
  <c r="U77" i="51"/>
  <c r="Q76" i="51"/>
  <c r="Q77" i="51"/>
  <c r="Q78" i="51"/>
  <c r="P73" i="54"/>
  <c r="S77" i="54"/>
  <c r="S76" i="54"/>
  <c r="U74" i="54"/>
  <c r="N77" i="54"/>
  <c r="N76" i="54"/>
  <c r="S74" i="54"/>
  <c r="N73" i="54"/>
  <c r="U73" i="54"/>
  <c r="U79" i="54"/>
  <c r="O74" i="51"/>
  <c r="N81" i="51"/>
  <c r="O80" i="51"/>
  <c r="R73" i="54"/>
  <c r="R77" i="54"/>
  <c r="R74" i="54"/>
  <c r="T77" i="51"/>
  <c r="M76" i="51"/>
  <c r="T78" i="51"/>
  <c r="M74" i="51"/>
  <c r="R76" i="54"/>
  <c r="R79" i="54"/>
  <c r="T81" i="51"/>
  <c r="M77" i="51"/>
  <c r="T74" i="51"/>
  <c r="R81" i="54"/>
  <c r="R80" i="54"/>
  <c r="M78" i="51"/>
  <c r="T80" i="51"/>
  <c r="T75" i="51"/>
  <c r="M79" i="51"/>
  <c r="T73" i="51"/>
  <c r="T76" i="51"/>
  <c r="M73" i="51"/>
  <c r="X6" i="55" a="1"/>
  <c r="M28" i="54"/>
  <c r="T36" i="54"/>
  <c r="M35" i="54"/>
  <c r="O33" i="54"/>
  <c r="Q31" i="54"/>
  <c r="S29" i="54"/>
  <c r="S36" i="54"/>
  <c r="U34" i="54"/>
  <c r="N33" i="54"/>
  <c r="P31" i="54"/>
  <c r="R29" i="54"/>
  <c r="R36" i="54"/>
  <c r="T34" i="54"/>
  <c r="M33" i="54"/>
  <c r="O31" i="54"/>
  <c r="Q29" i="54"/>
  <c r="U36" i="54"/>
  <c r="N35" i="54"/>
  <c r="P33" i="54"/>
  <c r="R31" i="54"/>
  <c r="T29" i="54"/>
  <c r="P36" i="54"/>
  <c r="R34" i="54"/>
  <c r="T32" i="54"/>
  <c r="M31" i="54"/>
  <c r="O29" i="54"/>
  <c r="O36" i="54"/>
  <c r="Q34" i="54"/>
  <c r="S32" i="54"/>
  <c r="U30" i="54"/>
  <c r="N29" i="54"/>
  <c r="N36" i="54"/>
  <c r="P34" i="54"/>
  <c r="R32" i="54"/>
  <c r="T30" i="54"/>
  <c r="M29" i="54"/>
  <c r="Q36" i="54"/>
  <c r="S34" i="54"/>
  <c r="U32" i="54"/>
  <c r="N31" i="54"/>
  <c r="P29" i="54"/>
  <c r="N34" i="54"/>
  <c r="R30" i="54"/>
  <c r="T35" i="54"/>
  <c r="O32" i="54"/>
  <c r="S28" i="54"/>
  <c r="U33" i="54"/>
  <c r="P30" i="54"/>
  <c r="M36" i="54"/>
  <c r="Q32" i="54"/>
  <c r="U28" i="54"/>
  <c r="S33" i="54"/>
  <c r="N30" i="54"/>
  <c r="P35" i="54"/>
  <c r="T31" i="54"/>
  <c r="O28" i="54"/>
  <c r="Q33" i="54"/>
  <c r="U29" i="54"/>
  <c r="R35" i="54"/>
  <c r="M32" i="54"/>
  <c r="Q28" i="54"/>
  <c r="U35" i="54"/>
  <c r="P32" i="54"/>
  <c r="T28" i="54"/>
  <c r="M34" i="54"/>
  <c r="Q30" i="54"/>
  <c r="S35" i="54"/>
  <c r="N32" i="54"/>
  <c r="R28" i="54"/>
  <c r="O34" i="54"/>
  <c r="S30" i="54"/>
  <c r="Q35" i="54"/>
  <c r="U31" i="54"/>
  <c r="P28" i="54"/>
  <c r="R33" i="54"/>
  <c r="M30" i="54"/>
  <c r="O35" i="54"/>
  <c r="S31" i="54"/>
  <c r="N28" i="54"/>
  <c r="T33" i="54"/>
  <c r="O30" i="54"/>
  <c r="P75" i="54"/>
  <c r="P81" i="54"/>
  <c r="M74" i="54"/>
  <c r="M75" i="54"/>
  <c r="M81" i="54"/>
  <c r="S75" i="51"/>
  <c r="P74" i="51"/>
  <c r="U73" i="51"/>
  <c r="R73" i="51"/>
  <c r="S77" i="51"/>
  <c r="U74" i="51"/>
  <c r="Q74" i="51"/>
  <c r="R78" i="51"/>
  <c r="P73" i="51"/>
  <c r="M28" i="51"/>
  <c r="T36" i="51"/>
  <c r="S33" i="51"/>
  <c r="R30" i="51"/>
  <c r="T35" i="51"/>
  <c r="S32" i="51"/>
  <c r="R29" i="51"/>
  <c r="S35" i="51"/>
  <c r="U33" i="51"/>
  <c r="N32" i="51"/>
  <c r="P30" i="51"/>
  <c r="R28" i="51"/>
  <c r="N34" i="51"/>
  <c r="N30" i="51"/>
  <c r="P35" i="51"/>
  <c r="P31" i="51"/>
  <c r="U36" i="51"/>
  <c r="N35" i="51"/>
  <c r="P33" i="51"/>
  <c r="R31" i="51"/>
  <c r="T29" i="51"/>
  <c r="U35" i="51"/>
  <c r="T32" i="51"/>
  <c r="S29" i="51"/>
  <c r="U34" i="51"/>
  <c r="T31" i="51"/>
  <c r="S28" i="51"/>
  <c r="O35" i="51"/>
  <c r="Q33" i="51"/>
  <c r="S31" i="51"/>
  <c r="U29" i="51"/>
  <c r="N28" i="51"/>
  <c r="O33" i="51"/>
  <c r="O29" i="51"/>
  <c r="M34" i="51"/>
  <c r="M30" i="51"/>
  <c r="Q36" i="51"/>
  <c r="S34" i="51"/>
  <c r="U32" i="51"/>
  <c r="N31" i="51"/>
  <c r="P29" i="51"/>
  <c r="M31" i="51"/>
  <c r="R33" i="51"/>
  <c r="N36" i="51"/>
  <c r="R32" i="51"/>
  <c r="M29" i="51"/>
  <c r="Q31" i="51"/>
  <c r="O32" i="51"/>
  <c r="R35" i="51"/>
  <c r="M32" i="51"/>
  <c r="Q28" i="51"/>
  <c r="M33" i="51"/>
  <c r="N33" i="51"/>
  <c r="Q32" i="51"/>
  <c r="Q35" i="51"/>
  <c r="T28" i="51"/>
  <c r="U30" i="51"/>
  <c r="T34" i="51"/>
  <c r="O31" i="51"/>
  <c r="P36" i="51"/>
  <c r="P28" i="51"/>
  <c r="N29" i="51"/>
  <c r="O34" i="51"/>
  <c r="S30" i="51"/>
  <c r="R34" i="51"/>
  <c r="S36" i="51"/>
  <c r="Q30" i="51"/>
  <c r="P34" i="51"/>
  <c r="T30" i="51"/>
  <c r="M35" i="51"/>
  <c r="O36" i="51"/>
  <c r="O28" i="51"/>
  <c r="T33" i="51"/>
  <c r="O30" i="51"/>
  <c r="U31" i="51"/>
  <c r="Q34" i="51"/>
  <c r="R36" i="51"/>
  <c r="Q29" i="51"/>
  <c r="P32" i="51"/>
  <c r="M36" i="51"/>
  <c r="U28" i="51"/>
  <c r="V23" i="54"/>
  <c r="O81" i="54"/>
  <c r="S78" i="54"/>
  <c r="Q80" i="54"/>
  <c r="T80" i="54"/>
  <c r="Q79" i="54"/>
  <c r="Q81" i="54"/>
  <c r="P74" i="54"/>
  <c r="M80" i="54"/>
  <c r="P80" i="54"/>
  <c r="O73" i="54"/>
  <c r="O79" i="54"/>
  <c r="T77" i="54"/>
  <c r="U78" i="54"/>
  <c r="N78" i="54"/>
  <c r="R77" i="51"/>
  <c r="Q79" i="51"/>
  <c r="P75" i="51"/>
  <c r="S79" i="51"/>
  <c r="N74" i="51"/>
  <c r="O75" i="51"/>
  <c r="U80" i="51"/>
  <c r="P79" i="51"/>
  <c r="N80" i="51"/>
  <c r="S78" i="51"/>
  <c r="S81" i="51"/>
  <c r="R74" i="51"/>
  <c r="P77" i="51"/>
  <c r="P80" i="51"/>
  <c r="R76" i="51"/>
  <c r="M73" i="54"/>
  <c r="P79" i="54"/>
  <c r="R75" i="51"/>
  <c r="R81" i="51"/>
  <c r="U81" i="51"/>
  <c r="Q80" i="51"/>
  <c r="P76" i="51"/>
  <c r="V23" i="51"/>
  <c r="O75" i="54"/>
  <c r="P77" i="54"/>
  <c r="P78" i="54"/>
  <c r="O77" i="54"/>
  <c r="M77" i="54"/>
  <c r="U75" i="54"/>
  <c r="S79" i="54"/>
  <c r="O78" i="54"/>
  <c r="O80" i="54"/>
  <c r="R78" i="54"/>
  <c r="S80" i="54"/>
  <c r="Q77" i="54"/>
  <c r="O76" i="54"/>
  <c r="M76" i="54"/>
  <c r="Q74" i="54"/>
  <c r="P76" i="54"/>
  <c r="N73" i="51"/>
  <c r="P81" i="51"/>
  <c r="Q81" i="51"/>
  <c r="U75" i="51"/>
  <c r="R79" i="51"/>
  <c r="Q75" i="51"/>
  <c r="N76" i="51"/>
  <c r="S74" i="51"/>
  <c r="R80" i="51"/>
  <c r="Q73" i="51"/>
  <c r="N79" i="51"/>
  <c r="M86" i="51" a="1"/>
  <c r="M75" i="51"/>
  <c r="S76" i="51"/>
  <c r="P78" i="51"/>
  <c r="U78" i="51"/>
  <c r="U76" i="51"/>
  <c r="U79" i="51"/>
  <c r="C14" i="47"/>
  <c r="D13" i="47"/>
  <c r="L6" i="41"/>
  <c r="BC42" i="40"/>
  <c r="BG42" i="40"/>
  <c r="AZ42" i="40"/>
  <c r="BD42" i="40"/>
  <c r="J129" i="39"/>
  <c r="I129" i="39"/>
  <c r="H129" i="39"/>
  <c r="G129" i="39"/>
  <c r="F129" i="39"/>
  <c r="E129" i="39"/>
  <c r="D129" i="39"/>
  <c r="C129" i="39"/>
  <c r="B129" i="39"/>
  <c r="J128" i="39"/>
  <c r="I128" i="39"/>
  <c r="H128" i="39"/>
  <c r="G128" i="39"/>
  <c r="F128" i="39"/>
  <c r="E128" i="39"/>
  <c r="D128" i="39"/>
  <c r="C128" i="39"/>
  <c r="B128" i="39"/>
  <c r="J127" i="39"/>
  <c r="I127" i="39"/>
  <c r="H127" i="39"/>
  <c r="G127" i="39"/>
  <c r="F127" i="39"/>
  <c r="E127" i="39"/>
  <c r="D127" i="39"/>
  <c r="C127" i="39"/>
  <c r="B127" i="39"/>
  <c r="J126" i="39"/>
  <c r="I126" i="39"/>
  <c r="H126" i="39"/>
  <c r="G126" i="39"/>
  <c r="F126" i="39"/>
  <c r="E126" i="39"/>
  <c r="D126" i="39"/>
  <c r="C126" i="39"/>
  <c r="B126" i="39"/>
  <c r="J125" i="39"/>
  <c r="I125" i="39"/>
  <c r="H125" i="39"/>
  <c r="G125" i="39"/>
  <c r="F125" i="39"/>
  <c r="E125" i="39"/>
  <c r="D125" i="39"/>
  <c r="C125" i="39"/>
  <c r="B125" i="39"/>
  <c r="AD121" i="39"/>
  <c r="A104" i="39"/>
  <c r="AS61" i="39" a="1"/>
  <c r="W5" i="39"/>
  <c r="W6" i="39" s="1"/>
  <c r="W7" i="39" s="1"/>
  <c r="W8" i="39" s="1"/>
  <c r="W9" i="39" s="1"/>
  <c r="W10" i="39" s="1"/>
  <c r="W11" i="39" s="1"/>
  <c r="W12" i="39" s="1"/>
  <c r="W13" i="39" s="1"/>
  <c r="W14" i="39" s="1"/>
  <c r="W15" i="39" s="1"/>
  <c r="W16" i="39" s="1"/>
  <c r="W17" i="39" s="1"/>
  <c r="W18" i="39" s="1"/>
  <c r="W19" i="39" s="1"/>
  <c r="W20" i="39" s="1"/>
  <c r="W21" i="39" s="1"/>
  <c r="W22" i="39" s="1"/>
  <c r="W23" i="39" s="1"/>
  <c r="W24" i="39" s="1"/>
  <c r="W25" i="39" s="1"/>
  <c r="W26" i="39" s="1"/>
  <c r="W27" i="39" s="1"/>
  <c r="W28" i="39" s="1"/>
  <c r="W29" i="39" s="1"/>
  <c r="W30" i="39" s="1"/>
  <c r="W31" i="39" s="1"/>
  <c r="W32" i="39" s="1"/>
  <c r="W33" i="39" s="1"/>
  <c r="W34" i="39" s="1"/>
  <c r="W35" i="39" s="1"/>
  <c r="W36" i="39" s="1"/>
  <c r="W37" i="39" s="1"/>
  <c r="W38" i="39" s="1"/>
  <c r="W39" i="39" s="1"/>
  <c r="W40" i="39" s="1"/>
  <c r="W41" i="39" s="1"/>
  <c r="W42" i="39" s="1"/>
  <c r="W43" i="39" s="1"/>
  <c r="W44" i="39" s="1"/>
  <c r="W45" i="39" s="1"/>
  <c r="W46" i="39" s="1"/>
  <c r="W47" i="39" s="1"/>
  <c r="W48" i="39" s="1"/>
  <c r="W49" i="39" s="1"/>
  <c r="W50" i="39" s="1"/>
  <c r="W51" i="39" s="1"/>
  <c r="W52" i="39" s="1"/>
  <c r="W53" i="39" s="1"/>
  <c r="W54" i="39" s="1"/>
  <c r="W55" i="39" s="1"/>
  <c r="W56" i="39" s="1"/>
  <c r="W57" i="39" s="1"/>
  <c r="W58" i="39" s="1"/>
  <c r="W59" i="39" s="1"/>
  <c r="W60" i="39" s="1"/>
  <c r="W61" i="39" s="1"/>
  <c r="W62" i="39" s="1"/>
  <c r="W63" i="39" s="1"/>
  <c r="W64" i="39" s="1"/>
  <c r="W65" i="39" s="1"/>
  <c r="W66" i="39" s="1"/>
  <c r="W67" i="39" s="1"/>
  <c r="W68" i="39" s="1"/>
  <c r="W69" i="39" s="1"/>
  <c r="W70" i="39" s="1"/>
  <c r="W71" i="39" s="1"/>
  <c r="W72" i="39" s="1"/>
  <c r="W73" i="39" s="1"/>
  <c r="W74" i="39" s="1"/>
  <c r="W75" i="39" s="1"/>
  <c r="W76" i="39" s="1"/>
  <c r="W77" i="39" s="1"/>
  <c r="W78" i="39" s="1"/>
  <c r="W79" i="39" s="1"/>
  <c r="W80" i="39" s="1"/>
  <c r="W81" i="39" s="1"/>
  <c r="W82" i="39" s="1"/>
  <c r="W83" i="39" s="1"/>
  <c r="W84" i="39" s="1"/>
  <c r="W85" i="39" s="1"/>
  <c r="W86" i="39" s="1"/>
  <c r="W87" i="39" s="1"/>
  <c r="W88" i="39" s="1"/>
  <c r="W89" i="39" s="1"/>
  <c r="W90" i="39" s="1"/>
  <c r="W91" i="39" s="1"/>
  <c r="W92" i="39" s="1"/>
  <c r="W93" i="39" s="1"/>
  <c r="W94" i="39" s="1"/>
  <c r="W95" i="39" s="1"/>
  <c r="W96" i="39" s="1"/>
  <c r="W97" i="39" s="1"/>
  <c r="W98" i="39" s="1"/>
  <c r="W99" i="39" s="1"/>
  <c r="W100" i="39" s="1"/>
  <c r="W101" i="39" s="1"/>
  <c r="W102" i="39" s="1"/>
  <c r="W103" i="39" s="1"/>
  <c r="W104" i="39" s="1"/>
  <c r="W105" i="39" s="1"/>
  <c r="W106" i="39" s="1"/>
  <c r="W107" i="39" s="1"/>
  <c r="W108" i="39" s="1"/>
  <c r="W109" i="39" s="1"/>
  <c r="W110" i="39" s="1"/>
  <c r="W111" i="39" s="1"/>
  <c r="W112" i="39" s="1"/>
  <c r="W113" i="39" s="1"/>
  <c r="W114" i="39" s="1"/>
  <c r="W115" i="39" s="1"/>
  <c r="W116" i="39" s="1"/>
  <c r="W117" i="39" s="1"/>
  <c r="W118" i="39" s="1"/>
  <c r="W119" i="39" s="1"/>
  <c r="W120" i="39" s="1"/>
  <c r="W121" i="39" s="1"/>
  <c r="W122" i="39" s="1"/>
  <c r="W123" i="39" s="1"/>
  <c r="M3" i="39" a="1"/>
  <c r="R3" i="39" s="1"/>
  <c r="W28" i="51" a="1"/>
  <c r="M86" i="54" a="1"/>
  <c r="W28" i="54" a="1"/>
  <c r="W32" i="54" l="1"/>
  <c r="W35" i="54"/>
  <c r="W34" i="54"/>
  <c r="W29" i="54"/>
  <c r="W36" i="54"/>
  <c r="W28" i="54"/>
  <c r="W31" i="54"/>
  <c r="W33" i="54"/>
  <c r="W30" i="54"/>
  <c r="T86" i="54"/>
  <c r="M86" i="54"/>
  <c r="U86" i="54"/>
  <c r="R86" i="54"/>
  <c r="P86" i="54"/>
  <c r="Q86" i="54"/>
  <c r="N86" i="54"/>
  <c r="O86" i="54"/>
  <c r="S86" i="54"/>
  <c r="W31" i="51"/>
  <c r="W28" i="51"/>
  <c r="W30" i="51"/>
  <c r="W33" i="51"/>
  <c r="W34" i="51"/>
  <c r="W29" i="51"/>
  <c r="W32" i="51"/>
  <c r="W35" i="51"/>
  <c r="W36" i="51"/>
  <c r="S40" i="55"/>
  <c r="B13" i="47"/>
  <c r="C15" i="47"/>
  <c r="P3" i="39"/>
  <c r="AF58" i="39"/>
  <c r="B14" i="47"/>
  <c r="D14" i="47"/>
  <c r="C13" i="47"/>
  <c r="D15" i="47"/>
  <c r="G5" i="40"/>
  <c r="G5" i="41"/>
  <c r="X8" i="39"/>
  <c r="AZ43" i="40" a="1"/>
  <c r="BB43" i="40" s="1"/>
  <c r="BB44" i="40" s="1"/>
  <c r="M100" i="51" a="1"/>
  <c r="O107" i="51" s="1"/>
  <c r="AR5" i="55"/>
  <c r="AO5" i="55"/>
  <c r="AS5" i="55"/>
  <c r="AM5" i="55"/>
  <c r="AP5" i="55"/>
  <c r="AK5" i="55"/>
  <c r="AQ5" i="55"/>
  <c r="AL5" i="55"/>
  <c r="AN5" i="55"/>
  <c r="E5" i="41"/>
  <c r="E5" i="40"/>
  <c r="U3" i="39"/>
  <c r="A105" i="39"/>
  <c r="A106" i="39" s="1"/>
  <c r="A107" i="39" s="1"/>
  <c r="A108" i="39" s="1"/>
  <c r="A109" i="39" s="1"/>
  <c r="A110" i="39" s="1"/>
  <c r="A111" i="39" s="1"/>
  <c r="A112" i="39" s="1"/>
  <c r="A113" i="39" s="1"/>
  <c r="A114" i="39" s="1"/>
  <c r="A115" i="39" s="1"/>
  <c r="A116" i="39" s="1"/>
  <c r="A117" i="39" s="1"/>
  <c r="A118" i="39" s="1"/>
  <c r="A119" i="39" s="1"/>
  <c r="A120" i="39" s="1"/>
  <c r="A121" i="39" s="1"/>
  <c r="A122" i="39" s="1"/>
  <c r="A123" i="39" s="1"/>
  <c r="W73" i="54"/>
  <c r="W78" i="54"/>
  <c r="W81" i="51"/>
  <c r="Z103" i="39"/>
  <c r="Z28" i="39"/>
  <c r="AD48" i="39"/>
  <c r="AD13" i="39"/>
  <c r="AD81" i="39"/>
  <c r="Z5" i="39"/>
  <c r="AD8" i="39"/>
  <c r="AD18" i="39"/>
  <c r="AD35" i="39"/>
  <c r="AD55" i="39"/>
  <c r="Z62" i="39"/>
  <c r="Z84" i="39"/>
  <c r="Z6" i="39"/>
  <c r="AD9" i="39"/>
  <c r="Z20" i="39"/>
  <c r="Z38" i="39"/>
  <c r="AD57" i="39"/>
  <c r="Z70" i="39"/>
  <c r="Z92" i="39"/>
  <c r="Z111" i="39"/>
  <c r="Z4" i="39"/>
  <c r="AF12" i="39"/>
  <c r="AD25" i="39"/>
  <c r="AD46" i="39"/>
  <c r="Z73" i="39"/>
  <c r="Z95" i="39"/>
  <c r="AD113" i="39"/>
  <c r="AC105" i="39"/>
  <c r="X18" i="39"/>
  <c r="AB19" i="39"/>
  <c r="AF40" i="39"/>
  <c r="BG43" i="40"/>
  <c r="BG44" i="40" s="1"/>
  <c r="AE22" i="39"/>
  <c r="Z117" i="39"/>
  <c r="Z114" i="39"/>
  <c r="Z109" i="39"/>
  <c r="Z106" i="39"/>
  <c r="Z101" i="39"/>
  <c r="Z96" i="39"/>
  <c r="Z93" i="39"/>
  <c r="Z90" i="39"/>
  <c r="Z82" i="39"/>
  <c r="Z79" i="39"/>
  <c r="Z71" i="39"/>
  <c r="Z68" i="39"/>
  <c r="Z63" i="39"/>
  <c r="Z56" i="39"/>
  <c r="Z54" i="39"/>
  <c r="Z52" i="39"/>
  <c r="Z49" i="39"/>
  <c r="Z47" i="39"/>
  <c r="Z42" i="39"/>
  <c r="Z39" i="39"/>
  <c r="Z36" i="39"/>
  <c r="Z31" i="39"/>
  <c r="Z26" i="39"/>
  <c r="Z24" i="39"/>
  <c r="Z9" i="39"/>
  <c r="Z121" i="39"/>
  <c r="Z118" i="39"/>
  <c r="Z113" i="39"/>
  <c r="Z110" i="39"/>
  <c r="Z100" i="39"/>
  <c r="Z97" i="39"/>
  <c r="Z89" i="39"/>
  <c r="Z86" i="39"/>
  <c r="Z78" i="39"/>
  <c r="Z75" i="39"/>
  <c r="Z72" i="39"/>
  <c r="Z67" i="39"/>
  <c r="Z64" i="39"/>
  <c r="Z59" i="39"/>
  <c r="Z57" i="39"/>
  <c r="Z55" i="39"/>
  <c r="Z48" i="39"/>
  <c r="Z46" i="39"/>
  <c r="Z43" i="39"/>
  <c r="Z32" i="39"/>
  <c r="Z25" i="39"/>
  <c r="Z18" i="39"/>
  <c r="Z8" i="39"/>
  <c r="Z123" i="39"/>
  <c r="Z120" i="39"/>
  <c r="Z115" i="39"/>
  <c r="Z112" i="39"/>
  <c r="Z107" i="39"/>
  <c r="Z104" i="39"/>
  <c r="Z102" i="39"/>
  <c r="Z99" i="39"/>
  <c r="Z91" i="39"/>
  <c r="Z88" i="39"/>
  <c r="Z80" i="39"/>
  <c r="Z77" i="39"/>
  <c r="Z69" i="39"/>
  <c r="Z66" i="39"/>
  <c r="Z61" i="39"/>
  <c r="Z37" i="39"/>
  <c r="Z34" i="39"/>
  <c r="Z29" i="39"/>
  <c r="Z27" i="39"/>
  <c r="Z22" i="39"/>
  <c r="AD122" i="39"/>
  <c r="AD119" i="39"/>
  <c r="AD111" i="39"/>
  <c r="AD98" i="39"/>
  <c r="AD87" i="39"/>
  <c r="AD84" i="39"/>
  <c r="AD76" i="39"/>
  <c r="AD73" i="39"/>
  <c r="AD65" i="39"/>
  <c r="AD60" i="39"/>
  <c r="AD58" i="39"/>
  <c r="AD44" i="39"/>
  <c r="AD33" i="39"/>
  <c r="AD28" i="39"/>
  <c r="AD21" i="39"/>
  <c r="AD19" i="39"/>
  <c r="AD16" i="39"/>
  <c r="AD11" i="39"/>
  <c r="AD7" i="39"/>
  <c r="AD5" i="39"/>
  <c r="AD123" i="39"/>
  <c r="AD115" i="39"/>
  <c r="AD107" i="39"/>
  <c r="AD104" i="39"/>
  <c r="AD102" i="39"/>
  <c r="AD94" i="39"/>
  <c r="AD91" i="39"/>
  <c r="AD83" i="39"/>
  <c r="AD80" i="39"/>
  <c r="AD69" i="39"/>
  <c r="AD52" i="39"/>
  <c r="AD50" i="39"/>
  <c r="AD40" i="39"/>
  <c r="AD37" i="39"/>
  <c r="AD34" i="39"/>
  <c r="AD29" i="39"/>
  <c r="AD27" i="39"/>
  <c r="AD20" i="39"/>
  <c r="AD14" i="39"/>
  <c r="AD12" i="39"/>
  <c r="AD10" i="39"/>
  <c r="AD6" i="39"/>
  <c r="AD117" i="39"/>
  <c r="AD109" i="39"/>
  <c r="AD96" i="39"/>
  <c r="AD93" i="39"/>
  <c r="AD85" i="39"/>
  <c r="AD82" i="39"/>
  <c r="AD74" i="39"/>
  <c r="AD71" i="39"/>
  <c r="AD63" i="39"/>
  <c r="AD56" i="39"/>
  <c r="AD54" i="39"/>
  <c r="AD49" i="39"/>
  <c r="AD47" i="39"/>
  <c r="AD45" i="39"/>
  <c r="AD42" i="39"/>
  <c r="AD39" i="39"/>
  <c r="AD31" i="39"/>
  <c r="AD24" i="39"/>
  <c r="AD4" i="39"/>
  <c r="Z11" i="39"/>
  <c r="AD15" i="39"/>
  <c r="Z21" i="39"/>
  <c r="AD30" i="39"/>
  <c r="Z41" i="39"/>
  <c r="Z51" i="39"/>
  <c r="Z65" i="39"/>
  <c r="Z76" i="39"/>
  <c r="AD86" i="39"/>
  <c r="Z98" i="39"/>
  <c r="AD105" i="39"/>
  <c r="Z116" i="39"/>
  <c r="BC43" i="40"/>
  <c r="AA13" i="39"/>
  <c r="AA52" i="39"/>
  <c r="Z12" i="39"/>
  <c r="Z17" i="39"/>
  <c r="Z23" i="39"/>
  <c r="AD32" i="39"/>
  <c r="Z44" i="39"/>
  <c r="AD53" i="39"/>
  <c r="Z60" i="39"/>
  <c r="AD67" i="39"/>
  <c r="AD78" i="39"/>
  <c r="AD89" i="39"/>
  <c r="AD100" i="39"/>
  <c r="Z108" i="39"/>
  <c r="Z119" i="39"/>
  <c r="AB4" i="39"/>
  <c r="AF79" i="39"/>
  <c r="AE11" i="39"/>
  <c r="BA43" i="40"/>
  <c r="BA44" i="40" s="1"/>
  <c r="Y25" i="39"/>
  <c r="Y21" i="39"/>
  <c r="Y8" i="39"/>
  <c r="Y122" i="39"/>
  <c r="Y94" i="39"/>
  <c r="Y15" i="39"/>
  <c r="AC71" i="39"/>
  <c r="BE43" i="40"/>
  <c r="BE44" i="40" s="1"/>
  <c r="AC31" i="39"/>
  <c r="AC4" i="39"/>
  <c r="AC62" i="39"/>
  <c r="AF5" i="39"/>
  <c r="X15" i="39"/>
  <c r="Y17" i="39"/>
  <c r="AF23" i="39"/>
  <c r="AC35" i="39"/>
  <c r="AC44" i="39"/>
  <c r="AF50" i="39"/>
  <c r="AB7" i="39"/>
  <c r="AC8" i="39"/>
  <c r="Y10" i="39"/>
  <c r="AC15" i="39"/>
  <c r="AF87" i="39"/>
  <c r="AC6" i="39"/>
  <c r="AF13" i="39"/>
  <c r="AC19" i="39"/>
  <c r="Y23" i="39"/>
  <c r="Y39" i="39"/>
  <c r="AC73" i="39"/>
  <c r="X59" i="39"/>
  <c r="AZ43" i="40"/>
  <c r="X20" i="39"/>
  <c r="X9" i="39"/>
  <c r="X21" i="39"/>
  <c r="X16" i="39"/>
  <c r="BD43" i="40"/>
  <c r="AB6" i="39"/>
  <c r="AB75" i="39"/>
  <c r="AB31" i="39"/>
  <c r="BH43" i="40"/>
  <c r="BH44" i="40" s="1"/>
  <c r="AF54" i="39"/>
  <c r="AF46" i="39"/>
  <c r="AA103" i="39"/>
  <c r="AA56" i="39"/>
  <c r="AA48" i="39"/>
  <c r="AA28" i="39"/>
  <c r="AA5" i="39"/>
  <c r="AA95" i="39"/>
  <c r="Z7" i="39"/>
  <c r="Z10" i="39"/>
  <c r="Z13" i="39"/>
  <c r="Z14" i="39"/>
  <c r="Z15" i="39"/>
  <c r="Z16" i="39"/>
  <c r="AD17" i="39"/>
  <c r="Z19" i="39"/>
  <c r="AD22" i="39"/>
  <c r="AD23" i="39"/>
  <c r="AD26" i="39"/>
  <c r="Z30" i="39"/>
  <c r="Z33" i="39"/>
  <c r="Z35" i="39"/>
  <c r="AD36" i="39"/>
  <c r="AD38" i="39"/>
  <c r="Z40" i="39"/>
  <c r="AD41" i="39"/>
  <c r="AD43" i="39"/>
  <c r="Z45" i="39"/>
  <c r="Z50" i="39"/>
  <c r="AD51" i="39"/>
  <c r="Z53" i="39"/>
  <c r="Z58" i="39"/>
  <c r="AD59" i="39"/>
  <c r="AD61" i="39"/>
  <c r="AD62" i="39"/>
  <c r="AD64" i="39"/>
  <c r="AD66" i="39"/>
  <c r="AD68" i="39"/>
  <c r="AD70" i="39"/>
  <c r="AD72" i="39"/>
  <c r="Z74" i="39"/>
  <c r="AD75" i="39"/>
  <c r="AD77" i="39"/>
  <c r="AD79" i="39"/>
  <c r="Z81" i="39"/>
  <c r="Z83" i="39"/>
  <c r="Z85" i="39"/>
  <c r="Z87" i="39"/>
  <c r="AD88" i="39"/>
  <c r="AD90" i="39"/>
  <c r="AD92" i="39"/>
  <c r="Z94" i="39"/>
  <c r="AD95" i="39"/>
  <c r="AD97" i="39"/>
  <c r="AD99" i="39"/>
  <c r="AD101" i="39"/>
  <c r="AD103" i="39"/>
  <c r="Z105" i="39"/>
  <c r="AD106" i="39"/>
  <c r="AD108" i="39"/>
  <c r="AD110" i="39"/>
  <c r="AD112" i="39"/>
  <c r="AD114" i="39"/>
  <c r="AD116" i="39"/>
  <c r="AD118" i="39"/>
  <c r="AD120" i="39"/>
  <c r="Z122" i="39"/>
  <c r="W74" i="51"/>
  <c r="W80" i="51"/>
  <c r="W79" i="54"/>
  <c r="W77" i="51"/>
  <c r="X6" i="55"/>
  <c r="X33" i="55" s="1"/>
  <c r="X9" i="55"/>
  <c r="X36" i="55" s="1"/>
  <c r="X7" i="55"/>
  <c r="X34" i="55" s="1"/>
  <c r="X12" i="55"/>
  <c r="X39" i="55" s="1"/>
  <c r="X14" i="55"/>
  <c r="X41" i="55" s="1"/>
  <c r="X8" i="55"/>
  <c r="X35" i="55" s="1"/>
  <c r="X11" i="55"/>
  <c r="X38" i="55" s="1"/>
  <c r="X10" i="55"/>
  <c r="X37" i="55" s="1"/>
  <c r="X13" i="55"/>
  <c r="X40" i="55" s="1"/>
  <c r="M125" i="54"/>
  <c r="O125" i="54"/>
  <c r="S127" i="54"/>
  <c r="S126" i="54"/>
  <c r="Q125" i="54"/>
  <c r="S130" i="54"/>
  <c r="N125" i="54"/>
  <c r="S123" i="54"/>
  <c r="N122" i="54"/>
  <c r="U124" i="54"/>
  <c r="S125" i="54"/>
  <c r="M88" i="51"/>
  <c r="M86" i="51"/>
  <c r="M94" i="51"/>
  <c r="M87" i="51"/>
  <c r="M91" i="51"/>
  <c r="M90" i="51"/>
  <c r="M93" i="51"/>
  <c r="M89" i="51"/>
  <c r="M92" i="51"/>
  <c r="W73" i="51"/>
  <c r="W79" i="51"/>
  <c r="W80" i="54"/>
  <c r="W81" i="54"/>
  <c r="W76" i="51"/>
  <c r="W76" i="54"/>
  <c r="W78" i="51"/>
  <c r="W75" i="54"/>
  <c r="W75" i="51"/>
  <c r="W77" i="54"/>
  <c r="W74" i="54"/>
  <c r="AS68" i="39"/>
  <c r="AS69" i="39"/>
  <c r="F10" i="49" a="1"/>
  <c r="E4" i="48" a="1"/>
  <c r="AS15" i="43" a="1"/>
  <c r="AS15" i="42" a="1"/>
  <c r="BK26" i="40" a="1"/>
  <c r="AB122" i="39"/>
  <c r="AB118" i="39"/>
  <c r="AB114" i="39"/>
  <c r="AB110" i="39"/>
  <c r="AB106" i="39"/>
  <c r="AB123" i="39"/>
  <c r="AB119" i="39"/>
  <c r="AB115" i="39"/>
  <c r="AB111" i="39"/>
  <c r="AB107" i="39"/>
  <c r="AB103" i="39"/>
  <c r="AB101" i="39"/>
  <c r="AB99" i="39"/>
  <c r="AB97" i="39"/>
  <c r="AB95" i="39"/>
  <c r="AB93" i="39"/>
  <c r="AB91" i="39"/>
  <c r="AB116" i="39"/>
  <c r="AB108" i="39"/>
  <c r="AB102" i="39"/>
  <c r="AB100" i="39"/>
  <c r="AB98" i="39"/>
  <c r="AB96" i="39"/>
  <c r="AB94" i="39"/>
  <c r="AB92" i="39"/>
  <c r="AB90" i="39"/>
  <c r="AB86" i="39"/>
  <c r="AB84" i="39"/>
  <c r="AB82" i="39"/>
  <c r="AB80" i="39"/>
  <c r="AB78" i="39"/>
  <c r="AB76" i="39"/>
  <c r="AB73" i="39"/>
  <c r="AB71" i="39"/>
  <c r="AB69" i="39"/>
  <c r="AB67" i="39"/>
  <c r="AB65" i="39"/>
  <c r="AB117" i="39"/>
  <c r="AB109" i="39"/>
  <c r="AB120" i="39"/>
  <c r="AB104" i="39"/>
  <c r="AB88" i="39"/>
  <c r="AB70" i="39"/>
  <c r="AB64" i="39"/>
  <c r="AB62" i="39"/>
  <c r="AB60" i="39"/>
  <c r="AB57" i="39"/>
  <c r="AB55" i="39"/>
  <c r="AB53" i="39"/>
  <c r="AB51" i="39"/>
  <c r="AB49" i="39"/>
  <c r="AB47" i="39"/>
  <c r="AB45" i="39"/>
  <c r="AB43" i="39"/>
  <c r="AB113" i="39"/>
  <c r="AB87" i="39"/>
  <c r="AB85" i="39"/>
  <c r="AB83" i="39"/>
  <c r="AB81" i="39"/>
  <c r="AB79" i="39"/>
  <c r="AB77" i="39"/>
  <c r="AB68" i="39"/>
  <c r="AB66" i="39"/>
  <c r="AB44" i="39"/>
  <c r="AB38" i="39"/>
  <c r="AB34" i="39"/>
  <c r="AB32" i="39"/>
  <c r="AB121" i="39"/>
  <c r="AB89" i="39"/>
  <c r="AB74" i="39"/>
  <c r="AB58" i="39"/>
  <c r="AB56" i="39"/>
  <c r="AB54" i="39"/>
  <c r="AB52" i="39"/>
  <c r="AB50" i="39"/>
  <c r="AB48" i="39"/>
  <c r="AB46" i="39"/>
  <c r="AB42" i="39"/>
  <c r="AB37" i="39"/>
  <c r="AB33" i="39"/>
  <c r="AB30" i="39"/>
  <c r="AB28" i="39"/>
  <c r="AB26" i="39"/>
  <c r="AB24" i="39"/>
  <c r="AB105" i="39"/>
  <c r="AB41" i="39"/>
  <c r="AB36" i="39"/>
  <c r="AB22" i="39"/>
  <c r="AB21" i="39"/>
  <c r="AB59" i="39"/>
  <c r="AB39" i="39"/>
  <c r="AB29" i="39"/>
  <c r="AB27" i="39"/>
  <c r="AB25" i="39"/>
  <c r="AB23" i="39"/>
  <c r="AB63" i="39"/>
  <c r="AF122" i="39"/>
  <c r="AF118" i="39"/>
  <c r="AF114" i="39"/>
  <c r="AF110" i="39"/>
  <c r="AF106" i="39"/>
  <c r="AF123" i="39"/>
  <c r="AF119" i="39"/>
  <c r="AF115" i="39"/>
  <c r="AF111" i="39"/>
  <c r="AF107" i="39"/>
  <c r="AF103" i="39"/>
  <c r="AF101" i="39"/>
  <c r="AF99" i="39"/>
  <c r="AF97" i="39"/>
  <c r="AF95" i="39"/>
  <c r="AF93" i="39"/>
  <c r="AF91" i="39"/>
  <c r="AF121" i="39"/>
  <c r="AF113" i="39"/>
  <c r="AF105" i="39"/>
  <c r="AF89" i="39"/>
  <c r="AF88" i="39"/>
  <c r="AF86" i="39"/>
  <c r="AF84" i="39"/>
  <c r="AF82" i="39"/>
  <c r="AF80" i="39"/>
  <c r="AF78" i="39"/>
  <c r="AF76" i="39"/>
  <c r="AF73" i="39"/>
  <c r="AF71" i="39"/>
  <c r="AF69" i="39"/>
  <c r="AF67" i="39"/>
  <c r="AF65" i="39"/>
  <c r="AF116" i="39"/>
  <c r="AF108" i="39"/>
  <c r="AF102" i="39"/>
  <c r="AF100" i="39"/>
  <c r="AF98" i="39"/>
  <c r="AF96" i="39"/>
  <c r="AF94" i="39"/>
  <c r="AF92" i="39"/>
  <c r="AF90" i="39"/>
  <c r="AF112" i="39"/>
  <c r="AF70" i="39"/>
  <c r="AF64" i="39"/>
  <c r="AF62" i="39"/>
  <c r="AF60" i="39"/>
  <c r="AF57" i="39"/>
  <c r="AF55" i="39"/>
  <c r="AF53" i="39"/>
  <c r="AF51" i="39"/>
  <c r="AF49" i="39"/>
  <c r="AF47" i="39"/>
  <c r="AF45" i="39"/>
  <c r="AF43" i="39"/>
  <c r="AF109" i="39"/>
  <c r="AF68" i="39"/>
  <c r="AF66" i="39"/>
  <c r="AF117" i="39"/>
  <c r="AF75" i="39"/>
  <c r="AF63" i="39"/>
  <c r="AF61" i="39"/>
  <c r="AF59" i="39"/>
  <c r="AF44" i="39"/>
  <c r="AF38" i="39"/>
  <c r="AF34" i="39"/>
  <c r="AF32" i="39"/>
  <c r="AF104" i="39"/>
  <c r="AF42" i="39"/>
  <c r="AF37" i="39"/>
  <c r="AF33" i="39"/>
  <c r="AF30" i="39"/>
  <c r="AF28" i="39"/>
  <c r="AF26" i="39"/>
  <c r="AF24" i="39"/>
  <c r="AF74" i="39"/>
  <c r="AF35" i="39"/>
  <c r="AF31" i="39"/>
  <c r="AF20" i="39"/>
  <c r="AF36" i="39"/>
  <c r="AF22" i="39"/>
  <c r="AF21" i="39"/>
  <c r="AF120" i="39"/>
  <c r="AF85" i="39"/>
  <c r="AF81" i="39"/>
  <c r="AF77" i="39"/>
  <c r="AF72" i="39"/>
  <c r="AE121" i="39"/>
  <c r="AE117" i="39"/>
  <c r="AE113" i="39"/>
  <c r="AE109" i="39"/>
  <c r="AE105" i="39"/>
  <c r="AE102" i="39"/>
  <c r="AE100" i="39"/>
  <c r="AE98" i="39"/>
  <c r="AE96" i="39"/>
  <c r="AE94" i="39"/>
  <c r="AE92" i="39"/>
  <c r="AE90" i="39"/>
  <c r="AE88" i="39"/>
  <c r="AE122" i="39"/>
  <c r="AE118" i="39"/>
  <c r="AE114" i="39"/>
  <c r="AE110" i="39"/>
  <c r="AE106" i="39"/>
  <c r="AE120" i="39"/>
  <c r="AE112" i="39"/>
  <c r="AE104" i="39"/>
  <c r="AE103" i="39"/>
  <c r="AE101" i="39"/>
  <c r="AE99" i="39"/>
  <c r="AE97" i="39"/>
  <c r="AE95" i="39"/>
  <c r="AE93" i="39"/>
  <c r="AE91" i="39"/>
  <c r="AE123" i="39"/>
  <c r="AE115" i="39"/>
  <c r="AE107" i="39"/>
  <c r="AE89" i="39"/>
  <c r="AE86" i="39"/>
  <c r="AE84" i="39"/>
  <c r="AE82" i="39"/>
  <c r="AE80" i="39"/>
  <c r="AE78" i="39"/>
  <c r="AE119" i="39"/>
  <c r="AE73" i="39"/>
  <c r="AE72" i="39"/>
  <c r="AE108" i="39"/>
  <c r="AE71" i="39"/>
  <c r="AE70" i="39"/>
  <c r="AE64" i="39"/>
  <c r="AE62" i="39"/>
  <c r="AE60" i="39"/>
  <c r="AE57" i="39"/>
  <c r="AE55" i="39"/>
  <c r="AE53" i="39"/>
  <c r="AE51" i="39"/>
  <c r="AE49" i="39"/>
  <c r="AE47" i="39"/>
  <c r="AE45" i="39"/>
  <c r="AE116" i="39"/>
  <c r="AE76" i="39"/>
  <c r="AE67" i="39"/>
  <c r="AE65" i="39"/>
  <c r="AE41" i="39"/>
  <c r="AE39" i="39"/>
  <c r="AE35" i="39"/>
  <c r="AE31" i="39"/>
  <c r="AE29" i="39"/>
  <c r="AE27" i="39"/>
  <c r="AE25" i="39"/>
  <c r="AE23" i="39"/>
  <c r="AE21" i="39"/>
  <c r="AE111" i="39"/>
  <c r="AE75" i="39"/>
  <c r="AE63" i="39"/>
  <c r="AE61" i="39"/>
  <c r="AE59" i="39"/>
  <c r="AE44" i="39"/>
  <c r="AE38" i="39"/>
  <c r="AE34" i="39"/>
  <c r="AE32" i="39"/>
  <c r="AE87" i="39"/>
  <c r="AE83" i="39"/>
  <c r="AE79" i="39"/>
  <c r="AE69" i="39"/>
  <c r="AE68" i="39"/>
  <c r="AE58" i="39"/>
  <c r="AE56" i="39"/>
  <c r="AE54" i="39"/>
  <c r="AE52" i="39"/>
  <c r="AE50" i="39"/>
  <c r="AE48" i="39"/>
  <c r="AE46" i="39"/>
  <c r="AE40" i="39"/>
  <c r="AE19" i="39"/>
  <c r="AE17" i="39"/>
  <c r="AE15" i="39"/>
  <c r="AE12" i="39"/>
  <c r="AE10" i="39"/>
  <c r="AE8" i="39"/>
  <c r="AE6" i="39"/>
  <c r="AE4" i="39"/>
  <c r="AE43" i="39"/>
  <c r="AE42" i="39"/>
  <c r="AE37" i="39"/>
  <c r="AE30" i="39"/>
  <c r="AE28" i="39"/>
  <c r="AE26" i="39"/>
  <c r="AE24" i="39"/>
  <c r="AE20" i="39"/>
  <c r="AE74" i="39"/>
  <c r="AB5" i="39"/>
  <c r="X6" i="39"/>
  <c r="X7" i="39"/>
  <c r="AE9" i="39"/>
  <c r="AF10" i="39"/>
  <c r="AF11" i="39"/>
  <c r="AE16" i="39"/>
  <c r="AF17" i="39"/>
  <c r="X22" i="39"/>
  <c r="AA26" i="39"/>
  <c r="X35" i="39"/>
  <c r="AE36" i="39"/>
  <c r="AF41" i="39"/>
  <c r="AB72" i="39"/>
  <c r="Y123" i="39"/>
  <c r="Y119" i="39"/>
  <c r="Y115" i="39"/>
  <c r="Y111" i="39"/>
  <c r="Y107" i="39"/>
  <c r="Y103" i="39"/>
  <c r="Y101" i="39"/>
  <c r="Y99" i="39"/>
  <c r="Y97" i="39"/>
  <c r="Y95" i="39"/>
  <c r="Y93" i="39"/>
  <c r="Y91" i="39"/>
  <c r="Y89" i="39"/>
  <c r="Y120" i="39"/>
  <c r="Y116" i="39"/>
  <c r="Y112" i="39"/>
  <c r="Y108" i="39"/>
  <c r="Y104" i="39"/>
  <c r="Y118" i="39"/>
  <c r="Y110" i="39"/>
  <c r="Y121" i="39"/>
  <c r="Y113" i="39"/>
  <c r="Y105" i="39"/>
  <c r="Y88" i="39"/>
  <c r="Y87" i="39"/>
  <c r="Y85" i="39"/>
  <c r="Y83" i="39"/>
  <c r="Y81" i="39"/>
  <c r="Y79" i="39"/>
  <c r="Y109" i="39"/>
  <c r="Y77" i="39"/>
  <c r="Y76" i="39"/>
  <c r="Y68" i="39"/>
  <c r="Y67" i="39"/>
  <c r="Y66" i="39"/>
  <c r="Y41" i="39"/>
  <c r="Y114" i="39"/>
  <c r="Y86" i="39"/>
  <c r="Y84" i="39"/>
  <c r="Y82" i="39"/>
  <c r="Y80" i="39"/>
  <c r="Y78" i="39"/>
  <c r="Y75" i="39"/>
  <c r="Y74" i="39"/>
  <c r="Y73" i="39"/>
  <c r="Y63" i="39"/>
  <c r="Y61" i="39"/>
  <c r="Y59" i="39"/>
  <c r="Y58" i="39"/>
  <c r="Y56" i="39"/>
  <c r="Y54" i="39"/>
  <c r="Y52" i="39"/>
  <c r="Y50" i="39"/>
  <c r="Y48" i="39"/>
  <c r="Y46" i="39"/>
  <c r="Y106" i="39"/>
  <c r="Y72" i="39"/>
  <c r="Y42" i="39"/>
  <c r="Y37" i="39"/>
  <c r="Y33" i="39"/>
  <c r="Y30" i="39"/>
  <c r="Y28" i="39"/>
  <c r="Y26" i="39"/>
  <c r="Y24" i="39"/>
  <c r="Y22" i="39"/>
  <c r="Y20" i="39"/>
  <c r="Y100" i="39"/>
  <c r="Y96" i="39"/>
  <c r="Y92" i="39"/>
  <c r="Y71" i="39"/>
  <c r="Y64" i="39"/>
  <c r="Y62" i="39"/>
  <c r="Y60" i="39"/>
  <c r="Y57" i="39"/>
  <c r="Y55" i="39"/>
  <c r="Y53" i="39"/>
  <c r="Y51" i="39"/>
  <c r="Y49" i="39"/>
  <c r="Y47" i="39"/>
  <c r="Y40" i="39"/>
  <c r="Y36" i="39"/>
  <c r="Y98" i="39"/>
  <c r="Y90" i="39"/>
  <c r="Y44" i="39"/>
  <c r="Y43" i="39"/>
  <c r="Y38" i="39"/>
  <c r="Y32" i="39"/>
  <c r="Y16" i="39"/>
  <c r="Y13" i="39"/>
  <c r="Y11" i="39"/>
  <c r="Y9" i="39"/>
  <c r="Y7" i="39"/>
  <c r="Y5" i="39"/>
  <c r="Y35" i="39"/>
  <c r="Y31" i="39"/>
  <c r="Y18" i="39"/>
  <c r="M3" i="39"/>
  <c r="Y4" i="39"/>
  <c r="X5" i="39"/>
  <c r="Y6" i="39"/>
  <c r="AE7" i="39"/>
  <c r="AF8" i="39"/>
  <c r="AA9" i="39"/>
  <c r="AF9" i="39"/>
  <c r="AB10" i="39"/>
  <c r="AB11" i="39"/>
  <c r="X12" i="39"/>
  <c r="AC12" i="39"/>
  <c r="X13" i="39"/>
  <c r="X14" i="39"/>
  <c r="AB14" i="39"/>
  <c r="AF14" i="39"/>
  <c r="AF15" i="39"/>
  <c r="AA16" i="39"/>
  <c r="AF16" i="39"/>
  <c r="AB17" i="39"/>
  <c r="AA18" i="39"/>
  <c r="AF18" i="39"/>
  <c r="Y19" i="39"/>
  <c r="AB20" i="39"/>
  <c r="AA24" i="39"/>
  <c r="AF27" i="39"/>
  <c r="Y29" i="39"/>
  <c r="X31" i="39"/>
  <c r="AC32" i="39"/>
  <c r="Y34" i="39"/>
  <c r="X36" i="39"/>
  <c r="AC38" i="39"/>
  <c r="AB40" i="39"/>
  <c r="Y45" i="39"/>
  <c r="AA46" i="39"/>
  <c r="AF48" i="39"/>
  <c r="AA50" i="39"/>
  <c r="AF52" i="39"/>
  <c r="AA54" i="39"/>
  <c r="AF56" i="39"/>
  <c r="AA58" i="39"/>
  <c r="Y65" i="39"/>
  <c r="Y70" i="39"/>
  <c r="AF83" i="39"/>
  <c r="Y102" i="39"/>
  <c r="Y117" i="39"/>
  <c r="X122" i="39"/>
  <c r="X118" i="39"/>
  <c r="X114" i="39"/>
  <c r="X110" i="39"/>
  <c r="X106" i="39"/>
  <c r="X123" i="39"/>
  <c r="X119" i="39"/>
  <c r="X115" i="39"/>
  <c r="X111" i="39"/>
  <c r="X107" i="39"/>
  <c r="X103" i="39"/>
  <c r="X101" i="39"/>
  <c r="X99" i="39"/>
  <c r="X97" i="39"/>
  <c r="X95" i="39"/>
  <c r="X93" i="39"/>
  <c r="X91" i="39"/>
  <c r="X117" i="39"/>
  <c r="X109" i="39"/>
  <c r="X86" i="39"/>
  <c r="X84" i="39"/>
  <c r="X82" i="39"/>
  <c r="X80" i="39"/>
  <c r="X78" i="39"/>
  <c r="X76" i="39"/>
  <c r="X73" i="39"/>
  <c r="X71" i="39"/>
  <c r="X69" i="39"/>
  <c r="X67" i="39"/>
  <c r="X65" i="39"/>
  <c r="X120" i="39"/>
  <c r="X112" i="39"/>
  <c r="X104" i="39"/>
  <c r="X108" i="39"/>
  <c r="X102" i="39"/>
  <c r="X100" i="39"/>
  <c r="X98" i="39"/>
  <c r="X96" i="39"/>
  <c r="X94" i="39"/>
  <c r="X92" i="39"/>
  <c r="X90" i="39"/>
  <c r="X89" i="39"/>
  <c r="X87" i="39"/>
  <c r="X85" i="39"/>
  <c r="X83" i="39"/>
  <c r="X81" i="39"/>
  <c r="X79" i="39"/>
  <c r="X70" i="39"/>
  <c r="X64" i="39"/>
  <c r="X62" i="39"/>
  <c r="X60" i="39"/>
  <c r="X57" i="39"/>
  <c r="X55" i="39"/>
  <c r="X53" i="39"/>
  <c r="X51" i="39"/>
  <c r="X49" i="39"/>
  <c r="X47" i="39"/>
  <c r="X45" i="39"/>
  <c r="X43" i="39"/>
  <c r="X121" i="39"/>
  <c r="X105" i="39"/>
  <c r="X77" i="39"/>
  <c r="X68" i="39"/>
  <c r="X66" i="39"/>
  <c r="X113" i="39"/>
  <c r="X74" i="39"/>
  <c r="X58" i="39"/>
  <c r="X56" i="39"/>
  <c r="X54" i="39"/>
  <c r="X52" i="39"/>
  <c r="X50" i="39"/>
  <c r="X48" i="39"/>
  <c r="X46" i="39"/>
  <c r="X44" i="39"/>
  <c r="X38" i="39"/>
  <c r="X34" i="39"/>
  <c r="X32" i="39"/>
  <c r="X72" i="39"/>
  <c r="X42" i="39"/>
  <c r="X41" i="39"/>
  <c r="X37" i="39"/>
  <c r="X33" i="39"/>
  <c r="X30" i="39"/>
  <c r="X28" i="39"/>
  <c r="X26" i="39"/>
  <c r="X24" i="39"/>
  <c r="X75" i="39"/>
  <c r="X39" i="39"/>
  <c r="X29" i="39"/>
  <c r="X27" i="39"/>
  <c r="X25" i="39"/>
  <c r="X23" i="39"/>
  <c r="X61" i="39"/>
  <c r="X40" i="39"/>
  <c r="X88" i="39"/>
  <c r="AA121" i="39"/>
  <c r="AA117" i="39"/>
  <c r="AA113" i="39"/>
  <c r="AA109" i="39"/>
  <c r="AA105" i="39"/>
  <c r="AA102" i="39"/>
  <c r="AA100" i="39"/>
  <c r="AA98" i="39"/>
  <c r="AA96" i="39"/>
  <c r="AA94" i="39"/>
  <c r="AA92" i="39"/>
  <c r="AA90" i="39"/>
  <c r="AA88" i="39"/>
  <c r="AA122" i="39"/>
  <c r="AA118" i="39"/>
  <c r="AA114" i="39"/>
  <c r="AA110" i="39"/>
  <c r="AA106" i="39"/>
  <c r="AA89" i="39"/>
  <c r="AA119" i="39"/>
  <c r="AA116" i="39"/>
  <c r="AA111" i="39"/>
  <c r="AA108" i="39"/>
  <c r="AA86" i="39"/>
  <c r="AA84" i="39"/>
  <c r="AA82" i="39"/>
  <c r="AA80" i="39"/>
  <c r="AA78" i="39"/>
  <c r="AA115" i="39"/>
  <c r="AA72" i="39"/>
  <c r="AA71" i="39"/>
  <c r="AA120" i="39"/>
  <c r="AA104" i="39"/>
  <c r="AA70" i="39"/>
  <c r="AA69" i="39"/>
  <c r="AA65" i="39"/>
  <c r="AA64" i="39"/>
  <c r="AA62" i="39"/>
  <c r="AA60" i="39"/>
  <c r="AA57" i="39"/>
  <c r="AA55" i="39"/>
  <c r="AA53" i="39"/>
  <c r="AA51" i="39"/>
  <c r="AA49" i="39"/>
  <c r="AA47" i="39"/>
  <c r="AA107" i="39"/>
  <c r="AA75" i="39"/>
  <c r="AA73" i="39"/>
  <c r="AA66" i="39"/>
  <c r="AA63" i="39"/>
  <c r="AA61" i="39"/>
  <c r="AA59" i="39"/>
  <c r="AA45" i="39"/>
  <c r="AA39" i="39"/>
  <c r="AA35" i="39"/>
  <c r="AA31" i="39"/>
  <c r="AA29" i="39"/>
  <c r="AA27" i="39"/>
  <c r="AA25" i="39"/>
  <c r="AA23" i="39"/>
  <c r="AA21" i="39"/>
  <c r="AA101" i="39"/>
  <c r="AA97" i="39"/>
  <c r="AA93" i="39"/>
  <c r="AA87" i="39"/>
  <c r="AA85" i="39"/>
  <c r="AA83" i="39"/>
  <c r="AA81" i="39"/>
  <c r="AA79" i="39"/>
  <c r="AA77" i="39"/>
  <c r="AA68" i="39"/>
  <c r="AA44" i="39"/>
  <c r="AA43" i="39"/>
  <c r="AA38" i="39"/>
  <c r="AA34" i="39"/>
  <c r="AA32" i="39"/>
  <c r="AA112" i="39"/>
  <c r="AA99" i="39"/>
  <c r="AA91" i="39"/>
  <c r="AA20" i="39"/>
  <c r="AA19" i="39"/>
  <c r="AA17" i="39"/>
  <c r="AA15" i="39"/>
  <c r="AA12" i="39"/>
  <c r="AA10" i="39"/>
  <c r="AA8" i="39"/>
  <c r="AA6" i="39"/>
  <c r="AA4" i="39"/>
  <c r="AA41" i="39"/>
  <c r="AA36" i="39"/>
  <c r="AA33" i="39"/>
  <c r="AA22" i="39"/>
  <c r="AA67" i="39"/>
  <c r="S3" i="39"/>
  <c r="O3" i="39"/>
  <c r="Q3" i="39"/>
  <c r="X4" i="39"/>
  <c r="AA11" i="39"/>
  <c r="AB12" i="39"/>
  <c r="AB13" i="39"/>
  <c r="AA14" i="39"/>
  <c r="AE14" i="39"/>
  <c r="AE18" i="39"/>
  <c r="X19" i="39"/>
  <c r="AF29" i="39"/>
  <c r="AE33" i="39"/>
  <c r="AA40" i="39"/>
  <c r="AE66" i="39"/>
  <c r="AE81" i="39"/>
  <c r="AA123" i="39"/>
  <c r="AC123" i="39"/>
  <c r="AC119" i="39"/>
  <c r="AC115" i="39"/>
  <c r="AC111" i="39"/>
  <c r="AC107" i="39"/>
  <c r="AC103" i="39"/>
  <c r="AC101" i="39"/>
  <c r="AC99" i="39"/>
  <c r="AC97" i="39"/>
  <c r="AC95" i="39"/>
  <c r="AC93" i="39"/>
  <c r="AC91" i="39"/>
  <c r="AC89" i="39"/>
  <c r="AC120" i="39"/>
  <c r="AC116" i="39"/>
  <c r="AC112" i="39"/>
  <c r="AC108" i="39"/>
  <c r="AC104" i="39"/>
  <c r="AC122" i="39"/>
  <c r="AC117" i="39"/>
  <c r="AC114" i="39"/>
  <c r="AC109" i="39"/>
  <c r="AC106" i="39"/>
  <c r="AC87" i="39"/>
  <c r="AC85" i="39"/>
  <c r="AC83" i="39"/>
  <c r="AC81" i="39"/>
  <c r="AC79" i="39"/>
  <c r="AC77" i="39"/>
  <c r="AC113" i="39"/>
  <c r="AC69" i="39"/>
  <c r="AC68" i="39"/>
  <c r="AC66" i="39"/>
  <c r="AC65" i="39"/>
  <c r="AC41" i="39"/>
  <c r="AC118" i="39"/>
  <c r="AC102" i="39"/>
  <c r="AC100" i="39"/>
  <c r="AC98" i="39"/>
  <c r="AC96" i="39"/>
  <c r="AC94" i="39"/>
  <c r="AC92" i="39"/>
  <c r="AC90" i="39"/>
  <c r="AC76" i="39"/>
  <c r="AC75" i="39"/>
  <c r="AC74" i="39"/>
  <c r="AC67" i="39"/>
  <c r="AC63" i="39"/>
  <c r="AC61" i="39"/>
  <c r="AC59" i="39"/>
  <c r="AC58" i="39"/>
  <c r="AC56" i="39"/>
  <c r="AC54" i="39"/>
  <c r="AC52" i="39"/>
  <c r="AC50" i="39"/>
  <c r="AC48" i="39"/>
  <c r="AC46" i="39"/>
  <c r="AC121" i="39"/>
  <c r="AC88" i="39"/>
  <c r="AC86" i="39"/>
  <c r="AC84" i="39"/>
  <c r="AC82" i="39"/>
  <c r="AC80" i="39"/>
  <c r="AC78" i="39"/>
  <c r="AC70" i="39"/>
  <c r="AC43" i="39"/>
  <c r="AC42" i="39"/>
  <c r="AC37" i="39"/>
  <c r="AC33" i="39"/>
  <c r="AC30" i="39"/>
  <c r="AC28" i="39"/>
  <c r="AC26" i="39"/>
  <c r="AC24" i="39"/>
  <c r="AC22" i="39"/>
  <c r="AC20" i="39"/>
  <c r="AC110" i="39"/>
  <c r="AC72" i="39"/>
  <c r="AC40" i="39"/>
  <c r="AC36" i="39"/>
  <c r="AC64" i="39"/>
  <c r="AC60" i="39"/>
  <c r="AC39" i="39"/>
  <c r="AC34" i="39"/>
  <c r="AC29" i="39"/>
  <c r="AC27" i="39"/>
  <c r="AC25" i="39"/>
  <c r="AC23" i="39"/>
  <c r="AC16" i="39"/>
  <c r="AC13" i="39"/>
  <c r="AC11" i="39"/>
  <c r="AC9" i="39"/>
  <c r="AC7" i="39"/>
  <c r="AC5" i="39"/>
  <c r="AC57" i="39"/>
  <c r="AC55" i="39"/>
  <c r="AC53" i="39"/>
  <c r="AC51" i="39"/>
  <c r="AC49" i="39"/>
  <c r="AC47" i="39"/>
  <c r="AC45" i="39"/>
  <c r="AC18" i="39"/>
  <c r="N3" i="39"/>
  <c r="T3" i="39"/>
  <c r="AF4" i="39"/>
  <c r="AE5" i="39"/>
  <c r="AF6" i="39"/>
  <c r="AA7" i="39"/>
  <c r="AF7" i="39"/>
  <c r="AB8" i="39"/>
  <c r="AB9" i="39"/>
  <c r="X10" i="39"/>
  <c r="AC10" i="39"/>
  <c r="X11" i="39"/>
  <c r="Y12" i="39"/>
  <c r="AE13" i="39"/>
  <c r="Y14" i="39"/>
  <c r="AC14" i="39"/>
  <c r="AB15" i="39"/>
  <c r="AB16" i="39"/>
  <c r="X17" i="39"/>
  <c r="AC17" i="39"/>
  <c r="AB18" i="39"/>
  <c r="AF19" i="39"/>
  <c r="AC21" i="39"/>
  <c r="AF25" i="39"/>
  <c r="Y27" i="39"/>
  <c r="AA30" i="39"/>
  <c r="AB35" i="39"/>
  <c r="AA37" i="39"/>
  <c r="AF39" i="39"/>
  <c r="AA42" i="39"/>
  <c r="AB61" i="39"/>
  <c r="X63" i="39"/>
  <c r="Y69" i="39"/>
  <c r="AA74" i="39"/>
  <c r="AA76" i="39"/>
  <c r="AE77" i="39"/>
  <c r="AE85" i="39"/>
  <c r="AB112" i="39"/>
  <c r="X116" i="39"/>
  <c r="AS67" i="39"/>
  <c r="AS63" i="39"/>
  <c r="AS66" i="39"/>
  <c r="AS62" i="39"/>
  <c r="AS65" i="39"/>
  <c r="AS64" i="39"/>
  <c r="AS61" i="39"/>
  <c r="U10" i="2"/>
  <c r="M41" i="54" a="1"/>
  <c r="F13" i="47" a="1"/>
  <c r="M41" i="51" a="1"/>
  <c r="F14" i="47" l="1"/>
  <c r="F13" i="47"/>
  <c r="F15" i="47"/>
  <c r="N43" i="54"/>
  <c r="O46" i="54"/>
  <c r="R48" i="54"/>
  <c r="T46" i="54"/>
  <c r="T43" i="54"/>
  <c r="S48" i="54"/>
  <c r="S47" i="54"/>
  <c r="U44" i="54"/>
  <c r="T48" i="54"/>
  <c r="P48" i="54"/>
  <c r="Q45" i="54"/>
  <c r="P42" i="54"/>
  <c r="M45" i="54"/>
  <c r="M42" i="54"/>
  <c r="M44" i="54"/>
  <c r="U47" i="54"/>
  <c r="U46" i="54"/>
  <c r="U43" i="54"/>
  <c r="O43" i="54"/>
  <c r="T44" i="54"/>
  <c r="Q46" i="54"/>
  <c r="N47" i="54"/>
  <c r="S41" i="54"/>
  <c r="R45" i="54"/>
  <c r="N45" i="54"/>
  <c r="U41" i="54"/>
  <c r="O49" i="54"/>
  <c r="N42" i="54"/>
  <c r="R41" i="54"/>
  <c r="S44" i="54"/>
  <c r="R46" i="54"/>
  <c r="O48" i="54"/>
  <c r="U49" i="54"/>
  <c r="R42" i="54"/>
  <c r="S49" i="54"/>
  <c r="M48" i="54"/>
  <c r="T45" i="54"/>
  <c r="T47" i="54"/>
  <c r="M43" i="54"/>
  <c r="M46" i="54"/>
  <c r="N48" i="54"/>
  <c r="R49" i="54"/>
  <c r="Q41" i="54"/>
  <c r="Q43" i="54"/>
  <c r="T41" i="54"/>
  <c r="U48" i="54"/>
  <c r="S46" i="54"/>
  <c r="P43" i="54"/>
  <c r="R44" i="54"/>
  <c r="Q47" i="54"/>
  <c r="Q49" i="54"/>
  <c r="O41" i="54"/>
  <c r="U42" i="54"/>
  <c r="P44" i="54"/>
  <c r="S42" i="54"/>
  <c r="T49" i="54"/>
  <c r="R47" i="54"/>
  <c r="N49" i="54"/>
  <c r="U45" i="54"/>
  <c r="M49" i="54"/>
  <c r="N41" i="54"/>
  <c r="T42" i="54"/>
  <c r="O44" i="54"/>
  <c r="O45" i="54"/>
  <c r="R43" i="54"/>
  <c r="P41" i="54"/>
  <c r="Q48" i="54"/>
  <c r="P46" i="54"/>
  <c r="S43" i="54"/>
  <c r="P47" i="54"/>
  <c r="M41" i="54"/>
  <c r="Q42" i="54"/>
  <c r="N44" i="54"/>
  <c r="S45" i="54"/>
  <c r="N46" i="54"/>
  <c r="Q44" i="54"/>
  <c r="O42" i="54"/>
  <c r="P49" i="54"/>
  <c r="O47" i="54"/>
  <c r="M47" i="54"/>
  <c r="P45" i="54"/>
  <c r="N49" i="51"/>
  <c r="O48" i="51"/>
  <c r="P47" i="51"/>
  <c r="Q46" i="51"/>
  <c r="R45" i="51"/>
  <c r="S44" i="51"/>
  <c r="T43" i="51"/>
  <c r="U42" i="51"/>
  <c r="M42" i="51"/>
  <c r="N41" i="51"/>
  <c r="U49" i="51"/>
  <c r="M49" i="51"/>
  <c r="N48" i="51"/>
  <c r="O47" i="51"/>
  <c r="P46" i="51"/>
  <c r="Q45" i="51"/>
  <c r="R44" i="51"/>
  <c r="S43" i="51"/>
  <c r="T42" i="51"/>
  <c r="U41" i="51"/>
  <c r="M41" i="51"/>
  <c r="T49" i="51"/>
  <c r="U48" i="51"/>
  <c r="M48" i="51"/>
  <c r="N47" i="51"/>
  <c r="O46" i="51"/>
  <c r="P45" i="51"/>
  <c r="Q44" i="51"/>
  <c r="R43" i="51"/>
  <c r="S42" i="51"/>
  <c r="T41" i="51"/>
  <c r="S49" i="51"/>
  <c r="T48" i="51"/>
  <c r="U47" i="51"/>
  <c r="M47" i="51"/>
  <c r="N46" i="51"/>
  <c r="O45" i="51"/>
  <c r="P44" i="51"/>
  <c r="Q43" i="51"/>
  <c r="R42" i="51"/>
  <c r="S41" i="51"/>
  <c r="P49" i="51"/>
  <c r="Q48" i="51"/>
  <c r="R47" i="51"/>
  <c r="S46" i="51"/>
  <c r="T45" i="51"/>
  <c r="U44" i="51"/>
  <c r="M44" i="51"/>
  <c r="N43" i="51"/>
  <c r="O42" i="51"/>
  <c r="P41" i="51"/>
  <c r="O49" i="51"/>
  <c r="P48" i="51"/>
  <c r="Q47" i="51"/>
  <c r="R46" i="51"/>
  <c r="S45" i="51"/>
  <c r="T44" i="51"/>
  <c r="U43" i="51"/>
  <c r="M43" i="51"/>
  <c r="N42" i="51"/>
  <c r="O41" i="51"/>
  <c r="T47" i="51"/>
  <c r="O44" i="51"/>
  <c r="S47" i="51"/>
  <c r="N44" i="51"/>
  <c r="U46" i="51"/>
  <c r="P43" i="51"/>
  <c r="T46" i="51"/>
  <c r="O43" i="51"/>
  <c r="R49" i="51"/>
  <c r="M46" i="51"/>
  <c r="Q42" i="51"/>
  <c r="S48" i="51"/>
  <c r="N45" i="51"/>
  <c r="R41" i="51"/>
  <c r="R48" i="51"/>
  <c r="M45" i="51"/>
  <c r="Q41" i="51"/>
  <c r="Q49" i="51"/>
  <c r="U45" i="51"/>
  <c r="P42" i="51"/>
  <c r="S41" i="55"/>
  <c r="N107" i="51"/>
  <c r="N108" i="51"/>
  <c r="BF43" i="40"/>
  <c r="BF44" i="40" s="1"/>
  <c r="M103" i="51"/>
  <c r="P104" i="51"/>
  <c r="O100" i="51"/>
  <c r="N105" i="51"/>
  <c r="P107" i="51"/>
  <c r="N106" i="51"/>
  <c r="P100" i="51"/>
  <c r="J5" i="40"/>
  <c r="J5" i="41"/>
  <c r="M108" i="51"/>
  <c r="O105" i="51"/>
  <c r="O103" i="51"/>
  <c r="M107" i="51"/>
  <c r="P103" i="51"/>
  <c r="O101" i="51"/>
  <c r="M101" i="51"/>
  <c r="P106" i="51"/>
  <c r="P105" i="51"/>
  <c r="I5" i="41"/>
  <c r="I5" i="40"/>
  <c r="F5" i="40"/>
  <c r="F5" i="41"/>
  <c r="B5" i="41"/>
  <c r="B5" i="40"/>
  <c r="M102" i="51"/>
  <c r="P101" i="51"/>
  <c r="P108" i="51"/>
  <c r="N104" i="51"/>
  <c r="M100" i="51"/>
  <c r="M106" i="51"/>
  <c r="O106" i="51"/>
  <c r="M104" i="51"/>
  <c r="N100" i="51"/>
  <c r="H5" i="41"/>
  <c r="H5" i="40"/>
  <c r="BK27" i="40" a="1"/>
  <c r="BO27" i="40" s="1"/>
  <c r="CA6" i="40" a="1"/>
  <c r="CA13" i="40" s="1"/>
  <c r="C5" i="40"/>
  <c r="C5" i="41"/>
  <c r="D5" i="41"/>
  <c r="D5" i="40"/>
  <c r="O108" i="51"/>
  <c r="N101" i="51"/>
  <c r="M5" i="41"/>
  <c r="M6" i="41" s="1"/>
  <c r="AW5" i="55" a="1"/>
  <c r="AJ6" i="55" a="1"/>
  <c r="O104" i="51"/>
  <c r="O102" i="51"/>
  <c r="P102" i="51"/>
  <c r="N102" i="51"/>
  <c r="M105" i="51"/>
  <c r="N103" i="51"/>
  <c r="O127" i="54"/>
  <c r="O129" i="54"/>
  <c r="U123" i="54"/>
  <c r="O126" i="54"/>
  <c r="BC44" i="40"/>
  <c r="BP27" i="40"/>
  <c r="BR27" i="40"/>
  <c r="BD44" i="40"/>
  <c r="BS27" i="40"/>
  <c r="AZ44" i="40"/>
  <c r="R125" i="54"/>
  <c r="N126" i="54"/>
  <c r="M128" i="54"/>
  <c r="M124" i="54"/>
  <c r="N127" i="54"/>
  <c r="N123" i="54"/>
  <c r="R122" i="54"/>
  <c r="N124" i="54"/>
  <c r="M127" i="54"/>
  <c r="R128" i="54"/>
  <c r="N130" i="54"/>
  <c r="M123" i="54"/>
  <c r="R124" i="54"/>
  <c r="O122" i="54"/>
  <c r="M129" i="54"/>
  <c r="M122" i="54"/>
  <c r="R129" i="54"/>
  <c r="R123" i="54"/>
  <c r="N129" i="54"/>
  <c r="U127" i="54"/>
  <c r="M130" i="54"/>
  <c r="S128" i="54"/>
  <c r="S124" i="54"/>
  <c r="M126" i="54"/>
  <c r="R127" i="54"/>
  <c r="P124" i="54"/>
  <c r="P122" i="54"/>
  <c r="T127" i="54"/>
  <c r="Q122" i="54"/>
  <c r="M95" i="51"/>
  <c r="N88" i="51" s="1"/>
  <c r="T123" i="54"/>
  <c r="U130" i="54"/>
  <c r="Q126" i="54"/>
  <c r="T126" i="54"/>
  <c r="Q124" i="54"/>
  <c r="P128" i="54"/>
  <c r="U129" i="54"/>
  <c r="T122" i="54"/>
  <c r="Q128" i="54"/>
  <c r="U125" i="54"/>
  <c r="P123" i="54"/>
  <c r="O130" i="54"/>
  <c r="Q130" i="54"/>
  <c r="S129" i="54"/>
  <c r="U128" i="54"/>
  <c r="R130" i="54"/>
  <c r="Q123" i="54"/>
  <c r="U122" i="54"/>
  <c r="T129" i="54"/>
  <c r="S122" i="54"/>
  <c r="R126" i="54"/>
  <c r="U126" i="54"/>
  <c r="N128" i="54"/>
  <c r="M135" i="54" a="1"/>
  <c r="T125" i="54"/>
  <c r="P129" i="54"/>
  <c r="T130" i="54"/>
  <c r="O128" i="54"/>
  <c r="Q127" i="54"/>
  <c r="Q129" i="54"/>
  <c r="P125" i="54"/>
  <c r="T128" i="54"/>
  <c r="P130" i="54"/>
  <c r="O123" i="54"/>
  <c r="P127" i="54"/>
  <c r="T124" i="54"/>
  <c r="O124" i="54"/>
  <c r="P126" i="54"/>
  <c r="D7" i="40"/>
  <c r="I6" i="40"/>
  <c r="D9" i="40"/>
  <c r="G11" i="40"/>
  <c r="J13" i="40"/>
  <c r="H7" i="40"/>
  <c r="H10" i="40"/>
  <c r="B13" i="40"/>
  <c r="H6" i="40"/>
  <c r="D10" i="40"/>
  <c r="D13" i="40"/>
  <c r="B7" i="40"/>
  <c r="E9" i="40"/>
  <c r="H11" i="40"/>
  <c r="C14" i="40"/>
  <c r="J6" i="40"/>
  <c r="H8" i="40"/>
  <c r="F10" i="40"/>
  <c r="D12" i="40"/>
  <c r="B14" i="40"/>
  <c r="B9" i="40"/>
  <c r="F7" i="40"/>
  <c r="I9" i="40"/>
  <c r="C12" i="40"/>
  <c r="G14" i="40"/>
  <c r="E8" i="40"/>
  <c r="D11" i="40"/>
  <c r="H13" i="40"/>
  <c r="J7" i="40"/>
  <c r="I10" i="40"/>
  <c r="I13" i="40"/>
  <c r="G7" i="40"/>
  <c r="J9" i="40"/>
  <c r="E12" i="40"/>
  <c r="H14" i="40"/>
  <c r="E7" i="40"/>
  <c r="C9" i="40"/>
  <c r="J10" i="40"/>
  <c r="H12" i="40"/>
  <c r="F14" i="40"/>
  <c r="C10" i="40"/>
  <c r="F11" i="40"/>
  <c r="B8" i="40"/>
  <c r="E10" i="40"/>
  <c r="I12" i="40"/>
  <c r="G6" i="40"/>
  <c r="J8" i="40"/>
  <c r="J11" i="40"/>
  <c r="D14" i="40"/>
  <c r="F8" i="40"/>
  <c r="B12" i="40"/>
  <c r="E14" i="40"/>
  <c r="C8" i="40"/>
  <c r="G10" i="40"/>
  <c r="J12" i="40"/>
  <c r="B6" i="40"/>
  <c r="I7" i="40"/>
  <c r="G9" i="40"/>
  <c r="E11" i="40"/>
  <c r="C13" i="40"/>
  <c r="J14" i="40"/>
  <c r="C6" i="40"/>
  <c r="D6" i="40"/>
  <c r="G8" i="40"/>
  <c r="B11" i="40"/>
  <c r="E13" i="40"/>
  <c r="C7" i="40"/>
  <c r="F9" i="40"/>
  <c r="F12" i="40"/>
  <c r="I14" i="40"/>
  <c r="H9" i="40"/>
  <c r="G12" i="40"/>
  <c r="E6" i="40"/>
  <c r="I8" i="40"/>
  <c r="C11" i="40"/>
  <c r="F13" i="40"/>
  <c r="F6" i="40"/>
  <c r="D8" i="40"/>
  <c r="B10" i="40"/>
  <c r="I11" i="40"/>
  <c r="G13" i="40"/>
  <c r="G15" i="49"/>
  <c r="G14" i="49"/>
  <c r="G13" i="49"/>
  <c r="G12" i="49"/>
  <c r="G11" i="49"/>
  <c r="G10" i="49"/>
  <c r="H15" i="49"/>
  <c r="H14" i="49"/>
  <c r="H13" i="49"/>
  <c r="H12" i="49"/>
  <c r="H11" i="49"/>
  <c r="H10" i="49"/>
  <c r="F15" i="49"/>
  <c r="F14" i="49"/>
  <c r="F13" i="49"/>
  <c r="F12" i="49"/>
  <c r="F11" i="49"/>
  <c r="F10" i="49"/>
  <c r="I15" i="49"/>
  <c r="I14" i="49"/>
  <c r="I13" i="49"/>
  <c r="I12" i="49"/>
  <c r="I11" i="49"/>
  <c r="I10" i="49"/>
  <c r="F6" i="48"/>
  <c r="E5" i="48"/>
  <c r="G5" i="48"/>
  <c r="F4" i="48"/>
  <c r="F5" i="48"/>
  <c r="E6" i="48"/>
  <c r="G4" i="48"/>
  <c r="G6" i="48"/>
  <c r="E4" i="48"/>
  <c r="AT17" i="43"/>
  <c r="AS16" i="43"/>
  <c r="AS17" i="43"/>
  <c r="AU15" i="43"/>
  <c r="AU17" i="43"/>
  <c r="AT16" i="43"/>
  <c r="AS15" i="43"/>
  <c r="AT15" i="43"/>
  <c r="AU16" i="43"/>
  <c r="AU17" i="42"/>
  <c r="AT16" i="42"/>
  <c r="AS15" i="42"/>
  <c r="AS17" i="42"/>
  <c r="AU15" i="42"/>
  <c r="AS16" i="42"/>
  <c r="AT15" i="42"/>
  <c r="AU16" i="42"/>
  <c r="AT17" i="42"/>
  <c r="BR26" i="40"/>
  <c r="BN26" i="40"/>
  <c r="BQ26" i="40"/>
  <c r="BL26" i="40"/>
  <c r="BP26" i="40"/>
  <c r="BK26" i="40"/>
  <c r="BO26" i="40"/>
  <c r="BM26" i="40"/>
  <c r="BS26" i="40"/>
  <c r="BS28" i="40" s="1"/>
  <c r="AP40" i="39"/>
  <c r="AM39" i="39"/>
  <c r="AN38" i="39"/>
  <c r="AO37" i="39"/>
  <c r="AP36" i="39"/>
  <c r="AM35" i="39"/>
  <c r="AN34" i="39"/>
  <c r="AO33" i="39"/>
  <c r="AP32" i="39"/>
  <c r="AO40" i="39"/>
  <c r="AP39" i="39"/>
  <c r="AM38" i="39"/>
  <c r="AN37" i="39"/>
  <c r="AO36" i="39"/>
  <c r="AP35" i="39"/>
  <c r="AM34" i="39"/>
  <c r="AN33" i="39"/>
  <c r="AO32" i="39"/>
  <c r="AP31" i="39"/>
  <c r="AM40" i="39"/>
  <c r="AN39" i="39"/>
  <c r="AO38" i="39"/>
  <c r="AP37" i="39"/>
  <c r="AM32" i="39"/>
  <c r="AN31" i="39"/>
  <c r="AN35" i="39"/>
  <c r="AP33" i="39"/>
  <c r="AM37" i="39"/>
  <c r="AN36" i="39"/>
  <c r="AO35" i="39"/>
  <c r="AP34" i="39"/>
  <c r="AM36" i="39"/>
  <c r="AO34" i="39"/>
  <c r="AN40" i="39"/>
  <c r="AO39" i="39"/>
  <c r="AP38" i="39"/>
  <c r="AM33" i="39"/>
  <c r="AN32" i="39"/>
  <c r="AO31" i="39"/>
  <c r="S31" i="39"/>
  <c r="T31" i="39"/>
  <c r="U31" i="39"/>
  <c r="AU61" i="39" a="1"/>
  <c r="AJ14" i="39"/>
  <c r="L4" i="39" a="1"/>
  <c r="AI3" i="39" a="1"/>
  <c r="N14" i="39"/>
  <c r="A15" i="38"/>
  <c r="A9" i="38"/>
  <c r="A3" i="38"/>
  <c r="N6" i="37"/>
  <c r="M114" i="51" a="1"/>
  <c r="B18" i="40" a="1"/>
  <c r="I19" i="40" l="1"/>
  <c r="D24" i="40"/>
  <c r="H20" i="40"/>
  <c r="E23" i="40"/>
  <c r="J26" i="40"/>
  <c r="I27" i="40"/>
  <c r="F26" i="40"/>
  <c r="J22" i="40"/>
  <c r="E19" i="40"/>
  <c r="F25" i="40"/>
  <c r="J21" i="40"/>
  <c r="E18" i="40"/>
  <c r="F24" i="40"/>
  <c r="J20" i="40"/>
  <c r="J27" i="40"/>
  <c r="E24" i="40"/>
  <c r="I20" i="40"/>
  <c r="G27" i="40"/>
  <c r="B24" i="40"/>
  <c r="F20" i="40"/>
  <c r="G26" i="40"/>
  <c r="B23" i="40"/>
  <c r="F19" i="40"/>
  <c r="G21" i="40"/>
  <c r="J18" i="40"/>
  <c r="G25" i="40"/>
  <c r="B22" i="40"/>
  <c r="F18" i="40"/>
  <c r="G24" i="40"/>
  <c r="B21" i="40"/>
  <c r="C27" i="40"/>
  <c r="G23" i="40"/>
  <c r="B20" i="40"/>
  <c r="B27" i="40"/>
  <c r="F23" i="40"/>
  <c r="J19" i="40"/>
  <c r="H26" i="40"/>
  <c r="C23" i="40"/>
  <c r="G19" i="40"/>
  <c r="H25" i="40"/>
  <c r="C22" i="40"/>
  <c r="G18" i="40"/>
  <c r="C25" i="40"/>
  <c r="H24" i="40"/>
  <c r="C21" i="40"/>
  <c r="D27" i="40"/>
  <c r="H23" i="40"/>
  <c r="C20" i="40"/>
  <c r="D26" i="40"/>
  <c r="H22" i="40"/>
  <c r="C19" i="40"/>
  <c r="C26" i="40"/>
  <c r="G22" i="40"/>
  <c r="B19" i="40"/>
  <c r="I25" i="40"/>
  <c r="D22" i="40"/>
  <c r="H18" i="40"/>
  <c r="I24" i="40"/>
  <c r="D21" i="40"/>
  <c r="F21" i="40"/>
  <c r="E22" i="40"/>
  <c r="B26" i="40"/>
  <c r="D23" i="40"/>
  <c r="I23" i="40"/>
  <c r="D19" i="40"/>
  <c r="D25" i="40"/>
  <c r="E21" i="40"/>
  <c r="B25" i="40"/>
  <c r="I26" i="40"/>
  <c r="D20" i="40"/>
  <c r="E25" i="40"/>
  <c r="H21" i="40"/>
  <c r="F27" i="40"/>
  <c r="B18" i="40"/>
  <c r="I18" i="40"/>
  <c r="G20" i="40"/>
  <c r="E26" i="40"/>
  <c r="I21" i="40"/>
  <c r="C18" i="40"/>
  <c r="J23" i="40"/>
  <c r="J25" i="40"/>
  <c r="C24" i="40"/>
  <c r="I22" i="40"/>
  <c r="H27" i="40"/>
  <c r="D18" i="40"/>
  <c r="F22" i="40"/>
  <c r="H19" i="40"/>
  <c r="J24" i="40"/>
  <c r="E27" i="40"/>
  <c r="E20" i="40"/>
  <c r="M120" i="51"/>
  <c r="P119" i="51"/>
  <c r="P117" i="51"/>
  <c r="M119" i="51"/>
  <c r="P120" i="51"/>
  <c r="O122" i="51"/>
  <c r="O114" i="51"/>
  <c r="N116" i="51"/>
  <c r="O117" i="51"/>
  <c r="N117" i="51"/>
  <c r="M122" i="51"/>
  <c r="M118" i="51"/>
  <c r="M117" i="51"/>
  <c r="P118" i="51"/>
  <c r="O120" i="51"/>
  <c r="N122" i="51"/>
  <c r="N114" i="51"/>
  <c r="O115" i="51"/>
  <c r="N115" i="51"/>
  <c r="M115" i="51"/>
  <c r="P116" i="51"/>
  <c r="O118" i="51"/>
  <c r="N120" i="51"/>
  <c r="O121" i="51"/>
  <c r="N121" i="51"/>
  <c r="P121" i="51"/>
  <c r="P115" i="51"/>
  <c r="M121" i="51"/>
  <c r="P122" i="51"/>
  <c r="P114" i="51"/>
  <c r="O116" i="51"/>
  <c r="N118" i="51"/>
  <c r="O119" i="51"/>
  <c r="N119" i="51"/>
  <c r="M114" i="51"/>
  <c r="M116" i="51"/>
  <c r="R107" i="51"/>
  <c r="S107" i="51" s="1"/>
  <c r="BN27" i="40"/>
  <c r="BO28" i="40"/>
  <c r="BL27" i="40"/>
  <c r="BL28" i="40" s="1"/>
  <c r="BK27" i="40"/>
  <c r="BK28" i="40" s="1"/>
  <c r="N50" i="51"/>
  <c r="O50" i="51"/>
  <c r="R50" i="51"/>
  <c r="Q50" i="51"/>
  <c r="R50" i="54"/>
  <c r="S50" i="54"/>
  <c r="P50" i="54"/>
  <c r="R105" i="51"/>
  <c r="S105" i="51" s="1"/>
  <c r="R108" i="51"/>
  <c r="S108" i="51" s="1"/>
  <c r="R102" i="51"/>
  <c r="S102" i="51" s="1"/>
  <c r="N109" i="51"/>
  <c r="R100" i="51"/>
  <c r="S100" i="51" s="1"/>
  <c r="R104" i="51"/>
  <c r="S104" i="51" s="1"/>
  <c r="R103" i="51"/>
  <c r="S103" i="51" s="1"/>
  <c r="R101" i="51"/>
  <c r="S101" i="51" s="1"/>
  <c r="R106" i="51"/>
  <c r="S106" i="51" s="1"/>
  <c r="P109" i="51"/>
  <c r="O109" i="51"/>
  <c r="M128" i="51" a="1"/>
  <c r="R136" i="51" s="1"/>
  <c r="M109" i="51"/>
  <c r="CA6" i="40"/>
  <c r="CA14" i="40"/>
  <c r="CA11" i="40"/>
  <c r="B6" i="44" a="1"/>
  <c r="I8" i="44" s="1"/>
  <c r="B6" i="41" a="1"/>
  <c r="J12" i="41" s="1"/>
  <c r="J38" i="41" s="1"/>
  <c r="M149" i="54" a="1"/>
  <c r="N150" i="54" s="1"/>
  <c r="AJ11" i="55"/>
  <c r="AJ38" i="55" s="1"/>
  <c r="AJ12" i="55"/>
  <c r="AJ39" i="55" s="1"/>
  <c r="AJ7" i="55"/>
  <c r="AJ34" i="55" s="1"/>
  <c r="AJ10" i="55"/>
  <c r="AJ37" i="55" s="1"/>
  <c r="AJ13" i="55"/>
  <c r="AJ40" i="55" s="1"/>
  <c r="AJ8" i="55"/>
  <c r="AJ35" i="55" s="1"/>
  <c r="AJ14" i="55"/>
  <c r="AJ41" i="55" s="1"/>
  <c r="AJ9" i="55"/>
  <c r="AJ36" i="55" s="1"/>
  <c r="AJ6" i="55"/>
  <c r="AJ33" i="55" s="1"/>
  <c r="BQ27" i="40"/>
  <c r="BQ28" i="40" s="1"/>
  <c r="BM27" i="40"/>
  <c r="BM28" i="40" s="1"/>
  <c r="B5" i="44" a="1"/>
  <c r="AO5" i="40" a="1"/>
  <c r="AD5" i="40" a="1"/>
  <c r="CA8" i="40"/>
  <c r="CA7" i="40"/>
  <c r="CA10" i="40"/>
  <c r="BN28" i="40"/>
  <c r="BB5" i="55"/>
  <c r="BE5" i="55"/>
  <c r="AW5" i="55"/>
  <c r="BC5" i="55"/>
  <c r="AY5" i="55"/>
  <c r="BA5" i="55"/>
  <c r="AZ5" i="55"/>
  <c r="BD5" i="55"/>
  <c r="AX5" i="55"/>
  <c r="CA12" i="40"/>
  <c r="CA9" i="40"/>
  <c r="B18" i="41" a="1"/>
  <c r="A6" i="41" a="1"/>
  <c r="BR28" i="40"/>
  <c r="BP28" i="40"/>
  <c r="W122" i="54"/>
  <c r="N91" i="51"/>
  <c r="W124" i="54"/>
  <c r="M137" i="54"/>
  <c r="M136" i="54"/>
  <c r="M142" i="54"/>
  <c r="M139" i="54"/>
  <c r="M140" i="54"/>
  <c r="M143" i="54"/>
  <c r="M135" i="54"/>
  <c r="M138" i="54"/>
  <c r="M141" i="54"/>
  <c r="N94" i="51"/>
  <c r="N87" i="51"/>
  <c r="N92" i="51"/>
  <c r="N86" i="51"/>
  <c r="O86" i="51" s="1"/>
  <c r="W127" i="54"/>
  <c r="W129" i="54"/>
  <c r="N89" i="51"/>
  <c r="W130" i="54"/>
  <c r="N93" i="51"/>
  <c r="N90" i="51"/>
  <c r="W123" i="54"/>
  <c r="O50" i="54"/>
  <c r="W128" i="54"/>
  <c r="W125" i="54"/>
  <c r="W126" i="54"/>
  <c r="N50" i="54"/>
  <c r="Y5" i="40"/>
  <c r="Y6" i="40"/>
  <c r="K18" i="49" a="1"/>
  <c r="F18" i="49" a="1"/>
  <c r="E14" i="48" a="1"/>
  <c r="AS19" i="43" a="1"/>
  <c r="AS19" i="42" a="1"/>
  <c r="AQ36" i="39"/>
  <c r="AU69" i="39"/>
  <c r="AU65" i="39"/>
  <c r="AU61" i="39"/>
  <c r="AU68" i="39"/>
  <c r="AU64" i="39"/>
  <c r="AU63" i="39"/>
  <c r="AU62" i="39"/>
  <c r="AU67" i="39"/>
  <c r="AU66" i="39"/>
  <c r="N64" i="39"/>
  <c r="S37" i="39"/>
  <c r="M60" i="39"/>
  <c r="R33" i="39"/>
  <c r="N67" i="39"/>
  <c r="S40" i="39"/>
  <c r="N61" i="39"/>
  <c r="S34" i="39"/>
  <c r="M67" i="39"/>
  <c r="R40" i="39"/>
  <c r="AQ39" i="39"/>
  <c r="AQ3" i="39"/>
  <c r="AM3" i="39"/>
  <c r="AI3" i="39"/>
  <c r="AP3" i="39"/>
  <c r="AK3" i="39"/>
  <c r="AN3" i="39"/>
  <c r="AO3" i="39"/>
  <c r="AJ3" i="39"/>
  <c r="AL3" i="39"/>
  <c r="O67" i="39"/>
  <c r="T40" i="39"/>
  <c r="N63" i="39"/>
  <c r="S36" i="39"/>
  <c r="M65" i="39"/>
  <c r="R38" i="39"/>
  <c r="O59" i="39"/>
  <c r="T32" i="39"/>
  <c r="R31" i="39"/>
  <c r="M32" i="39" a="1"/>
  <c r="P63" i="39"/>
  <c r="U36" i="39"/>
  <c r="N65" i="39"/>
  <c r="S38" i="39"/>
  <c r="U33" i="39"/>
  <c r="P60" i="39"/>
  <c r="N62" i="39"/>
  <c r="S35" i="39"/>
  <c r="AQ33" i="39"/>
  <c r="AQ37" i="39"/>
  <c r="AQ32" i="39"/>
  <c r="L10" i="39"/>
  <c r="L6" i="39"/>
  <c r="L12" i="39"/>
  <c r="L7" i="39"/>
  <c r="L9" i="39"/>
  <c r="L8" i="39"/>
  <c r="L11" i="39"/>
  <c r="L5" i="39"/>
  <c r="L4" i="39"/>
  <c r="A6" i="40" s="1"/>
  <c r="N60" i="39"/>
  <c r="S33" i="39"/>
  <c r="M64" i="39"/>
  <c r="R37" i="39"/>
  <c r="U35" i="39"/>
  <c r="P62" i="39"/>
  <c r="P66" i="39"/>
  <c r="U39" i="39"/>
  <c r="P65" i="39"/>
  <c r="U38" i="39"/>
  <c r="T33" i="39"/>
  <c r="O60" i="39"/>
  <c r="M62" i="39"/>
  <c r="R35" i="39"/>
  <c r="P67" i="39"/>
  <c r="U40" i="39"/>
  <c r="AI61" i="39" a="1"/>
  <c r="M59" i="39"/>
  <c r="R32" i="39"/>
  <c r="P64" i="39"/>
  <c r="U37" i="39"/>
  <c r="N66" i="39"/>
  <c r="S39" i="39"/>
  <c r="AQ40" i="39"/>
  <c r="AQ34" i="39"/>
  <c r="AH32" i="39" a="1"/>
  <c r="AM31" i="39"/>
  <c r="P61" i="39"/>
  <c r="U34" i="39"/>
  <c r="O62" i="39"/>
  <c r="T35" i="39"/>
  <c r="P59" i="39"/>
  <c r="U32" i="39"/>
  <c r="O65" i="39"/>
  <c r="T38" i="39"/>
  <c r="M61" i="39"/>
  <c r="R34" i="39"/>
  <c r="O63" i="39"/>
  <c r="T36" i="39"/>
  <c r="N59" i="39"/>
  <c r="S32" i="39"/>
  <c r="T39" i="39"/>
  <c r="O66" i="39"/>
  <c r="T37" i="39"/>
  <c r="O64" i="39"/>
  <c r="M66" i="39"/>
  <c r="R39" i="39"/>
  <c r="O61" i="39"/>
  <c r="T34" i="39"/>
  <c r="M63" i="39"/>
  <c r="R36" i="39"/>
  <c r="AQ38" i="39"/>
  <c r="AQ35" i="39"/>
  <c r="Y7" i="37"/>
  <c r="Q6" i="37"/>
  <c r="R6" i="37" s="1"/>
  <c r="S6" i="37" s="1"/>
  <c r="R4" i="37"/>
  <c r="S4" i="37" s="1"/>
  <c r="Q5" i="37"/>
  <c r="R5" i="37" s="1"/>
  <c r="S5" i="37" s="1"/>
  <c r="B20" i="47" a="1"/>
  <c r="B21" i="47" l="1"/>
  <c r="D20" i="47"/>
  <c r="C20" i="47"/>
  <c r="C22" i="47"/>
  <c r="D22" i="47"/>
  <c r="C21" i="47"/>
  <c r="B20" i="47"/>
  <c r="D21" i="47"/>
  <c r="B22" i="47"/>
  <c r="E9" i="41"/>
  <c r="E35" i="41" s="1"/>
  <c r="E10" i="41"/>
  <c r="E36" i="41" s="1"/>
  <c r="C13" i="41"/>
  <c r="C39" i="41" s="1"/>
  <c r="G13" i="41"/>
  <c r="G39" i="41" s="1"/>
  <c r="B13" i="41"/>
  <c r="B39" i="41" s="1"/>
  <c r="D6" i="41"/>
  <c r="D32" i="41" s="1"/>
  <c r="I11" i="41"/>
  <c r="I37" i="41" s="1"/>
  <c r="J6" i="41"/>
  <c r="J32" i="41" s="1"/>
  <c r="I7" i="41"/>
  <c r="I33" i="41" s="1"/>
  <c r="G8" i="41"/>
  <c r="G34" i="41" s="1"/>
  <c r="D11" i="41"/>
  <c r="D37" i="41" s="1"/>
  <c r="G12" i="41"/>
  <c r="G38" i="41" s="1"/>
  <c r="N153" i="54"/>
  <c r="H14" i="41"/>
  <c r="H40" i="41" s="1"/>
  <c r="E14" i="41"/>
  <c r="E40" i="41" s="1"/>
  <c r="J13" i="41"/>
  <c r="J39" i="41" s="1"/>
  <c r="B11" i="41"/>
  <c r="B37" i="41" s="1"/>
  <c r="H13" i="41"/>
  <c r="H39" i="41" s="1"/>
  <c r="C10" i="41"/>
  <c r="C36" i="41" s="1"/>
  <c r="P157" i="54"/>
  <c r="E6" i="41"/>
  <c r="E32" i="41" s="1"/>
  <c r="E7" i="41"/>
  <c r="E33" i="41" s="1"/>
  <c r="D14" i="41"/>
  <c r="D40" i="41" s="1"/>
  <c r="M50" i="54"/>
  <c r="S50" i="51"/>
  <c r="T50" i="54"/>
  <c r="T50" i="51"/>
  <c r="P50" i="51"/>
  <c r="Q50" i="54"/>
  <c r="M50" i="51"/>
  <c r="U50" i="54"/>
  <c r="U50" i="51"/>
  <c r="R116" i="51"/>
  <c r="S116" i="51" s="1"/>
  <c r="R121" i="51"/>
  <c r="S121" i="51" s="1"/>
  <c r="R122" i="51"/>
  <c r="S122" i="51" s="1"/>
  <c r="O123" i="51"/>
  <c r="M123" i="51"/>
  <c r="S109" i="51"/>
  <c r="T132" i="51"/>
  <c r="O128" i="51"/>
  <c r="Q129" i="51"/>
  <c r="M129" i="51"/>
  <c r="Q128" i="51"/>
  <c r="O130" i="51"/>
  <c r="P129" i="51"/>
  <c r="S128" i="51"/>
  <c r="O136" i="51"/>
  <c r="R132" i="51"/>
  <c r="S130" i="51"/>
  <c r="U128" i="51"/>
  <c r="Q135" i="51"/>
  <c r="U132" i="51"/>
  <c r="P123" i="51"/>
  <c r="M154" i="51" a="1"/>
  <c r="O154" i="51" s="1"/>
  <c r="R120" i="51"/>
  <c r="S120" i="51" s="1"/>
  <c r="R115" i="51"/>
  <c r="S115" i="51" s="1"/>
  <c r="R119" i="51"/>
  <c r="S119" i="51" s="1"/>
  <c r="R118" i="51"/>
  <c r="S118" i="51" s="1"/>
  <c r="N123" i="51"/>
  <c r="N136" i="51"/>
  <c r="U134" i="51"/>
  <c r="Q136" i="51"/>
  <c r="Q132" i="51"/>
  <c r="R135" i="51"/>
  <c r="P130" i="51"/>
  <c r="R131" i="51"/>
  <c r="N131" i="51"/>
  <c r="O132" i="51"/>
  <c r="M134" i="51"/>
  <c r="T129" i="51"/>
  <c r="Q131" i="51"/>
  <c r="O129" i="51"/>
  <c r="S134" i="51"/>
  <c r="Q134" i="51"/>
  <c r="O131" i="51"/>
  <c r="P133" i="51"/>
  <c r="N129" i="51"/>
  <c r="CC6" i="40" a="1"/>
  <c r="CC8" i="40" s="1"/>
  <c r="N134" i="51"/>
  <c r="M128" i="51"/>
  <c r="U133" i="51"/>
  <c r="T128" i="51"/>
  <c r="P135" i="51"/>
  <c r="O133" i="51"/>
  <c r="R128" i="51"/>
  <c r="M131" i="51"/>
  <c r="U131" i="51"/>
  <c r="U129" i="51"/>
  <c r="S131" i="51"/>
  <c r="N135" i="51"/>
  <c r="P131" i="51"/>
  <c r="N128" i="51"/>
  <c r="M130" i="51"/>
  <c r="T130" i="51"/>
  <c r="M135" i="51"/>
  <c r="B9" i="41"/>
  <c r="B35" i="41" s="1"/>
  <c r="J7" i="41"/>
  <c r="J33" i="41" s="1"/>
  <c r="C9" i="41"/>
  <c r="C35" i="41" s="1"/>
  <c r="C7" i="41"/>
  <c r="C33" i="41" s="1"/>
  <c r="C11" i="41"/>
  <c r="C37" i="41" s="1"/>
  <c r="I6" i="41"/>
  <c r="I32" i="41" s="1"/>
  <c r="D10" i="41"/>
  <c r="D36" i="41" s="1"/>
  <c r="F10" i="41"/>
  <c r="F36" i="41" s="1"/>
  <c r="G6" i="41"/>
  <c r="G32" i="41" s="1"/>
  <c r="G10" i="41"/>
  <c r="G36" i="41" s="1"/>
  <c r="F7" i="41"/>
  <c r="F33" i="41" s="1"/>
  <c r="I10" i="41"/>
  <c r="I36" i="41" s="1"/>
  <c r="J10" i="41"/>
  <c r="J36" i="41" s="1"/>
  <c r="E13" i="41"/>
  <c r="E39" i="41" s="1"/>
  <c r="I8" i="41"/>
  <c r="I34" i="41" s="1"/>
  <c r="H10" i="41"/>
  <c r="H36" i="41" s="1"/>
  <c r="C14" i="41"/>
  <c r="C40" i="41" s="1"/>
  <c r="B8" i="41"/>
  <c r="B34" i="41" s="1"/>
  <c r="B12" i="41"/>
  <c r="B38" i="41" s="1"/>
  <c r="E11" i="41"/>
  <c r="E37" i="41" s="1"/>
  <c r="R109" i="51"/>
  <c r="R114" i="51"/>
  <c r="S114" i="51" s="1"/>
  <c r="R117" i="51"/>
  <c r="S117" i="51" s="1"/>
  <c r="Q133" i="51"/>
  <c r="M136" i="51"/>
  <c r="T134" i="51"/>
  <c r="R133" i="51"/>
  <c r="U135" i="51"/>
  <c r="N130" i="51"/>
  <c r="T136" i="51"/>
  <c r="R130" i="51"/>
  <c r="S132" i="51"/>
  <c r="S136" i="51"/>
  <c r="M132" i="51"/>
  <c r="R129" i="51"/>
  <c r="U130" i="51"/>
  <c r="T135" i="51"/>
  <c r="M156" i="54"/>
  <c r="I9" i="41"/>
  <c r="I35" i="41" s="1"/>
  <c r="I13" i="41"/>
  <c r="I39" i="41" s="1"/>
  <c r="H12" i="41"/>
  <c r="H38" i="41" s="1"/>
  <c r="F12" i="41"/>
  <c r="F38" i="41" s="1"/>
  <c r="F6" i="41"/>
  <c r="F32" i="41" s="1"/>
  <c r="G11" i="41"/>
  <c r="G37" i="41" s="1"/>
  <c r="B7" i="41"/>
  <c r="B33" i="41" s="1"/>
  <c r="B14" i="41"/>
  <c r="B40" i="41" s="1"/>
  <c r="J11" i="41"/>
  <c r="J37" i="41" s="1"/>
  <c r="B6" i="41"/>
  <c r="L5" i="41" s="1"/>
  <c r="C12" i="41"/>
  <c r="C38" i="41" s="1"/>
  <c r="G7" i="41"/>
  <c r="G33" i="41" s="1"/>
  <c r="F14" i="41"/>
  <c r="F40" i="41" s="1"/>
  <c r="F9" i="41"/>
  <c r="F35" i="41" s="1"/>
  <c r="F13" i="41"/>
  <c r="F39" i="41" s="1"/>
  <c r="D7" i="41"/>
  <c r="D33" i="41" s="1"/>
  <c r="H6" i="41"/>
  <c r="H32" i="41" s="1"/>
  <c r="H8" i="41"/>
  <c r="H34" i="41" s="1"/>
  <c r="I12" i="41"/>
  <c r="I38" i="41" s="1"/>
  <c r="C8" i="41"/>
  <c r="C34" i="41" s="1"/>
  <c r="J14" i="41"/>
  <c r="J40" i="41" s="1"/>
  <c r="S133" i="51"/>
  <c r="O135" i="51"/>
  <c r="U136" i="51"/>
  <c r="P134" i="51"/>
  <c r="N133" i="51"/>
  <c r="O134" i="51"/>
  <c r="Q130" i="51"/>
  <c r="M133" i="51"/>
  <c r="T131" i="51"/>
  <c r="S129" i="51"/>
  <c r="S135" i="51"/>
  <c r="P132" i="51"/>
  <c r="N132" i="51"/>
  <c r="R134" i="51"/>
  <c r="P136" i="51"/>
  <c r="P128" i="51"/>
  <c r="T133" i="51"/>
  <c r="O157" i="54"/>
  <c r="N151" i="54"/>
  <c r="N154" i="54"/>
  <c r="G14" i="41"/>
  <c r="G40" i="41" s="1"/>
  <c r="J9" i="41"/>
  <c r="J35" i="41" s="1"/>
  <c r="H9" i="41"/>
  <c r="H35" i="41" s="1"/>
  <c r="B10" i="41"/>
  <c r="B36" i="41" s="1"/>
  <c r="H7" i="41"/>
  <c r="H33" i="41" s="1"/>
  <c r="H11" i="41"/>
  <c r="H37" i="41" s="1"/>
  <c r="F11" i="41"/>
  <c r="F37" i="41" s="1"/>
  <c r="F8" i="41"/>
  <c r="F34" i="41" s="1"/>
  <c r="G9" i="41"/>
  <c r="G35" i="41" s="1"/>
  <c r="E8" i="41"/>
  <c r="E34" i="41" s="1"/>
  <c r="E12" i="41"/>
  <c r="E38" i="41" s="1"/>
  <c r="C6" i="41"/>
  <c r="C32" i="41" s="1"/>
  <c r="I14" i="41"/>
  <c r="I40" i="41" s="1"/>
  <c r="D8" i="41"/>
  <c r="D34" i="41" s="1"/>
  <c r="D9" i="41"/>
  <c r="D35" i="41" s="1"/>
  <c r="D13" i="41"/>
  <c r="D39" i="41" s="1"/>
  <c r="D12" i="41"/>
  <c r="D38" i="41" s="1"/>
  <c r="J8" i="41"/>
  <c r="J34" i="41" s="1"/>
  <c r="G6" i="44"/>
  <c r="E6" i="44"/>
  <c r="D12" i="44"/>
  <c r="J8" i="44"/>
  <c r="H9" i="44"/>
  <c r="I6" i="44"/>
  <c r="B7" i="44"/>
  <c r="E10" i="44"/>
  <c r="C13" i="44"/>
  <c r="D11" i="44"/>
  <c r="B12" i="44"/>
  <c r="B10" i="44"/>
  <c r="I10" i="44"/>
  <c r="B14" i="44"/>
  <c r="E14" i="44"/>
  <c r="F13" i="44"/>
  <c r="C9" i="44"/>
  <c r="P156" i="54"/>
  <c r="C7" i="44"/>
  <c r="D13" i="44"/>
  <c r="B8" i="44"/>
  <c r="D6" i="44"/>
  <c r="I14" i="44"/>
  <c r="G11" i="44"/>
  <c r="E7" i="44"/>
  <c r="J13" i="44"/>
  <c r="B9" i="44"/>
  <c r="M155" i="54"/>
  <c r="D9" i="44"/>
  <c r="H14" i="44"/>
  <c r="E11" i="44"/>
  <c r="F8" i="44"/>
  <c r="N156" i="54"/>
  <c r="H13" i="44"/>
  <c r="O155" i="54"/>
  <c r="P155" i="54"/>
  <c r="C8" i="44"/>
  <c r="F11" i="44"/>
  <c r="Q39" i="39"/>
  <c r="A13" i="40"/>
  <c r="A26" i="40" s="1"/>
  <c r="A38" i="40" s="1"/>
  <c r="A51" i="40" s="1"/>
  <c r="A9" i="41"/>
  <c r="A14" i="41"/>
  <c r="A10" i="41"/>
  <c r="A11" i="41"/>
  <c r="A12" i="41"/>
  <c r="A7" i="41"/>
  <c r="A8" i="41"/>
  <c r="A13" i="41"/>
  <c r="A6" i="41"/>
  <c r="Q36" i="39"/>
  <c r="A10" i="40"/>
  <c r="A23" i="40" s="1"/>
  <c r="A35" i="40" s="1"/>
  <c r="A48" i="40" s="1"/>
  <c r="Q34" i="39"/>
  <c r="A8" i="40"/>
  <c r="A21" i="40" s="1"/>
  <c r="A33" i="40" s="1"/>
  <c r="A46" i="40" s="1"/>
  <c r="G18" i="41"/>
  <c r="I18" i="41"/>
  <c r="F18" i="41"/>
  <c r="C18" i="41"/>
  <c r="E18" i="41"/>
  <c r="H18" i="41"/>
  <c r="B18" i="41"/>
  <c r="D18" i="41"/>
  <c r="J18" i="41"/>
  <c r="O156" i="54"/>
  <c r="P151" i="54"/>
  <c r="O151" i="54"/>
  <c r="C14" i="44"/>
  <c r="I13" i="44"/>
  <c r="F10" i="44"/>
  <c r="G9" i="44"/>
  <c r="AJ5" i="40"/>
  <c r="AK5" i="40"/>
  <c r="AG5" i="40"/>
  <c r="AD5" i="40"/>
  <c r="AL5" i="40"/>
  <c r="AF5" i="40"/>
  <c r="AE5" i="40"/>
  <c r="AI5" i="40"/>
  <c r="AH5" i="40"/>
  <c r="M150" i="54"/>
  <c r="P149" i="54"/>
  <c r="B13" i="44"/>
  <c r="C12" i="44"/>
  <c r="F14" i="44"/>
  <c r="G8" i="44"/>
  <c r="I11" i="44"/>
  <c r="D10" i="44"/>
  <c r="E13" i="44"/>
  <c r="CA19" i="40" a="1"/>
  <c r="M154" i="54"/>
  <c r="P152" i="54"/>
  <c r="H6" i="44"/>
  <c r="G14" i="44"/>
  <c r="C10" i="44"/>
  <c r="I7" i="44"/>
  <c r="F6" i="44"/>
  <c r="H7" i="44"/>
  <c r="G10" i="44"/>
  <c r="Q40" i="39"/>
  <c r="A14" i="40"/>
  <c r="A27" i="40" s="1"/>
  <c r="BI5" i="55" a="1"/>
  <c r="AV6" i="55" a="1"/>
  <c r="AO5" i="40"/>
  <c r="AQ5" i="40"/>
  <c r="AU5" i="40"/>
  <c r="AT5" i="40"/>
  <c r="AW5" i="40"/>
  <c r="AP5" i="40"/>
  <c r="AR5" i="40"/>
  <c r="AS5" i="40"/>
  <c r="AV5" i="40"/>
  <c r="N152" i="54"/>
  <c r="N149" i="54"/>
  <c r="O152" i="54"/>
  <c r="M152" i="54"/>
  <c r="O150" i="54"/>
  <c r="F9" i="44"/>
  <c r="F7" i="44"/>
  <c r="D8" i="44"/>
  <c r="P154" i="54"/>
  <c r="E9" i="44"/>
  <c r="J7" i="44"/>
  <c r="I12" i="44"/>
  <c r="B11" i="44"/>
  <c r="G13" i="44"/>
  <c r="O149" i="54"/>
  <c r="H11" i="44"/>
  <c r="C6" i="44"/>
  <c r="A19" i="40"/>
  <c r="Q37" i="39"/>
  <c r="A11" i="40"/>
  <c r="A24" i="40" s="1"/>
  <c r="A36" i="40" s="1"/>
  <c r="A49" i="40" s="1"/>
  <c r="Q38" i="39"/>
  <c r="A12" i="40"/>
  <c r="A25" i="40" s="1"/>
  <c r="A37" i="40" s="1"/>
  <c r="A50" i="40" s="1"/>
  <c r="Q33" i="39"/>
  <c r="A7" i="40"/>
  <c r="A20" i="40" s="1"/>
  <c r="A32" i="40" s="1"/>
  <c r="A45" i="40" s="1"/>
  <c r="Q35" i="39"/>
  <c r="A9" i="40"/>
  <c r="A22" i="40" s="1"/>
  <c r="J14" i="44"/>
  <c r="BV6" i="40" a="1"/>
  <c r="BY12" i="40" s="1"/>
  <c r="N157" i="54"/>
  <c r="N155" i="54"/>
  <c r="H10" i="44"/>
  <c r="I9" i="44"/>
  <c r="H12" i="44"/>
  <c r="J12" i="44"/>
  <c r="C11" i="44"/>
  <c r="P150" i="54"/>
  <c r="J10" i="44"/>
  <c r="G5" i="44"/>
  <c r="H5" i="44"/>
  <c r="D5" i="44"/>
  <c r="I5" i="44"/>
  <c r="C5" i="44"/>
  <c r="E5" i="44"/>
  <c r="B5" i="44"/>
  <c r="F5" i="44"/>
  <c r="J5" i="44"/>
  <c r="M151" i="54"/>
  <c r="M149" i="54"/>
  <c r="P153" i="54"/>
  <c r="J6" i="44"/>
  <c r="G7" i="44"/>
  <c r="J11" i="44"/>
  <c r="B6" i="44"/>
  <c r="G12" i="44"/>
  <c r="O154" i="54"/>
  <c r="E12" i="44"/>
  <c r="O153" i="54"/>
  <c r="M153" i="54"/>
  <c r="D7" i="44"/>
  <c r="H8" i="44"/>
  <c r="J9" i="44"/>
  <c r="D14" i="44"/>
  <c r="F12" i="44"/>
  <c r="M157" i="54"/>
  <c r="E8" i="44"/>
  <c r="G31" i="40"/>
  <c r="I31" i="40"/>
  <c r="J39" i="40"/>
  <c r="J33" i="40"/>
  <c r="J34" i="40"/>
  <c r="G36" i="40"/>
  <c r="F35" i="40"/>
  <c r="Y9" i="40"/>
  <c r="G33" i="40"/>
  <c r="G37" i="40"/>
  <c r="D31" i="40"/>
  <c r="M144" i="54"/>
  <c r="N141" i="54" s="1"/>
  <c r="Y8" i="40"/>
  <c r="Y12" i="40" s="1"/>
  <c r="I32" i="40"/>
  <c r="H31" i="40"/>
  <c r="D34" i="40"/>
  <c r="G39" i="40"/>
  <c r="H39" i="40"/>
  <c r="I37" i="40"/>
  <c r="I36" i="40"/>
  <c r="B36" i="40"/>
  <c r="C34" i="40"/>
  <c r="H35" i="40"/>
  <c r="H32" i="40"/>
  <c r="I39" i="40"/>
  <c r="O87" i="51"/>
  <c r="O88" i="51" s="1"/>
  <c r="O89" i="51" s="1"/>
  <c r="O90" i="51" s="1"/>
  <c r="O91" i="51" s="1"/>
  <c r="O92" i="51" s="1"/>
  <c r="O93" i="51" s="1"/>
  <c r="O94" i="51" s="1"/>
  <c r="B31" i="40"/>
  <c r="M6" i="40" a="1"/>
  <c r="M9" i="40" s="1"/>
  <c r="I38" i="40"/>
  <c r="E37" i="40"/>
  <c r="H36" i="40"/>
  <c r="G35" i="40"/>
  <c r="G34" i="40"/>
  <c r="I33" i="40"/>
  <c r="E32" i="40"/>
  <c r="J38" i="40"/>
  <c r="B37" i="40"/>
  <c r="D32" i="40"/>
  <c r="D33" i="40"/>
  <c r="B32" i="40"/>
  <c r="J36" i="40"/>
  <c r="I35" i="40"/>
  <c r="C35" i="40"/>
  <c r="I34" i="40"/>
  <c r="H33" i="40"/>
  <c r="J31" i="40"/>
  <c r="G32" i="40"/>
  <c r="H37" i="40"/>
  <c r="H34" i="40"/>
  <c r="C32" i="40"/>
  <c r="D36" i="40"/>
  <c r="B34" i="40"/>
  <c r="AZ32" i="40" a="1"/>
  <c r="BE37" i="40" s="1"/>
  <c r="B33" i="40"/>
  <c r="D39" i="40"/>
  <c r="F38" i="40"/>
  <c r="E36" i="40"/>
  <c r="F33" i="40"/>
  <c r="C33" i="40"/>
  <c r="F39" i="40"/>
  <c r="F36" i="40"/>
  <c r="D35" i="40"/>
  <c r="E33" i="40"/>
  <c r="C38" i="40"/>
  <c r="BK19" i="40" a="1"/>
  <c r="BS21" i="40" s="1"/>
  <c r="B38" i="40"/>
  <c r="E31" i="40"/>
  <c r="G38" i="40"/>
  <c r="J37" i="40"/>
  <c r="C37" i="40"/>
  <c r="C36" i="40"/>
  <c r="E35" i="40"/>
  <c r="C31" i="40"/>
  <c r="D38" i="40"/>
  <c r="D37" i="40"/>
  <c r="C39" i="40"/>
  <c r="B35" i="40"/>
  <c r="E34" i="40"/>
  <c r="F32" i="40"/>
  <c r="F31" i="40"/>
  <c r="E39" i="40"/>
  <c r="B39" i="40"/>
  <c r="H38" i="40"/>
  <c r="E38" i="40"/>
  <c r="J35" i="40"/>
  <c r="J32" i="40"/>
  <c r="F37" i="40"/>
  <c r="F34" i="40"/>
  <c r="F23" i="49"/>
  <c r="F22" i="49"/>
  <c r="F21" i="49"/>
  <c r="F20" i="49"/>
  <c r="F19" i="49"/>
  <c r="F18" i="49"/>
  <c r="G23" i="49"/>
  <c r="G22" i="49"/>
  <c r="G21" i="49"/>
  <c r="G20" i="49"/>
  <c r="G19" i="49"/>
  <c r="G18" i="49"/>
  <c r="I23" i="49"/>
  <c r="I22" i="49"/>
  <c r="I21" i="49"/>
  <c r="I20" i="49"/>
  <c r="I19" i="49"/>
  <c r="I18" i="49"/>
  <c r="H23" i="49"/>
  <c r="H22" i="49"/>
  <c r="H21" i="49"/>
  <c r="H20" i="49"/>
  <c r="H19" i="49"/>
  <c r="H18" i="49"/>
  <c r="N21" i="49"/>
  <c r="N20" i="49"/>
  <c r="N19" i="49"/>
  <c r="N18" i="49"/>
  <c r="L21" i="49"/>
  <c r="K21" i="49"/>
  <c r="K19" i="49"/>
  <c r="K18" i="49"/>
  <c r="M21" i="49"/>
  <c r="M20" i="49"/>
  <c r="M19" i="49"/>
  <c r="M18" i="49"/>
  <c r="L20" i="49"/>
  <c r="L19" i="49"/>
  <c r="L18" i="49"/>
  <c r="K20" i="49"/>
  <c r="E16" i="48"/>
  <c r="G14" i="48"/>
  <c r="F16" i="48"/>
  <c r="E15" i="48"/>
  <c r="G15" i="48"/>
  <c r="F14" i="48"/>
  <c r="G16" i="48"/>
  <c r="F15" i="48"/>
  <c r="E14" i="48"/>
  <c r="AT21" i="43"/>
  <c r="AS20" i="43"/>
  <c r="AS21" i="43"/>
  <c r="AU19" i="43"/>
  <c r="AU21" i="43"/>
  <c r="AT20" i="43"/>
  <c r="AS19" i="43"/>
  <c r="AU20" i="43"/>
  <c r="AT19" i="43"/>
  <c r="AU21" i="42"/>
  <c r="AT20" i="42"/>
  <c r="AS19" i="42"/>
  <c r="AS21" i="42"/>
  <c r="AU19" i="42"/>
  <c r="AS20" i="42"/>
  <c r="AT19" i="42"/>
  <c r="AT21" i="42"/>
  <c r="AU20" i="42"/>
  <c r="L59" i="39" a="1"/>
  <c r="Q32" i="39"/>
  <c r="L19" i="39" a="1"/>
  <c r="AH4" i="39" a="1"/>
  <c r="M37" i="39"/>
  <c r="M33" i="39"/>
  <c r="M40" i="39"/>
  <c r="M36" i="39"/>
  <c r="M32" i="39"/>
  <c r="M34" i="39"/>
  <c r="M39" i="39"/>
  <c r="M35" i="39"/>
  <c r="M38" i="39"/>
  <c r="AQ69" i="39"/>
  <c r="AM69" i="39"/>
  <c r="AI69" i="39"/>
  <c r="AN68" i="39"/>
  <c r="AJ68" i="39"/>
  <c r="AO67" i="39"/>
  <c r="AK67" i="39"/>
  <c r="AP66" i="39"/>
  <c r="AL66" i="39"/>
  <c r="AQ65" i="39"/>
  <c r="AM65" i="39"/>
  <c r="AI65" i="39"/>
  <c r="AN64" i="39"/>
  <c r="AJ64" i="39"/>
  <c r="AO63" i="39"/>
  <c r="AK63" i="39"/>
  <c r="AP62" i="39"/>
  <c r="AL62" i="39"/>
  <c r="AQ61" i="39"/>
  <c r="AM61" i="39"/>
  <c r="AI61" i="39"/>
  <c r="AP69" i="39"/>
  <c r="AL69" i="39"/>
  <c r="AQ68" i="39"/>
  <c r="AM68" i="39"/>
  <c r="AI68" i="39"/>
  <c r="AN67" i="39"/>
  <c r="AJ67" i="39"/>
  <c r="AO66" i="39"/>
  <c r="AK66" i="39"/>
  <c r="AP65" i="39"/>
  <c r="AL65" i="39"/>
  <c r="AQ64" i="39"/>
  <c r="AM64" i="39"/>
  <c r="AI64" i="39"/>
  <c r="AN63" i="39"/>
  <c r="AJ63" i="39"/>
  <c r="AO62" i="39"/>
  <c r="AK62" i="39"/>
  <c r="AP61" i="39"/>
  <c r="AL61" i="39"/>
  <c r="AO69" i="39"/>
  <c r="AP68" i="39"/>
  <c r="AQ67" i="39"/>
  <c r="AI67" i="39"/>
  <c r="AJ66" i="39"/>
  <c r="AK65" i="39"/>
  <c r="AL64" i="39"/>
  <c r="AM63" i="39"/>
  <c r="AN62" i="39"/>
  <c r="AO61" i="39"/>
  <c r="AN69" i="39"/>
  <c r="AO68" i="39"/>
  <c r="AP67" i="39"/>
  <c r="AQ66" i="39"/>
  <c r="AI66" i="39"/>
  <c r="AJ65" i="39"/>
  <c r="AK64" i="39"/>
  <c r="AL63" i="39"/>
  <c r="AM62" i="39"/>
  <c r="AN61" i="39"/>
  <c r="AL68" i="39"/>
  <c r="AN66" i="39"/>
  <c r="AP64" i="39"/>
  <c r="AI63" i="39"/>
  <c r="AK61" i="39"/>
  <c r="AK68" i="39"/>
  <c r="AM66" i="39"/>
  <c r="AO64" i="39"/>
  <c r="AQ62" i="39"/>
  <c r="AJ61" i="39"/>
  <c r="AL67" i="39"/>
  <c r="AP63" i="39"/>
  <c r="AI62" i="39"/>
  <c r="AQ63" i="39"/>
  <c r="AK69" i="39"/>
  <c r="AO65" i="39"/>
  <c r="AJ62" i="39"/>
  <c r="AJ69" i="39"/>
  <c r="AN65" i="39"/>
  <c r="AM67" i="39"/>
  <c r="AH38" i="39"/>
  <c r="AH34" i="39"/>
  <c r="AH37" i="39"/>
  <c r="AH33" i="39"/>
  <c r="AH39" i="39"/>
  <c r="AH36" i="39"/>
  <c r="AH35" i="39"/>
  <c r="AH32" i="39"/>
  <c r="AH40" i="39"/>
  <c r="Y5" i="37"/>
  <c r="N5" i="37"/>
  <c r="N14" i="37" s="1"/>
  <c r="N17" i="37" s="1"/>
  <c r="T5" i="37"/>
  <c r="U5" i="37" s="1"/>
  <c r="V5" i="37" s="1"/>
  <c r="Q7" i="37"/>
  <c r="R7" i="37" s="1"/>
  <c r="T4" i="37"/>
  <c r="U4" i="37" s="1"/>
  <c r="V4" i="37" s="1"/>
  <c r="T6" i="37"/>
  <c r="U6" i="37" s="1"/>
  <c r="V6" i="37" s="1"/>
  <c r="M167" i="51" a="1"/>
  <c r="I14" i="48" a="1"/>
  <c r="M179" i="51" a="1"/>
  <c r="M163" i="54" a="1"/>
  <c r="M170" i="54" l="1"/>
  <c r="M166" i="54"/>
  <c r="P168" i="54"/>
  <c r="M164" i="54"/>
  <c r="M168" i="54"/>
  <c r="O168" i="54"/>
  <c r="N168" i="54"/>
  <c r="P169" i="54"/>
  <c r="O171" i="54"/>
  <c r="O163" i="54"/>
  <c r="N165" i="54"/>
  <c r="M167" i="54"/>
  <c r="O166" i="54"/>
  <c r="N166" i="54"/>
  <c r="P167" i="54"/>
  <c r="O169" i="54"/>
  <c r="N171" i="54"/>
  <c r="N163" i="54"/>
  <c r="M165" i="54"/>
  <c r="P166" i="54"/>
  <c r="O164" i="54"/>
  <c r="N164" i="54"/>
  <c r="P165" i="54"/>
  <c r="O167" i="54"/>
  <c r="N169" i="54"/>
  <c r="M171" i="54"/>
  <c r="M163" i="54"/>
  <c r="O170" i="54"/>
  <c r="N170" i="54"/>
  <c r="P171" i="54"/>
  <c r="P163" i="54"/>
  <c r="O165" i="54"/>
  <c r="N167" i="54"/>
  <c r="M169" i="54"/>
  <c r="P170" i="54"/>
  <c r="P164" i="54"/>
  <c r="N181" i="51"/>
  <c r="P182" i="51"/>
  <c r="P181" i="51"/>
  <c r="N180" i="51"/>
  <c r="M179" i="51"/>
  <c r="O180" i="51"/>
  <c r="N179" i="51"/>
  <c r="P180" i="51"/>
  <c r="P179" i="51"/>
  <c r="N182" i="51"/>
  <c r="O181" i="51"/>
  <c r="M181" i="51"/>
  <c r="M182" i="51"/>
  <c r="O182" i="51"/>
  <c r="O179" i="51"/>
  <c r="M180" i="51"/>
  <c r="P168" i="51"/>
  <c r="O168" i="51"/>
  <c r="N168" i="51"/>
  <c r="M168" i="51"/>
  <c r="N169" i="51"/>
  <c r="M171" i="51"/>
  <c r="P167" i="51"/>
  <c r="O173" i="51"/>
  <c r="O171" i="51"/>
  <c r="P174" i="51"/>
  <c r="O174" i="51"/>
  <c r="N174" i="51"/>
  <c r="M174" i="51"/>
  <c r="N175" i="51"/>
  <c r="N167" i="51"/>
  <c r="M169" i="51"/>
  <c r="O175" i="51"/>
  <c r="P171" i="51"/>
  <c r="P172" i="51"/>
  <c r="O172" i="51"/>
  <c r="N172" i="51"/>
  <c r="M172" i="51"/>
  <c r="N173" i="51"/>
  <c r="M175" i="51"/>
  <c r="M167" i="51"/>
  <c r="O167" i="51"/>
  <c r="P169" i="51"/>
  <c r="O170" i="51"/>
  <c r="M173" i="51"/>
  <c r="P170" i="51"/>
  <c r="O169" i="51"/>
  <c r="N170" i="51"/>
  <c r="P175" i="51"/>
  <c r="M170" i="51"/>
  <c r="P173" i="51"/>
  <c r="N171" i="51"/>
  <c r="J16" i="48"/>
  <c r="I16" i="48"/>
  <c r="K15" i="48"/>
  <c r="J15" i="48"/>
  <c r="K16" i="48"/>
  <c r="I14" i="48"/>
  <c r="I15" i="48"/>
  <c r="K14" i="48"/>
  <c r="J14" i="48"/>
  <c r="BY14" i="40"/>
  <c r="BY13" i="40"/>
  <c r="BY9" i="40"/>
  <c r="BW6" i="40"/>
  <c r="BV6" i="40"/>
  <c r="M141" i="51" a="1"/>
  <c r="U147" i="51" s="1"/>
  <c r="BX14" i="40"/>
  <c r="BW14" i="40"/>
  <c r="BY7" i="40"/>
  <c r="BY10" i="40"/>
  <c r="BX8" i="40"/>
  <c r="BV8" i="40"/>
  <c r="A19" i="41" a="1"/>
  <c r="A27" i="41" s="1"/>
  <c r="V50" i="54"/>
  <c r="M55" i="54" s="1" a="1"/>
  <c r="T55" i="54" s="1"/>
  <c r="V50" i="51"/>
  <c r="M55" i="51" s="1" a="1"/>
  <c r="S55" i="51" s="1"/>
  <c r="O162" i="51"/>
  <c r="N157" i="51"/>
  <c r="N154" i="51"/>
  <c r="N160" i="51"/>
  <c r="N156" i="51"/>
  <c r="CC6" i="40"/>
  <c r="B32" i="41"/>
  <c r="D15" i="44"/>
  <c r="N155" i="51"/>
  <c r="P156" i="51"/>
  <c r="R153" i="54"/>
  <c r="S153" i="54" s="1"/>
  <c r="O155" i="51"/>
  <c r="P159" i="51"/>
  <c r="CC13" i="40"/>
  <c r="R157" i="54"/>
  <c r="S157" i="54" s="1"/>
  <c r="P161" i="51"/>
  <c r="P154" i="51"/>
  <c r="O158" i="51"/>
  <c r="O159" i="51"/>
  <c r="O156" i="51"/>
  <c r="M154" i="51"/>
  <c r="N161" i="51"/>
  <c r="P160" i="51"/>
  <c r="N158" i="51"/>
  <c r="R123" i="51"/>
  <c r="CC14" i="40"/>
  <c r="CC7" i="40"/>
  <c r="G15" i="44"/>
  <c r="J15" i="44"/>
  <c r="E15" i="44"/>
  <c r="M160" i="51"/>
  <c r="P162" i="51"/>
  <c r="P157" i="51"/>
  <c r="P158" i="51"/>
  <c r="O160" i="51"/>
  <c r="M158" i="51"/>
  <c r="O157" i="51"/>
  <c r="M155" i="51"/>
  <c r="N162" i="51"/>
  <c r="S123" i="51"/>
  <c r="CC11" i="40"/>
  <c r="CC9" i="40"/>
  <c r="C15" i="44"/>
  <c r="N159" i="51"/>
  <c r="M161" i="51"/>
  <c r="M156" i="51"/>
  <c r="M157" i="51"/>
  <c r="P155" i="51"/>
  <c r="M162" i="51"/>
  <c r="O161" i="51"/>
  <c r="M159" i="51"/>
  <c r="CC12" i="40"/>
  <c r="CC10" i="40"/>
  <c r="I15" i="44"/>
  <c r="P158" i="54"/>
  <c r="D44" i="40" a="1"/>
  <c r="D49" i="40" s="1"/>
  <c r="B20" i="44" a="1"/>
  <c r="I23" i="44" s="1"/>
  <c r="BX13" i="40"/>
  <c r="B15" i="44"/>
  <c r="R152" i="54"/>
  <c r="S152" i="54" s="1"/>
  <c r="F15" i="44"/>
  <c r="H15" i="44"/>
  <c r="R150" i="54"/>
  <c r="S150" i="54" s="1"/>
  <c r="R155" i="54"/>
  <c r="S155" i="54" s="1"/>
  <c r="R156" i="54"/>
  <c r="S156" i="54" s="1"/>
  <c r="O158" i="54"/>
  <c r="BW7" i="40"/>
  <c r="BY8" i="40"/>
  <c r="R151" i="54"/>
  <c r="S151" i="54" s="1"/>
  <c r="N158" i="54"/>
  <c r="R154" i="54"/>
  <c r="S154" i="54" s="1"/>
  <c r="BW8" i="40"/>
  <c r="BW9" i="40"/>
  <c r="BY6" i="40"/>
  <c r="BW12" i="40"/>
  <c r="BY11" i="40"/>
  <c r="BV9" i="40"/>
  <c r="BV13" i="40"/>
  <c r="BV12" i="40"/>
  <c r="BX11" i="40"/>
  <c r="BV7" i="40"/>
  <c r="BX6" i="40"/>
  <c r="BV14" i="40"/>
  <c r="BV10" i="40"/>
  <c r="BW10" i="40"/>
  <c r="BW11" i="40"/>
  <c r="BW13" i="40"/>
  <c r="BX7" i="40"/>
  <c r="BX12" i="40"/>
  <c r="BX9" i="40"/>
  <c r="BX10" i="40"/>
  <c r="BV11" i="40"/>
  <c r="A34" i="40"/>
  <c r="A47" i="40" s="1"/>
  <c r="AC6" i="40" a="1"/>
  <c r="AD18" i="40" a="1"/>
  <c r="A21" i="41"/>
  <c r="A22" i="41"/>
  <c r="AC19" i="40" a="1"/>
  <c r="A31" i="40"/>
  <c r="BN5" i="55"/>
  <c r="BK5" i="55"/>
  <c r="BQ5" i="55"/>
  <c r="BP5" i="55"/>
  <c r="BI5" i="55"/>
  <c r="BO5" i="55"/>
  <c r="BL5" i="55"/>
  <c r="BM5" i="55"/>
  <c r="BJ5" i="55"/>
  <c r="CA21" i="40"/>
  <c r="CA20" i="40"/>
  <c r="CA26" i="40"/>
  <c r="CA27" i="40"/>
  <c r="CA24" i="40"/>
  <c r="CA22" i="40"/>
  <c r="CA19" i="40"/>
  <c r="CA25" i="40"/>
  <c r="CA23" i="40"/>
  <c r="B31" i="41" a="1"/>
  <c r="C44" i="40" a="1"/>
  <c r="C44" i="40" s="1"/>
  <c r="E44" i="40" a="1"/>
  <c r="E49" i="40" s="1"/>
  <c r="AV13" i="55"/>
  <c r="AV40" i="55" s="1"/>
  <c r="AV14" i="55"/>
  <c r="AV41" i="55" s="1"/>
  <c r="AV10" i="55"/>
  <c r="AV37" i="55" s="1"/>
  <c r="AV9" i="55"/>
  <c r="AV36" i="55" s="1"/>
  <c r="AV6" i="55"/>
  <c r="AV33" i="55" s="1"/>
  <c r="AV7" i="55"/>
  <c r="AV34" i="55" s="1"/>
  <c r="AV11" i="55"/>
  <c r="AV38" i="55" s="1"/>
  <c r="AV12" i="55"/>
  <c r="AV39" i="55" s="1"/>
  <c r="AV8" i="55"/>
  <c r="AV35" i="55" s="1"/>
  <c r="B44" i="40" a="1"/>
  <c r="B52" i="40" s="1"/>
  <c r="M177" i="54" a="1"/>
  <c r="M158" i="54"/>
  <c r="R149" i="54"/>
  <c r="B19" i="44" a="1"/>
  <c r="A6" i="44" a="1"/>
  <c r="A39" i="40"/>
  <c r="A52" i="40" s="1"/>
  <c r="AO18" i="40" a="1"/>
  <c r="AZ5" i="40" a="1"/>
  <c r="Y13" i="40"/>
  <c r="BN22" i="40"/>
  <c r="BA33" i="40"/>
  <c r="BG40" i="40"/>
  <c r="N142" i="54"/>
  <c r="AZ36" i="40"/>
  <c r="M12" i="40"/>
  <c r="BF32" i="40"/>
  <c r="M11" i="40"/>
  <c r="BS20" i="40"/>
  <c r="M7" i="40"/>
  <c r="M10" i="40"/>
  <c r="BQ19" i="40"/>
  <c r="M13" i="40"/>
  <c r="Y11" i="40"/>
  <c r="BQ22" i="40"/>
  <c r="BK21" i="40"/>
  <c r="BO21" i="40"/>
  <c r="BP22" i="40"/>
  <c r="BQ21" i="40"/>
  <c r="BQ20" i="40"/>
  <c r="M14" i="40"/>
  <c r="M6" i="40"/>
  <c r="BS22" i="40"/>
  <c r="BL21" i="40"/>
  <c r="BK20" i="40"/>
  <c r="BR19" i="40"/>
  <c r="BB40" i="40"/>
  <c r="BM21" i="40"/>
  <c r="BP20" i="40"/>
  <c r="BR21" i="40"/>
  <c r="BR22" i="40"/>
  <c r="BO22" i="40"/>
  <c r="BS19" i="40"/>
  <c r="BL22" i="40"/>
  <c r="BC38" i="40"/>
  <c r="BH40" i="40"/>
  <c r="BD37" i="40"/>
  <c r="BC39" i="40"/>
  <c r="K32" i="40"/>
  <c r="N136" i="54"/>
  <c r="N140" i="54"/>
  <c r="N135" i="54"/>
  <c r="O135" i="54" s="1"/>
  <c r="N139" i="54"/>
  <c r="N137" i="54"/>
  <c r="BG35" i="40"/>
  <c r="BG39" i="40"/>
  <c r="BF37" i="40"/>
  <c r="BN21" i="40"/>
  <c r="BN20" i="40"/>
  <c r="BK22" i="40"/>
  <c r="BK19" i="40"/>
  <c r="BP21" i="40"/>
  <c r="BM22" i="40"/>
  <c r="BL20" i="40"/>
  <c r="BH33" i="40"/>
  <c r="AZ40" i="40"/>
  <c r="AZ35" i="40"/>
  <c r="BF33" i="40"/>
  <c r="N143" i="54"/>
  <c r="N138" i="54"/>
  <c r="K39" i="40"/>
  <c r="M8" i="40"/>
  <c r="BR20" i="40"/>
  <c r="BO20" i="40"/>
  <c r="BO19" i="40"/>
  <c r="BM19" i="40"/>
  <c r="BN19" i="40"/>
  <c r="BL19" i="40"/>
  <c r="BM20" i="40"/>
  <c r="BP19" i="40"/>
  <c r="BH37" i="40"/>
  <c r="BE34" i="40"/>
  <c r="BE32" i="40"/>
  <c r="BG33" i="40"/>
  <c r="BH38" i="40"/>
  <c r="K38" i="40"/>
  <c r="AO6" i="40" a="1"/>
  <c r="AT6" i="40" s="1"/>
  <c r="K35" i="40"/>
  <c r="K33" i="40"/>
  <c r="AZ6" i="40" a="1"/>
  <c r="BB13" i="40" s="1"/>
  <c r="BE39" i="40"/>
  <c r="BF38" i="40"/>
  <c r="BC32" i="40"/>
  <c r="BG34" i="40"/>
  <c r="BB34" i="40"/>
  <c r="BB35" i="40"/>
  <c r="BC36" i="40"/>
  <c r="BD34" i="40"/>
  <c r="BC37" i="40"/>
  <c r="BE35" i="40"/>
  <c r="BA36" i="40"/>
  <c r="BG36" i="40"/>
  <c r="BH34" i="40"/>
  <c r="BD32" i="40"/>
  <c r="AZ32" i="40"/>
  <c r="BD33" i="40"/>
  <c r="BD35" i="40"/>
  <c r="BE33" i="40"/>
  <c r="BF40" i="40"/>
  <c r="BB32" i="40"/>
  <c r="K34" i="40"/>
  <c r="AD6" i="40" a="1"/>
  <c r="AE10" i="40" s="1"/>
  <c r="AZ33" i="40"/>
  <c r="BF34" i="40"/>
  <c r="BH35" i="40"/>
  <c r="BH36" i="40"/>
  <c r="BA39" i="40"/>
  <c r="BG38" i="40"/>
  <c r="BA38" i="40"/>
  <c r="BB36" i="40"/>
  <c r="BB39" i="40"/>
  <c r="BA40" i="40"/>
  <c r="BF39" i="40"/>
  <c r="BE38" i="40"/>
  <c r="BF36" i="40"/>
  <c r="BA32" i="40"/>
  <c r="BE36" i="40"/>
  <c r="AZ37" i="40"/>
  <c r="BB37" i="40"/>
  <c r="BC35" i="40"/>
  <c r="BC34" i="40"/>
  <c r="AZ34" i="40"/>
  <c r="K36" i="40"/>
  <c r="K31" i="40"/>
  <c r="BF35" i="40"/>
  <c r="BG37" i="40"/>
  <c r="BD39" i="40"/>
  <c r="BB38" i="40"/>
  <c r="BA35" i="40"/>
  <c r="BG32" i="40"/>
  <c r="BH39" i="40"/>
  <c r="AZ38" i="40"/>
  <c r="BD40" i="40"/>
  <c r="BD36" i="40"/>
  <c r="BB33" i="40"/>
  <c r="BC40" i="40"/>
  <c r="BD38" i="40"/>
  <c r="BC33" i="40"/>
  <c r="BH32" i="40"/>
  <c r="BE40" i="40"/>
  <c r="AZ39" i="40"/>
  <c r="BA37" i="40"/>
  <c r="BA34" i="40"/>
  <c r="K37" i="40"/>
  <c r="I4" i="48" a="1"/>
  <c r="K5" i="48" s="1"/>
  <c r="AI87" i="39" a="1"/>
  <c r="AN74" i="39" a="1"/>
  <c r="AW61" i="39" a="1"/>
  <c r="L67" i="39"/>
  <c r="L63" i="39"/>
  <c r="L59" i="39"/>
  <c r="L66" i="39"/>
  <c r="L62" i="39"/>
  <c r="L61" i="39"/>
  <c r="L60" i="39"/>
  <c r="L65" i="39"/>
  <c r="L64" i="39"/>
  <c r="AH9" i="39"/>
  <c r="AL37" i="39" s="1"/>
  <c r="AH5" i="39"/>
  <c r="AL33" i="39" s="1"/>
  <c r="AH12" i="39"/>
  <c r="AL40" i="39" s="1"/>
  <c r="AH7" i="39"/>
  <c r="AL35" i="39" s="1"/>
  <c r="AH10" i="39"/>
  <c r="AL38" i="39" s="1"/>
  <c r="AH4" i="39"/>
  <c r="AH8" i="39"/>
  <c r="AL36" i="39" s="1"/>
  <c r="AH11" i="39"/>
  <c r="AL39" i="39" s="1"/>
  <c r="AH6" i="39"/>
  <c r="AL34" i="39" s="1"/>
  <c r="AI41" i="39"/>
  <c r="AI33" i="39" s="1"/>
  <c r="M41" i="39"/>
  <c r="N34" i="39" s="1"/>
  <c r="L24" i="39"/>
  <c r="L20" i="39"/>
  <c r="L27" i="39"/>
  <c r="L23" i="39"/>
  <c r="L19" i="39"/>
  <c r="L25" i="39"/>
  <c r="L21" i="39"/>
  <c r="L26" i="39"/>
  <c r="L22" i="39"/>
  <c r="R8" i="37"/>
  <c r="N12" i="37" s="1"/>
  <c r="S7" i="37"/>
  <c r="S8" i="37" s="1"/>
  <c r="Q11" i="37" s="1"/>
  <c r="M185" i="51" a="1"/>
  <c r="N187" i="51" l="1"/>
  <c r="M189" i="51"/>
  <c r="P190" i="51"/>
  <c r="O190" i="51"/>
  <c r="P191" i="51"/>
  <c r="O193" i="51"/>
  <c r="O185" i="51"/>
  <c r="M186" i="51"/>
  <c r="M192" i="51"/>
  <c r="N193" i="51"/>
  <c r="N185" i="51"/>
  <c r="M187" i="51"/>
  <c r="P188" i="51"/>
  <c r="O188" i="51"/>
  <c r="P189" i="51"/>
  <c r="O191" i="51"/>
  <c r="N188" i="51"/>
  <c r="N192" i="51"/>
  <c r="N191" i="51"/>
  <c r="M193" i="51"/>
  <c r="M185" i="51"/>
  <c r="P186" i="51"/>
  <c r="O186" i="51"/>
  <c r="P187" i="51"/>
  <c r="O189" i="51"/>
  <c r="M188" i="51"/>
  <c r="N190" i="51"/>
  <c r="P192" i="51"/>
  <c r="O187" i="51"/>
  <c r="P185" i="51"/>
  <c r="O192" i="51"/>
  <c r="N186" i="51"/>
  <c r="N189" i="51"/>
  <c r="P193" i="51"/>
  <c r="M190" i="51"/>
  <c r="M191" i="51"/>
  <c r="A26" i="41"/>
  <c r="A19" i="41"/>
  <c r="A20" i="41"/>
  <c r="A23" i="41"/>
  <c r="A24" i="41"/>
  <c r="A25" i="41"/>
  <c r="CC19" i="40" a="1"/>
  <c r="CC21" i="40" s="1"/>
  <c r="R143" i="51"/>
  <c r="S141" i="51"/>
  <c r="S142" i="51"/>
  <c r="N146" i="51"/>
  <c r="O55" i="51"/>
  <c r="U55" i="51"/>
  <c r="M147" i="51"/>
  <c r="D51" i="40"/>
  <c r="O142" i="51"/>
  <c r="N55" i="51"/>
  <c r="M149" i="51"/>
  <c r="O143" i="51"/>
  <c r="O145" i="51"/>
  <c r="P144" i="51"/>
  <c r="T141" i="51"/>
  <c r="R149" i="51"/>
  <c r="T144" i="51"/>
  <c r="T147" i="51"/>
  <c r="U143" i="51"/>
  <c r="N142" i="51"/>
  <c r="U148" i="51"/>
  <c r="N143" i="51"/>
  <c r="U142" i="51"/>
  <c r="M144" i="51"/>
  <c r="N141" i="51"/>
  <c r="P141" i="51"/>
  <c r="R147" i="51"/>
  <c r="O144" i="51"/>
  <c r="Q148" i="51"/>
  <c r="P149" i="51"/>
  <c r="O141" i="51"/>
  <c r="M55" i="54"/>
  <c r="T55" i="51"/>
  <c r="S149" i="51"/>
  <c r="Q55" i="54"/>
  <c r="M55" i="51"/>
  <c r="P143" i="51"/>
  <c r="P147" i="51"/>
  <c r="O149" i="51"/>
  <c r="C52" i="40"/>
  <c r="U144" i="51"/>
  <c r="T142" i="51"/>
  <c r="Q55" i="51"/>
  <c r="P148" i="51"/>
  <c r="R148" i="51"/>
  <c r="Q146" i="51"/>
  <c r="M141" i="51"/>
  <c r="Q145" i="51"/>
  <c r="R55" i="51"/>
  <c r="R141" i="51"/>
  <c r="P145" i="51"/>
  <c r="S146" i="51"/>
  <c r="M145" i="51"/>
  <c r="Q142" i="51"/>
  <c r="N144" i="51"/>
  <c r="R142" i="51"/>
  <c r="T143" i="51"/>
  <c r="P55" i="51"/>
  <c r="N55" i="54"/>
  <c r="R145" i="51"/>
  <c r="M143" i="51"/>
  <c r="Q149" i="51"/>
  <c r="S147" i="51"/>
  <c r="U145" i="51"/>
  <c r="P142" i="51"/>
  <c r="M142" i="51"/>
  <c r="R55" i="54"/>
  <c r="N145" i="51"/>
  <c r="M148" i="51"/>
  <c r="O148" i="51"/>
  <c r="U146" i="51"/>
  <c r="N148" i="51"/>
  <c r="Q147" i="51"/>
  <c r="N149" i="51"/>
  <c r="Q141" i="51"/>
  <c r="N147" i="51"/>
  <c r="U55" i="54"/>
  <c r="T145" i="51"/>
  <c r="T146" i="51"/>
  <c r="T148" i="51"/>
  <c r="R144" i="51"/>
  <c r="R146" i="51"/>
  <c r="O55" i="54"/>
  <c r="U141" i="51"/>
  <c r="S144" i="51"/>
  <c r="O147" i="51"/>
  <c r="S143" i="51"/>
  <c r="E47" i="40"/>
  <c r="S145" i="51"/>
  <c r="S55" i="54"/>
  <c r="Q143" i="51"/>
  <c r="U149" i="51"/>
  <c r="O146" i="51"/>
  <c r="Q144" i="51"/>
  <c r="P55" i="54"/>
  <c r="P146" i="51"/>
  <c r="S148" i="51"/>
  <c r="M146" i="51"/>
  <c r="T149" i="51"/>
  <c r="D48" i="40"/>
  <c r="D50" i="40"/>
  <c r="D44" i="40"/>
  <c r="D47" i="40"/>
  <c r="C47" i="40"/>
  <c r="CC26" i="40"/>
  <c r="CC19" i="40"/>
  <c r="D45" i="40"/>
  <c r="D46" i="40"/>
  <c r="C48" i="40"/>
  <c r="B49" i="40"/>
  <c r="D52" i="40"/>
  <c r="CC20" i="40"/>
  <c r="V55" i="51"/>
  <c r="V55" i="54"/>
  <c r="C24" i="44"/>
  <c r="C20" i="44"/>
  <c r="I20" i="44"/>
  <c r="E21" i="44"/>
  <c r="E20" i="44"/>
  <c r="D23" i="44"/>
  <c r="J23" i="44"/>
  <c r="I26" i="44"/>
  <c r="E22" i="44"/>
  <c r="H21" i="44"/>
  <c r="G20" i="44"/>
  <c r="I21" i="44"/>
  <c r="F22" i="44"/>
  <c r="H24" i="44"/>
  <c r="J26" i="44"/>
  <c r="E27" i="44"/>
  <c r="F20" i="44"/>
  <c r="J28" i="44"/>
  <c r="H22" i="44"/>
  <c r="D24" i="44"/>
  <c r="G24" i="44"/>
  <c r="G22" i="44"/>
  <c r="H25" i="44"/>
  <c r="D28" i="44"/>
  <c r="B27" i="44"/>
  <c r="C23" i="44"/>
  <c r="G28" i="44"/>
  <c r="H28" i="44"/>
  <c r="B21" i="44"/>
  <c r="C26" i="44"/>
  <c r="D20" i="44"/>
  <c r="B23" i="44"/>
  <c r="J21" i="44"/>
  <c r="B25" i="44"/>
  <c r="I27" i="44"/>
  <c r="F23" i="44"/>
  <c r="J24" i="44"/>
  <c r="C21" i="44"/>
  <c r="B20" i="44"/>
  <c r="D25" i="44"/>
  <c r="J27" i="44"/>
  <c r="G21" i="44"/>
  <c r="D21" i="44"/>
  <c r="J25" i="44"/>
  <c r="F28" i="44"/>
  <c r="B22" i="44"/>
  <c r="K15" i="44"/>
  <c r="D22" i="44"/>
  <c r="E24" i="44"/>
  <c r="H20" i="44"/>
  <c r="G23" i="44"/>
  <c r="I24" i="44"/>
  <c r="J20" i="44"/>
  <c r="J22" i="44"/>
  <c r="I25" i="44"/>
  <c r="H27" i="44"/>
  <c r="F21" i="44"/>
  <c r="E23" i="44"/>
  <c r="B24" i="44"/>
  <c r="E28" i="44"/>
  <c r="C22" i="44"/>
  <c r="G25" i="44"/>
  <c r="R168" i="54"/>
  <c r="S168" i="54" s="1"/>
  <c r="R167" i="54"/>
  <c r="S167" i="54" s="1"/>
  <c r="CE6" i="40" a="1"/>
  <c r="CE9" i="40" s="1"/>
  <c r="R166" i="54"/>
  <c r="S166" i="54" s="1"/>
  <c r="BX19" i="40" a="1"/>
  <c r="BX26" i="40" s="1"/>
  <c r="BY19" i="40" a="1"/>
  <c r="BY23" i="40" s="1"/>
  <c r="O172" i="54"/>
  <c r="E52" i="40"/>
  <c r="E44" i="40"/>
  <c r="BV19" i="40" a="1"/>
  <c r="BV21" i="40" s="1"/>
  <c r="BW19" i="40" a="1"/>
  <c r="BW27" i="40" s="1"/>
  <c r="R171" i="54"/>
  <c r="S171" i="54" s="1"/>
  <c r="R164" i="54"/>
  <c r="S164" i="54" s="1"/>
  <c r="N172" i="54"/>
  <c r="R165" i="54"/>
  <c r="S165" i="54" s="1"/>
  <c r="E26" i="44"/>
  <c r="G26" i="44"/>
  <c r="H26" i="44"/>
  <c r="F27" i="44"/>
  <c r="B26" i="44"/>
  <c r="I28" i="44"/>
  <c r="C27" i="44"/>
  <c r="D27" i="44"/>
  <c r="B28" i="44"/>
  <c r="F26" i="44"/>
  <c r="I22" i="44"/>
  <c r="E25" i="44"/>
  <c r="F25" i="44"/>
  <c r="D26" i="44"/>
  <c r="C25" i="44"/>
  <c r="C28" i="44"/>
  <c r="G27" i="44"/>
  <c r="H23" i="44"/>
  <c r="F24" i="44"/>
  <c r="E45" i="40"/>
  <c r="B48" i="40"/>
  <c r="E46" i="40"/>
  <c r="M203" i="54" a="1"/>
  <c r="R163" i="54"/>
  <c r="M172" i="54"/>
  <c r="R169" i="54"/>
  <c r="S169" i="54" s="1"/>
  <c r="P172" i="54"/>
  <c r="R170" i="54"/>
  <c r="S170" i="54" s="1"/>
  <c r="B46" i="40"/>
  <c r="C51" i="40"/>
  <c r="E50" i="40"/>
  <c r="E48" i="40"/>
  <c r="B45" i="40"/>
  <c r="C49" i="40"/>
  <c r="C46" i="40"/>
  <c r="AU18" i="40"/>
  <c r="AR18" i="40"/>
  <c r="AO18" i="40"/>
  <c r="AV18" i="40"/>
  <c r="AT18" i="40"/>
  <c r="AS18" i="40"/>
  <c r="AQ18" i="40"/>
  <c r="AW18" i="40"/>
  <c r="AP18" i="40"/>
  <c r="S149" i="54"/>
  <c r="R158" i="54"/>
  <c r="AI18" i="40"/>
  <c r="AJ18" i="40"/>
  <c r="AF18" i="40"/>
  <c r="AD18" i="40"/>
  <c r="AE18" i="40"/>
  <c r="AG18" i="40"/>
  <c r="AK18" i="40"/>
  <c r="AL18" i="40"/>
  <c r="AH18" i="40"/>
  <c r="CS26" i="40" a="1"/>
  <c r="CC23" i="40"/>
  <c r="C45" i="40"/>
  <c r="C50" i="40"/>
  <c r="AC9" i="40"/>
  <c r="AC6" i="40"/>
  <c r="AC13" i="40"/>
  <c r="AC11" i="40"/>
  <c r="AC7" i="40"/>
  <c r="AC10" i="40"/>
  <c r="AC14" i="40"/>
  <c r="AC8" i="40"/>
  <c r="AC12" i="40"/>
  <c r="CC24" i="40"/>
  <c r="B50" i="40"/>
  <c r="AC26" i="40"/>
  <c r="AC25" i="40"/>
  <c r="AC24" i="40"/>
  <c r="AC19" i="40"/>
  <c r="AC20" i="40"/>
  <c r="AC21" i="40"/>
  <c r="AC23" i="40"/>
  <c r="AC27" i="40"/>
  <c r="A12" i="44"/>
  <c r="A6" i="44"/>
  <c r="A14" i="44"/>
  <c r="A8" i="44"/>
  <c r="A11" i="44"/>
  <c r="A9" i="44"/>
  <c r="A13" i="44"/>
  <c r="A10" i="44"/>
  <c r="A7" i="44"/>
  <c r="M177" i="54"/>
  <c r="S182" i="54"/>
  <c r="P181" i="54"/>
  <c r="M180" i="54"/>
  <c r="S178" i="54"/>
  <c r="T185" i="54"/>
  <c r="U179" i="54"/>
  <c r="R181" i="54"/>
  <c r="S183" i="54"/>
  <c r="T184" i="54"/>
  <c r="S177" i="54"/>
  <c r="P179" i="54"/>
  <c r="Q181" i="54"/>
  <c r="T180" i="54"/>
  <c r="R184" i="54"/>
  <c r="P180" i="54"/>
  <c r="N184" i="54"/>
  <c r="O184" i="54"/>
  <c r="O179" i="54"/>
  <c r="O180" i="54"/>
  <c r="P182" i="54"/>
  <c r="P177" i="54"/>
  <c r="Q184" i="54"/>
  <c r="N183" i="54"/>
  <c r="T181" i="54"/>
  <c r="Q180" i="54"/>
  <c r="O185" i="54"/>
  <c r="N178" i="54"/>
  <c r="T179" i="54"/>
  <c r="U181" i="54"/>
  <c r="M183" i="54"/>
  <c r="S184" i="54"/>
  <c r="R177" i="54"/>
  <c r="S179" i="54"/>
  <c r="O177" i="54"/>
  <c r="M181" i="54"/>
  <c r="R185" i="54"/>
  <c r="R180" i="54"/>
  <c r="S180" i="54"/>
  <c r="T183" i="54"/>
  <c r="N182" i="54"/>
  <c r="U180" i="54"/>
  <c r="R179" i="54"/>
  <c r="O178" i="54"/>
  <c r="P185" i="54"/>
  <c r="M184" i="54"/>
  <c r="S181" i="54"/>
  <c r="P183" i="54"/>
  <c r="Q185" i="54"/>
  <c r="P178" i="54"/>
  <c r="Q179" i="54"/>
  <c r="N181" i="54"/>
  <c r="O183" i="54"/>
  <c r="P184" i="54"/>
  <c r="U178" i="54"/>
  <c r="U183" i="54"/>
  <c r="Q178" i="54"/>
  <c r="M179" i="54"/>
  <c r="T182" i="54"/>
  <c r="S185" i="54"/>
  <c r="R178" i="54"/>
  <c r="N179" i="54"/>
  <c r="T177" i="54"/>
  <c r="U184" i="54"/>
  <c r="R183" i="54"/>
  <c r="O182" i="54"/>
  <c r="Q183" i="54"/>
  <c r="N185" i="54"/>
  <c r="M178" i="54"/>
  <c r="N180" i="54"/>
  <c r="O181" i="54"/>
  <c r="U182" i="54"/>
  <c r="M185" i="54"/>
  <c r="U177" i="54"/>
  <c r="Q182" i="54"/>
  <c r="Q177" i="54"/>
  <c r="M182" i="54"/>
  <c r="R182" i="54"/>
  <c r="N177" i="54"/>
  <c r="T178" i="54"/>
  <c r="U185" i="54"/>
  <c r="B44" i="40"/>
  <c r="B47" i="40"/>
  <c r="E31" i="41"/>
  <c r="D31" i="41"/>
  <c r="I31" i="41"/>
  <c r="B31" i="41"/>
  <c r="G31" i="41"/>
  <c r="H31" i="41"/>
  <c r="F31" i="41"/>
  <c r="C31" i="41"/>
  <c r="J31" i="41"/>
  <c r="BU5" i="55" a="1"/>
  <c r="BH6" i="55" a="1"/>
  <c r="CC25" i="40"/>
  <c r="B51" i="40"/>
  <c r="E51" i="40"/>
  <c r="A32" i="41" a="1"/>
  <c r="BF5" i="40"/>
  <c r="AZ5" i="40"/>
  <c r="BD5" i="40"/>
  <c r="BB5" i="40"/>
  <c r="BH5" i="40"/>
  <c r="BG5" i="40"/>
  <c r="BC5" i="40"/>
  <c r="BE5" i="40"/>
  <c r="BA5" i="40"/>
  <c r="H19" i="44"/>
  <c r="G19" i="44"/>
  <c r="E19" i="44"/>
  <c r="F19" i="44"/>
  <c r="D19" i="44"/>
  <c r="B19" i="44"/>
  <c r="I19" i="44"/>
  <c r="J19" i="44"/>
  <c r="C19" i="44"/>
  <c r="A44" i="40"/>
  <c r="AN6" i="40" a="1"/>
  <c r="AC22" i="40"/>
  <c r="AV10" i="40"/>
  <c r="BA9" i="40"/>
  <c r="M15" i="40"/>
  <c r="N7" i="40" s="1"/>
  <c r="AF12" i="40"/>
  <c r="AZ8" i="40"/>
  <c r="BD9" i="40"/>
  <c r="AH13" i="40"/>
  <c r="AQ6" i="40"/>
  <c r="AW11" i="40"/>
  <c r="BF7" i="40"/>
  <c r="AS8" i="40"/>
  <c r="AR7" i="40"/>
  <c r="AT11" i="40"/>
  <c r="AW10" i="40"/>
  <c r="AR13" i="40"/>
  <c r="AW6" i="40"/>
  <c r="BH13" i="40"/>
  <c r="AQ7" i="40"/>
  <c r="AO12" i="40"/>
  <c r="AT10" i="40"/>
  <c r="AO7" i="40"/>
  <c r="AO13" i="40"/>
  <c r="AV7" i="40"/>
  <c r="AS13" i="40"/>
  <c r="AU12" i="40"/>
  <c r="AU6" i="40"/>
  <c r="AQ14" i="40"/>
  <c r="AO9" i="40"/>
  <c r="AT13" i="40"/>
  <c r="AV12" i="40"/>
  <c r="AS9" i="40"/>
  <c r="AO14" i="40"/>
  <c r="AQ8" i="40"/>
  <c r="AU13" i="40"/>
  <c r="AU8" i="40"/>
  <c r="AW8" i="40"/>
  <c r="AT14" i="40"/>
  <c r="AQ11" i="40"/>
  <c r="AU9" i="40"/>
  <c r="AP7" i="40"/>
  <c r="AQ9" i="40"/>
  <c r="AT8" i="40"/>
  <c r="AO8" i="40"/>
  <c r="AR6" i="40"/>
  <c r="AT7" i="40"/>
  <c r="AP8" i="40"/>
  <c r="AW14" i="40"/>
  <c r="AV8" i="40"/>
  <c r="BK32" i="40" a="1"/>
  <c r="BM32" i="40" s="1"/>
  <c r="AW13" i="40"/>
  <c r="AP6" i="40"/>
  <c r="AS7" i="40"/>
  <c r="AW7" i="40"/>
  <c r="AV9" i="40"/>
  <c r="AP14" i="40"/>
  <c r="O136" i="54"/>
  <c r="O137" i="54" s="1"/>
  <c r="O138" i="54" s="1"/>
  <c r="O139" i="54" s="1"/>
  <c r="O140" i="54" s="1"/>
  <c r="O141" i="54" s="1"/>
  <c r="O142" i="54" s="1"/>
  <c r="O143" i="54" s="1"/>
  <c r="BD12" i="40"/>
  <c r="AH9" i="40"/>
  <c r="BB11" i="40"/>
  <c r="AZ13" i="40"/>
  <c r="AS6" i="40"/>
  <c r="AW9" i="40"/>
  <c r="AR14" i="40"/>
  <c r="AP9" i="40"/>
  <c r="AQ13" i="40"/>
  <c r="AU7" i="40"/>
  <c r="AQ12" i="40"/>
  <c r="AT9" i="40"/>
  <c r="AV14" i="40"/>
  <c r="AS11" i="40"/>
  <c r="AR8" i="40"/>
  <c r="AT12" i="40"/>
  <c r="AU10" i="40"/>
  <c r="AR9" i="40"/>
  <c r="AR12" i="40"/>
  <c r="K6" i="48"/>
  <c r="AI32" i="39"/>
  <c r="AJ32" i="39" s="1"/>
  <c r="AJ33" i="39" s="1"/>
  <c r="AL9" i="40"/>
  <c r="AE11" i="40"/>
  <c r="BC13" i="40"/>
  <c r="BD14" i="40"/>
  <c r="AD7" i="40"/>
  <c r="AH7" i="40"/>
  <c r="AL7" i="40"/>
  <c r="AI13" i="40"/>
  <c r="AI38" i="39"/>
  <c r="AD11" i="40"/>
  <c r="AF6" i="40"/>
  <c r="AK6" i="40"/>
  <c r="AI11" i="40"/>
  <c r="AJ12" i="40"/>
  <c r="AL11" i="40"/>
  <c r="AZ11" i="40"/>
  <c r="BA14" i="40"/>
  <c r="BE14" i="40"/>
  <c r="BB7" i="40"/>
  <c r="BH7" i="40"/>
  <c r="AD14" i="40"/>
  <c r="AD6" i="40"/>
  <c r="AF7" i="40"/>
  <c r="AK10" i="40"/>
  <c r="AD9" i="40"/>
  <c r="BE12" i="40"/>
  <c r="BE7" i="40"/>
  <c r="BA8" i="40"/>
  <c r="BC9" i="40"/>
  <c r="BF8" i="40"/>
  <c r="I5" i="48"/>
  <c r="AZ46" i="40" a="1"/>
  <c r="BH46" i="40" s="1"/>
  <c r="N37" i="39"/>
  <c r="AV13" i="40"/>
  <c r="AS12" i="40"/>
  <c r="AU14" i="40"/>
  <c r="AR11" i="40"/>
  <c r="AO10" i="40"/>
  <c r="AS10" i="40"/>
  <c r="AO6" i="40"/>
  <c r="AP12" i="40"/>
  <c r="AR10" i="40"/>
  <c r="AO11" i="40"/>
  <c r="AP13" i="40"/>
  <c r="AV11" i="40"/>
  <c r="AW12" i="40"/>
  <c r="AP11" i="40"/>
  <c r="AP10" i="40"/>
  <c r="AQ10" i="40"/>
  <c r="AS14" i="40"/>
  <c r="AV6" i="40"/>
  <c r="AU11" i="40"/>
  <c r="AI8" i="40"/>
  <c r="AH8" i="40"/>
  <c r="AE7" i="40"/>
  <c r="AF9" i="40"/>
  <c r="AK9" i="40"/>
  <c r="AI9" i="40"/>
  <c r="AJ7" i="40"/>
  <c r="AJ9" i="40"/>
  <c r="AL10" i="40"/>
  <c r="AF10" i="40"/>
  <c r="AF8" i="40"/>
  <c r="AI10" i="40"/>
  <c r="AH14" i="40"/>
  <c r="AG14" i="40"/>
  <c r="AH12" i="40"/>
  <c r="AF13" i="40"/>
  <c r="AL6" i="40"/>
  <c r="AG11" i="40"/>
  <c r="AH6" i="40"/>
  <c r="AI6" i="40"/>
  <c r="AJ13" i="40"/>
  <c r="BH6" i="40"/>
  <c r="BF10" i="40"/>
  <c r="BA12" i="40"/>
  <c r="BF13" i="40"/>
  <c r="BD10" i="40"/>
  <c r="BG14" i="40"/>
  <c r="AZ7" i="40"/>
  <c r="BF6" i="40"/>
  <c r="BF11" i="40"/>
  <c r="AZ6" i="40"/>
  <c r="BD7" i="40"/>
  <c r="BD8" i="40"/>
  <c r="BB12" i="40"/>
  <c r="BG7" i="40"/>
  <c r="BC8" i="40"/>
  <c r="BG10" i="40"/>
  <c r="BA11" i="40"/>
  <c r="BG11" i="40"/>
  <c r="BC10" i="40"/>
  <c r="BF9" i="40"/>
  <c r="AE12" i="40"/>
  <c r="AD12" i="40"/>
  <c r="AD10" i="40"/>
  <c r="AH11" i="40"/>
  <c r="AG13" i="40"/>
  <c r="AI12" i="40"/>
  <c r="AJ10" i="40"/>
  <c r="AG12" i="40"/>
  <c r="AL13" i="40"/>
  <c r="AE13" i="40"/>
  <c r="AK11" i="40"/>
  <c r="AK12" i="40"/>
  <c r="AL12" i="40"/>
  <c r="AJ8" i="40"/>
  <c r="AE6" i="40"/>
  <c r="AG7" i="40"/>
  <c r="AJ11" i="40"/>
  <c r="AK13" i="40"/>
  <c r="AL8" i="40"/>
  <c r="AG8" i="40"/>
  <c r="BH9" i="40"/>
  <c r="BE13" i="40"/>
  <c r="BE6" i="40"/>
  <c r="BE9" i="40"/>
  <c r="AZ14" i="40"/>
  <c r="BG6" i="40"/>
  <c r="BB9" i="40"/>
  <c r="BC11" i="40"/>
  <c r="BF14" i="40"/>
  <c r="BC7" i="40"/>
  <c r="BA10" i="40"/>
  <c r="AZ12" i="40"/>
  <c r="BD6" i="40"/>
  <c r="BE8" i="40"/>
  <c r="BE10" i="40"/>
  <c r="BA13" i="40"/>
  <c r="BD13" i="40"/>
  <c r="BB14" i="40"/>
  <c r="BF12" i="40"/>
  <c r="BD11" i="40"/>
  <c r="I4" i="48"/>
  <c r="J4" i="48"/>
  <c r="J6" i="48"/>
  <c r="K4" i="48"/>
  <c r="N39" i="39"/>
  <c r="AI37" i="39"/>
  <c r="N36" i="39"/>
  <c r="AE8" i="40"/>
  <c r="AL14" i="40"/>
  <c r="AD13" i="40"/>
  <c r="AE14" i="40"/>
  <c r="AG9" i="40"/>
  <c r="AE9" i="40"/>
  <c r="AF14" i="40"/>
  <c r="AI14" i="40"/>
  <c r="AH10" i="40"/>
  <c r="AI7" i="40"/>
  <c r="AK14" i="40"/>
  <c r="AD8" i="40"/>
  <c r="AK7" i="40"/>
  <c r="AJ14" i="40"/>
  <c r="AK8" i="40"/>
  <c r="AG10" i="40"/>
  <c r="AJ6" i="40"/>
  <c r="AG6" i="40"/>
  <c r="AF11" i="40"/>
  <c r="AZ9" i="40"/>
  <c r="BH12" i="40"/>
  <c r="BB6" i="40"/>
  <c r="BG8" i="40"/>
  <c r="BG13" i="40"/>
  <c r="BB8" i="40"/>
  <c r="BG9" i="40"/>
  <c r="BH11" i="40"/>
  <c r="BC14" i="40"/>
  <c r="BH8" i="40"/>
  <c r="BH10" i="40"/>
  <c r="BC12" i="40"/>
  <c r="BH14" i="40"/>
  <c r="AZ10" i="40"/>
  <c r="BE11" i="40"/>
  <c r="BG12" i="40"/>
  <c r="BC6" i="40"/>
  <c r="BA7" i="40"/>
  <c r="BB10" i="40"/>
  <c r="BA6" i="40"/>
  <c r="I6" i="48"/>
  <c r="J5" i="48"/>
  <c r="N35" i="39"/>
  <c r="AI35" i="39"/>
  <c r="AN82" i="39"/>
  <c r="AN81" i="39"/>
  <c r="AN80" i="39"/>
  <c r="AN79" i="39"/>
  <c r="AN78" i="39"/>
  <c r="AN77" i="39"/>
  <c r="AN76" i="39"/>
  <c r="AN75" i="39"/>
  <c r="AN74" i="39"/>
  <c r="AO82" i="39"/>
  <c r="AQ80" i="39"/>
  <c r="AP79" i="39"/>
  <c r="AO78" i="39"/>
  <c r="AQ76" i="39"/>
  <c r="AP75" i="39"/>
  <c r="AO74" i="39"/>
  <c r="AQ81" i="39"/>
  <c r="AP80" i="39"/>
  <c r="AO79" i="39"/>
  <c r="AQ77" i="39"/>
  <c r="AP76" i="39"/>
  <c r="AO75" i="39"/>
  <c r="AQ82" i="39"/>
  <c r="AO80" i="39"/>
  <c r="AP77" i="39"/>
  <c r="AQ74" i="39"/>
  <c r="AP82" i="39"/>
  <c r="AQ79" i="39"/>
  <c r="AO77" i="39"/>
  <c r="AP74" i="39"/>
  <c r="AQ78" i="39"/>
  <c r="AP78" i="39"/>
  <c r="AO81" i="39"/>
  <c r="AP81" i="39"/>
  <c r="AO76" i="39"/>
  <c r="AQ75" i="39"/>
  <c r="AW67" i="39"/>
  <c r="AW63" i="39"/>
  <c r="AW66" i="39"/>
  <c r="AW62" i="39"/>
  <c r="AW69" i="39"/>
  <c r="AW61" i="39"/>
  <c r="AW68" i="39"/>
  <c r="AW65" i="39"/>
  <c r="AW64" i="39"/>
  <c r="AI34" i="39"/>
  <c r="N33" i="39"/>
  <c r="AQ95" i="39"/>
  <c r="AM95" i="39"/>
  <c r="AI95" i="39"/>
  <c r="AN94" i="39"/>
  <c r="AJ94" i="39"/>
  <c r="AO93" i="39"/>
  <c r="AK93" i="39"/>
  <c r="AP92" i="39"/>
  <c r="AL92" i="39"/>
  <c r="AQ91" i="39"/>
  <c r="AM91" i="39"/>
  <c r="AI91" i="39"/>
  <c r="AN90" i="39"/>
  <c r="AJ90" i="39"/>
  <c r="AO89" i="39"/>
  <c r="AK89" i="39"/>
  <c r="AP88" i="39"/>
  <c r="AL88" i="39"/>
  <c r="AQ87" i="39"/>
  <c r="AM87" i="39"/>
  <c r="AI87" i="39"/>
  <c r="AP95" i="39"/>
  <c r="AL95" i="39"/>
  <c r="AQ94" i="39"/>
  <c r="AM94" i="39"/>
  <c r="AI94" i="39"/>
  <c r="AN93" i="39"/>
  <c r="AJ93" i="39"/>
  <c r="AO92" i="39"/>
  <c r="AK92" i="39"/>
  <c r="AP91" i="39"/>
  <c r="AL91" i="39"/>
  <c r="AQ90" i="39"/>
  <c r="AM90" i="39"/>
  <c r="AI90" i="39"/>
  <c r="AN89" i="39"/>
  <c r="AJ89" i="39"/>
  <c r="AO88" i="39"/>
  <c r="AK88" i="39"/>
  <c r="AP87" i="39"/>
  <c r="AL87" i="39"/>
  <c r="AK95" i="39"/>
  <c r="AL94" i="39"/>
  <c r="AM93" i="39"/>
  <c r="AN92" i="39"/>
  <c r="AO91" i="39"/>
  <c r="AP90" i="39"/>
  <c r="AQ89" i="39"/>
  <c r="AI89" i="39"/>
  <c r="AJ88" i="39"/>
  <c r="AK87" i="39"/>
  <c r="AJ95" i="39"/>
  <c r="AK94" i="39"/>
  <c r="AL93" i="39"/>
  <c r="AM92" i="39"/>
  <c r="AN91" i="39"/>
  <c r="AO90" i="39"/>
  <c r="AP89" i="39"/>
  <c r="AQ88" i="39"/>
  <c r="AI88" i="39"/>
  <c r="AJ87" i="39"/>
  <c r="AP94" i="39"/>
  <c r="AI93" i="39"/>
  <c r="AK91" i="39"/>
  <c r="AM89" i="39"/>
  <c r="AO87" i="39"/>
  <c r="AO94" i="39"/>
  <c r="AQ92" i="39"/>
  <c r="AJ91" i="39"/>
  <c r="AL89" i="39"/>
  <c r="AN87" i="39"/>
  <c r="AP93" i="39"/>
  <c r="AK90" i="39"/>
  <c r="AO95" i="39"/>
  <c r="AJ92" i="39"/>
  <c r="AN88" i="39"/>
  <c r="AI92" i="39"/>
  <c r="AM88" i="39"/>
  <c r="AL90" i="39"/>
  <c r="AN95" i="39"/>
  <c r="AQ93" i="39"/>
  <c r="AI39" i="39"/>
  <c r="N32" i="39"/>
  <c r="O32" i="39" s="1"/>
  <c r="AH19" i="39" a="1"/>
  <c r="AL32" i="39"/>
  <c r="N40" i="39"/>
  <c r="AI40" i="39"/>
  <c r="N38" i="39"/>
  <c r="AI36" i="39"/>
  <c r="Q12" i="37"/>
  <c r="T7" i="37"/>
  <c r="U7" i="37" s="1"/>
  <c r="V7" i="37" s="1"/>
  <c r="V8" i="37" s="1"/>
  <c r="N11" i="37" s="1"/>
  <c r="M228" i="54" a="1"/>
  <c r="L20" i="44" a="1"/>
  <c r="I44" i="40" a="1"/>
  <c r="M216" i="54" a="1"/>
  <c r="N224" i="54" l="1"/>
  <c r="N216" i="54"/>
  <c r="M218" i="54"/>
  <c r="O219" i="54"/>
  <c r="N219" i="54"/>
  <c r="M219" i="54"/>
  <c r="P220" i="54"/>
  <c r="O216" i="54"/>
  <c r="O218" i="54"/>
  <c r="N222" i="54"/>
  <c r="M224" i="54"/>
  <c r="M216" i="54"/>
  <c r="O217" i="54"/>
  <c r="N220" i="54"/>
  <c r="M222" i="54"/>
  <c r="O223" i="54"/>
  <c r="N223" i="54"/>
  <c r="M223" i="54"/>
  <c r="P224" i="54"/>
  <c r="P216" i="54"/>
  <c r="O222" i="54"/>
  <c r="O220" i="54"/>
  <c r="O221" i="54"/>
  <c r="M217" i="54"/>
  <c r="P223" i="54"/>
  <c r="M220" i="54"/>
  <c r="O224" i="54"/>
  <c r="N221" i="54"/>
  <c r="P222" i="54"/>
  <c r="P221" i="54"/>
  <c r="N218" i="54"/>
  <c r="N217" i="54"/>
  <c r="P218" i="54"/>
  <c r="P217" i="54"/>
  <c r="M221" i="54"/>
  <c r="P219" i="54"/>
  <c r="J52" i="40"/>
  <c r="I51" i="40"/>
  <c r="I52" i="40"/>
  <c r="J44" i="40"/>
  <c r="J46" i="40"/>
  <c r="J50" i="40"/>
  <c r="J48" i="40"/>
  <c r="I45" i="40"/>
  <c r="J47" i="40"/>
  <c r="J45" i="40"/>
  <c r="I49" i="40"/>
  <c r="J49" i="40"/>
  <c r="J51" i="40"/>
  <c r="I47" i="40"/>
  <c r="K44" i="40"/>
  <c r="K52" i="40"/>
  <c r="L50" i="40"/>
  <c r="K45" i="40"/>
  <c r="L49" i="40"/>
  <c r="I46" i="40"/>
  <c r="K46" i="40"/>
  <c r="L44" i="40"/>
  <c r="L52" i="40"/>
  <c r="K47" i="40"/>
  <c r="K48" i="40"/>
  <c r="L46" i="40"/>
  <c r="K49" i="40"/>
  <c r="L45" i="40"/>
  <c r="I50" i="40"/>
  <c r="L48" i="40"/>
  <c r="K51" i="40"/>
  <c r="L47" i="40"/>
  <c r="I44" i="40"/>
  <c r="L51" i="40"/>
  <c r="I48" i="40"/>
  <c r="K50" i="40"/>
  <c r="L24" i="44"/>
  <c r="L21" i="44"/>
  <c r="L28" i="44"/>
  <c r="L20" i="44"/>
  <c r="L26" i="44"/>
  <c r="L25" i="44"/>
  <c r="L27" i="44"/>
  <c r="L22" i="44"/>
  <c r="L23" i="44"/>
  <c r="M229" i="54"/>
  <c r="O228" i="54"/>
  <c r="M228" i="54"/>
  <c r="O229" i="54"/>
  <c r="M231" i="54"/>
  <c r="M230" i="54"/>
  <c r="P230" i="54"/>
  <c r="N230" i="54"/>
  <c r="P231" i="54"/>
  <c r="N231" i="54"/>
  <c r="P228" i="54"/>
  <c r="N228" i="54"/>
  <c r="P229" i="54"/>
  <c r="N229" i="54"/>
  <c r="O230" i="54"/>
  <c r="O231" i="54"/>
  <c r="CC27" i="40"/>
  <c r="CU26" i="40" a="1"/>
  <c r="CC22" i="40"/>
  <c r="BY27" i="40"/>
  <c r="BY26" i="40"/>
  <c r="BV22" i="40"/>
  <c r="BV24" i="40"/>
  <c r="F49" i="40"/>
  <c r="P49" i="40" s="1"/>
  <c r="Q49" i="40" s="1"/>
  <c r="BY24" i="40"/>
  <c r="BV27" i="40"/>
  <c r="BW23" i="40"/>
  <c r="CE8" i="40"/>
  <c r="BV26" i="40"/>
  <c r="BY20" i="40"/>
  <c r="BY25" i="40"/>
  <c r="BY22" i="40"/>
  <c r="BV20" i="40"/>
  <c r="BY21" i="40"/>
  <c r="BW26" i="40"/>
  <c r="BX25" i="40"/>
  <c r="BX22" i="40"/>
  <c r="BX23" i="40"/>
  <c r="BX19" i="40"/>
  <c r="BX21" i="40"/>
  <c r="BV19" i="40"/>
  <c r="BV25" i="40"/>
  <c r="BX24" i="40"/>
  <c r="BX20" i="40"/>
  <c r="BV23" i="40"/>
  <c r="BY19" i="40"/>
  <c r="BX27" i="40"/>
  <c r="F52" i="40"/>
  <c r="P52" i="40" s="1"/>
  <c r="Q52" i="40" s="1"/>
  <c r="CE6" i="40"/>
  <c r="CE7" i="40"/>
  <c r="F46" i="40"/>
  <c r="P46" i="40" s="1"/>
  <c r="Q46" i="40" s="1"/>
  <c r="F50" i="40"/>
  <c r="P50" i="40" s="1"/>
  <c r="Q50" i="40" s="1"/>
  <c r="BW25" i="40"/>
  <c r="BW21" i="40"/>
  <c r="P206" i="54"/>
  <c r="N205" i="54"/>
  <c r="P203" i="54"/>
  <c r="P211" i="54"/>
  <c r="N210" i="54"/>
  <c r="M208" i="54"/>
  <c r="M211" i="54"/>
  <c r="O205" i="54"/>
  <c r="O209" i="54"/>
  <c r="P210" i="54"/>
  <c r="N209" i="54"/>
  <c r="P207" i="54"/>
  <c r="O207" i="54"/>
  <c r="O210" i="54"/>
  <c r="O208" i="54"/>
  <c r="O204" i="54"/>
  <c r="M209" i="54"/>
  <c r="P208" i="54"/>
  <c r="N207" i="54"/>
  <c r="P205" i="54"/>
  <c r="N204" i="54"/>
  <c r="O211" i="54"/>
  <c r="M204" i="54"/>
  <c r="M207" i="54"/>
  <c r="M206" i="54"/>
  <c r="M210" i="54"/>
  <c r="N208" i="54"/>
  <c r="M205" i="54"/>
  <c r="M203" i="54"/>
  <c r="N206" i="54"/>
  <c r="P204" i="54"/>
  <c r="N203" i="54"/>
  <c r="N211" i="54"/>
  <c r="P209" i="54"/>
  <c r="O203" i="54"/>
  <c r="O206" i="54"/>
  <c r="R172" i="54"/>
  <c r="S163" i="54"/>
  <c r="S172" i="54" s="1"/>
  <c r="BW22" i="40"/>
  <c r="BW20" i="40"/>
  <c r="BW19" i="40"/>
  <c r="F45" i="40"/>
  <c r="P45" i="40" s="1"/>
  <c r="Q45" i="40" s="1"/>
  <c r="S158" i="54"/>
  <c r="BW24" i="40"/>
  <c r="F48" i="40"/>
  <c r="P48" i="40" s="1"/>
  <c r="Q48" i="40" s="1"/>
  <c r="A38" i="41"/>
  <c r="A37" i="41"/>
  <c r="A39" i="41"/>
  <c r="A36" i="41"/>
  <c r="A33" i="41"/>
  <c r="A40" i="41"/>
  <c r="A34" i="41"/>
  <c r="A32" i="41"/>
  <c r="A35" i="41"/>
  <c r="BZ5" i="55"/>
  <c r="BV5" i="55"/>
  <c r="CC5" i="55"/>
  <c r="CA5" i="55"/>
  <c r="CB5" i="55"/>
  <c r="BW5" i="55"/>
  <c r="BY5" i="55"/>
  <c r="BX5" i="55"/>
  <c r="BU5" i="55"/>
  <c r="AN13" i="40"/>
  <c r="AN12" i="40"/>
  <c r="AN6" i="40"/>
  <c r="AN8" i="40"/>
  <c r="AN11" i="40"/>
  <c r="AN9" i="40"/>
  <c r="AN10" i="40"/>
  <c r="AN14" i="40"/>
  <c r="AN7" i="40"/>
  <c r="M190" i="54" a="1"/>
  <c r="M195" i="54" s="1"/>
  <c r="A20" i="44" a="1"/>
  <c r="CU33" i="40"/>
  <c r="CU32" i="40"/>
  <c r="CU30" i="40"/>
  <c r="CU29" i="40"/>
  <c r="CU27" i="40"/>
  <c r="CU34" i="40"/>
  <c r="CU26" i="40"/>
  <c r="CU28" i="40"/>
  <c r="CU31" i="40"/>
  <c r="AN19" i="40" a="1"/>
  <c r="H44" i="40" a="1"/>
  <c r="AO31" i="40" a="1"/>
  <c r="AZ18" i="40" a="1"/>
  <c r="B32" i="44" a="1"/>
  <c r="A4" i="43" a="1"/>
  <c r="B5" i="43" s="1"/>
  <c r="A4" i="42" a="1"/>
  <c r="A82" i="40" a="1"/>
  <c r="A57" i="40" a="1"/>
  <c r="F44" i="40"/>
  <c r="AD45" i="40" a="1"/>
  <c r="AD19" i="40" a="1"/>
  <c r="AO19" i="40" a="1"/>
  <c r="BK5" i="40" a="1"/>
  <c r="AC32" i="40" a="1"/>
  <c r="AC45" i="40" a="1"/>
  <c r="AD31" i="40" a="1"/>
  <c r="F51" i="40"/>
  <c r="P51" i="40" s="1"/>
  <c r="Q51" i="40" s="1"/>
  <c r="BH8" i="55"/>
  <c r="BH35" i="55" s="1"/>
  <c r="BH9" i="55"/>
  <c r="BH36" i="55" s="1"/>
  <c r="BH12" i="55"/>
  <c r="BH39" i="55" s="1"/>
  <c r="BH7" i="55"/>
  <c r="BH34" i="55" s="1"/>
  <c r="BH6" i="55"/>
  <c r="BH33" i="55" s="1"/>
  <c r="BH11" i="55"/>
  <c r="BH38" i="55" s="1"/>
  <c r="BH10" i="55"/>
  <c r="BH37" i="55" s="1"/>
  <c r="BH13" i="55"/>
  <c r="BH40" i="55" s="1"/>
  <c r="BH14" i="55"/>
  <c r="BH41" i="55" s="1"/>
  <c r="F47" i="40"/>
  <c r="P47" i="40" s="1"/>
  <c r="Q47" i="40" s="1"/>
  <c r="CS28" i="40"/>
  <c r="CS30" i="40"/>
  <c r="CS31" i="40"/>
  <c r="CS32" i="40"/>
  <c r="CS29" i="40"/>
  <c r="CS33" i="40"/>
  <c r="CS27" i="40"/>
  <c r="CS26" i="40"/>
  <c r="CS34" i="40"/>
  <c r="N8" i="40"/>
  <c r="N10" i="40"/>
  <c r="O33" i="39"/>
  <c r="O34" i="39" s="1"/>
  <c r="O35" i="39" s="1"/>
  <c r="O36" i="39" s="1"/>
  <c r="O37" i="39" s="1"/>
  <c r="O38" i="39" s="1"/>
  <c r="O39" i="39" s="1"/>
  <c r="O40" i="39" s="1"/>
  <c r="N9" i="40"/>
  <c r="N13" i="40"/>
  <c r="N14" i="40"/>
  <c r="BC46" i="40"/>
  <c r="N11" i="40"/>
  <c r="N6" i="40"/>
  <c r="O6" i="40" s="1"/>
  <c r="O7" i="40" s="1"/>
  <c r="N12" i="40"/>
  <c r="BN32" i="40"/>
  <c r="BL32" i="40"/>
  <c r="BK32" i="40"/>
  <c r="BE46" i="40"/>
  <c r="AZ19" i="40" a="1"/>
  <c r="BF21" i="40" s="1"/>
  <c r="BA46" i="40"/>
  <c r="BF46" i="40"/>
  <c r="AZ46" i="40"/>
  <c r="BD46" i="40"/>
  <c r="BB46" i="40"/>
  <c r="BG46" i="40"/>
  <c r="AJ34" i="39"/>
  <c r="AJ35" i="39" s="1"/>
  <c r="AJ36" i="39" s="1"/>
  <c r="AJ37" i="39" s="1"/>
  <c r="AJ38" i="39" s="1"/>
  <c r="AJ39" i="39" s="1"/>
  <c r="AJ40" i="39" s="1"/>
  <c r="AS74" i="39" a="1"/>
  <c r="AS87" i="39" a="1"/>
  <c r="AH26" i="39"/>
  <c r="AH22" i="39"/>
  <c r="AH27" i="39"/>
  <c r="AH21" i="39"/>
  <c r="AH25" i="39"/>
  <c r="AH20" i="39"/>
  <c r="AH23" i="39"/>
  <c r="AH24" i="39"/>
  <c r="AH19" i="39"/>
  <c r="Q14" i="37"/>
  <c r="Q16" i="37" s="1"/>
  <c r="Q19" i="37"/>
  <c r="Q13" i="37"/>
  <c r="Q15" i="37" s="1"/>
  <c r="Q17" i="37" s="1"/>
  <c r="Q18" i="37" s="1"/>
  <c r="Q20" i="37" s="1"/>
  <c r="N13" i="37"/>
  <c r="N15" i="37" s="1"/>
  <c r="N18" i="37" s="1"/>
  <c r="B33" i="44" a="1"/>
  <c r="M234" i="54" a="1"/>
  <c r="P238" i="54" l="1"/>
  <c r="O240" i="54"/>
  <c r="N242" i="54"/>
  <c r="N234" i="54"/>
  <c r="M236" i="54"/>
  <c r="P237" i="54"/>
  <c r="O237" i="54"/>
  <c r="N237" i="54"/>
  <c r="M237" i="54"/>
  <c r="P240" i="54"/>
  <c r="O234" i="54"/>
  <c r="M238" i="54"/>
  <c r="O239" i="54"/>
  <c r="M239" i="54"/>
  <c r="P236" i="54"/>
  <c r="O238" i="54"/>
  <c r="N240" i="54"/>
  <c r="M242" i="54"/>
  <c r="M234" i="54"/>
  <c r="P235" i="54"/>
  <c r="O235" i="54"/>
  <c r="N235" i="54"/>
  <c r="M235" i="54"/>
  <c r="P242" i="54"/>
  <c r="P234" i="54"/>
  <c r="O236" i="54"/>
  <c r="N238" i="54"/>
  <c r="M240" i="54"/>
  <c r="P241" i="54"/>
  <c r="O241" i="54"/>
  <c r="N241" i="54"/>
  <c r="M241" i="54"/>
  <c r="O242" i="54"/>
  <c r="N236" i="54"/>
  <c r="P239" i="54"/>
  <c r="N239" i="54"/>
  <c r="E41" i="44"/>
  <c r="F40" i="44"/>
  <c r="G39" i="44"/>
  <c r="H38" i="44"/>
  <c r="I37" i="44"/>
  <c r="J36" i="44"/>
  <c r="B36" i="44"/>
  <c r="C35" i="44"/>
  <c r="D34" i="44"/>
  <c r="E33" i="44"/>
  <c r="D41" i="44"/>
  <c r="E40" i="44"/>
  <c r="F39" i="44"/>
  <c r="G38" i="44"/>
  <c r="H37" i="44"/>
  <c r="I36" i="44"/>
  <c r="J35" i="44"/>
  <c r="B35" i="44"/>
  <c r="C34" i="44"/>
  <c r="D33" i="44"/>
  <c r="C41" i="44"/>
  <c r="D40" i="44"/>
  <c r="E39" i="44"/>
  <c r="F38" i="44"/>
  <c r="G37" i="44"/>
  <c r="H36" i="44"/>
  <c r="I35" i="44"/>
  <c r="J34" i="44"/>
  <c r="B34" i="44"/>
  <c r="C33" i="44"/>
  <c r="J41" i="44"/>
  <c r="B41" i="44"/>
  <c r="C40" i="44"/>
  <c r="D39" i="44"/>
  <c r="E38" i="44"/>
  <c r="F37" i="44"/>
  <c r="G36" i="44"/>
  <c r="H35" i="44"/>
  <c r="I34" i="44"/>
  <c r="J33" i="44"/>
  <c r="B33" i="44"/>
  <c r="I41" i="44"/>
  <c r="J40" i="44"/>
  <c r="B40" i="44"/>
  <c r="C39" i="44"/>
  <c r="D38" i="44"/>
  <c r="E37" i="44"/>
  <c r="F36" i="44"/>
  <c r="G35" i="44"/>
  <c r="H34" i="44"/>
  <c r="I33" i="44"/>
  <c r="G41" i="44"/>
  <c r="H40" i="44"/>
  <c r="I39" i="44"/>
  <c r="J38" i="44"/>
  <c r="B38" i="44"/>
  <c r="C37" i="44"/>
  <c r="D36" i="44"/>
  <c r="E35" i="44"/>
  <c r="F34" i="44"/>
  <c r="G33" i="44"/>
  <c r="F41" i="44"/>
  <c r="J37" i="44"/>
  <c r="E34" i="44"/>
  <c r="I40" i="44"/>
  <c r="D37" i="44"/>
  <c r="H33" i="44"/>
  <c r="G40" i="44"/>
  <c r="B37" i="44"/>
  <c r="F33" i="44"/>
  <c r="J39" i="44"/>
  <c r="E36" i="44"/>
  <c r="I38" i="44"/>
  <c r="D35" i="44"/>
  <c r="H41" i="44"/>
  <c r="C38" i="44"/>
  <c r="G34" i="44"/>
  <c r="H39" i="44"/>
  <c r="B39" i="44"/>
  <c r="C36" i="44"/>
  <c r="F35" i="44"/>
  <c r="DM26" i="40" a="1"/>
  <c r="DM32" i="40" s="1"/>
  <c r="T193" i="54"/>
  <c r="P191" i="54"/>
  <c r="Q197" i="54"/>
  <c r="P190" i="54"/>
  <c r="M192" i="54"/>
  <c r="R192" i="54"/>
  <c r="Q193" i="54"/>
  <c r="N192" i="54"/>
  <c r="S194" i="54"/>
  <c r="U194" i="54"/>
  <c r="O195" i="54"/>
  <c r="Q192" i="54"/>
  <c r="O197" i="54"/>
  <c r="P197" i="54"/>
  <c r="O198" i="54"/>
  <c r="S192" i="54"/>
  <c r="U190" i="54"/>
  <c r="S190" i="54"/>
  <c r="U191" i="54"/>
  <c r="S195" i="54"/>
  <c r="U193" i="54"/>
  <c r="R197" i="54"/>
  <c r="T195" i="54"/>
  <c r="T197" i="54"/>
  <c r="M197" i="54"/>
  <c r="A7" i="43"/>
  <c r="V7" i="43" s="1"/>
  <c r="O192" i="54"/>
  <c r="N190" i="54"/>
  <c r="DM28" i="40"/>
  <c r="DK26" i="40" a="1"/>
  <c r="T198" i="54"/>
  <c r="R193" i="54"/>
  <c r="N193" i="54"/>
  <c r="M196" i="54"/>
  <c r="T190" i="54"/>
  <c r="P192" i="54"/>
  <c r="DM34" i="40"/>
  <c r="O190" i="54"/>
  <c r="O194" i="54"/>
  <c r="N191" i="54"/>
  <c r="R195" i="54"/>
  <c r="U192" i="54"/>
  <c r="S193" i="54"/>
  <c r="Q195" i="54"/>
  <c r="S198" i="54"/>
  <c r="DM29" i="40"/>
  <c r="DM30" i="40"/>
  <c r="M49" i="40"/>
  <c r="CH19" i="40" a="1"/>
  <c r="CI89" i="40" s="1"/>
  <c r="M47" i="40"/>
  <c r="M52" i="40"/>
  <c r="M45" i="40"/>
  <c r="M48" i="40"/>
  <c r="Q190" i="54"/>
  <c r="A99" i="40" a="1"/>
  <c r="AO32" i="40" a="1"/>
  <c r="BV46" i="40" a="1"/>
  <c r="M44" i="40"/>
  <c r="E57" i="40" a="1"/>
  <c r="AD32" i="40" a="1"/>
  <c r="M50" i="40"/>
  <c r="CE19" i="40" a="1"/>
  <c r="M51" i="40"/>
  <c r="M46" i="40"/>
  <c r="B10" i="43"/>
  <c r="W10" i="43" s="1"/>
  <c r="A11" i="43"/>
  <c r="V11" i="43" s="1"/>
  <c r="O191" i="54"/>
  <c r="W5" i="43"/>
  <c r="AC38" i="40"/>
  <c r="AC39" i="40"/>
  <c r="AC34" i="40"/>
  <c r="AC32" i="40"/>
  <c r="AC37" i="40"/>
  <c r="AC36" i="40"/>
  <c r="AC40" i="40"/>
  <c r="AC33" i="40"/>
  <c r="AC35" i="40"/>
  <c r="AD51" i="40"/>
  <c r="AE52" i="40"/>
  <c r="AG52" i="40"/>
  <c r="AF53" i="40"/>
  <c r="AI52" i="40"/>
  <c r="AE51" i="40"/>
  <c r="AH49" i="40"/>
  <c r="AH53" i="40"/>
  <c r="AF46" i="40"/>
  <c r="AF50" i="40"/>
  <c r="AH51" i="40"/>
  <c r="AI53" i="40"/>
  <c r="AK51" i="40"/>
  <c r="AK47" i="40"/>
  <c r="AJ49" i="40"/>
  <c r="AL49" i="40"/>
  <c r="AE47" i="40"/>
  <c r="AH45" i="40"/>
  <c r="AL47" i="40"/>
  <c r="AJ47" i="40"/>
  <c r="AD53" i="40"/>
  <c r="AL53" i="40"/>
  <c r="AF45" i="40"/>
  <c r="AH52" i="40"/>
  <c r="AI48" i="40"/>
  <c r="AD46" i="40"/>
  <c r="AK45" i="40"/>
  <c r="AK49" i="40"/>
  <c r="AE53" i="40"/>
  <c r="AJ53" i="40"/>
  <c r="AG45" i="40"/>
  <c r="AG47" i="40"/>
  <c r="AK50" i="40"/>
  <c r="AL51" i="40"/>
  <c r="AG46" i="40"/>
  <c r="AD45" i="40"/>
  <c r="AH48" i="40"/>
  <c r="AE50" i="40"/>
  <c r="AF51" i="40"/>
  <c r="AL46" i="40"/>
  <c r="AK46" i="40"/>
  <c r="AF47" i="40"/>
  <c r="AD47" i="40"/>
  <c r="AI45" i="40"/>
  <c r="AE46" i="40"/>
  <c r="AG48" i="40"/>
  <c r="AH46" i="40"/>
  <c r="AJ52" i="40"/>
  <c r="AE48" i="40"/>
  <c r="AK53" i="40"/>
  <c r="AG49" i="40"/>
  <c r="AJ45" i="40"/>
  <c r="AJ48" i="40"/>
  <c r="AI51" i="40"/>
  <c r="AI50" i="40"/>
  <c r="AJ51" i="40"/>
  <c r="AF52" i="40"/>
  <c r="AL48" i="40"/>
  <c r="AJ46" i="40"/>
  <c r="AL45" i="40"/>
  <c r="AH47" i="40"/>
  <c r="AD48" i="40"/>
  <c r="AK52" i="40"/>
  <c r="AI49" i="40"/>
  <c r="AH50" i="40"/>
  <c r="AL52" i="40"/>
  <c r="AI46" i="40"/>
  <c r="AG50" i="40"/>
  <c r="AL50" i="40"/>
  <c r="AF48" i="40"/>
  <c r="AD52" i="40"/>
  <c r="AD49" i="40"/>
  <c r="AI47" i="40"/>
  <c r="AJ50" i="40"/>
  <c r="AF49" i="40"/>
  <c r="AE45" i="40"/>
  <c r="AG53" i="40"/>
  <c r="AD50" i="40"/>
  <c r="AG51" i="40"/>
  <c r="AE49" i="40"/>
  <c r="AK48" i="40"/>
  <c r="A10" i="42"/>
  <c r="D10" i="42"/>
  <c r="B8" i="42"/>
  <c r="D11" i="42"/>
  <c r="D9" i="42"/>
  <c r="Y9" i="42" s="1"/>
  <c r="D7" i="42"/>
  <c r="Y7" i="42" s="1"/>
  <c r="D12" i="42"/>
  <c r="C12" i="42"/>
  <c r="X12" i="42" s="1"/>
  <c r="D8" i="42"/>
  <c r="A7" i="42"/>
  <c r="D6" i="42"/>
  <c r="A4" i="42"/>
  <c r="C7" i="42"/>
  <c r="B5" i="42"/>
  <c r="C9" i="42"/>
  <c r="B12" i="42"/>
  <c r="C4" i="42"/>
  <c r="X4" i="42" s="1"/>
  <c r="B4" i="42"/>
  <c r="B10" i="42"/>
  <c r="A5" i="42"/>
  <c r="A12" i="42"/>
  <c r="A11" i="42"/>
  <c r="A8" i="42"/>
  <c r="C8" i="42"/>
  <c r="A9" i="42"/>
  <c r="D4" i="42"/>
  <c r="B6" i="42"/>
  <c r="A6" i="42"/>
  <c r="C10" i="42"/>
  <c r="C5" i="42"/>
  <c r="C6" i="42"/>
  <c r="D5" i="42"/>
  <c r="C11" i="42"/>
  <c r="B9" i="42"/>
  <c r="B7" i="42"/>
  <c r="B11" i="42"/>
  <c r="W11" i="42" s="1"/>
  <c r="AR31" i="40"/>
  <c r="AU31" i="40"/>
  <c r="AW31" i="40"/>
  <c r="AT31" i="40"/>
  <c r="AV31" i="40"/>
  <c r="AQ31" i="40"/>
  <c r="AS31" i="40"/>
  <c r="AP31" i="40"/>
  <c r="AO31" i="40"/>
  <c r="P193" i="54"/>
  <c r="S197" i="54"/>
  <c r="P196" i="54"/>
  <c r="U197" i="54"/>
  <c r="T191" i="54"/>
  <c r="M190" i="54"/>
  <c r="N197" i="54"/>
  <c r="R190" i="54"/>
  <c r="Q198" i="54"/>
  <c r="R196" i="54"/>
  <c r="U198" i="54"/>
  <c r="P194" i="54"/>
  <c r="Q196" i="54"/>
  <c r="BK8" i="40"/>
  <c r="BN7" i="40"/>
  <c r="BM6" i="40"/>
  <c r="BM5" i="40"/>
  <c r="BN8" i="40"/>
  <c r="BK6" i="40"/>
  <c r="BN6" i="40"/>
  <c r="BM8" i="40"/>
  <c r="BK5" i="40"/>
  <c r="BL7" i="40"/>
  <c r="BL5" i="40"/>
  <c r="BL6" i="40"/>
  <c r="BN5" i="40"/>
  <c r="BK7" i="40"/>
  <c r="BL8" i="40"/>
  <c r="BM7" i="40"/>
  <c r="P44" i="40"/>
  <c r="F53" i="40"/>
  <c r="D12" i="43"/>
  <c r="Y12" i="43" s="1"/>
  <c r="A4" i="43"/>
  <c r="C6" i="43"/>
  <c r="X6" i="43" s="1"/>
  <c r="A10" i="43"/>
  <c r="D10" i="43"/>
  <c r="C5" i="43"/>
  <c r="D9" i="43"/>
  <c r="A6" i="43"/>
  <c r="A5" i="43"/>
  <c r="A8" i="43"/>
  <c r="C4" i="43"/>
  <c r="A12" i="43"/>
  <c r="D7" i="43"/>
  <c r="B9" i="43"/>
  <c r="B7" i="43"/>
  <c r="C8" i="43"/>
  <c r="X8" i="43" s="1"/>
  <c r="D5" i="43"/>
  <c r="D6" i="43"/>
  <c r="C12" i="43"/>
  <c r="B8" i="43"/>
  <c r="B6" i="43"/>
  <c r="B11" i="43"/>
  <c r="C9" i="43"/>
  <c r="X9" i="43" s="1"/>
  <c r="C10" i="43"/>
  <c r="X10" i="43" s="1"/>
  <c r="B4" i="43"/>
  <c r="A9" i="43"/>
  <c r="D8" i="43"/>
  <c r="D4" i="43"/>
  <c r="C11" i="43"/>
  <c r="X11" i="43" s="1"/>
  <c r="C7" i="43"/>
  <c r="B12" i="43"/>
  <c r="M193" i="54"/>
  <c r="O193" i="54"/>
  <c r="M194" i="54"/>
  <c r="N194" i="54"/>
  <c r="N198" i="54"/>
  <c r="D11" i="43"/>
  <c r="S191" i="54"/>
  <c r="P195" i="54"/>
  <c r="R198" i="54"/>
  <c r="O196" i="54"/>
  <c r="M191" i="54"/>
  <c r="AI31" i="40"/>
  <c r="AL31" i="40"/>
  <c r="AH31" i="40"/>
  <c r="AE31" i="40"/>
  <c r="AD31" i="40"/>
  <c r="AJ31" i="40"/>
  <c r="AK31" i="40"/>
  <c r="AF31" i="40"/>
  <c r="AG31" i="40"/>
  <c r="AS27" i="40"/>
  <c r="AS21" i="40"/>
  <c r="AS19" i="40"/>
  <c r="AO22" i="40"/>
  <c r="AW26" i="40"/>
  <c r="AR19" i="40"/>
  <c r="AT24" i="40"/>
  <c r="AV20" i="40"/>
  <c r="AS24" i="40"/>
  <c r="AW21" i="40"/>
  <c r="AV21" i="40"/>
  <c r="AO25" i="40"/>
  <c r="AV25" i="40"/>
  <c r="AS22" i="40"/>
  <c r="AU21" i="40"/>
  <c r="AU27" i="40"/>
  <c r="AQ19" i="40"/>
  <c r="AP21" i="40"/>
  <c r="AS25" i="40"/>
  <c r="AW23" i="40"/>
  <c r="AR25" i="40"/>
  <c r="AT19" i="40"/>
  <c r="AT27" i="40"/>
  <c r="AU23" i="40"/>
  <c r="AP19" i="40"/>
  <c r="AR22" i="40"/>
  <c r="AR24" i="40"/>
  <c r="AS20" i="40"/>
  <c r="AU26" i="40"/>
  <c r="AS26" i="40"/>
  <c r="AR27" i="40"/>
  <c r="AO20" i="40"/>
  <c r="AW24" i="40"/>
  <c r="AS23" i="40"/>
  <c r="AW20" i="40"/>
  <c r="AT21" i="40"/>
  <c r="AW25" i="40"/>
  <c r="AV27" i="40"/>
  <c r="AU25" i="40"/>
  <c r="AO23" i="40"/>
  <c r="AP27" i="40"/>
  <c r="AQ22" i="40"/>
  <c r="AO19" i="40"/>
  <c r="AP24" i="40"/>
  <c r="AT22" i="40"/>
  <c r="AV22" i="40"/>
  <c r="AV26" i="40"/>
  <c r="AQ26" i="40"/>
  <c r="AV19" i="40"/>
  <c r="AP25" i="40"/>
  <c r="AR23" i="40"/>
  <c r="AW19" i="40"/>
  <c r="AO24" i="40"/>
  <c r="AR20" i="40"/>
  <c r="AR21" i="40"/>
  <c r="AT23" i="40"/>
  <c r="AQ20" i="40"/>
  <c r="AU24" i="40"/>
  <c r="AQ25" i="40"/>
  <c r="AW22" i="40"/>
  <c r="AR26" i="40"/>
  <c r="AP22" i="40"/>
  <c r="AO26" i="40"/>
  <c r="AT20" i="40"/>
  <c r="AQ21" i="40"/>
  <c r="AU22" i="40"/>
  <c r="AP20" i="40"/>
  <c r="AO27" i="40"/>
  <c r="AQ23" i="40"/>
  <c r="AU20" i="40"/>
  <c r="AP26" i="40"/>
  <c r="AQ24" i="40"/>
  <c r="AT26" i="40"/>
  <c r="AV23" i="40"/>
  <c r="AW27" i="40"/>
  <c r="AU19" i="40"/>
  <c r="AV24" i="40"/>
  <c r="AO21" i="40"/>
  <c r="AQ27" i="40"/>
  <c r="AT25" i="40"/>
  <c r="AP23" i="40"/>
  <c r="A62" i="40"/>
  <c r="A58" i="40"/>
  <c r="B63" i="40"/>
  <c r="B59" i="40"/>
  <c r="D62" i="40"/>
  <c r="C63" i="40"/>
  <c r="C64" i="40"/>
  <c r="C58" i="40"/>
  <c r="D57" i="40"/>
  <c r="B64" i="40"/>
  <c r="C57" i="40"/>
  <c r="A65" i="40"/>
  <c r="A61" i="40"/>
  <c r="A57" i="40"/>
  <c r="B62" i="40"/>
  <c r="B58" i="40"/>
  <c r="D60" i="40"/>
  <c r="C61" i="40"/>
  <c r="C60" i="40"/>
  <c r="D61" i="40"/>
  <c r="A64" i="40"/>
  <c r="A60" i="40"/>
  <c r="B65" i="40"/>
  <c r="B61" i="40"/>
  <c r="B57" i="40"/>
  <c r="D58" i="40"/>
  <c r="C59" i="40"/>
  <c r="D63" i="40"/>
  <c r="D65" i="40"/>
  <c r="A63" i="40"/>
  <c r="A59" i="40"/>
  <c r="B60" i="40"/>
  <c r="D64" i="40"/>
  <c r="C65" i="40"/>
  <c r="D59" i="40"/>
  <c r="C62" i="40"/>
  <c r="H32" i="44"/>
  <c r="G32" i="44"/>
  <c r="E32" i="44"/>
  <c r="D32" i="44"/>
  <c r="B32" i="44"/>
  <c r="J32" i="44"/>
  <c r="I32" i="44"/>
  <c r="F32" i="44"/>
  <c r="C32" i="44"/>
  <c r="R194" i="54"/>
  <c r="N196" i="54"/>
  <c r="T196" i="54"/>
  <c r="U196" i="54"/>
  <c r="U195" i="54"/>
  <c r="H51" i="40"/>
  <c r="H50" i="40"/>
  <c r="H48" i="40"/>
  <c r="H47" i="40"/>
  <c r="H45" i="40"/>
  <c r="H49" i="40"/>
  <c r="H52" i="40"/>
  <c r="H46" i="40"/>
  <c r="H44" i="40"/>
  <c r="A27" i="44"/>
  <c r="A25" i="44"/>
  <c r="A28" i="44"/>
  <c r="A22" i="44"/>
  <c r="A23" i="44"/>
  <c r="A21" i="44"/>
  <c r="A24" i="44"/>
  <c r="A26" i="44"/>
  <c r="A20" i="44"/>
  <c r="S196" i="54"/>
  <c r="T194" i="54"/>
  <c r="N195" i="54"/>
  <c r="Q191" i="54"/>
  <c r="M198" i="54"/>
  <c r="CG5" i="55" a="1"/>
  <c r="BT6" i="55" a="1"/>
  <c r="DK34" i="40"/>
  <c r="DK33" i="40"/>
  <c r="DK31" i="40"/>
  <c r="DK30" i="40"/>
  <c r="DK28" i="40"/>
  <c r="DK26" i="40"/>
  <c r="DK29" i="40"/>
  <c r="DK27" i="40"/>
  <c r="DK32" i="40"/>
  <c r="AC49" i="40"/>
  <c r="AC52" i="40"/>
  <c r="AC45" i="40"/>
  <c r="AC51" i="40"/>
  <c r="AC48" i="40"/>
  <c r="AC46" i="40"/>
  <c r="AC50" i="40"/>
  <c r="AC47" i="40"/>
  <c r="AC53" i="40"/>
  <c r="AD27" i="40"/>
  <c r="AE20" i="40"/>
  <c r="AG25" i="40"/>
  <c r="AK20" i="40"/>
  <c r="AK22" i="40"/>
  <c r="AD24" i="40"/>
  <c r="AJ24" i="40"/>
  <c r="AF20" i="40"/>
  <c r="AG20" i="40"/>
  <c r="AH27" i="40"/>
  <c r="AL22" i="40"/>
  <c r="AD19" i="40"/>
  <c r="AE25" i="40"/>
  <c r="AL25" i="40"/>
  <c r="AH21" i="40"/>
  <c r="AF21" i="40"/>
  <c r="AH22" i="40"/>
  <c r="AK25" i="40"/>
  <c r="AH26" i="40"/>
  <c r="AD22" i="40"/>
  <c r="AJ21" i="40"/>
  <c r="AK19" i="40"/>
  <c r="AE23" i="40"/>
  <c r="AG24" i="40"/>
  <c r="AJ23" i="40"/>
  <c r="AG26" i="40"/>
  <c r="AE27" i="40"/>
  <c r="AJ22" i="40"/>
  <c r="AE22" i="40"/>
  <c r="AL24" i="40"/>
  <c r="AJ27" i="40"/>
  <c r="AI22" i="40"/>
  <c r="AG21" i="40"/>
  <c r="AI27" i="40"/>
  <c r="AI19" i="40"/>
  <c r="AK23" i="40"/>
  <c r="AD23" i="40"/>
  <c r="AF27" i="40"/>
  <c r="AG19" i="40"/>
  <c r="AJ20" i="40"/>
  <c r="AH24" i="40"/>
  <c r="AH23" i="40"/>
  <c r="AI25" i="40"/>
  <c r="AI21" i="40"/>
  <c r="AJ26" i="40"/>
  <c r="AJ25" i="40"/>
  <c r="AF23" i="40"/>
  <c r="AD26" i="40"/>
  <c r="AF24" i="40"/>
  <c r="AK24" i="40"/>
  <c r="AK21" i="40"/>
  <c r="AK26" i="40"/>
  <c r="AE19" i="40"/>
  <c r="AE24" i="40"/>
  <c r="AI24" i="40"/>
  <c r="AL27" i="40"/>
  <c r="AD20" i="40"/>
  <c r="AD25" i="40"/>
  <c r="AF22" i="40"/>
  <c r="AE26" i="40"/>
  <c r="AH20" i="40"/>
  <c r="AI26" i="40"/>
  <c r="AL19" i="40"/>
  <c r="AI20" i="40"/>
  <c r="AG22" i="40"/>
  <c r="AG27" i="40"/>
  <c r="AL26" i="40"/>
  <c r="AE21" i="40"/>
  <c r="AF26" i="40"/>
  <c r="AD21" i="40"/>
  <c r="AH25" i="40"/>
  <c r="AF25" i="40"/>
  <c r="AL20" i="40"/>
  <c r="AF19" i="40"/>
  <c r="AL21" i="40"/>
  <c r="AL23" i="40"/>
  <c r="AK27" i="40"/>
  <c r="AI23" i="40"/>
  <c r="AH19" i="40"/>
  <c r="AG23" i="40"/>
  <c r="AJ19" i="40"/>
  <c r="C90" i="40"/>
  <c r="C86" i="40"/>
  <c r="C82" i="40"/>
  <c r="D87" i="40"/>
  <c r="D83" i="40"/>
  <c r="B85" i="40"/>
  <c r="A86" i="40"/>
  <c r="A83" i="40"/>
  <c r="B82" i="40"/>
  <c r="C89" i="40"/>
  <c r="C85" i="40"/>
  <c r="D90" i="40"/>
  <c r="D86" i="40"/>
  <c r="D82" i="40"/>
  <c r="B83" i="40"/>
  <c r="A84" i="40"/>
  <c r="B88" i="40"/>
  <c r="A89" i="40"/>
  <c r="C88" i="40"/>
  <c r="C84" i="40"/>
  <c r="D89" i="40"/>
  <c r="D85" i="40"/>
  <c r="B89" i="40"/>
  <c r="A90" i="40"/>
  <c r="A82" i="40"/>
  <c r="B84" i="40"/>
  <c r="A85" i="40"/>
  <c r="C87" i="40"/>
  <c r="C83" i="40"/>
  <c r="D88" i="40"/>
  <c r="D84" i="40"/>
  <c r="B87" i="40"/>
  <c r="A88" i="40"/>
  <c r="A87" i="40"/>
  <c r="B90" i="40"/>
  <c r="B86" i="40"/>
  <c r="BF18" i="40"/>
  <c r="BD18" i="40"/>
  <c r="BA18" i="40"/>
  <c r="BH18" i="40"/>
  <c r="BC18" i="40"/>
  <c r="BG18" i="40"/>
  <c r="BE18" i="40"/>
  <c r="BB18" i="40"/>
  <c r="AZ18" i="40"/>
  <c r="AN23" i="40"/>
  <c r="AN24" i="40"/>
  <c r="AN27" i="40"/>
  <c r="AN19" i="40"/>
  <c r="AN25" i="40"/>
  <c r="AN26" i="40"/>
  <c r="AN22" i="40"/>
  <c r="AN21" i="40"/>
  <c r="AN20" i="40"/>
  <c r="Q194" i="54"/>
  <c r="T192" i="54"/>
  <c r="P198" i="54"/>
  <c r="R191" i="54"/>
  <c r="AY6" i="40" a="1"/>
  <c r="O8" i="40"/>
  <c r="O9" i="40" s="1"/>
  <c r="O10" i="40" s="1"/>
  <c r="O11" i="40" s="1"/>
  <c r="O12" i="40" s="1"/>
  <c r="O13" i="40" s="1"/>
  <c r="O14" i="40" s="1"/>
  <c r="BG23" i="40"/>
  <c r="BG25" i="40"/>
  <c r="BG26" i="40"/>
  <c r="BH20" i="40"/>
  <c r="BD27" i="40"/>
  <c r="BF24" i="40"/>
  <c r="BG24" i="40"/>
  <c r="BC27" i="40"/>
  <c r="BB25" i="40"/>
  <c r="AZ25" i="40"/>
  <c r="BB24" i="40"/>
  <c r="BC24" i="40"/>
  <c r="BG21" i="40"/>
  <c r="BF27" i="40"/>
  <c r="BC21" i="40"/>
  <c r="BG19" i="40"/>
  <c r="BA21" i="40"/>
  <c r="BF20" i="40"/>
  <c r="BE25" i="40"/>
  <c r="BD26" i="40"/>
  <c r="BE26" i="40"/>
  <c r="BF26" i="40"/>
  <c r="BC26" i="40"/>
  <c r="BC20" i="40"/>
  <c r="BE24" i="40"/>
  <c r="BE23" i="40"/>
  <c r="BA26" i="40"/>
  <c r="BF23" i="40"/>
  <c r="BD20" i="40"/>
  <c r="BA27" i="40"/>
  <c r="AZ27" i="40"/>
  <c r="BH24" i="40"/>
  <c r="AZ19" i="40"/>
  <c r="BA23" i="40"/>
  <c r="AZ24" i="40"/>
  <c r="BD19" i="40"/>
  <c r="BC23" i="40"/>
  <c r="AZ22" i="40"/>
  <c r="BE20" i="40"/>
  <c r="BA22" i="40"/>
  <c r="BB27" i="40"/>
  <c r="BH25" i="40"/>
  <c r="BB23" i="40"/>
  <c r="BA19" i="40"/>
  <c r="BA25" i="40"/>
  <c r="BH19" i="40"/>
  <c r="BB20" i="40"/>
  <c r="BH27" i="40"/>
  <c r="BG27" i="40"/>
  <c r="BC19" i="40"/>
  <c r="BB21" i="40"/>
  <c r="BH21" i="40"/>
  <c r="BD24" i="40"/>
  <c r="BH22" i="40"/>
  <c r="BF25" i="40"/>
  <c r="BF22" i="40"/>
  <c r="BG20" i="40"/>
  <c r="BH26" i="40"/>
  <c r="BD21" i="40"/>
  <c r="AZ20" i="40"/>
  <c r="BD23" i="40"/>
  <c r="BA20" i="40"/>
  <c r="BG22" i="40"/>
  <c r="AZ21" i="40"/>
  <c r="BD25" i="40"/>
  <c r="BB19" i="40"/>
  <c r="BA24" i="40"/>
  <c r="AZ23" i="40"/>
  <c r="BE19" i="40"/>
  <c r="BF19" i="40"/>
  <c r="BE21" i="40"/>
  <c r="BC25" i="40"/>
  <c r="BH23" i="40"/>
  <c r="BD22" i="40"/>
  <c r="BE27" i="40"/>
  <c r="BE22" i="40"/>
  <c r="BB22" i="40"/>
  <c r="AZ26" i="40"/>
  <c r="BB26" i="40"/>
  <c r="BC22" i="40"/>
  <c r="AS93" i="39"/>
  <c r="AS89" i="39"/>
  <c r="AS92" i="39"/>
  <c r="AS88" i="39"/>
  <c r="AS95" i="39"/>
  <c r="AS87" i="39"/>
  <c r="AS94" i="39"/>
  <c r="AS91" i="39"/>
  <c r="AS90" i="39"/>
  <c r="AS77" i="39"/>
  <c r="AS75" i="39"/>
  <c r="AS74" i="39"/>
  <c r="AS76" i="39"/>
  <c r="BC5" i="35"/>
  <c r="BC4" i="35"/>
  <c r="AX9" i="35" a="1"/>
  <c r="AT5" i="35"/>
  <c r="AT6" i="35"/>
  <c r="AT7" i="35"/>
  <c r="AT4" i="35"/>
  <c r="AR8" i="35"/>
  <c r="AS8" i="35"/>
  <c r="AQ8" i="35"/>
  <c r="AQ5" i="35"/>
  <c r="AR5" i="35"/>
  <c r="AS5" i="35"/>
  <c r="AQ6" i="35"/>
  <c r="AR6" i="35"/>
  <c r="AS6" i="35"/>
  <c r="AQ7" i="35"/>
  <c r="AR7" i="35"/>
  <c r="AS7" i="35"/>
  <c r="AR4" i="35"/>
  <c r="AS4" i="35"/>
  <c r="AQ4" i="35"/>
  <c r="AQ3" i="35" a="1"/>
  <c r="AQ3" i="35" s="1"/>
  <c r="AJ14" i="35"/>
  <c r="AK14" i="35"/>
  <c r="AI14" i="35"/>
  <c r="X46" i="35"/>
  <c r="W46" i="35"/>
  <c r="Y33" i="35"/>
  <c r="X31" i="35"/>
  <c r="W31" i="35"/>
  <c r="Y31" i="35" s="1"/>
  <c r="Y18" i="35"/>
  <c r="X16" i="35"/>
  <c r="W16" i="35"/>
  <c r="Y16" i="35" s="1"/>
  <c r="Y3" i="35"/>
  <c r="N9" i="35" a="1"/>
  <c r="DM26" i="40" l="1"/>
  <c r="DM33" i="40"/>
  <c r="AZ31" i="40" a="1"/>
  <c r="O44" i="40" a="1"/>
  <c r="DM31" i="40"/>
  <c r="DM27" i="40"/>
  <c r="Y46" i="35"/>
  <c r="AN32" i="40" a="1"/>
  <c r="AS3" i="35"/>
  <c r="AT8" i="35"/>
  <c r="BC6" i="35"/>
  <c r="BC8" i="35" s="1"/>
  <c r="AS11" i="35"/>
  <c r="AT10" i="35"/>
  <c r="AR11" i="35"/>
  <c r="CH79" i="40"/>
  <c r="CK22" i="40"/>
  <c r="CI19" i="40"/>
  <c r="CJ79" i="40"/>
  <c r="CK29" i="40"/>
  <c r="CH104" i="40"/>
  <c r="CI59" i="40"/>
  <c r="CI96" i="40"/>
  <c r="CJ75" i="40"/>
  <c r="CI94" i="40"/>
  <c r="CJ74" i="40"/>
  <c r="CJ94" i="40"/>
  <c r="CK68" i="40"/>
  <c r="CH92" i="40"/>
  <c r="CJ97" i="40"/>
  <c r="CJ38" i="40"/>
  <c r="CI25" i="40"/>
  <c r="CH71" i="40"/>
  <c r="CI117" i="40"/>
  <c r="CI23" i="40"/>
  <c r="CK101" i="40"/>
  <c r="CH64" i="40"/>
  <c r="CH41" i="40"/>
  <c r="CI115" i="40"/>
  <c r="CH82" i="40"/>
  <c r="CJ54" i="40"/>
  <c r="CJ41" i="40"/>
  <c r="CH59" i="40"/>
  <c r="CI31" i="40"/>
  <c r="CJ110" i="40"/>
  <c r="CI68" i="40"/>
  <c r="CJ109" i="40"/>
  <c r="CJ86" i="40"/>
  <c r="CH91" i="40"/>
  <c r="CJ20" i="40"/>
  <c r="CK51" i="40"/>
  <c r="CK28" i="40"/>
  <c r="CI56" i="40"/>
  <c r="CI99" i="40"/>
  <c r="CK107" i="40"/>
  <c r="CH26" i="40"/>
  <c r="CI38" i="40"/>
  <c r="CK78" i="40"/>
  <c r="CI113" i="40"/>
  <c r="CK106" i="40"/>
  <c r="CK129" i="40"/>
  <c r="CK37" i="40"/>
  <c r="CJ25" i="40"/>
  <c r="CJ61" i="40"/>
  <c r="CH128" i="40"/>
  <c r="CH114" i="40"/>
  <c r="CH48" i="40"/>
  <c r="CJ35" i="40"/>
  <c r="CI101" i="40"/>
  <c r="CH125" i="40"/>
  <c r="CH73" i="40"/>
  <c r="CI103" i="40"/>
  <c r="CJ40" i="40"/>
  <c r="CK90" i="40"/>
  <c r="CK33" i="40"/>
  <c r="CJ134" i="40"/>
  <c r="CK58" i="40"/>
  <c r="CK82" i="40"/>
  <c r="CJ21" i="40"/>
  <c r="CH66" i="40"/>
  <c r="CI49" i="40"/>
  <c r="CI41" i="40"/>
  <c r="CK67" i="40"/>
  <c r="CK88" i="40"/>
  <c r="CK87" i="40"/>
  <c r="CH32" i="40"/>
  <c r="CI105" i="40"/>
  <c r="CJ98" i="40"/>
  <c r="CH57" i="40"/>
  <c r="CH67" i="40"/>
  <c r="CH55" i="40"/>
  <c r="CK122" i="40"/>
  <c r="CK126" i="40"/>
  <c r="CJ132" i="40"/>
  <c r="CH80" i="40"/>
  <c r="CJ50" i="40"/>
  <c r="CK114" i="40"/>
  <c r="CH120" i="40"/>
  <c r="CJ136" i="40"/>
  <c r="CJ138" i="40"/>
  <c r="CI46" i="40"/>
  <c r="CH97" i="40"/>
  <c r="CI119" i="40"/>
  <c r="CH127" i="40"/>
  <c r="CJ62" i="40"/>
  <c r="CJ68" i="40"/>
  <c r="CI65" i="40"/>
  <c r="CK85" i="40"/>
  <c r="CJ42" i="40"/>
  <c r="CI35" i="40"/>
  <c r="CH99" i="40"/>
  <c r="CJ115" i="40"/>
  <c r="CH126" i="40"/>
  <c r="CJ45" i="40"/>
  <c r="CK59" i="40"/>
  <c r="CH70" i="40"/>
  <c r="CJ31" i="40"/>
  <c r="CI85" i="40"/>
  <c r="CI71" i="40"/>
  <c r="CH39" i="40"/>
  <c r="CJ116" i="40"/>
  <c r="CI111" i="40"/>
  <c r="CJ120" i="40"/>
  <c r="CI91" i="40"/>
  <c r="CJ90" i="40"/>
  <c r="CH81" i="40"/>
  <c r="CH37" i="40"/>
  <c r="CH96" i="40"/>
  <c r="CK132" i="40"/>
  <c r="CK44" i="40"/>
  <c r="CJ65" i="40"/>
  <c r="CJ81" i="40"/>
  <c r="CJ66" i="40"/>
  <c r="CI58" i="40"/>
  <c r="CH98" i="40"/>
  <c r="CI92" i="40"/>
  <c r="CH24" i="40"/>
  <c r="CK74" i="40"/>
  <c r="CJ118" i="40"/>
  <c r="CK105" i="40"/>
  <c r="CK124" i="40"/>
  <c r="CJ34" i="40"/>
  <c r="CH133" i="40"/>
  <c r="CJ77" i="40"/>
  <c r="CI27" i="40"/>
  <c r="CI98" i="40"/>
  <c r="CI136" i="40"/>
  <c r="CI125" i="40"/>
  <c r="CI80" i="40"/>
  <c r="CI76" i="40"/>
  <c r="CK20" i="40"/>
  <c r="CK99" i="40"/>
  <c r="CH85" i="40"/>
  <c r="CJ108" i="40"/>
  <c r="CJ71" i="40"/>
  <c r="CH112" i="40"/>
  <c r="CH31" i="40"/>
  <c r="CH52" i="40"/>
  <c r="CH90" i="40"/>
  <c r="CH27" i="40"/>
  <c r="CH65" i="40"/>
  <c r="CI61" i="40"/>
  <c r="CJ76" i="40"/>
  <c r="CH117" i="40"/>
  <c r="CH30" i="40"/>
  <c r="CJ28" i="40"/>
  <c r="CJ72" i="40"/>
  <c r="CI108" i="40"/>
  <c r="CK111" i="40"/>
  <c r="CK64" i="40"/>
  <c r="CK95" i="40"/>
  <c r="CJ52" i="40"/>
  <c r="CJ104" i="40"/>
  <c r="CJ51" i="40"/>
  <c r="CH86" i="40"/>
  <c r="CK100" i="40"/>
  <c r="CJ126" i="40"/>
  <c r="CK83" i="40"/>
  <c r="CH74" i="40"/>
  <c r="CH116" i="40"/>
  <c r="CJ100" i="40"/>
  <c r="CH50" i="40"/>
  <c r="CJ102" i="40"/>
  <c r="CI138" i="40"/>
  <c r="CH93" i="40"/>
  <c r="CK109" i="40"/>
  <c r="CH21" i="40"/>
  <c r="CI131" i="40"/>
  <c r="CK42" i="40"/>
  <c r="CK138" i="40"/>
  <c r="CK118" i="40"/>
  <c r="CI30" i="40"/>
  <c r="CJ43" i="40"/>
  <c r="CH105" i="40"/>
  <c r="CI28" i="40"/>
  <c r="CI48" i="40"/>
  <c r="CJ93" i="40"/>
  <c r="CK117" i="40"/>
  <c r="CI133" i="40"/>
  <c r="CH100" i="40"/>
  <c r="CK38" i="40"/>
  <c r="CH110" i="40"/>
  <c r="CJ88" i="40"/>
  <c r="CI106" i="40"/>
  <c r="CI118" i="40"/>
  <c r="CH53" i="40"/>
  <c r="CK104" i="40"/>
  <c r="CI44" i="40"/>
  <c r="CJ122" i="40"/>
  <c r="CI39" i="40"/>
  <c r="CI21" i="40"/>
  <c r="CJ58" i="40"/>
  <c r="CI24" i="40"/>
  <c r="CH109" i="40"/>
  <c r="CH88" i="40"/>
  <c r="CH121" i="40"/>
  <c r="CH47" i="40"/>
  <c r="CH22" i="40"/>
  <c r="CI112" i="40"/>
  <c r="CJ114" i="40"/>
  <c r="CH119" i="40"/>
  <c r="CI73" i="40"/>
  <c r="CI50" i="40"/>
  <c r="CK21" i="40"/>
  <c r="CK80" i="40"/>
  <c r="CJ48" i="40"/>
  <c r="CK62" i="40"/>
  <c r="CJ91" i="40"/>
  <c r="CH129" i="40"/>
  <c r="CH115" i="40"/>
  <c r="CK137" i="40"/>
  <c r="CK131" i="40"/>
  <c r="CI114" i="40"/>
  <c r="CI116" i="40"/>
  <c r="CJ96" i="40"/>
  <c r="CI124" i="40"/>
  <c r="CI32" i="40"/>
  <c r="CH137" i="40"/>
  <c r="CJ123" i="40"/>
  <c r="CH69" i="40"/>
  <c r="CH36" i="40"/>
  <c r="CH68" i="40"/>
  <c r="CJ80" i="40"/>
  <c r="CH94" i="40"/>
  <c r="CH75" i="40"/>
  <c r="CK27" i="40"/>
  <c r="CJ29" i="40"/>
  <c r="CJ112" i="40"/>
  <c r="CI36" i="40"/>
  <c r="CK63" i="40"/>
  <c r="CJ95" i="40"/>
  <c r="CJ128" i="40"/>
  <c r="CH58" i="40"/>
  <c r="CK125" i="40"/>
  <c r="CH102" i="40"/>
  <c r="CH130" i="40"/>
  <c r="CH46" i="40"/>
  <c r="CJ129" i="40"/>
  <c r="CH20" i="40"/>
  <c r="CK57" i="40"/>
  <c r="CK94" i="40"/>
  <c r="CH34" i="40"/>
  <c r="CH43" i="40"/>
  <c r="CJ85" i="40"/>
  <c r="CK102" i="40"/>
  <c r="CJ56" i="40"/>
  <c r="CJ27" i="40"/>
  <c r="CH76" i="40"/>
  <c r="CK119" i="40"/>
  <c r="CJ119" i="40"/>
  <c r="CI69" i="40"/>
  <c r="CJ26" i="40"/>
  <c r="CH132" i="40"/>
  <c r="CI123" i="40"/>
  <c r="CK79" i="40"/>
  <c r="CI107" i="40"/>
  <c r="CJ107" i="40"/>
  <c r="CK53" i="40"/>
  <c r="CK120" i="40"/>
  <c r="CJ127" i="40"/>
  <c r="CK66" i="40"/>
  <c r="CK35" i="40"/>
  <c r="CI64" i="40"/>
  <c r="CJ22" i="40"/>
  <c r="CI87" i="40"/>
  <c r="CK89" i="40"/>
  <c r="CI51" i="40"/>
  <c r="CI53" i="40"/>
  <c r="CI84" i="40"/>
  <c r="CJ82" i="40"/>
  <c r="CI55" i="40"/>
  <c r="CH103" i="40"/>
  <c r="CK115" i="40"/>
  <c r="CK96" i="40"/>
  <c r="CI62" i="40"/>
  <c r="CH45" i="40"/>
  <c r="CK25" i="40"/>
  <c r="CI128" i="40"/>
  <c r="CJ59" i="40"/>
  <c r="CH35" i="40"/>
  <c r="CI78" i="40"/>
  <c r="CJ36" i="40"/>
  <c r="CI109" i="40"/>
  <c r="CH106" i="40"/>
  <c r="CH118" i="40"/>
  <c r="CK86" i="40"/>
  <c r="CK98" i="40"/>
  <c r="CI122" i="40"/>
  <c r="CI37" i="40"/>
  <c r="CJ69" i="40"/>
  <c r="CI90" i="40"/>
  <c r="CJ84" i="40"/>
  <c r="CK81" i="40"/>
  <c r="CK47" i="40"/>
  <c r="CH51" i="40"/>
  <c r="CH83" i="40"/>
  <c r="CK97" i="40"/>
  <c r="CJ78" i="40"/>
  <c r="CK128" i="40"/>
  <c r="CI132" i="40"/>
  <c r="CK50" i="40"/>
  <c r="CK73" i="40"/>
  <c r="CH29" i="40"/>
  <c r="CI57" i="40"/>
  <c r="CJ87" i="40"/>
  <c r="CK71" i="40"/>
  <c r="CH60" i="40"/>
  <c r="CJ135" i="40"/>
  <c r="CH63" i="40"/>
  <c r="CJ73" i="40"/>
  <c r="CH28" i="40"/>
  <c r="CJ32" i="40"/>
  <c r="CI127" i="40"/>
  <c r="CI54" i="40"/>
  <c r="CI45" i="40"/>
  <c r="CJ103" i="40"/>
  <c r="CI130" i="40"/>
  <c r="CH25" i="40"/>
  <c r="CJ125" i="40"/>
  <c r="CJ57" i="40"/>
  <c r="CJ99" i="40"/>
  <c r="CJ113" i="40"/>
  <c r="CJ131" i="40"/>
  <c r="CJ67" i="40"/>
  <c r="CI70" i="40"/>
  <c r="CI104" i="40"/>
  <c r="CI72" i="40"/>
  <c r="CK23" i="40"/>
  <c r="CJ106" i="40"/>
  <c r="CI86" i="40"/>
  <c r="CJ89" i="40"/>
  <c r="CI120" i="40"/>
  <c r="CJ23" i="40"/>
  <c r="CH87" i="40"/>
  <c r="CJ70" i="40"/>
  <c r="CH138" i="40"/>
  <c r="CJ49" i="40"/>
  <c r="CH33" i="40"/>
  <c r="CK93" i="40"/>
  <c r="CK60" i="40"/>
  <c r="CJ111" i="40"/>
  <c r="CK134" i="40"/>
  <c r="CI77" i="40"/>
  <c r="CH89" i="40"/>
  <c r="CH23" i="40"/>
  <c r="CI60" i="40"/>
  <c r="CJ44" i="40"/>
  <c r="CH111" i="40"/>
  <c r="CH38" i="40"/>
  <c r="CI135" i="40"/>
  <c r="CH108" i="40"/>
  <c r="CK72" i="40"/>
  <c r="CJ64" i="40"/>
  <c r="CI134" i="40"/>
  <c r="CK45" i="40"/>
  <c r="CK92" i="40"/>
  <c r="CK55" i="40"/>
  <c r="CJ117" i="40"/>
  <c r="CK48" i="40"/>
  <c r="CJ39" i="40"/>
  <c r="CI52" i="40"/>
  <c r="CK76" i="40"/>
  <c r="CI126" i="40"/>
  <c r="CK19" i="40"/>
  <c r="CH123" i="40"/>
  <c r="CJ83" i="40"/>
  <c r="CI81" i="40"/>
  <c r="CI75" i="40"/>
  <c r="CJ24" i="40"/>
  <c r="CJ121" i="40"/>
  <c r="CI42" i="40"/>
  <c r="CK52" i="40"/>
  <c r="CI100" i="40"/>
  <c r="CH40" i="40"/>
  <c r="CI29" i="40"/>
  <c r="CI74" i="40"/>
  <c r="CJ53" i="40"/>
  <c r="CI137" i="40"/>
  <c r="CK30" i="40"/>
  <c r="CK123" i="40"/>
  <c r="CK46" i="40"/>
  <c r="CK84" i="40"/>
  <c r="CI95" i="40"/>
  <c r="CH134" i="40"/>
  <c r="CI121" i="40"/>
  <c r="CI66" i="40"/>
  <c r="CK112" i="40"/>
  <c r="CJ30" i="40"/>
  <c r="CH131" i="40"/>
  <c r="CK32" i="40"/>
  <c r="CI33" i="40"/>
  <c r="CH101" i="40"/>
  <c r="CI83" i="40"/>
  <c r="CI47" i="40"/>
  <c r="CJ63" i="40"/>
  <c r="CJ105" i="40"/>
  <c r="CH49" i="40"/>
  <c r="CH95" i="40"/>
  <c r="CI79" i="40"/>
  <c r="CK54" i="40"/>
  <c r="CI97" i="40"/>
  <c r="CH78" i="40"/>
  <c r="CJ101" i="40"/>
  <c r="CK110" i="40"/>
  <c r="CH107" i="40"/>
  <c r="CK41" i="40"/>
  <c r="CJ92" i="40"/>
  <c r="CK116" i="40"/>
  <c r="CK70" i="40"/>
  <c r="CK133" i="40"/>
  <c r="CJ19" i="40"/>
  <c r="CK26" i="40"/>
  <c r="CK75" i="40"/>
  <c r="CK65" i="40"/>
  <c r="CJ133" i="40"/>
  <c r="CK39" i="40"/>
  <c r="CH54" i="40"/>
  <c r="CK77" i="40"/>
  <c r="CH113" i="40"/>
  <c r="CJ130" i="40"/>
  <c r="CI88" i="40"/>
  <c r="CI20" i="40"/>
  <c r="CK136" i="40"/>
  <c r="CI93" i="40"/>
  <c r="CJ47" i="40"/>
  <c r="CJ37" i="40"/>
  <c r="CK56" i="40"/>
  <c r="CK36" i="40"/>
  <c r="CJ46" i="40"/>
  <c r="CI110" i="40"/>
  <c r="CI22" i="40"/>
  <c r="CH62" i="40"/>
  <c r="CK91" i="40"/>
  <c r="CJ33" i="40"/>
  <c r="CK34" i="40"/>
  <c r="CK24" i="40"/>
  <c r="CH77" i="40"/>
  <c r="CI34" i="40"/>
  <c r="CK127" i="40"/>
  <c r="CH19" i="40"/>
  <c r="CK61" i="40"/>
  <c r="CK49" i="40"/>
  <c r="CJ60" i="40"/>
  <c r="CK103" i="40"/>
  <c r="CI63" i="40"/>
  <c r="CH61" i="40"/>
  <c r="CK135" i="40"/>
  <c r="CK40" i="40"/>
  <c r="CJ124" i="40"/>
  <c r="CI102" i="40"/>
  <c r="CK31" i="40"/>
  <c r="CK108" i="40"/>
  <c r="CH44" i="40"/>
  <c r="CK130" i="40"/>
  <c r="CK43" i="40"/>
  <c r="CH72" i="40"/>
  <c r="CJ55" i="40"/>
  <c r="CK69" i="40"/>
  <c r="CH136" i="40"/>
  <c r="CI82" i="40"/>
  <c r="CI129" i="40"/>
  <c r="CH135" i="40"/>
  <c r="CI43" i="40"/>
  <c r="CJ137" i="40"/>
  <c r="CH42" i="40"/>
  <c r="CI26" i="40"/>
  <c r="CH56" i="40"/>
  <c r="CI67" i="40"/>
  <c r="CH122" i="40"/>
  <c r="CH84" i="40"/>
  <c r="CI40" i="40"/>
  <c r="CH124" i="40"/>
  <c r="CK121" i="40"/>
  <c r="CK113" i="40"/>
  <c r="E88" i="40"/>
  <c r="G88" i="40" s="1"/>
  <c r="E7" i="43"/>
  <c r="G7" i="43" s="1"/>
  <c r="A19" i="43" s="1"/>
  <c r="F19" i="43" s="1"/>
  <c r="H64" i="40"/>
  <c r="H60" i="40"/>
  <c r="E65" i="40"/>
  <c r="E61" i="40"/>
  <c r="E57" i="40"/>
  <c r="G59" i="40"/>
  <c r="F60" i="40"/>
  <c r="G62" i="40"/>
  <c r="G60" i="40"/>
  <c r="H65" i="40"/>
  <c r="H61" i="40"/>
  <c r="H57" i="40"/>
  <c r="E62" i="40"/>
  <c r="E58" i="40"/>
  <c r="G61" i="40"/>
  <c r="F62" i="40"/>
  <c r="F59" i="40"/>
  <c r="F57" i="40"/>
  <c r="H63" i="40"/>
  <c r="H59" i="40"/>
  <c r="E64" i="40"/>
  <c r="E60" i="40"/>
  <c r="G65" i="40"/>
  <c r="G57" i="40"/>
  <c r="F58" i="40"/>
  <c r="G58" i="40"/>
  <c r="F61" i="40"/>
  <c r="H62" i="40"/>
  <c r="H58" i="40"/>
  <c r="E63" i="40"/>
  <c r="E59" i="40"/>
  <c r="G63" i="40"/>
  <c r="F64" i="40"/>
  <c r="F63" i="40"/>
  <c r="F65" i="40"/>
  <c r="G64" i="40"/>
  <c r="E11" i="43"/>
  <c r="I11" i="43" s="1"/>
  <c r="C23" i="43" s="1"/>
  <c r="M53" i="40"/>
  <c r="E87" i="40"/>
  <c r="G87" i="40" s="1"/>
  <c r="E89" i="40"/>
  <c r="G89" i="40" s="1"/>
  <c r="CE20" i="40"/>
  <c r="CE19" i="40"/>
  <c r="CE22" i="40"/>
  <c r="CE21" i="40"/>
  <c r="BW53" i="40"/>
  <c r="BY49" i="40"/>
  <c r="BV49" i="40"/>
  <c r="BY46" i="40"/>
  <c r="BY50" i="40"/>
  <c r="BV54" i="40"/>
  <c r="BX53" i="40"/>
  <c r="BX46" i="40"/>
  <c r="BY54" i="40"/>
  <c r="BX51" i="40"/>
  <c r="BW54" i="40"/>
  <c r="BY53" i="40"/>
  <c r="BW47" i="40"/>
  <c r="BW50" i="40"/>
  <c r="BX54" i="40"/>
  <c r="BW48" i="40"/>
  <c r="BV47" i="40"/>
  <c r="BW49" i="40"/>
  <c r="BW51" i="40"/>
  <c r="BX47" i="40"/>
  <c r="BV52" i="40"/>
  <c r="BW46" i="40"/>
  <c r="BY47" i="40"/>
  <c r="BY48" i="40"/>
  <c r="BX50" i="40"/>
  <c r="BV51" i="40"/>
  <c r="BW52" i="40"/>
  <c r="BX52" i="40"/>
  <c r="BY52" i="40"/>
  <c r="BV50" i="40"/>
  <c r="BY51" i="40"/>
  <c r="BX48" i="40"/>
  <c r="BV53" i="40"/>
  <c r="BV48" i="40"/>
  <c r="BV46" i="40"/>
  <c r="BX49" i="40"/>
  <c r="D105" i="40"/>
  <c r="D101" i="40"/>
  <c r="C106" i="40"/>
  <c r="C102" i="40"/>
  <c r="B107" i="40"/>
  <c r="B99" i="40"/>
  <c r="A100" i="40"/>
  <c r="B102" i="40"/>
  <c r="B104" i="40"/>
  <c r="D106" i="40"/>
  <c r="D102" i="40"/>
  <c r="C107" i="40"/>
  <c r="C103" i="40"/>
  <c r="C99" i="40"/>
  <c r="B101" i="40"/>
  <c r="A102" i="40"/>
  <c r="B106" i="40"/>
  <c r="A99" i="40"/>
  <c r="D104" i="40"/>
  <c r="D100" i="40"/>
  <c r="C105" i="40"/>
  <c r="C101" i="40"/>
  <c r="B105" i="40"/>
  <c r="A106" i="40"/>
  <c r="A105" i="40"/>
  <c r="B100" i="40"/>
  <c r="A107" i="40"/>
  <c r="D107" i="40"/>
  <c r="D103" i="40"/>
  <c r="D99" i="40"/>
  <c r="C104" i="40"/>
  <c r="C100" i="40"/>
  <c r="B103" i="40"/>
  <c r="A104" i="40"/>
  <c r="A101" i="40"/>
  <c r="A103" i="40"/>
  <c r="AH39" i="40"/>
  <c r="AE38" i="40"/>
  <c r="AI34" i="40"/>
  <c r="AF32" i="40"/>
  <c r="AL39" i="40"/>
  <c r="AG37" i="40"/>
  <c r="AL32" i="40"/>
  <c r="AI33" i="40"/>
  <c r="AH37" i="40"/>
  <c r="AL37" i="40"/>
  <c r="AK36" i="40"/>
  <c r="AK38" i="40"/>
  <c r="AI39" i="40"/>
  <c r="AH40" i="40"/>
  <c r="AL40" i="40"/>
  <c r="AD39" i="40"/>
  <c r="AG35" i="40"/>
  <c r="AI40" i="40"/>
  <c r="AF36" i="40"/>
  <c r="AJ36" i="40"/>
  <c r="AL35" i="40"/>
  <c r="AJ39" i="40"/>
  <c r="AK32" i="40"/>
  <c r="AF38" i="40"/>
  <c r="AE35" i="40"/>
  <c r="AD35" i="40"/>
  <c r="AD34" i="40"/>
  <c r="AD38" i="40"/>
  <c r="AF37" i="40"/>
  <c r="AI36" i="40"/>
  <c r="AL33" i="40"/>
  <c r="AE34" i="40"/>
  <c r="AK37" i="40"/>
  <c r="AF39" i="40"/>
  <c r="AE32" i="40"/>
  <c r="AE40" i="40"/>
  <c r="AG36" i="40"/>
  <c r="AI37" i="40"/>
  <c r="AG38" i="40"/>
  <c r="AK39" i="40"/>
  <c r="AF40" i="40"/>
  <c r="AI38" i="40"/>
  <c r="AD33" i="40"/>
  <c r="AJ34" i="40"/>
  <c r="AG33" i="40"/>
  <c r="AK33" i="40"/>
  <c r="AJ33" i="40"/>
  <c r="AK40" i="40"/>
  <c r="AF35" i="40"/>
  <c r="AD36" i="40"/>
  <c r="AJ38" i="40"/>
  <c r="AE39" i="40"/>
  <c r="AJ37" i="40"/>
  <c r="AH36" i="40"/>
  <c r="AD37" i="40"/>
  <c r="AI32" i="40"/>
  <c r="AH32" i="40"/>
  <c r="AH33" i="40"/>
  <c r="AJ32" i="40"/>
  <c r="AE33" i="40"/>
  <c r="AF33" i="40"/>
  <c r="AL38" i="40"/>
  <c r="AG39" i="40"/>
  <c r="AJ35" i="40"/>
  <c r="AE36" i="40"/>
  <c r="AH35" i="40"/>
  <c r="AD40" i="40"/>
  <c r="AJ40" i="40"/>
  <c r="AG32" i="40"/>
  <c r="AE37" i="40"/>
  <c r="AG40" i="40"/>
  <c r="AD32" i="40"/>
  <c r="AH34" i="40"/>
  <c r="AL34" i="40"/>
  <c r="AL36" i="40"/>
  <c r="AF34" i="40"/>
  <c r="AI35" i="40"/>
  <c r="AK34" i="40"/>
  <c r="AH38" i="40"/>
  <c r="AK35" i="40"/>
  <c r="AG34" i="40"/>
  <c r="AS39" i="40"/>
  <c r="AU39" i="40"/>
  <c r="AP40" i="40"/>
  <c r="AS40" i="40"/>
  <c r="AR40" i="40"/>
  <c r="AR35" i="40"/>
  <c r="AR37" i="40"/>
  <c r="AS33" i="40"/>
  <c r="AS37" i="40"/>
  <c r="AT35" i="40"/>
  <c r="AO36" i="40"/>
  <c r="AS35" i="40"/>
  <c r="AV35" i="40"/>
  <c r="AP35" i="40"/>
  <c r="AR34" i="40"/>
  <c r="AV34" i="40"/>
  <c r="AT34" i="40"/>
  <c r="AT40" i="40"/>
  <c r="AW33" i="40"/>
  <c r="AV33" i="40"/>
  <c r="AQ34" i="40"/>
  <c r="AP34" i="40"/>
  <c r="AQ33" i="40"/>
  <c r="AU32" i="40"/>
  <c r="AU33" i="40"/>
  <c r="AQ39" i="40"/>
  <c r="AS32" i="40"/>
  <c r="AW39" i="40"/>
  <c r="AO40" i="40"/>
  <c r="AR32" i="40"/>
  <c r="AT32" i="40"/>
  <c r="AO37" i="40"/>
  <c r="AO35" i="40"/>
  <c r="AV37" i="40"/>
  <c r="AP32" i="40"/>
  <c r="AO34" i="40"/>
  <c r="AW37" i="40"/>
  <c r="AR38" i="40"/>
  <c r="AQ37" i="40"/>
  <c r="AU34" i="40"/>
  <c r="AV39" i="40"/>
  <c r="AU36" i="40"/>
  <c r="AP37" i="40"/>
  <c r="AR36" i="40"/>
  <c r="AQ38" i="40"/>
  <c r="AU38" i="40"/>
  <c r="AP36" i="40"/>
  <c r="AT36" i="40"/>
  <c r="AW35" i="40"/>
  <c r="AT38" i="40"/>
  <c r="AU35" i="40"/>
  <c r="AT37" i="40"/>
  <c r="AO33" i="40"/>
  <c r="AQ36" i="40"/>
  <c r="AR39" i="40"/>
  <c r="AW36" i="40"/>
  <c r="AV38" i="40"/>
  <c r="AQ40" i="40"/>
  <c r="AU40" i="40"/>
  <c r="AO39" i="40"/>
  <c r="AS34" i="40"/>
  <c r="AS36" i="40"/>
  <c r="AT39" i="40"/>
  <c r="AP38" i="40"/>
  <c r="AR33" i="40"/>
  <c r="AQ35" i="40"/>
  <c r="AW38" i="40"/>
  <c r="AU37" i="40"/>
  <c r="AV36" i="40"/>
  <c r="AP39" i="40"/>
  <c r="AS38" i="40"/>
  <c r="AW34" i="40"/>
  <c r="AW32" i="40"/>
  <c r="AQ32" i="40"/>
  <c r="AP33" i="40"/>
  <c r="AT33" i="40"/>
  <c r="AV40" i="40"/>
  <c r="AO32" i="40"/>
  <c r="AV32" i="40"/>
  <c r="AO38" i="40"/>
  <c r="AW40" i="40"/>
  <c r="BC7" i="35"/>
  <c r="A33" i="44" a="1"/>
  <c r="Y4" i="43"/>
  <c r="W8" i="43"/>
  <c r="E12" i="43"/>
  <c r="J12" i="43" s="1"/>
  <c r="D24" i="43" s="1"/>
  <c r="V12" i="43"/>
  <c r="V6" i="43"/>
  <c r="E6" i="43"/>
  <c r="V10" i="43"/>
  <c r="E10" i="43"/>
  <c r="J10" i="43" s="1"/>
  <c r="D22" i="43" s="1"/>
  <c r="W9" i="42"/>
  <c r="X5" i="42"/>
  <c r="Y4" i="42"/>
  <c r="E11" i="42"/>
  <c r="H11" i="42" s="1"/>
  <c r="B23" i="42" s="1"/>
  <c r="G23" i="42" s="1"/>
  <c r="V11" i="42"/>
  <c r="W4" i="42"/>
  <c r="W5" i="42"/>
  <c r="V7" i="42"/>
  <c r="E7" i="42"/>
  <c r="J7" i="42" s="1"/>
  <c r="D19" i="42" s="1"/>
  <c r="Y10" i="42"/>
  <c r="AY19" i="40" a="1"/>
  <c r="BA31" i="40"/>
  <c r="BC31" i="40"/>
  <c r="BE31" i="40"/>
  <c r="BF31" i="40"/>
  <c r="BG31" i="40"/>
  <c r="BB31" i="40"/>
  <c r="BH31" i="40"/>
  <c r="BD31" i="40"/>
  <c r="AZ31" i="40"/>
  <c r="A91" i="40"/>
  <c r="E82" i="40"/>
  <c r="BT13" i="55"/>
  <c r="BT40" i="55" s="1"/>
  <c r="BT14" i="55"/>
  <c r="BT41" i="55" s="1"/>
  <c r="BT10" i="55"/>
  <c r="BT37" i="55" s="1"/>
  <c r="BT8" i="55"/>
  <c r="BT35" i="55" s="1"/>
  <c r="BT11" i="55"/>
  <c r="BT38" i="55" s="1"/>
  <c r="BT6" i="55"/>
  <c r="BT33" i="55" s="1"/>
  <c r="BT12" i="55"/>
  <c r="BT39" i="55" s="1"/>
  <c r="BT9" i="55"/>
  <c r="BT36" i="55" s="1"/>
  <c r="BT7" i="55"/>
  <c r="BT34" i="55" s="1"/>
  <c r="O47" i="40"/>
  <c r="O45" i="40"/>
  <c r="O51" i="40"/>
  <c r="O49" i="40"/>
  <c r="O46" i="40"/>
  <c r="O50" i="40"/>
  <c r="O44" i="40"/>
  <c r="O48" i="40"/>
  <c r="O52" i="40"/>
  <c r="AD44" i="40" a="1"/>
  <c r="W12" i="43"/>
  <c r="Y8" i="43"/>
  <c r="X12" i="43"/>
  <c r="W7" i="43"/>
  <c r="X4" i="43"/>
  <c r="Y9" i="43"/>
  <c r="P53" i="40"/>
  <c r="Q44" i="40"/>
  <c r="BK12" i="40" a="1"/>
  <c r="BV33" i="40" a="1"/>
  <c r="AN35" i="40"/>
  <c r="AN32" i="40"/>
  <c r="AN37" i="40"/>
  <c r="AN36" i="40"/>
  <c r="AN34" i="40"/>
  <c r="AN39" i="40"/>
  <c r="AN38" i="40"/>
  <c r="AN33" i="40"/>
  <c r="AN40" i="40"/>
  <c r="X11" i="42"/>
  <c r="X10" i="42"/>
  <c r="E9" i="42"/>
  <c r="J9" i="42" s="1"/>
  <c r="D21" i="42" s="1"/>
  <c r="V9" i="42"/>
  <c r="E12" i="42"/>
  <c r="I12" i="42" s="1"/>
  <c r="C24" i="42" s="1"/>
  <c r="V12" i="42"/>
  <c r="X7" i="42"/>
  <c r="Y8" i="42"/>
  <c r="V10" i="42"/>
  <c r="E10" i="42"/>
  <c r="G10" i="42" s="1"/>
  <c r="A22" i="42" s="1"/>
  <c r="F22" i="42" s="1"/>
  <c r="AQ11" i="35"/>
  <c r="E90" i="40"/>
  <c r="H90" i="40" s="1"/>
  <c r="E84" i="40"/>
  <c r="J84" i="40" s="1"/>
  <c r="E83" i="40"/>
  <c r="H83" i="40" s="1"/>
  <c r="CG5" i="55"/>
  <c r="CL5" i="55"/>
  <c r="CI5" i="55"/>
  <c r="CN5" i="55"/>
  <c r="CH5" i="55"/>
  <c r="CM5" i="55"/>
  <c r="CO5" i="55"/>
  <c r="CJ5" i="55"/>
  <c r="CK5" i="55"/>
  <c r="X7" i="43"/>
  <c r="E9" i="43"/>
  <c r="I9" i="43" s="1"/>
  <c r="C21" i="43" s="1"/>
  <c r="V9" i="43"/>
  <c r="W11" i="43"/>
  <c r="Y6" i="43"/>
  <c r="W9" i="43"/>
  <c r="E8" i="43"/>
  <c r="I8" i="43" s="1"/>
  <c r="C20" i="43" s="1"/>
  <c r="V8" i="43"/>
  <c r="X5" i="43"/>
  <c r="V4" i="43"/>
  <c r="AE15" i="43" a="1"/>
  <c r="AE21" i="43" s="1"/>
  <c r="E4" i="43"/>
  <c r="G4" i="43" s="1"/>
  <c r="A16" i="43" s="1"/>
  <c r="F16" i="43" s="1"/>
  <c r="Y5" i="42"/>
  <c r="V6" i="42"/>
  <c r="E6" i="42"/>
  <c r="I6" i="42" s="1"/>
  <c r="C18" i="42" s="1"/>
  <c r="X8" i="42"/>
  <c r="V5" i="42"/>
  <c r="E5" i="42"/>
  <c r="G5" i="42" s="1"/>
  <c r="A17" i="42" s="1"/>
  <c r="F17" i="42" s="1"/>
  <c r="W12" i="42"/>
  <c r="V4" i="42"/>
  <c r="AE15" i="42" a="1"/>
  <c r="AG17" i="42" s="1"/>
  <c r="E4" i="42"/>
  <c r="I4" i="42" s="1"/>
  <c r="C16" i="42" s="1"/>
  <c r="Y11" i="42"/>
  <c r="AR3" i="35"/>
  <c r="AY13" i="40"/>
  <c r="AY6" i="40"/>
  <c r="AY10" i="40"/>
  <c r="AY11" i="40"/>
  <c r="AY9" i="40"/>
  <c r="AY14" i="40"/>
  <c r="AY12" i="40"/>
  <c r="AY8" i="40"/>
  <c r="AY7" i="40"/>
  <c r="E85" i="40"/>
  <c r="I85" i="40" s="1"/>
  <c r="E86" i="40"/>
  <c r="H86" i="40" s="1"/>
  <c r="B45" i="44" a="1"/>
  <c r="Y11" i="43"/>
  <c r="W4" i="43"/>
  <c r="W6" i="43"/>
  <c r="Y5" i="43"/>
  <c r="Y7" i="43"/>
  <c r="V5" i="43"/>
  <c r="E5" i="43"/>
  <c r="H5" i="43" s="1"/>
  <c r="B17" i="43" s="1"/>
  <c r="G17" i="43" s="1"/>
  <c r="Y10" i="43"/>
  <c r="W7" i="42"/>
  <c r="X6" i="42"/>
  <c r="W6" i="42"/>
  <c r="V8" i="42"/>
  <c r="E8" i="42"/>
  <c r="G8" i="42" s="1"/>
  <c r="A20" i="42" s="1"/>
  <c r="F20" i="42" s="1"/>
  <c r="W10" i="42"/>
  <c r="X9" i="42"/>
  <c r="Y6" i="42"/>
  <c r="Y12" i="42"/>
  <c r="W8" i="42"/>
  <c r="AU74" i="39" a="1"/>
  <c r="AU81" i="39" s="1"/>
  <c r="AU87" i="39" a="1"/>
  <c r="AU94" i="39" s="1"/>
  <c r="L5" i="35"/>
  <c r="L6" i="35"/>
  <c r="X15" i="35"/>
  <c r="AB14" i="35" s="1"/>
  <c r="X30" i="35"/>
  <c r="X45" i="35"/>
  <c r="AB44" i="35" s="1"/>
  <c r="AY10" i="35"/>
  <c r="AZ11" i="35"/>
  <c r="AY9" i="35"/>
  <c r="AZ9" i="35"/>
  <c r="AX11" i="35"/>
  <c r="AX10" i="35"/>
  <c r="O9" i="35"/>
  <c r="A67" i="40" a="1"/>
  <c r="DR5" i="40" a="1"/>
  <c r="CN18" i="40" a="1"/>
  <c r="DF5" i="40" a="1"/>
  <c r="DI6" i="40" l="1"/>
  <c r="DH6" i="40"/>
  <c r="DG6" i="40"/>
  <c r="DF6" i="40"/>
  <c r="DG7" i="40"/>
  <c r="DF9" i="40"/>
  <c r="DH7" i="40"/>
  <c r="DH5" i="40"/>
  <c r="DH9" i="40"/>
  <c r="DI12" i="40"/>
  <c r="DH12" i="40"/>
  <c r="DG12" i="40"/>
  <c r="DF12" i="40"/>
  <c r="DG13" i="40"/>
  <c r="DG5" i="40"/>
  <c r="DF7" i="40"/>
  <c r="DI13" i="40"/>
  <c r="DI11" i="40"/>
  <c r="DI10" i="40"/>
  <c r="DH10" i="40"/>
  <c r="DG10" i="40"/>
  <c r="DF10" i="40"/>
  <c r="DG11" i="40"/>
  <c r="DF13" i="40"/>
  <c r="DF5" i="40"/>
  <c r="DI5" i="40"/>
  <c r="DH11" i="40"/>
  <c r="DI8" i="40"/>
  <c r="DH8" i="40"/>
  <c r="DG8" i="40"/>
  <c r="DF8" i="40"/>
  <c r="DG9" i="40"/>
  <c r="DF11" i="40"/>
  <c r="DI7" i="40"/>
  <c r="DH13" i="40"/>
  <c r="DI9" i="40"/>
  <c r="CN18" i="40"/>
  <c r="CP19" i="40"/>
  <c r="CP18" i="40"/>
  <c r="CN19" i="40"/>
  <c r="CO20" i="40"/>
  <c r="CQ21" i="40"/>
  <c r="CQ20" i="40"/>
  <c r="CO21" i="40"/>
  <c r="CO18" i="40"/>
  <c r="CQ19" i="40"/>
  <c r="CQ18" i="40"/>
  <c r="CN21" i="40"/>
  <c r="CN20" i="40"/>
  <c r="CP21" i="40"/>
  <c r="CP20" i="40"/>
  <c r="CO19" i="40"/>
  <c r="DS6" i="40"/>
  <c r="DZ6" i="40"/>
  <c r="DX7" i="40"/>
  <c r="DV8" i="40"/>
  <c r="DS8" i="40"/>
  <c r="DZ8" i="40"/>
  <c r="DU5" i="40"/>
  <c r="DT8" i="40"/>
  <c r="DV6" i="40"/>
  <c r="DY8" i="40"/>
  <c r="DT5" i="40"/>
  <c r="DR6" i="40"/>
  <c r="DY6" i="40"/>
  <c r="DW7" i="40"/>
  <c r="DT7" i="40"/>
  <c r="DR8" i="40"/>
  <c r="DX5" i="40"/>
  <c r="DV7" i="40"/>
  <c r="DZ7" i="40"/>
  <c r="DX8" i="40"/>
  <c r="DS5" i="40"/>
  <c r="DZ5" i="40"/>
  <c r="DX6" i="40"/>
  <c r="DU6" i="40"/>
  <c r="DS7" i="40"/>
  <c r="DW5" i="40"/>
  <c r="DU7" i="40"/>
  <c r="DR7" i="40"/>
  <c r="DY7" i="40"/>
  <c r="DW8" i="40"/>
  <c r="DR5" i="40"/>
  <c r="DY5" i="40"/>
  <c r="DV5" i="40"/>
  <c r="DT6" i="40"/>
  <c r="DU8" i="40"/>
  <c r="DW6" i="40"/>
  <c r="H69" i="40"/>
  <c r="H73" i="40"/>
  <c r="E75" i="40"/>
  <c r="E71" i="40"/>
  <c r="E67" i="40"/>
  <c r="D72" i="40"/>
  <c r="D68" i="40"/>
  <c r="C73" i="40"/>
  <c r="C69" i="40"/>
  <c r="B74" i="40"/>
  <c r="B70" i="40"/>
  <c r="G75" i="40"/>
  <c r="G71" i="40"/>
  <c r="G67" i="40"/>
  <c r="F72" i="40"/>
  <c r="F68" i="40"/>
  <c r="H75" i="40"/>
  <c r="A68" i="40"/>
  <c r="H72" i="40"/>
  <c r="A69" i="40"/>
  <c r="E74" i="40"/>
  <c r="E70" i="40"/>
  <c r="D75" i="40"/>
  <c r="D71" i="40"/>
  <c r="D67" i="40"/>
  <c r="C72" i="40"/>
  <c r="C68" i="40"/>
  <c r="B73" i="40"/>
  <c r="B69" i="40"/>
  <c r="G74" i="40"/>
  <c r="G70" i="40"/>
  <c r="F75" i="40"/>
  <c r="F71" i="40"/>
  <c r="F67" i="40"/>
  <c r="A67" i="40"/>
  <c r="E73" i="40"/>
  <c r="E69" i="40"/>
  <c r="D74" i="40"/>
  <c r="D70" i="40"/>
  <c r="C75" i="40"/>
  <c r="C71" i="40"/>
  <c r="C67" i="40"/>
  <c r="B72" i="40"/>
  <c r="B68" i="40"/>
  <c r="G73" i="40"/>
  <c r="G69" i="40"/>
  <c r="F74" i="40"/>
  <c r="F70" i="40"/>
  <c r="H70" i="40"/>
  <c r="A71" i="40"/>
  <c r="H67" i="40"/>
  <c r="E72" i="40"/>
  <c r="C74" i="40"/>
  <c r="B67" i="40"/>
  <c r="F69" i="40"/>
  <c r="H68" i="40"/>
  <c r="E68" i="40"/>
  <c r="C70" i="40"/>
  <c r="G72" i="40"/>
  <c r="H74" i="40"/>
  <c r="A75" i="40"/>
  <c r="A73" i="40"/>
  <c r="A70" i="40"/>
  <c r="D73" i="40"/>
  <c r="B75" i="40"/>
  <c r="G68" i="40"/>
  <c r="H71" i="40"/>
  <c r="A74" i="40"/>
  <c r="B71" i="40"/>
  <c r="F73" i="40"/>
  <c r="A72" i="40"/>
  <c r="D69" i="40"/>
  <c r="CI140" i="40" a="1"/>
  <c r="CI140" i="40" s="1"/>
  <c r="CK140" i="40" a="1"/>
  <c r="CJ140" i="40" a="1"/>
  <c r="AV21" i="35"/>
  <c r="AV22" i="35" s="1"/>
  <c r="I7" i="43"/>
  <c r="C19" i="43" s="1"/>
  <c r="I6" i="43"/>
  <c r="C18" i="43" s="1"/>
  <c r="AX4" i="35" a="1"/>
  <c r="AZ5" i="35" s="1"/>
  <c r="AY4" i="35"/>
  <c r="I12" i="43"/>
  <c r="C24" i="43" s="1"/>
  <c r="J12" i="42"/>
  <c r="D24" i="42" s="1"/>
  <c r="CJ141" i="40"/>
  <c r="G90" i="40"/>
  <c r="CK140" i="40"/>
  <c r="CI141" i="40"/>
  <c r="CK141" i="40"/>
  <c r="CH140" i="40"/>
  <c r="I88" i="40"/>
  <c r="H88" i="40"/>
  <c r="CH141" i="40"/>
  <c r="CJ140" i="40"/>
  <c r="I7" i="42"/>
  <c r="C19" i="42" s="1"/>
  <c r="J88" i="40"/>
  <c r="H9" i="43"/>
  <c r="B21" i="43" s="1"/>
  <c r="G21" i="43" s="1"/>
  <c r="H6" i="43"/>
  <c r="B18" i="43" s="1"/>
  <c r="G18" i="43" s="1"/>
  <c r="H7" i="43"/>
  <c r="B19" i="43" s="1"/>
  <c r="G19" i="43" s="1"/>
  <c r="J7" i="43"/>
  <c r="D19" i="43" s="1"/>
  <c r="J6" i="43"/>
  <c r="D18" i="43" s="1"/>
  <c r="J90" i="40"/>
  <c r="J11" i="43"/>
  <c r="D23" i="43" s="1"/>
  <c r="H11" i="43"/>
  <c r="B23" i="43" s="1"/>
  <c r="G23" i="43" s="1"/>
  <c r="I84" i="40"/>
  <c r="G11" i="43"/>
  <c r="A23" i="43" s="1"/>
  <c r="F23" i="43" s="1"/>
  <c r="E91" i="40"/>
  <c r="H89" i="40"/>
  <c r="J11" i="42"/>
  <c r="D23" i="42" s="1"/>
  <c r="G8" i="43"/>
  <c r="A20" i="43" s="1"/>
  <c r="F20" i="43" s="1"/>
  <c r="G9" i="42"/>
  <c r="A21" i="42" s="1"/>
  <c r="F21" i="42" s="1"/>
  <c r="I11" i="42"/>
  <c r="C23" i="42" s="1"/>
  <c r="I9" i="42"/>
  <c r="C21" i="42" s="1"/>
  <c r="H4" i="43"/>
  <c r="B16" i="43" s="1"/>
  <c r="G16" i="43" s="1"/>
  <c r="J16" i="43" s="1"/>
  <c r="G9" i="43"/>
  <c r="A21" i="43" s="1"/>
  <c r="F21" i="43" s="1"/>
  <c r="G84" i="40"/>
  <c r="E104" i="40"/>
  <c r="J104" i="40" s="1"/>
  <c r="A108" i="40"/>
  <c r="E99" i="40"/>
  <c r="G99" i="40" s="1"/>
  <c r="H82" i="40"/>
  <c r="G7" i="42"/>
  <c r="A19" i="42" s="1"/>
  <c r="F19" i="42" s="1"/>
  <c r="I89" i="40"/>
  <c r="E103" i="40"/>
  <c r="H103" i="40" s="1"/>
  <c r="E106" i="40"/>
  <c r="H106" i="40" s="1"/>
  <c r="E102" i="40"/>
  <c r="J102" i="40" s="1"/>
  <c r="I87" i="40"/>
  <c r="J87" i="40"/>
  <c r="I82" i="40"/>
  <c r="Q53" i="40"/>
  <c r="J89" i="40"/>
  <c r="E105" i="40"/>
  <c r="I105" i="40" s="1"/>
  <c r="G11" i="42"/>
  <c r="A23" i="42" s="1"/>
  <c r="F23" i="42" s="1"/>
  <c r="I23" i="42" s="1"/>
  <c r="E101" i="40"/>
  <c r="J101" i="40" s="1"/>
  <c r="E107" i="40"/>
  <c r="G107" i="40" s="1"/>
  <c r="E100" i="40"/>
  <c r="I100" i="40" s="1"/>
  <c r="H87" i="40"/>
  <c r="H8" i="42"/>
  <c r="B20" i="42" s="1"/>
  <c r="G20" i="42" s="1"/>
  <c r="J20" i="42" s="1"/>
  <c r="J6" i="42"/>
  <c r="D18" i="42" s="1"/>
  <c r="H10" i="42"/>
  <c r="B22" i="42" s="1"/>
  <c r="G22" i="42" s="1"/>
  <c r="J22" i="42" s="1"/>
  <c r="H6" i="42"/>
  <c r="B18" i="42" s="1"/>
  <c r="G18" i="42" s="1"/>
  <c r="H7" i="42"/>
  <c r="B19" i="42" s="1"/>
  <c r="G19" i="42" s="1"/>
  <c r="G5" i="43"/>
  <c r="A17" i="43" s="1"/>
  <c r="F17" i="43" s="1"/>
  <c r="I5" i="43"/>
  <c r="C17" i="43" s="1"/>
  <c r="G12" i="42"/>
  <c r="A24" i="42" s="1"/>
  <c r="F24" i="42" s="1"/>
  <c r="H12" i="42"/>
  <c r="B24" i="42" s="1"/>
  <c r="G24" i="42" s="1"/>
  <c r="H12" i="43"/>
  <c r="B24" i="43" s="1"/>
  <c r="G24" i="43" s="1"/>
  <c r="G86" i="40"/>
  <c r="G85" i="40"/>
  <c r="AG19" i="42"/>
  <c r="AE17" i="42"/>
  <c r="AF21" i="42"/>
  <c r="AE22" i="42"/>
  <c r="AF15" i="42"/>
  <c r="AG15" i="42"/>
  <c r="AG22" i="42"/>
  <c r="AE20" i="42"/>
  <c r="AF23" i="42"/>
  <c r="AE21" i="42"/>
  <c r="AE15" i="42"/>
  <c r="AH18" i="42"/>
  <c r="AE16" i="42"/>
  <c r="AE18" i="42"/>
  <c r="AF17" i="42"/>
  <c r="AF20" i="42"/>
  <c r="AH21" i="42"/>
  <c r="AG21" i="42"/>
  <c r="AH17" i="42"/>
  <c r="AH19" i="42"/>
  <c r="AH22" i="42"/>
  <c r="AG20" i="42"/>
  <c r="AG23" i="42"/>
  <c r="AF18" i="42"/>
  <c r="AH23" i="42"/>
  <c r="AH15" i="42"/>
  <c r="AF22" i="42"/>
  <c r="AE23" i="42"/>
  <c r="AF19" i="42"/>
  <c r="AE19" i="42"/>
  <c r="AH20" i="42"/>
  <c r="G6" i="42"/>
  <c r="A18" i="42" s="1"/>
  <c r="F18" i="42" s="1"/>
  <c r="J8" i="42"/>
  <c r="D20" i="42" s="1"/>
  <c r="AG18" i="42"/>
  <c r="BV39" i="40"/>
  <c r="BV40" i="40"/>
  <c r="BY39" i="40"/>
  <c r="BY35" i="40"/>
  <c r="BW38" i="40"/>
  <c r="BY36" i="40"/>
  <c r="BX39" i="40"/>
  <c r="BV38" i="40"/>
  <c r="BY40" i="40"/>
  <c r="BW40" i="40"/>
  <c r="BY34" i="40"/>
  <c r="BW41" i="40"/>
  <c r="BX35" i="40"/>
  <c r="BY37" i="40"/>
  <c r="BV33" i="40"/>
  <c r="BY38" i="40"/>
  <c r="BW35" i="40"/>
  <c r="BX33" i="40"/>
  <c r="BV35" i="40"/>
  <c r="BV36" i="40"/>
  <c r="BX37" i="40"/>
  <c r="BV37" i="40"/>
  <c r="BX38" i="40"/>
  <c r="BW39" i="40"/>
  <c r="BX36" i="40"/>
  <c r="BX41" i="40"/>
  <c r="BW37" i="40"/>
  <c r="BW33" i="40"/>
  <c r="BY41" i="40"/>
  <c r="BY33" i="40"/>
  <c r="BW34" i="40"/>
  <c r="BV41" i="40"/>
  <c r="BX40" i="40"/>
  <c r="BV34" i="40"/>
  <c r="BX34" i="40"/>
  <c r="BW36" i="40"/>
  <c r="J9" i="43"/>
  <c r="D21" i="43" s="1"/>
  <c r="J8" i="43"/>
  <c r="D20" i="43" s="1"/>
  <c r="AH44" i="40"/>
  <c r="AJ44" i="40"/>
  <c r="AI44" i="40"/>
  <c r="AL44" i="40"/>
  <c r="AK44" i="40"/>
  <c r="AF44" i="40"/>
  <c r="AG44" i="40"/>
  <c r="AD44" i="40"/>
  <c r="AE44" i="40"/>
  <c r="J83" i="40"/>
  <c r="G82" i="40"/>
  <c r="H5" i="42"/>
  <c r="B17" i="42" s="1"/>
  <c r="G17" i="42" s="1"/>
  <c r="J17" i="42" s="1"/>
  <c r="J4" i="42"/>
  <c r="D16" i="42" s="1"/>
  <c r="AG16" i="42"/>
  <c r="I10" i="43"/>
  <c r="C22" i="43" s="1"/>
  <c r="H10" i="43"/>
  <c r="B22" i="43" s="1"/>
  <c r="G22" i="43" s="1"/>
  <c r="BU6" i="40" a="1"/>
  <c r="AH16" i="42"/>
  <c r="BO15" i="40"/>
  <c r="BP15" i="40"/>
  <c r="BN15" i="40"/>
  <c r="BR12" i="40"/>
  <c r="BP13" i="40"/>
  <c r="BM15" i="40"/>
  <c r="BP12" i="40"/>
  <c r="BQ13" i="40"/>
  <c r="BL13" i="40"/>
  <c r="BS15" i="40"/>
  <c r="BL12" i="40"/>
  <c r="BR13" i="40"/>
  <c r="BP14" i="40"/>
  <c r="BK12" i="40"/>
  <c r="BM13" i="40"/>
  <c r="BN13" i="40"/>
  <c r="BS14" i="40"/>
  <c r="BR14" i="40"/>
  <c r="BN12" i="40"/>
  <c r="BL14" i="40"/>
  <c r="BO12" i="40"/>
  <c r="BO14" i="40"/>
  <c r="BM12" i="40"/>
  <c r="BQ12" i="40"/>
  <c r="BN14" i="40"/>
  <c r="BK15" i="40"/>
  <c r="BQ15" i="40"/>
  <c r="BO13" i="40"/>
  <c r="BS13" i="40"/>
  <c r="BK14" i="40"/>
  <c r="BK13" i="40"/>
  <c r="BQ14" i="40"/>
  <c r="BL15" i="40"/>
  <c r="BS12" i="40"/>
  <c r="BM14" i="40"/>
  <c r="BR15" i="40"/>
  <c r="AY27" i="40"/>
  <c r="AY19" i="40"/>
  <c r="AY22" i="40"/>
  <c r="AY23" i="40"/>
  <c r="AY24" i="40"/>
  <c r="AY25" i="40"/>
  <c r="AY20" i="40"/>
  <c r="AY26" i="40"/>
  <c r="AY21" i="40"/>
  <c r="H9" i="42"/>
  <c r="B21" i="42" s="1"/>
  <c r="G21" i="42" s="1"/>
  <c r="H8" i="43"/>
  <c r="B20" i="43" s="1"/>
  <c r="G20" i="43" s="1"/>
  <c r="A37" i="44"/>
  <c r="A39" i="44"/>
  <c r="A33" i="44"/>
  <c r="A34" i="44"/>
  <c r="A35" i="44"/>
  <c r="A38" i="44"/>
  <c r="A41" i="44"/>
  <c r="A36" i="44"/>
  <c r="A40" i="44"/>
  <c r="J82" i="40"/>
  <c r="AV16" i="35"/>
  <c r="AV17" i="35" s="1"/>
  <c r="J5" i="43"/>
  <c r="D17" i="43" s="1"/>
  <c r="H45" i="44"/>
  <c r="G45" i="44"/>
  <c r="E45" i="44"/>
  <c r="D45" i="44"/>
  <c r="B45" i="44"/>
  <c r="C45" i="44"/>
  <c r="F45" i="44"/>
  <c r="J45" i="44"/>
  <c r="I45" i="44"/>
  <c r="G4" i="42"/>
  <c r="A16" i="42" s="1"/>
  <c r="I8" i="42"/>
  <c r="C20" i="42" s="1"/>
  <c r="CS5" i="55" a="1"/>
  <c r="CF6" i="55" a="1"/>
  <c r="I4" i="43"/>
  <c r="C16" i="43" s="1"/>
  <c r="J86" i="40"/>
  <c r="AF16" i="42"/>
  <c r="I5" i="42"/>
  <c r="C17" i="42" s="1"/>
  <c r="G12" i="43"/>
  <c r="A24" i="43" s="1"/>
  <c r="F24" i="43" s="1"/>
  <c r="I86" i="40"/>
  <c r="J85" i="40"/>
  <c r="J5" i="42"/>
  <c r="D17" i="42" s="1"/>
  <c r="AH16" i="43"/>
  <c r="AG20" i="43"/>
  <c r="AF19" i="43"/>
  <c r="AG18" i="43"/>
  <c r="AF16" i="43"/>
  <c r="AE15" i="43"/>
  <c r="AH15" i="43"/>
  <c r="AE22" i="43"/>
  <c r="AE16" i="43"/>
  <c r="AG17" i="43"/>
  <c r="AH19" i="43"/>
  <c r="AH17" i="43"/>
  <c r="AE18" i="43"/>
  <c r="AE23" i="43"/>
  <c r="AE20" i="43"/>
  <c r="AH20" i="43"/>
  <c r="AH22" i="43"/>
  <c r="AE19" i="43"/>
  <c r="AF17" i="43"/>
  <c r="AF23" i="43"/>
  <c r="AG21" i="43"/>
  <c r="AH21" i="43"/>
  <c r="AE17" i="43"/>
  <c r="AF15" i="43"/>
  <c r="AH18" i="43"/>
  <c r="AG19" i="43"/>
  <c r="AF21" i="43"/>
  <c r="AF20" i="43"/>
  <c r="AH23" i="43"/>
  <c r="AG22" i="43"/>
  <c r="AF18" i="43"/>
  <c r="AG23" i="43"/>
  <c r="AG15" i="43"/>
  <c r="AF22" i="43"/>
  <c r="AG16" i="43"/>
  <c r="G83" i="40"/>
  <c r="AX4" i="35"/>
  <c r="I10" i="42"/>
  <c r="C22" i="42" s="1"/>
  <c r="I90" i="40"/>
  <c r="I83" i="40"/>
  <c r="J10" i="42"/>
  <c r="D22" i="42" s="1"/>
  <c r="H4" i="42"/>
  <c r="B16" i="42" s="1"/>
  <c r="G16" i="42" s="1"/>
  <c r="G10" i="43"/>
  <c r="A22" i="43" s="1"/>
  <c r="F22" i="43" s="1"/>
  <c r="G6" i="43"/>
  <c r="A18" i="43" s="1"/>
  <c r="F18" i="43" s="1"/>
  <c r="J4" i="43"/>
  <c r="D16" i="43" s="1"/>
  <c r="H85" i="40"/>
  <c r="H84" i="40"/>
  <c r="AU87" i="39"/>
  <c r="AU74" i="39"/>
  <c r="AU92" i="39"/>
  <c r="AU76" i="39"/>
  <c r="AU93" i="39"/>
  <c r="AU82" i="39"/>
  <c r="AU79" i="39"/>
  <c r="AU80" i="39"/>
  <c r="AU77" i="39"/>
  <c r="AU75" i="39"/>
  <c r="AU78" i="39"/>
  <c r="P11" i="35"/>
  <c r="AU91" i="39"/>
  <c r="AU89" i="39"/>
  <c r="AU90" i="39"/>
  <c r="AU95" i="39"/>
  <c r="N10" i="35"/>
  <c r="AU88" i="39"/>
  <c r="N11" i="35"/>
  <c r="P10" i="35"/>
  <c r="O10" i="35"/>
  <c r="P9" i="35"/>
  <c r="L4" i="35"/>
  <c r="Y39" i="35"/>
  <c r="Z39" i="35" a="1"/>
  <c r="Z39" i="35" s="1"/>
  <c r="X39" i="35"/>
  <c r="W39" i="35"/>
  <c r="X10" i="35"/>
  <c r="Y10" i="35"/>
  <c r="Z10" i="35" a="1"/>
  <c r="Z10" i="35" s="1"/>
  <c r="W10" i="35"/>
  <c r="X9" i="35"/>
  <c r="W9" i="35"/>
  <c r="Y9" i="35"/>
  <c r="Z9" i="35" a="1"/>
  <c r="Z9" i="35" s="1"/>
  <c r="Y24" i="35"/>
  <c r="Z24" i="35" a="1"/>
  <c r="Z24" i="35" s="1"/>
  <c r="X24" i="35"/>
  <c r="W24" i="35"/>
  <c r="Z37" i="35" a="1"/>
  <c r="Z37" i="35" s="1"/>
  <c r="Y37" i="35"/>
  <c r="W37" i="35"/>
  <c r="X37" i="35"/>
  <c r="X7" i="35"/>
  <c r="W7" i="35"/>
  <c r="Z7" i="35" a="1"/>
  <c r="Z7" i="35" s="1"/>
  <c r="Y7" i="35"/>
  <c r="Y23" i="35"/>
  <c r="Z23" i="35" a="1"/>
  <c r="Z23" i="35" s="1"/>
  <c r="W23" i="35"/>
  <c r="X23" i="35"/>
  <c r="O11" i="35"/>
  <c r="AY11" i="35"/>
  <c r="N9" i="35"/>
  <c r="AX9" i="35"/>
  <c r="W22" i="35"/>
  <c r="Z22" i="35" a="1"/>
  <c r="Z22" i="35" s="1"/>
  <c r="Y22" i="35"/>
  <c r="X22" i="35"/>
  <c r="AB29" i="35"/>
  <c r="Y38" i="35"/>
  <c r="X38" i="35"/>
  <c r="Z38" i="35" a="1"/>
  <c r="Z38" i="35" s="1"/>
  <c r="W38" i="35"/>
  <c r="AI9" i="35" a="1"/>
  <c r="X8" i="35"/>
  <c r="Y8" i="35"/>
  <c r="W8" i="35"/>
  <c r="Z8" i="35" a="1"/>
  <c r="Z8" i="35" s="1"/>
  <c r="Y25" i="35"/>
  <c r="Z25" i="35" a="1"/>
  <c r="Z25" i="35" s="1"/>
  <c r="W25" i="35"/>
  <c r="X25" i="35"/>
  <c r="X40" i="35"/>
  <c r="W40" i="35"/>
  <c r="Y40" i="35"/>
  <c r="Z40" i="35" a="1"/>
  <c r="Z40" i="35" s="1"/>
  <c r="AZ10" i="35"/>
  <c r="L31" i="34"/>
  <c r="L32" i="34"/>
  <c r="L30" i="34" s="1"/>
  <c r="L33" i="34"/>
  <c r="S31" i="34"/>
  <c r="S30" i="34"/>
  <c r="J31" i="34"/>
  <c r="J32" i="34"/>
  <c r="J33" i="34"/>
  <c r="J30" i="34"/>
  <c r="J34" i="34" s="1"/>
  <c r="H34" i="34"/>
  <c r="I34" i="34"/>
  <c r="G34" i="34"/>
  <c r="G31" i="34"/>
  <c r="H31" i="34"/>
  <c r="I31" i="34"/>
  <c r="G32" i="34"/>
  <c r="H32" i="34"/>
  <c r="I32" i="34"/>
  <c r="G33" i="34"/>
  <c r="H33" i="34"/>
  <c r="I33" i="34"/>
  <c r="H30" i="34"/>
  <c r="I30" i="34"/>
  <c r="G30" i="34"/>
  <c r="G29" i="34" a="1"/>
  <c r="G29" i="34" s="1"/>
  <c r="I21" i="34"/>
  <c r="H21" i="34"/>
  <c r="G21" i="34"/>
  <c r="J20" i="34"/>
  <c r="I20" i="34"/>
  <c r="H20" i="34"/>
  <c r="G20" i="34"/>
  <c r="J19" i="34"/>
  <c r="I19" i="34"/>
  <c r="H19" i="34"/>
  <c r="G19" i="34"/>
  <c r="S18" i="34"/>
  <c r="S20" i="34" s="1"/>
  <c r="J18" i="34"/>
  <c r="I18" i="34"/>
  <c r="H18" i="34"/>
  <c r="G18" i="34"/>
  <c r="S17" i="34"/>
  <c r="J17" i="34"/>
  <c r="I17" i="34"/>
  <c r="H17" i="34"/>
  <c r="G17" i="34"/>
  <c r="G16" i="34" a="1"/>
  <c r="I16" i="34" s="1"/>
  <c r="S5" i="34"/>
  <c r="S4" i="34"/>
  <c r="J5" i="34"/>
  <c r="J6" i="34"/>
  <c r="J7" i="34"/>
  <c r="J4" i="34"/>
  <c r="H8" i="34"/>
  <c r="I8" i="34"/>
  <c r="G8" i="34"/>
  <c r="G5" i="34"/>
  <c r="H5" i="34"/>
  <c r="I5" i="34"/>
  <c r="G6" i="34"/>
  <c r="H6" i="34"/>
  <c r="I6" i="34"/>
  <c r="G7" i="34"/>
  <c r="H7" i="34"/>
  <c r="I7" i="34"/>
  <c r="H4" i="34"/>
  <c r="I4" i="34"/>
  <c r="G4" i="34"/>
  <c r="G3" i="34" a="1"/>
  <c r="G3" i="34" s="1"/>
  <c r="AI15" i="43" a="1"/>
  <c r="AQ12" i="35" a="1"/>
  <c r="AI15" i="42" a="1"/>
  <c r="AK23" i="42" l="1"/>
  <c r="AK15" i="42"/>
  <c r="AL22" i="42"/>
  <c r="AJ19" i="42"/>
  <c r="AI19" i="42"/>
  <c r="AL15" i="42"/>
  <c r="AL21" i="42"/>
  <c r="AL17" i="42"/>
  <c r="AJ15" i="42"/>
  <c r="AL16" i="42"/>
  <c r="AI17" i="42"/>
  <c r="AJ17" i="42"/>
  <c r="AK20" i="42"/>
  <c r="AJ20" i="42"/>
  <c r="AI20" i="42"/>
  <c r="AI21" i="42"/>
  <c r="AJ21" i="42"/>
  <c r="AL18" i="42"/>
  <c r="AK19" i="42"/>
  <c r="AK21" i="42"/>
  <c r="AI23" i="42"/>
  <c r="AJ23" i="42"/>
  <c r="AK16" i="42"/>
  <c r="AJ16" i="42"/>
  <c r="AI16" i="42"/>
  <c r="AL19" i="42"/>
  <c r="AL20" i="42"/>
  <c r="AJ18" i="42"/>
  <c r="AL23" i="42"/>
  <c r="AK22" i="42"/>
  <c r="AI22" i="42"/>
  <c r="AI15" i="42"/>
  <c r="AK18" i="42"/>
  <c r="AI18" i="42"/>
  <c r="AJ22" i="42"/>
  <c r="AK17" i="42"/>
  <c r="AS12" i="35"/>
  <c r="AR12" i="35"/>
  <c r="AQ12" i="35"/>
  <c r="AK20" i="43"/>
  <c r="AK16" i="43"/>
  <c r="AI22" i="43"/>
  <c r="AI16" i="43"/>
  <c r="AI21" i="43"/>
  <c r="AJ20" i="43"/>
  <c r="AI17" i="43"/>
  <c r="AK22" i="43"/>
  <c r="AL23" i="43"/>
  <c r="AL19" i="43"/>
  <c r="AJ23" i="43"/>
  <c r="AL21" i="43"/>
  <c r="AI18" i="43"/>
  <c r="AK17" i="43"/>
  <c r="AJ22" i="43"/>
  <c r="AL17" i="43"/>
  <c r="AK21" i="43"/>
  <c r="AJ18" i="43"/>
  <c r="AI15" i="43"/>
  <c r="AI23" i="43"/>
  <c r="AK19" i="43"/>
  <c r="AK23" i="43"/>
  <c r="AL15" i="43"/>
  <c r="AI19" i="43"/>
  <c r="AI20" i="43"/>
  <c r="AK18" i="43"/>
  <c r="AJ16" i="43"/>
  <c r="AK15" i="43"/>
  <c r="AL16" i="43"/>
  <c r="AL20" i="43"/>
  <c r="AL22" i="43"/>
  <c r="AJ17" i="43"/>
  <c r="AJ19" i="43"/>
  <c r="AJ21" i="43"/>
  <c r="AL18" i="43"/>
  <c r="AJ15" i="43"/>
  <c r="S32" i="34"/>
  <c r="AY6" i="35"/>
  <c r="AX5" i="35"/>
  <c r="AX6" i="35"/>
  <c r="AZ6" i="35"/>
  <c r="I22" i="42"/>
  <c r="K22" i="42" s="1"/>
  <c r="AZ4" i="35"/>
  <c r="J36" i="34"/>
  <c r="AY5" i="35"/>
  <c r="H37" i="34"/>
  <c r="H24" i="34"/>
  <c r="I24" i="34"/>
  <c r="B4" i="99"/>
  <c r="I21" i="43"/>
  <c r="I16" i="43"/>
  <c r="K16" i="43" s="1"/>
  <c r="J21" i="43"/>
  <c r="C29" i="43" a="1"/>
  <c r="C33" i="43" s="1"/>
  <c r="G33" i="43" s="1"/>
  <c r="H101" i="40"/>
  <c r="J19" i="42"/>
  <c r="I21" i="42"/>
  <c r="G101" i="40"/>
  <c r="J19" i="43"/>
  <c r="I19" i="43"/>
  <c r="I102" i="40"/>
  <c r="H104" i="40"/>
  <c r="J23" i="42"/>
  <c r="K23" i="42" s="1"/>
  <c r="I101" i="40"/>
  <c r="J23" i="43"/>
  <c r="I23" i="43"/>
  <c r="H92" i="40"/>
  <c r="I91" i="40"/>
  <c r="H102" i="40"/>
  <c r="G106" i="40"/>
  <c r="H99" i="40"/>
  <c r="J103" i="40"/>
  <c r="I107" i="40"/>
  <c r="I99" i="40"/>
  <c r="J100" i="40"/>
  <c r="I106" i="40"/>
  <c r="I104" i="40"/>
  <c r="H107" i="40"/>
  <c r="G103" i="40"/>
  <c r="H91" i="40"/>
  <c r="H100" i="40"/>
  <c r="I92" i="40"/>
  <c r="I19" i="42"/>
  <c r="J24" i="42"/>
  <c r="H105" i="40"/>
  <c r="I24" i="42"/>
  <c r="G100" i="40"/>
  <c r="I103" i="40"/>
  <c r="G102" i="40"/>
  <c r="J99" i="40"/>
  <c r="E108" i="40"/>
  <c r="G104" i="40"/>
  <c r="O67" i="40"/>
  <c r="J67" i="40" a="1"/>
  <c r="BK30" i="40" a="1"/>
  <c r="I20" i="42"/>
  <c r="L20" i="42" s="1"/>
  <c r="J105" i="40"/>
  <c r="G105" i="40"/>
  <c r="J107" i="40"/>
  <c r="J106" i="40"/>
  <c r="C29" i="42" a="1"/>
  <c r="C36" i="42" s="1"/>
  <c r="G36" i="42" s="1"/>
  <c r="J17" i="43"/>
  <c r="I17" i="43"/>
  <c r="D29" i="43" a="1"/>
  <c r="D37" i="43" s="1"/>
  <c r="S33" i="34"/>
  <c r="I37" i="34"/>
  <c r="J18" i="43"/>
  <c r="I18" i="43"/>
  <c r="CS5" i="55"/>
  <c r="CX5" i="55"/>
  <c r="CY5" i="55"/>
  <c r="DA5" i="55"/>
  <c r="CU5" i="55"/>
  <c r="CT5" i="55"/>
  <c r="CZ5" i="55"/>
  <c r="CW5" i="55"/>
  <c r="CV5" i="55"/>
  <c r="J92" i="40"/>
  <c r="J91" i="40"/>
  <c r="G92" i="40"/>
  <c r="G91" i="40"/>
  <c r="J22" i="43"/>
  <c r="I22" i="43"/>
  <c r="I24" i="43"/>
  <c r="J24" i="43"/>
  <c r="B26" i="43"/>
  <c r="J21" i="42"/>
  <c r="J18" i="42"/>
  <c r="I18" i="42"/>
  <c r="F16" i="42"/>
  <c r="B26" i="42"/>
  <c r="I20" i="43"/>
  <c r="J20" i="43"/>
  <c r="BU6" i="40"/>
  <c r="BU7" i="40"/>
  <c r="BU13" i="40"/>
  <c r="BU14" i="40"/>
  <c r="BU10" i="40"/>
  <c r="BU9" i="40"/>
  <c r="BU8" i="40"/>
  <c r="BU11" i="40"/>
  <c r="BU12" i="40"/>
  <c r="D29" i="42" a="1"/>
  <c r="I17" i="42"/>
  <c r="S34" i="34"/>
  <c r="L47" i="34"/>
  <c r="L48" i="34" s="1"/>
  <c r="G37" i="34"/>
  <c r="CF14" i="55"/>
  <c r="CF41" i="55" s="1"/>
  <c r="CF11" i="55"/>
  <c r="CF38" i="55" s="1"/>
  <c r="CF10" i="55"/>
  <c r="CF37" i="55" s="1"/>
  <c r="CF12" i="55"/>
  <c r="CF39" i="55" s="1"/>
  <c r="CF13" i="55"/>
  <c r="CF40" i="55" s="1"/>
  <c r="CF6" i="55"/>
  <c r="CF33" i="55" s="1"/>
  <c r="CF8" i="55"/>
  <c r="CF35" i="55" s="1"/>
  <c r="CF9" i="55"/>
  <c r="CF36" i="55" s="1"/>
  <c r="CF7" i="55"/>
  <c r="CF34" i="55" s="1"/>
  <c r="AY32" i="40" a="1"/>
  <c r="BU19" i="40" a="1"/>
  <c r="BC3" i="35"/>
  <c r="AW74" i="39" a="1"/>
  <c r="AW81" i="39" s="1"/>
  <c r="AW87" i="39" a="1"/>
  <c r="AW94" i="39" s="1"/>
  <c r="AA24" i="35"/>
  <c r="AA25" i="35"/>
  <c r="AA37" i="35"/>
  <c r="AI9" i="35"/>
  <c r="AI10" i="35"/>
  <c r="AJ9" i="35"/>
  <c r="AK9" i="35"/>
  <c r="AJ10" i="35"/>
  <c r="AI11" i="35"/>
  <c r="AK11" i="35"/>
  <c r="AJ11" i="35"/>
  <c r="AK10" i="35"/>
  <c r="AA22" i="35"/>
  <c r="AA23" i="35"/>
  <c r="AA7" i="35"/>
  <c r="AA38" i="35"/>
  <c r="AA40" i="35"/>
  <c r="AA8" i="35"/>
  <c r="AA9" i="35"/>
  <c r="AA10" i="35"/>
  <c r="AA39" i="35"/>
  <c r="I29" i="34"/>
  <c r="H29" i="34"/>
  <c r="H11" i="34"/>
  <c r="J23" i="34"/>
  <c r="G24" i="34"/>
  <c r="N17" i="34" s="1" a="1"/>
  <c r="P18" i="34" s="1"/>
  <c r="S19" i="34"/>
  <c r="H16" i="34"/>
  <c r="J21" i="34"/>
  <c r="G16" i="34"/>
  <c r="J8" i="34"/>
  <c r="J10" i="34"/>
  <c r="G11" i="34"/>
  <c r="I11" i="34"/>
  <c r="S6" i="34"/>
  <c r="S7" i="34"/>
  <c r="I3" i="34"/>
  <c r="H3" i="34"/>
  <c r="J9" i="15"/>
  <c r="J8" i="15"/>
  <c r="J7" i="15"/>
  <c r="J6" i="15"/>
  <c r="J14" i="32"/>
  <c r="K14" i="32"/>
  <c r="I14" i="32"/>
  <c r="Q10" i="30"/>
  <c r="Q11" i="30" s="1"/>
  <c r="Q12" i="30" s="1"/>
  <c r="Q13" i="30" s="1"/>
  <c r="Q14" i="30" s="1"/>
  <c r="Q15" i="30" s="1"/>
  <c r="Q16" i="30" s="1"/>
  <c r="E5" i="30"/>
  <c r="E6" i="30" s="1"/>
  <c r="E7" i="30" s="1"/>
  <c r="E8" i="30" s="1"/>
  <c r="E9" i="30" s="1"/>
  <c r="E10" i="30" s="1"/>
  <c r="E11" i="30" s="1"/>
  <c r="AM9" i="14"/>
  <c r="AM10" i="14" s="1"/>
  <c r="AM11" i="14" s="1"/>
  <c r="AM12" i="14" s="1"/>
  <c r="AM13" i="14" s="1"/>
  <c r="AM14" i="14" s="1"/>
  <c r="AM15" i="14" s="1"/>
  <c r="B18" i="99"/>
  <c r="G25" i="34" a="1"/>
  <c r="G12" i="34" a="1"/>
  <c r="CN26" i="40" a="1"/>
  <c r="G38" i="34" a="1"/>
  <c r="I38" i="34" l="1"/>
  <c r="H38" i="34"/>
  <c r="G38" i="34"/>
  <c r="CN34" i="40"/>
  <c r="CN26" i="40"/>
  <c r="CQ27" i="40"/>
  <c r="CP27" i="40"/>
  <c r="CO27" i="40"/>
  <c r="CP28" i="40"/>
  <c r="CO30" i="40"/>
  <c r="CN27" i="40"/>
  <c r="CQ32" i="40"/>
  <c r="CN32" i="40"/>
  <c r="CQ33" i="40"/>
  <c r="CP33" i="40"/>
  <c r="CO33" i="40"/>
  <c r="CP34" i="40"/>
  <c r="CP26" i="40"/>
  <c r="CO28" i="40"/>
  <c r="CQ34" i="40"/>
  <c r="CN31" i="40"/>
  <c r="CN30" i="40"/>
  <c r="CQ31" i="40"/>
  <c r="CP31" i="40"/>
  <c r="CO31" i="40"/>
  <c r="CP32" i="40"/>
  <c r="CO34" i="40"/>
  <c r="CO26" i="40"/>
  <c r="CQ26" i="40"/>
  <c r="CQ30" i="40"/>
  <c r="CN28" i="40"/>
  <c r="CQ29" i="40"/>
  <c r="CP29" i="40"/>
  <c r="CO29" i="40"/>
  <c r="CP30" i="40"/>
  <c r="CO32" i="40"/>
  <c r="CQ28" i="40"/>
  <c r="CN33" i="40"/>
  <c r="CN29" i="40"/>
  <c r="H12" i="34"/>
  <c r="G12" i="34"/>
  <c r="I12" i="34"/>
  <c r="H25" i="34"/>
  <c r="I25" i="34"/>
  <c r="G25" i="34"/>
  <c r="N30" i="34" a="1"/>
  <c r="N30" i="34" s="1"/>
  <c r="L22" i="42"/>
  <c r="B10" i="99"/>
  <c r="B5" i="99"/>
  <c r="K21" i="43"/>
  <c r="L21" i="42"/>
  <c r="L19" i="42"/>
  <c r="L16" i="43"/>
  <c r="L21" i="43"/>
  <c r="C29" i="43"/>
  <c r="G29" i="43" s="1"/>
  <c r="C30" i="43"/>
  <c r="G30" i="43" s="1"/>
  <c r="D32" i="43"/>
  <c r="C32" i="43"/>
  <c r="G32" i="43" s="1"/>
  <c r="C35" i="43"/>
  <c r="G35" i="43" s="1"/>
  <c r="C31" i="43"/>
  <c r="G31" i="43" s="1"/>
  <c r="C34" i="43"/>
  <c r="G34" i="43" s="1"/>
  <c r="C37" i="43"/>
  <c r="G37" i="43" s="1"/>
  <c r="C36" i="43"/>
  <c r="G36" i="43" s="1"/>
  <c r="L23" i="42"/>
  <c r="L19" i="43"/>
  <c r="K19" i="43"/>
  <c r="D30" i="43"/>
  <c r="C37" i="42"/>
  <c r="G37" i="42" s="1"/>
  <c r="C33" i="42"/>
  <c r="G33" i="42" s="1"/>
  <c r="D31" i="43"/>
  <c r="D33" i="43"/>
  <c r="K19" i="42"/>
  <c r="C30" i="42"/>
  <c r="G30" i="42" s="1"/>
  <c r="G109" i="40"/>
  <c r="H108" i="40"/>
  <c r="D29" i="43"/>
  <c r="D34" i="43"/>
  <c r="C29" i="42"/>
  <c r="G29" i="42" s="1"/>
  <c r="C35" i="42"/>
  <c r="G35" i="42" s="1"/>
  <c r="H109" i="40"/>
  <c r="H93" i="40"/>
  <c r="L24" i="42"/>
  <c r="I109" i="40"/>
  <c r="I93" i="40"/>
  <c r="K24" i="42"/>
  <c r="D36" i="43"/>
  <c r="D35" i="43"/>
  <c r="C32" i="42"/>
  <c r="G32" i="42" s="1"/>
  <c r="I108" i="40"/>
  <c r="K23" i="43"/>
  <c r="L23" i="43"/>
  <c r="I25" i="43"/>
  <c r="J25" i="43"/>
  <c r="G108" i="40"/>
  <c r="K20" i="42"/>
  <c r="BM30" i="40"/>
  <c r="BL30" i="40"/>
  <c r="BN30" i="40"/>
  <c r="BK30" i="40"/>
  <c r="C31" i="42"/>
  <c r="G31" i="42" s="1"/>
  <c r="J70" i="40"/>
  <c r="J69" i="40"/>
  <c r="J68" i="40"/>
  <c r="L70" i="40"/>
  <c r="J67" i="40"/>
  <c r="L69" i="40"/>
  <c r="L68" i="40"/>
  <c r="K67" i="40"/>
  <c r="L67" i="40"/>
  <c r="M69" i="40"/>
  <c r="M68" i="40"/>
  <c r="M67" i="40"/>
  <c r="K69" i="40"/>
  <c r="K68" i="40"/>
  <c r="K70" i="40"/>
  <c r="M70" i="40"/>
  <c r="J109" i="40"/>
  <c r="J108" i="40"/>
  <c r="L17" i="43"/>
  <c r="K17" i="43"/>
  <c r="G93" i="40"/>
  <c r="C34" i="42"/>
  <c r="G34" i="42" s="1"/>
  <c r="J93" i="40"/>
  <c r="K21" i="42"/>
  <c r="BU21" i="40"/>
  <c r="BU22" i="40"/>
  <c r="BU24" i="40"/>
  <c r="BU19" i="40"/>
  <c r="BU25" i="40"/>
  <c r="BU20" i="40"/>
  <c r="BU26" i="40"/>
  <c r="BU23" i="40"/>
  <c r="BU27" i="40"/>
  <c r="AY36" i="40"/>
  <c r="AY39" i="40"/>
  <c r="AY32" i="40"/>
  <c r="AY38" i="40"/>
  <c r="AY37" i="40"/>
  <c r="AY40" i="40"/>
  <c r="AY33" i="40"/>
  <c r="AY35" i="40"/>
  <c r="AY34" i="40"/>
  <c r="BU33" i="40" a="1"/>
  <c r="L20" i="43"/>
  <c r="K20" i="43"/>
  <c r="K18" i="43"/>
  <c r="L18" i="43"/>
  <c r="S8" i="34"/>
  <c r="L17" i="42"/>
  <c r="K17" i="42"/>
  <c r="I16" i="42"/>
  <c r="J16" i="42"/>
  <c r="J25" i="42" s="1"/>
  <c r="K24" i="43"/>
  <c r="L24" i="43"/>
  <c r="DE5" i="55" a="1"/>
  <c r="CR6" i="55" a="1"/>
  <c r="D30" i="42"/>
  <c r="D29" i="42"/>
  <c r="D35" i="42"/>
  <c r="D31" i="42"/>
  <c r="D36" i="42"/>
  <c r="D34" i="42"/>
  <c r="D37" i="42"/>
  <c r="D33" i="42"/>
  <c r="D32" i="42"/>
  <c r="K18" i="42"/>
  <c r="L18" i="42"/>
  <c r="L22" i="43"/>
  <c r="K22" i="43"/>
  <c r="L42" i="34"/>
  <c r="L43" i="34" s="1"/>
  <c r="AW90" i="39"/>
  <c r="AW88" i="39"/>
  <c r="AW75" i="39"/>
  <c r="AW74" i="39"/>
  <c r="AW80" i="39"/>
  <c r="AW78" i="39"/>
  <c r="AW77" i="39"/>
  <c r="AW76" i="39"/>
  <c r="AW82" i="39"/>
  <c r="AW79" i="39"/>
  <c r="AW89" i="39"/>
  <c r="AW92" i="39"/>
  <c r="AW91" i="39"/>
  <c r="AW87" i="39"/>
  <c r="AW95" i="39"/>
  <c r="AW93" i="39"/>
  <c r="W45" i="35"/>
  <c r="Y45" i="35" s="1"/>
  <c r="W30" i="35"/>
  <c r="Y30" i="35" s="1"/>
  <c r="BC11" i="35"/>
  <c r="BC9" i="35"/>
  <c r="BC10" i="35" s="1"/>
  <c r="W15" i="35"/>
  <c r="AF5" i="35" a="1"/>
  <c r="AF5" i="35" s="1"/>
  <c r="AG5" i="35" s="1"/>
  <c r="AH5" i="35" s="1"/>
  <c r="AF10" i="35" a="1"/>
  <c r="AF10" i="35" s="1"/>
  <c r="AG10" i="35" s="1"/>
  <c r="AH10" i="35" s="1"/>
  <c r="AF13" i="35" a="1"/>
  <c r="AF13" i="35" s="1"/>
  <c r="AG13" i="35" s="1"/>
  <c r="AH13" i="35" s="1"/>
  <c r="AF18" i="35" a="1"/>
  <c r="AF18" i="35" s="1"/>
  <c r="AG18" i="35" s="1"/>
  <c r="AH18" i="35" s="1"/>
  <c r="AF21" i="35" a="1"/>
  <c r="AF21" i="35" s="1"/>
  <c r="AG21" i="35" s="1"/>
  <c r="AH21" i="35" s="1"/>
  <c r="AF26" i="35" a="1"/>
  <c r="AF26" i="35" s="1"/>
  <c r="AG26" i="35" s="1"/>
  <c r="AH26" i="35" s="1"/>
  <c r="AF29" i="35" a="1"/>
  <c r="AF29" i="35" s="1"/>
  <c r="AG29" i="35" s="1"/>
  <c r="AH29" i="35" s="1"/>
  <c r="AF34" i="35" a="1"/>
  <c r="AF34" i="35" s="1"/>
  <c r="AG34" i="35" s="1"/>
  <c r="AH34" i="35" s="1"/>
  <c r="AF4" i="35" a="1"/>
  <c r="AF4" i="35" s="1"/>
  <c r="AG4" i="35" s="1"/>
  <c r="AH4" i="35" s="1"/>
  <c r="AF15" i="35" a="1"/>
  <c r="AF15" i="35" s="1"/>
  <c r="AG15" i="35" s="1"/>
  <c r="AH15" i="35" s="1"/>
  <c r="AF28" i="35" a="1"/>
  <c r="AF28" i="35" s="1"/>
  <c r="AG28" i="35" s="1"/>
  <c r="AH28" i="35" s="1"/>
  <c r="AF8" i="35" a="1"/>
  <c r="AF8" i="35" s="1"/>
  <c r="AG8" i="35" s="1"/>
  <c r="AH8" i="35" s="1"/>
  <c r="AF11" i="35" a="1"/>
  <c r="AF11" i="35" s="1"/>
  <c r="AG11" i="35" s="1"/>
  <c r="AH11" i="35" s="1"/>
  <c r="AF16" i="35" a="1"/>
  <c r="AF16" i="35" s="1"/>
  <c r="AG16" i="35" s="1"/>
  <c r="AH16" i="35" s="1"/>
  <c r="AF19" i="35" a="1"/>
  <c r="AF19" i="35" s="1"/>
  <c r="AG19" i="35" s="1"/>
  <c r="AH19" i="35" s="1"/>
  <c r="AF24" i="35" a="1"/>
  <c r="AF24" i="35" s="1"/>
  <c r="AG24" i="35" s="1"/>
  <c r="AH24" i="35" s="1"/>
  <c r="AF27" i="35" a="1"/>
  <c r="AF27" i="35" s="1"/>
  <c r="AG27" i="35" s="1"/>
  <c r="AH27" i="35" s="1"/>
  <c r="AF32" i="35" a="1"/>
  <c r="AF32" i="35" s="1"/>
  <c r="AG32" i="35" s="1"/>
  <c r="AH32" i="35" s="1"/>
  <c r="AF35" i="35" a="1"/>
  <c r="AF35" i="35" s="1"/>
  <c r="AG35" i="35" s="1"/>
  <c r="AH35" i="35" s="1"/>
  <c r="AF12" i="35" a="1"/>
  <c r="AF12" i="35" s="1"/>
  <c r="AG12" i="35" s="1"/>
  <c r="AH12" i="35" s="1"/>
  <c r="AF23" i="35" a="1"/>
  <c r="AF23" i="35" s="1"/>
  <c r="AG23" i="35" s="1"/>
  <c r="AH23" i="35" s="1"/>
  <c r="AF6" i="35" a="1"/>
  <c r="AF6" i="35" s="1"/>
  <c r="AG6" i="35" s="1"/>
  <c r="AH6" i="35" s="1"/>
  <c r="AF9" i="35" a="1"/>
  <c r="AF9" i="35" s="1"/>
  <c r="AG9" i="35" s="1"/>
  <c r="AH9" i="35" s="1"/>
  <c r="AF14" i="35" a="1"/>
  <c r="AF14" i="35" s="1"/>
  <c r="AG14" i="35" s="1"/>
  <c r="AH14" i="35" s="1"/>
  <c r="AF17" i="35" a="1"/>
  <c r="AF17" i="35" s="1"/>
  <c r="AG17" i="35" s="1"/>
  <c r="AH17" i="35" s="1"/>
  <c r="AF22" i="35" a="1"/>
  <c r="AF22" i="35" s="1"/>
  <c r="AG22" i="35" s="1"/>
  <c r="AH22" i="35" s="1"/>
  <c r="AF25" i="35" a="1"/>
  <c r="AF25" i="35" s="1"/>
  <c r="AG25" i="35" s="1"/>
  <c r="AH25" i="35" s="1"/>
  <c r="AF30" i="35" a="1"/>
  <c r="AF30" i="35" s="1"/>
  <c r="AG30" i="35" s="1"/>
  <c r="AH30" i="35" s="1"/>
  <c r="AF33" i="35" a="1"/>
  <c r="AF33" i="35" s="1"/>
  <c r="AG33" i="35" s="1"/>
  <c r="AH33" i="35" s="1"/>
  <c r="AF7" i="35" a="1"/>
  <c r="AF7" i="35" s="1"/>
  <c r="AG7" i="35" s="1"/>
  <c r="AH7" i="35" s="1"/>
  <c r="AF20" i="35" a="1"/>
  <c r="AF20" i="35" s="1"/>
  <c r="AG20" i="35" s="1"/>
  <c r="AH20" i="35" s="1"/>
  <c r="AF31" i="35" a="1"/>
  <c r="AF31" i="35" s="1"/>
  <c r="AG31" i="35" s="1"/>
  <c r="AH31" i="35" s="1"/>
  <c r="AS17" i="35"/>
  <c r="AS21" i="35"/>
  <c r="AS22" i="35"/>
  <c r="AS16" i="35"/>
  <c r="AQ22" i="35"/>
  <c r="AQ21" i="35"/>
  <c r="AQ17" i="35"/>
  <c r="AQ16" i="35"/>
  <c r="AR21" i="35"/>
  <c r="AR16" i="35"/>
  <c r="AR17" i="35"/>
  <c r="AR22" i="35"/>
  <c r="P32" i="34"/>
  <c r="N32" i="34"/>
  <c r="O30" i="34"/>
  <c r="N31" i="34"/>
  <c r="P31" i="34"/>
  <c r="O32" i="34"/>
  <c r="O31" i="34"/>
  <c r="P30" i="34"/>
  <c r="N4" i="34" a="1"/>
  <c r="P4" i="34" s="1"/>
  <c r="O18" i="34"/>
  <c r="N18" i="34"/>
  <c r="P19" i="34"/>
  <c r="O19" i="34"/>
  <c r="P17" i="34"/>
  <c r="O17" i="34"/>
  <c r="N17" i="34"/>
  <c r="N19" i="34"/>
  <c r="S21" i="34"/>
  <c r="Z11" i="14"/>
  <c r="AA7" i="14"/>
  <c r="AA6" i="14"/>
  <c r="AA5" i="14"/>
  <c r="AB5" i="14" s="1"/>
  <c r="AB10" i="14" s="1"/>
  <c r="B19" i="99"/>
  <c r="B15" i="99"/>
  <c r="I48" i="34" l="1"/>
  <c r="G48" i="34"/>
  <c r="G110" i="40"/>
  <c r="I110" i="40"/>
  <c r="H110" i="40"/>
  <c r="D42" i="43" a="1"/>
  <c r="D49" i="43" s="1"/>
  <c r="G49" i="43" s="1"/>
  <c r="K25" i="43"/>
  <c r="O17" i="43" s="1"/>
  <c r="L25" i="43"/>
  <c r="O16" i="43" s="1"/>
  <c r="CZ19" i="40" a="1"/>
  <c r="CW26" i="40" a="1"/>
  <c r="K93" i="40"/>
  <c r="K94" i="40" s="1"/>
  <c r="J110" i="40"/>
  <c r="D42" i="42" a="1"/>
  <c r="BU35" i="40"/>
  <c r="BU41" i="40"/>
  <c r="BU40" i="40"/>
  <c r="BU33" i="40"/>
  <c r="BU36" i="40"/>
  <c r="BU34" i="40"/>
  <c r="BU39" i="40"/>
  <c r="BU38" i="40"/>
  <c r="BU37" i="40"/>
  <c r="CM26" i="40" a="1"/>
  <c r="BU46" i="40" a="1"/>
  <c r="D50" i="43"/>
  <c r="G50" i="43" s="1"/>
  <c r="AB11" i="14"/>
  <c r="CR6" i="55"/>
  <c r="CR33" i="55" s="1"/>
  <c r="CR10" i="55"/>
  <c r="CR37" i="55" s="1"/>
  <c r="CR9" i="55"/>
  <c r="CR36" i="55" s="1"/>
  <c r="CR12" i="55"/>
  <c r="CR39" i="55" s="1"/>
  <c r="CR13" i="55"/>
  <c r="CR40" i="55" s="1"/>
  <c r="CR8" i="55"/>
  <c r="CR35" i="55" s="1"/>
  <c r="CR11" i="55"/>
  <c r="CR38" i="55" s="1"/>
  <c r="CR14" i="55"/>
  <c r="CR41" i="55" s="1"/>
  <c r="CR7" i="55"/>
  <c r="CR34" i="55" s="1"/>
  <c r="DJ5" i="55"/>
  <c r="DE5" i="55"/>
  <c r="DK5" i="55"/>
  <c r="DM5" i="55"/>
  <c r="DL5" i="55"/>
  <c r="DG5" i="55"/>
  <c r="DF5" i="55"/>
  <c r="DI5" i="55"/>
  <c r="DH5" i="55"/>
  <c r="L16" i="42"/>
  <c r="L25" i="42" s="1"/>
  <c r="I25" i="42"/>
  <c r="K16" i="42"/>
  <c r="K25" i="42" s="1"/>
  <c r="W44" i="35"/>
  <c r="Y44" i="35" s="1"/>
  <c r="Z44" i="35" s="1"/>
  <c r="AA44" i="35" s="1"/>
  <c r="W29" i="35"/>
  <c r="Y29" i="35" s="1"/>
  <c r="Z29" i="35" s="1"/>
  <c r="AA29" i="35" s="1"/>
  <c r="AB24" i="35"/>
  <c r="AB25" i="35"/>
  <c r="AD29" i="35"/>
  <c r="AB23" i="35"/>
  <c r="AB22" i="35"/>
  <c r="AC29" i="35"/>
  <c r="AB37" i="35"/>
  <c r="AD44" i="35"/>
  <c r="AB39" i="35"/>
  <c r="AB40" i="35"/>
  <c r="AB38" i="35"/>
  <c r="AC44" i="35"/>
  <c r="W14" i="35"/>
  <c r="Y14" i="35" s="1"/>
  <c r="Y15" i="35"/>
  <c r="O6" i="34"/>
  <c r="O5" i="34"/>
  <c r="S29" i="34"/>
  <c r="H48" i="34"/>
  <c r="H43" i="34"/>
  <c r="H42" i="34"/>
  <c r="H47" i="34"/>
  <c r="P5" i="34"/>
  <c r="N4" i="34"/>
  <c r="N5" i="34"/>
  <c r="O4" i="34"/>
  <c r="N6" i="34"/>
  <c r="P6" i="34"/>
  <c r="S16" i="34"/>
  <c r="Z30" i="31"/>
  <c r="AA7" i="31"/>
  <c r="Y53" i="31"/>
  <c r="AA30" i="31"/>
  <c r="X7" i="31"/>
  <c r="Z53" i="31"/>
  <c r="Y30" i="31"/>
  <c r="X30" i="31"/>
  <c r="Y7" i="31"/>
  <c r="AA53" i="31"/>
  <c r="Z7" i="31"/>
  <c r="X53" i="31"/>
  <c r="S3" i="30"/>
  <c r="M3" i="30"/>
  <c r="L7" i="30"/>
  <c r="R5" i="30"/>
  <c r="L8" i="30"/>
  <c r="R4" i="30"/>
  <c r="L6" i="30"/>
  <c r="L4" i="30"/>
  <c r="L5" i="30" s="1"/>
  <c r="S27" i="31"/>
  <c r="S28" i="31" s="1"/>
  <c r="S31" i="31"/>
  <c r="M27" i="31"/>
  <c r="M31" i="31"/>
  <c r="M36" i="31"/>
  <c r="M40" i="31"/>
  <c r="S30" i="31"/>
  <c r="M30" i="31"/>
  <c r="M34" i="31"/>
  <c r="M39" i="31"/>
  <c r="M33" i="31"/>
  <c r="M42" i="31"/>
  <c r="M28" i="31"/>
  <c r="M37" i="31"/>
  <c r="M29" i="31"/>
  <c r="M41" i="31"/>
  <c r="S29" i="31"/>
  <c r="M38" i="31"/>
  <c r="M32" i="31"/>
  <c r="Z26" i="31"/>
  <c r="T26" i="31"/>
  <c r="N26" i="31"/>
  <c r="AA3" i="31"/>
  <c r="U3" i="31"/>
  <c r="O3" i="31"/>
  <c r="Y49" i="31"/>
  <c r="S49" i="31"/>
  <c r="M49" i="31"/>
  <c r="O6" i="30"/>
  <c r="U4" i="30"/>
  <c r="O7" i="30"/>
  <c r="O4" i="30"/>
  <c r="O5" i="30" s="1"/>
  <c r="U5" i="30"/>
  <c r="O8" i="30"/>
  <c r="R3" i="30"/>
  <c r="L3" i="30"/>
  <c r="N28" i="31"/>
  <c r="N32" i="31"/>
  <c r="N37" i="31"/>
  <c r="N41" i="31"/>
  <c r="T27" i="31"/>
  <c r="T28" i="31" s="1"/>
  <c r="T31" i="31"/>
  <c r="N27" i="31"/>
  <c r="N31" i="31"/>
  <c r="N36" i="31"/>
  <c r="N40" i="31"/>
  <c r="T30" i="31"/>
  <c r="N30" i="31"/>
  <c r="N39" i="31"/>
  <c r="N33" i="31"/>
  <c r="N42" i="31"/>
  <c r="N34" i="31"/>
  <c r="N29" i="31"/>
  <c r="T29" i="31"/>
  <c r="N38" i="31"/>
  <c r="AA26" i="31"/>
  <c r="U26" i="31"/>
  <c r="O26" i="31"/>
  <c r="U7" i="31"/>
  <c r="O7" i="31"/>
  <c r="O11" i="31"/>
  <c r="O16" i="31"/>
  <c r="U6" i="31"/>
  <c r="O6" i="31"/>
  <c r="O10" i="31"/>
  <c r="O15" i="31"/>
  <c r="O5" i="31"/>
  <c r="O14" i="31"/>
  <c r="O18" i="31"/>
  <c r="U8" i="31"/>
  <c r="O8" i="31"/>
  <c r="O17" i="31"/>
  <c r="U4" i="31"/>
  <c r="U5" i="31" s="1"/>
  <c r="O13" i="31"/>
  <c r="O9" i="31"/>
  <c r="O4" i="31"/>
  <c r="O19" i="31"/>
  <c r="X3" i="31"/>
  <c r="R3" i="31"/>
  <c r="L3" i="31"/>
  <c r="S52" i="31"/>
  <c r="M52" i="31"/>
  <c r="M56" i="31"/>
  <c r="M62" i="31"/>
  <c r="M51" i="31"/>
  <c r="M55" i="31"/>
  <c r="M61" i="31"/>
  <c r="M65" i="31"/>
  <c r="M50" i="31"/>
  <c r="M64" i="31"/>
  <c r="S50" i="31"/>
  <c r="S51" i="31" s="1"/>
  <c r="S53" i="31"/>
  <c r="M53" i="31"/>
  <c r="M59" i="31"/>
  <c r="S54" i="31"/>
  <c r="M57" i="31"/>
  <c r="M63" i="31"/>
  <c r="M54" i="31"/>
  <c r="M60" i="31"/>
  <c r="Z49" i="31"/>
  <c r="N49" i="31"/>
  <c r="T49" i="31"/>
  <c r="O3" i="30"/>
  <c r="U3" i="30"/>
  <c r="T5" i="30"/>
  <c r="T4" i="30"/>
  <c r="N7" i="30"/>
  <c r="N4" i="30"/>
  <c r="N5" i="30" s="1"/>
  <c r="N6" i="30"/>
  <c r="N8" i="30"/>
  <c r="U29" i="31"/>
  <c r="O29" i="31"/>
  <c r="O33" i="31"/>
  <c r="O38" i="31"/>
  <c r="O42" i="31"/>
  <c r="O28" i="31"/>
  <c r="O32" i="31"/>
  <c r="O37" i="31"/>
  <c r="O41" i="31"/>
  <c r="U27" i="31"/>
  <c r="U28" i="31" s="1"/>
  <c r="O27" i="31"/>
  <c r="O36" i="31"/>
  <c r="U30" i="31"/>
  <c r="O30" i="31"/>
  <c r="O39" i="31"/>
  <c r="U31" i="31"/>
  <c r="O40" i="31"/>
  <c r="O34" i="31"/>
  <c r="O31" i="31"/>
  <c r="M5" i="31"/>
  <c r="M9" i="31"/>
  <c r="M14" i="31"/>
  <c r="S4" i="31"/>
  <c r="S5" i="31" s="1"/>
  <c r="S8" i="31"/>
  <c r="M4" i="31"/>
  <c r="M8" i="31"/>
  <c r="M13" i="31"/>
  <c r="M17" i="31"/>
  <c r="M11" i="31"/>
  <c r="S6" i="31"/>
  <c r="M6" i="31"/>
  <c r="M15" i="31"/>
  <c r="M19" i="31"/>
  <c r="M7" i="31"/>
  <c r="M18" i="31"/>
  <c r="S7" i="31"/>
  <c r="M16" i="31"/>
  <c r="M10" i="31"/>
  <c r="Y3" i="31"/>
  <c r="S3" i="31"/>
  <c r="M3" i="31"/>
  <c r="R8" i="31"/>
  <c r="R4" i="31"/>
  <c r="R5" i="31" s="1"/>
  <c r="R7" i="31"/>
  <c r="L19" i="31"/>
  <c r="L15" i="31"/>
  <c r="L10" i="31"/>
  <c r="L6" i="31"/>
  <c r="L18" i="31"/>
  <c r="L14" i="31"/>
  <c r="L9" i="31"/>
  <c r="L5" i="31"/>
  <c r="R6" i="31"/>
  <c r="L17" i="31"/>
  <c r="L8" i="31"/>
  <c r="L16" i="31"/>
  <c r="L7" i="31"/>
  <c r="L13" i="31"/>
  <c r="L4" i="31"/>
  <c r="L11" i="31"/>
  <c r="L65" i="31"/>
  <c r="L61" i="31"/>
  <c r="L56" i="31"/>
  <c r="L52" i="31"/>
  <c r="R54" i="31"/>
  <c r="R50" i="31"/>
  <c r="R51" i="31" s="1"/>
  <c r="L64" i="31"/>
  <c r="L60" i="31"/>
  <c r="L55" i="31"/>
  <c r="L51" i="31"/>
  <c r="R53" i="31"/>
  <c r="L63" i="31"/>
  <c r="L54" i="31"/>
  <c r="R52" i="31"/>
  <c r="L62" i="31"/>
  <c r="L53" i="31"/>
  <c r="L59" i="31"/>
  <c r="L57" i="31"/>
  <c r="L50" i="31"/>
  <c r="U54" i="31"/>
  <c r="O50" i="31"/>
  <c r="O54" i="31"/>
  <c r="O60" i="31"/>
  <c r="O64" i="31"/>
  <c r="U50" i="31"/>
  <c r="U51" i="31" s="1"/>
  <c r="U53" i="31"/>
  <c r="O53" i="31"/>
  <c r="O57" i="31"/>
  <c r="O59" i="31"/>
  <c r="O63" i="31"/>
  <c r="U52" i="31"/>
  <c r="O52" i="31"/>
  <c r="O55" i="31"/>
  <c r="O61" i="31"/>
  <c r="O56" i="31"/>
  <c r="O62" i="31"/>
  <c r="O51" i="31"/>
  <c r="O65" i="31"/>
  <c r="U49" i="31"/>
  <c r="AA49" i="31"/>
  <c r="O49" i="31"/>
  <c r="T50" i="31"/>
  <c r="T53" i="31"/>
  <c r="N53" i="31"/>
  <c r="N57" i="31"/>
  <c r="N59" i="31"/>
  <c r="N63" i="31"/>
  <c r="T52" i="31"/>
  <c r="N52" i="31"/>
  <c r="N56" i="31"/>
  <c r="N62" i="31"/>
  <c r="N55" i="31"/>
  <c r="N61" i="31"/>
  <c r="N50" i="31"/>
  <c r="N64" i="31"/>
  <c r="N51" i="31"/>
  <c r="T54" i="31"/>
  <c r="T51" i="31"/>
  <c r="N65" i="31"/>
  <c r="N54" i="31"/>
  <c r="N60" i="31"/>
  <c r="I9" i="32" a="1"/>
  <c r="N3" i="30"/>
  <c r="T3" i="30"/>
  <c r="S4" i="30"/>
  <c r="M4" i="30"/>
  <c r="M5" i="30" s="1"/>
  <c r="M8" i="30"/>
  <c r="M6" i="30"/>
  <c r="S5" i="30"/>
  <c r="S9" i="30" s="1"/>
  <c r="M7" i="30"/>
  <c r="R30" i="31"/>
  <c r="L39" i="31"/>
  <c r="L34" i="31"/>
  <c r="L30" i="31"/>
  <c r="R29" i="31"/>
  <c r="L42" i="31"/>
  <c r="L38" i="31"/>
  <c r="L33" i="31"/>
  <c r="L29" i="31"/>
  <c r="L37" i="31"/>
  <c r="L28" i="31"/>
  <c r="R27" i="31"/>
  <c r="R28" i="31" s="1"/>
  <c r="L36" i="31"/>
  <c r="L27" i="31"/>
  <c r="L32" i="31"/>
  <c r="R31" i="31"/>
  <c r="L31" i="31"/>
  <c r="L41" i="31"/>
  <c r="L40" i="31"/>
  <c r="X26" i="31"/>
  <c r="R26" i="31"/>
  <c r="L26" i="31"/>
  <c r="Y26" i="31"/>
  <c r="S26" i="31"/>
  <c r="M26" i="31"/>
  <c r="T6" i="31"/>
  <c r="N6" i="31"/>
  <c r="N10" i="31"/>
  <c r="N15" i="31"/>
  <c r="N5" i="31"/>
  <c r="N9" i="31"/>
  <c r="N14" i="31"/>
  <c r="T8" i="31"/>
  <c r="N8" i="31"/>
  <c r="N17" i="31"/>
  <c r="N11" i="31"/>
  <c r="T4" i="31"/>
  <c r="T5" i="31" s="1"/>
  <c r="N13" i="31"/>
  <c r="N7" i="31"/>
  <c r="N18" i="31"/>
  <c r="N4" i="31"/>
  <c r="N19" i="31"/>
  <c r="T7" i="31"/>
  <c r="N16" i="31"/>
  <c r="Z3" i="31"/>
  <c r="T3" i="31"/>
  <c r="N3" i="31"/>
  <c r="R49" i="31"/>
  <c r="X49" i="31"/>
  <c r="L49" i="31"/>
  <c r="G59" i="31"/>
  <c r="G58" i="31"/>
  <c r="Z12" i="14"/>
  <c r="AC13" i="14"/>
  <c r="AC17" i="14"/>
  <c r="AC21" i="14"/>
  <c r="AC25" i="14"/>
  <c r="AC29" i="14"/>
  <c r="AC33" i="14"/>
  <c r="AC37" i="14"/>
  <c r="AC41" i="14"/>
  <c r="AC10" i="14"/>
  <c r="AC14" i="14"/>
  <c r="AC18" i="14"/>
  <c r="AC22" i="14"/>
  <c r="AC30" i="14"/>
  <c r="AC38" i="14"/>
  <c r="AC11" i="14"/>
  <c r="AC15" i="14"/>
  <c r="AC19" i="14"/>
  <c r="AC23" i="14"/>
  <c r="AC27" i="14"/>
  <c r="AC31" i="14"/>
  <c r="AC35" i="14"/>
  <c r="AC39" i="14"/>
  <c r="AC12" i="14"/>
  <c r="AC16" i="14"/>
  <c r="AC20" i="14"/>
  <c r="AC24" i="14"/>
  <c r="AC28" i="14"/>
  <c r="AC32" i="14"/>
  <c r="AC36" i="14"/>
  <c r="AC40" i="14"/>
  <c r="AC26" i="14"/>
  <c r="AC34" i="14"/>
  <c r="L12" i="31" l="1"/>
  <c r="I43" i="34"/>
  <c r="I47" i="34"/>
  <c r="I42" i="34"/>
  <c r="G47" i="34"/>
  <c r="G43" i="34"/>
  <c r="G42" i="34"/>
  <c r="K110" i="40"/>
  <c r="K111" i="40" s="1"/>
  <c r="O16" i="42"/>
  <c r="O18" i="43"/>
  <c r="D42" i="43"/>
  <c r="G42" i="43" s="1"/>
  <c r="D48" i="43"/>
  <c r="G48" i="43" s="1"/>
  <c r="D47" i="43"/>
  <c r="G47" i="43" s="1"/>
  <c r="D44" i="43"/>
  <c r="G44" i="43" s="1"/>
  <c r="D45" i="43"/>
  <c r="G45" i="43" s="1"/>
  <c r="D43" i="43"/>
  <c r="G43" i="43" s="1"/>
  <c r="D46" i="43"/>
  <c r="G46" i="43" s="1"/>
  <c r="CW26" i="40"/>
  <c r="CW29" i="40"/>
  <c r="CW27" i="40"/>
  <c r="CW28" i="40"/>
  <c r="DB121" i="40"/>
  <c r="DC92" i="40"/>
  <c r="DB64" i="40"/>
  <c r="DB40" i="40"/>
  <c r="DB22" i="40"/>
  <c r="DB103" i="40"/>
  <c r="DA75" i="40"/>
  <c r="DB48" i="40"/>
  <c r="DB28" i="40"/>
  <c r="DB112" i="40"/>
  <c r="DA84" i="40"/>
  <c r="DB55" i="40"/>
  <c r="DC33" i="40"/>
  <c r="DC101" i="40"/>
  <c r="DA123" i="40"/>
  <c r="DB23" i="40"/>
  <c r="DB36" i="40"/>
  <c r="DB52" i="40"/>
  <c r="CZ128" i="40"/>
  <c r="CZ112" i="40"/>
  <c r="CZ96" i="40"/>
  <c r="CZ80" i="40"/>
  <c r="CZ64" i="40"/>
  <c r="DC131" i="40"/>
  <c r="DB110" i="40"/>
  <c r="CZ123" i="40"/>
  <c r="CZ102" i="40"/>
  <c r="CZ81" i="40"/>
  <c r="CZ59" i="40"/>
  <c r="DB118" i="40"/>
  <c r="DA93" i="40"/>
  <c r="DC71" i="40"/>
  <c r="DA51" i="40"/>
  <c r="DA35" i="40"/>
  <c r="DC32" i="40"/>
  <c r="DA54" i="40"/>
  <c r="DC82" i="40"/>
  <c r="DA111" i="40"/>
  <c r="CZ19" i="40"/>
  <c r="DC35" i="40"/>
  <c r="DA58" i="40"/>
  <c r="DC86" i="40"/>
  <c r="DA115" i="40"/>
  <c r="DA130" i="40"/>
  <c r="DA30" i="40"/>
  <c r="DC50" i="40"/>
  <c r="DA78" i="40"/>
  <c r="DC106" i="40"/>
  <c r="DA135" i="40"/>
  <c r="CZ111" i="40"/>
  <c r="CZ83" i="40"/>
  <c r="CZ55" i="40"/>
  <c r="DB102" i="40"/>
  <c r="DB74" i="40"/>
  <c r="DA48" i="40"/>
  <c r="DC25" i="40"/>
  <c r="DB51" i="40"/>
  <c r="DA88" i="40"/>
  <c r="DA127" i="40"/>
  <c r="CZ33" i="40"/>
  <c r="DB63" i="40"/>
  <c r="DC102" i="40"/>
  <c r="DC126" i="40"/>
  <c r="DB33" i="40"/>
  <c r="DC65" i="40"/>
  <c r="DA103" i="40"/>
  <c r="CZ135" i="40"/>
  <c r="CZ106" i="40"/>
  <c r="CZ78" i="40"/>
  <c r="DB134" i="40"/>
  <c r="DA97" i="40"/>
  <c r="DA69" i="40"/>
  <c r="DA44" i="40"/>
  <c r="DC29" i="40"/>
  <c r="DC57" i="40"/>
  <c r="DA95" i="40"/>
  <c r="DA134" i="40"/>
  <c r="DB38" i="40"/>
  <c r="DC70" i="40"/>
  <c r="DC109" i="40"/>
  <c r="DC133" i="40"/>
  <c r="DC38" i="40"/>
  <c r="DC72" i="40"/>
  <c r="DA110" i="40"/>
  <c r="CZ130" i="40"/>
  <c r="CZ73" i="40"/>
  <c r="DC91" i="40"/>
  <c r="DA40" i="40"/>
  <c r="DC64" i="40"/>
  <c r="CZ20" i="40"/>
  <c r="DC77" i="40"/>
  <c r="DA20" i="40"/>
  <c r="DA80" i="40"/>
  <c r="CZ138" i="40"/>
  <c r="CZ67" i="40"/>
  <c r="DB86" i="40"/>
  <c r="DC26" i="40"/>
  <c r="DB91" i="40"/>
  <c r="DB34" i="40"/>
  <c r="DB104" i="40"/>
  <c r="DB49" i="40"/>
  <c r="DB124" i="40"/>
  <c r="CZ94" i="40"/>
  <c r="DA117" i="40"/>
  <c r="DA57" i="40"/>
  <c r="DC40" i="40"/>
  <c r="DC112" i="40"/>
  <c r="DB50" i="40"/>
  <c r="DC125" i="40"/>
  <c r="CZ52" i="40"/>
  <c r="DA126" i="40"/>
  <c r="CZ131" i="40"/>
  <c r="CZ74" i="40"/>
  <c r="DB94" i="40"/>
  <c r="DA41" i="40"/>
  <c r="DA63" i="40"/>
  <c r="DC137" i="40"/>
  <c r="DA76" i="40"/>
  <c r="DA19" i="40"/>
  <c r="DB76" i="40"/>
  <c r="CZ51" i="40"/>
  <c r="DC117" i="40"/>
  <c r="DC60" i="40"/>
  <c r="DB20" i="40"/>
  <c r="DC69" i="40"/>
  <c r="DB25" i="40"/>
  <c r="DA66" i="40"/>
  <c r="DC108" i="40"/>
  <c r="CZ120" i="40"/>
  <c r="CZ88" i="40"/>
  <c r="CZ56" i="40"/>
  <c r="CZ134" i="40"/>
  <c r="CZ91" i="40"/>
  <c r="DA133" i="40"/>
  <c r="DB82" i="40"/>
  <c r="DA43" i="40"/>
  <c r="DB43" i="40"/>
  <c r="DC96" i="40"/>
  <c r="CZ27" i="40"/>
  <c r="DB72" i="40"/>
  <c r="DB129" i="40"/>
  <c r="CZ40" i="40"/>
  <c r="DB92" i="40"/>
  <c r="CZ126" i="40"/>
  <c r="CZ69" i="40"/>
  <c r="DA89" i="40"/>
  <c r="DA37" i="40"/>
  <c r="DA70" i="40"/>
  <c r="CZ22" i="40"/>
  <c r="DA83" i="40"/>
  <c r="DA23" i="40"/>
  <c r="DB83" i="40"/>
  <c r="CZ121" i="40"/>
  <c r="CZ63" i="40"/>
  <c r="DC83" i="40"/>
  <c r="DA33" i="40"/>
  <c r="DB77" i="40"/>
  <c r="CZ26" i="40"/>
  <c r="DA90" i="40"/>
  <c r="DA27" i="40"/>
  <c r="DC90" i="40"/>
  <c r="CZ101" i="40"/>
  <c r="DC63" i="40"/>
  <c r="DA102" i="40"/>
  <c r="DC116" i="40"/>
  <c r="DB117" i="40"/>
  <c r="DC119" i="40"/>
  <c r="DC52" i="40"/>
  <c r="DA67" i="40"/>
  <c r="DA87" i="40"/>
  <c r="CZ66" i="40"/>
  <c r="DA34" i="40"/>
  <c r="CZ25" i="40"/>
  <c r="DA25" i="40"/>
  <c r="DA73" i="40"/>
  <c r="DA129" i="40"/>
  <c r="DC31" i="40"/>
  <c r="DB42" i="40"/>
  <c r="DC42" i="40"/>
  <c r="DA100" i="40"/>
  <c r="DB71" i="40"/>
  <c r="DC45" i="40"/>
  <c r="DB26" i="40"/>
  <c r="DC110" i="40"/>
  <c r="DA82" i="40"/>
  <c r="DC53" i="40"/>
  <c r="DB32" i="40"/>
  <c r="DB119" i="40"/>
  <c r="DA91" i="40"/>
  <c r="DC62" i="40"/>
  <c r="CZ39" i="40"/>
  <c r="DB27" i="40"/>
  <c r="DC41" i="40"/>
  <c r="DA59" i="40"/>
  <c r="DB80" i="40"/>
  <c r="CZ132" i="40"/>
  <c r="CZ116" i="40"/>
  <c r="CZ84" i="40"/>
  <c r="CZ68" i="40"/>
  <c r="DC115" i="40"/>
  <c r="CZ107" i="40"/>
  <c r="CZ65" i="40"/>
  <c r="DB98" i="40"/>
  <c r="DC55" i="40"/>
  <c r="DC28" i="40"/>
  <c r="DB75" i="40"/>
  <c r="DA104" i="40"/>
  <c r="CZ31" i="40"/>
  <c r="DB79" i="40"/>
  <c r="DB136" i="40"/>
  <c r="DB45" i="40"/>
  <c r="DB99" i="40"/>
  <c r="CZ119" i="40"/>
  <c r="CZ62" i="40"/>
  <c r="DA81" i="40"/>
  <c r="DC19" i="40"/>
  <c r="DA79" i="40"/>
  <c r="CZ28" i="40"/>
  <c r="DA92" i="40"/>
  <c r="DA28" i="40"/>
  <c r="DA55" i="40"/>
  <c r="CZ114" i="40"/>
  <c r="CZ57" i="40"/>
  <c r="DC75" i="40"/>
  <c r="DC23" i="40"/>
  <c r="DA86" i="40"/>
  <c r="CZ32" i="40"/>
  <c r="DA99" i="40"/>
  <c r="DA32" i="40"/>
  <c r="DB101" i="40"/>
  <c r="DC107" i="40"/>
  <c r="DB47" i="40"/>
  <c r="DA60" i="40"/>
  <c r="DC136" i="40"/>
  <c r="DA36" i="40"/>
  <c r="CZ24" i="40"/>
  <c r="DC104" i="40"/>
  <c r="DC27" i="40"/>
  <c r="CZ37" i="40"/>
  <c r="DA124" i="40"/>
  <c r="DA52" i="40"/>
  <c r="DA120" i="40"/>
  <c r="DC58" i="40"/>
  <c r="DA114" i="40"/>
  <c r="DC85" i="40"/>
  <c r="DB57" i="40"/>
  <c r="CZ35" i="40"/>
  <c r="DC124" i="40"/>
  <c r="DB96" i="40"/>
  <c r="DA68" i="40"/>
  <c r="CZ43" i="40"/>
  <c r="DB24" i="40"/>
  <c r="DB105" i="40"/>
  <c r="DC76" i="40"/>
  <c r="DC49" i="40"/>
  <c r="DB29" i="40"/>
  <c r="DB73" i="40"/>
  <c r="DC94" i="40"/>
  <c r="DA116" i="40"/>
  <c r="DB19" i="40"/>
  <c r="DB31" i="40"/>
  <c r="CZ124" i="40"/>
  <c r="CZ108" i="40"/>
  <c r="CZ92" i="40"/>
  <c r="CZ76" i="40"/>
  <c r="CZ60" i="40"/>
  <c r="DB126" i="40"/>
  <c r="DA105" i="40"/>
  <c r="CZ118" i="40"/>
  <c r="CZ97" i="40"/>
  <c r="CZ75" i="40"/>
  <c r="CZ54" i="40"/>
  <c r="DC111" i="40"/>
  <c r="DC87" i="40"/>
  <c r="DB66" i="40"/>
  <c r="DA47" i="40"/>
  <c r="DC20" i="40"/>
  <c r="CZ38" i="40"/>
  <c r="DB61" i="40"/>
  <c r="DC89" i="40"/>
  <c r="DA118" i="40"/>
  <c r="CZ23" i="40"/>
  <c r="CZ41" i="40"/>
  <c r="DB65" i="40"/>
  <c r="DC93" i="40"/>
  <c r="DA122" i="40"/>
  <c r="DB137" i="40"/>
  <c r="DC34" i="40"/>
  <c r="DC56" i="40"/>
  <c r="DB85" i="40"/>
  <c r="DC113" i="40"/>
  <c r="CZ133" i="40"/>
  <c r="CZ105" i="40"/>
  <c r="CZ77" i="40"/>
  <c r="DB130" i="40"/>
  <c r="DC95" i="40"/>
  <c r="DC67" i="40"/>
  <c r="DA42" i="40"/>
  <c r="DC30" i="40"/>
  <c r="DB59" i="40"/>
  <c r="DC98" i="40"/>
  <c r="DA136" i="40"/>
  <c r="DC39" i="40"/>
  <c r="DA74" i="40"/>
  <c r="DB111" i="40"/>
  <c r="DB135" i="40"/>
  <c r="DB41" i="40"/>
  <c r="DC74" i="40"/>
  <c r="DA112" i="40"/>
  <c r="CZ127" i="40"/>
  <c r="CZ99" i="40"/>
  <c r="CZ71" i="40"/>
  <c r="DC123" i="40"/>
  <c r="DB90" i="40"/>
  <c r="DB62" i="40"/>
  <c r="DA38" i="40"/>
  <c r="DB35" i="40"/>
  <c r="DC66" i="40"/>
  <c r="DC105" i="40"/>
  <c r="CZ21" i="40"/>
  <c r="CZ45" i="40"/>
  <c r="DB81" i="40"/>
  <c r="DC118" i="40"/>
  <c r="DA21" i="40"/>
  <c r="DC46" i="40"/>
  <c r="DC81" i="40"/>
  <c r="DA119" i="40"/>
  <c r="CZ115" i="40"/>
  <c r="CZ58" i="40"/>
  <c r="DB78" i="40"/>
  <c r="DC22" i="40"/>
  <c r="DB84" i="40"/>
  <c r="CZ30" i="40"/>
  <c r="DB97" i="40"/>
  <c r="DA31" i="40"/>
  <c r="DC97" i="40"/>
  <c r="CZ125" i="40"/>
  <c r="DB138" i="40"/>
  <c r="DB58" i="40"/>
  <c r="DB39" i="40"/>
  <c r="DB109" i="40"/>
  <c r="CZ49" i="40"/>
  <c r="DB128" i="40"/>
  <c r="DB67" i="40"/>
  <c r="CZ137" i="40"/>
  <c r="CZ79" i="40"/>
  <c r="DC99" i="40"/>
  <c r="DA45" i="40"/>
  <c r="DA56" i="40"/>
  <c r="DC130" i="40"/>
  <c r="DC68" i="40"/>
  <c r="DA132" i="40"/>
  <c r="DB69" i="40"/>
  <c r="CZ110" i="40"/>
  <c r="CZ117" i="40"/>
  <c r="CZ61" i="40"/>
  <c r="DC79" i="40"/>
  <c r="DC21" i="40"/>
  <c r="DC80" i="40"/>
  <c r="CZ29" i="40"/>
  <c r="DB95" i="40"/>
  <c r="DA29" i="40"/>
  <c r="DA96" i="40"/>
  <c r="DC78" i="40"/>
  <c r="DB30" i="40"/>
  <c r="DB89" i="40"/>
  <c r="DC37" i="40"/>
  <c r="DA98" i="40"/>
  <c r="DB44" i="40"/>
  <c r="CZ47" i="40"/>
  <c r="DB87" i="40"/>
  <c r="CZ136" i="40"/>
  <c r="CZ104" i="40"/>
  <c r="CZ72" i="40"/>
  <c r="DA121" i="40"/>
  <c r="CZ113" i="40"/>
  <c r="CZ70" i="40"/>
  <c r="DC103" i="40"/>
  <c r="DA61" i="40"/>
  <c r="DC24" i="40"/>
  <c r="DB68" i="40"/>
  <c r="DB125" i="40"/>
  <c r="DB46" i="40"/>
  <c r="DC100" i="40"/>
  <c r="DA22" i="40"/>
  <c r="DA64" i="40"/>
  <c r="DC120" i="40"/>
  <c r="CZ98" i="40"/>
  <c r="DB122" i="40"/>
  <c r="DC59" i="40"/>
  <c r="DC36" i="40"/>
  <c r="DB107" i="40"/>
  <c r="DC47" i="40"/>
  <c r="DB120" i="40"/>
  <c r="CZ48" i="40"/>
  <c r="DC122" i="40"/>
  <c r="CZ93" i="40"/>
  <c r="DB114" i="40"/>
  <c r="DB54" i="40"/>
  <c r="CZ42" i="40"/>
  <c r="DC114" i="40"/>
  <c r="CZ53" i="40"/>
  <c r="DB127" i="40"/>
  <c r="DB53" i="40"/>
  <c r="DC129" i="40"/>
  <c r="DC127" i="40"/>
  <c r="CZ34" i="40"/>
  <c r="DC43" i="40"/>
  <c r="CZ44" i="40"/>
  <c r="CZ95" i="40"/>
  <c r="DA46" i="40"/>
  <c r="DC128" i="40"/>
  <c r="DA24" i="40"/>
  <c r="CZ122" i="40"/>
  <c r="DA85" i="40"/>
  <c r="DC73" i="40"/>
  <c r="DB88" i="40"/>
  <c r="DC88" i="40"/>
  <c r="CZ103" i="40"/>
  <c r="DA65" i="40"/>
  <c r="DB100" i="40"/>
  <c r="DB113" i="40"/>
  <c r="DB115" i="40"/>
  <c r="DB131" i="40"/>
  <c r="DC138" i="40"/>
  <c r="DC134" i="40"/>
  <c r="DA101" i="40"/>
  <c r="DC84" i="40"/>
  <c r="CZ109" i="40"/>
  <c r="DB70" i="40"/>
  <c r="DA106" i="40"/>
  <c r="DB108" i="40"/>
  <c r="DA109" i="40"/>
  <c r="DB56" i="40"/>
  <c r="DB133" i="40"/>
  <c r="DA107" i="40"/>
  <c r="DB21" i="40"/>
  <c r="CZ100" i="40"/>
  <c r="DA137" i="40"/>
  <c r="CZ129" i="40"/>
  <c r="CZ86" i="40"/>
  <c r="DA125" i="40"/>
  <c r="DA77" i="40"/>
  <c r="DA39" i="40"/>
  <c r="DC48" i="40"/>
  <c r="DB132" i="40"/>
  <c r="DC51" i="40"/>
  <c r="DA108" i="40"/>
  <c r="DA26" i="40"/>
  <c r="DA71" i="40"/>
  <c r="DA128" i="40"/>
  <c r="CZ90" i="40"/>
  <c r="DA113" i="40"/>
  <c r="DA53" i="40"/>
  <c r="DC44" i="40"/>
  <c r="DB116" i="40"/>
  <c r="DC54" i="40"/>
  <c r="DA131" i="40"/>
  <c r="DA94" i="40"/>
  <c r="CZ85" i="40"/>
  <c r="DB106" i="40"/>
  <c r="DA49" i="40"/>
  <c r="CZ50" i="40"/>
  <c r="DB123" i="40"/>
  <c r="DC61" i="40"/>
  <c r="DA138" i="40"/>
  <c r="DA62" i="40"/>
  <c r="CZ87" i="40"/>
  <c r="DA50" i="40"/>
  <c r="DC121" i="40"/>
  <c r="DB60" i="40"/>
  <c r="CZ82" i="40"/>
  <c r="DA72" i="40"/>
  <c r="CZ36" i="40"/>
  <c r="DC135" i="40"/>
  <c r="DB93" i="40"/>
  <c r="DB37" i="40"/>
  <c r="CZ89" i="40"/>
  <c r="CZ46" i="40"/>
  <c r="DC132" i="40"/>
  <c r="O17" i="42"/>
  <c r="BU49" i="40"/>
  <c r="BU47" i="40"/>
  <c r="BU54" i="40"/>
  <c r="BU46" i="40"/>
  <c r="BU48" i="40"/>
  <c r="BU51" i="40"/>
  <c r="BU53" i="40"/>
  <c r="BU50" i="40"/>
  <c r="BU52" i="40"/>
  <c r="CM32" i="40"/>
  <c r="CM28" i="40"/>
  <c r="CM34" i="40"/>
  <c r="CM27" i="40"/>
  <c r="CM33" i="40"/>
  <c r="CM30" i="40"/>
  <c r="CM31" i="40"/>
  <c r="CM26" i="40"/>
  <c r="CM29" i="40"/>
  <c r="O35" i="31"/>
  <c r="DQ5" i="55" a="1"/>
  <c r="DD6" i="55" a="1"/>
  <c r="D50" i="42"/>
  <c r="G50" i="42" s="1"/>
  <c r="D45" i="42"/>
  <c r="G45" i="42" s="1"/>
  <c r="D43" i="42"/>
  <c r="G43" i="42" s="1"/>
  <c r="D46" i="42"/>
  <c r="G46" i="42" s="1"/>
  <c r="D42" i="42"/>
  <c r="G42" i="42" s="1"/>
  <c r="D44" i="42"/>
  <c r="G44" i="42" s="1"/>
  <c r="D49" i="42"/>
  <c r="G49" i="42" s="1"/>
  <c r="D48" i="42"/>
  <c r="G48" i="42" s="1"/>
  <c r="D47" i="42"/>
  <c r="G47" i="42" s="1"/>
  <c r="L58" i="31"/>
  <c r="Z14" i="35"/>
  <c r="AA14" i="35" s="1"/>
  <c r="AD38" i="35"/>
  <c r="AC38" i="35"/>
  <c r="AD37" i="35"/>
  <c r="AC37" i="35"/>
  <c r="AB9" i="35"/>
  <c r="AD14" i="35"/>
  <c r="AB10" i="35"/>
  <c r="AB8" i="35"/>
  <c r="AB7" i="35"/>
  <c r="AC14" i="35"/>
  <c r="AC40" i="35"/>
  <c r="AD40" i="35"/>
  <c r="AD25" i="35"/>
  <c r="AC25" i="35"/>
  <c r="AD39" i="35"/>
  <c r="AC39" i="35"/>
  <c r="AD22" i="35"/>
  <c r="AC22" i="35"/>
  <c r="AC24" i="35"/>
  <c r="AD24" i="35"/>
  <c r="AC23" i="35"/>
  <c r="AD23" i="35"/>
  <c r="O58" i="31"/>
  <c r="S35" i="34"/>
  <c r="S36" i="34" s="1"/>
  <c r="S37" i="34"/>
  <c r="S22" i="34"/>
  <c r="S23" i="34" s="1"/>
  <c r="S24" i="34"/>
  <c r="T9" i="30"/>
  <c r="U13" i="30"/>
  <c r="S3" i="34"/>
  <c r="S11" i="34" s="1"/>
  <c r="S15" i="30"/>
  <c r="R15" i="30"/>
  <c r="S10" i="30"/>
  <c r="R12" i="30"/>
  <c r="M35" i="31"/>
  <c r="M12" i="31"/>
  <c r="S14" i="30"/>
  <c r="T12" i="30"/>
  <c r="N35" i="31"/>
  <c r="L35" i="31"/>
  <c r="S11" i="30"/>
  <c r="T16" i="30"/>
  <c r="S12" i="30"/>
  <c r="S13" i="30"/>
  <c r="T15" i="30"/>
  <c r="U9" i="30"/>
  <c r="S16" i="30"/>
  <c r="U10" i="30"/>
  <c r="U11" i="30"/>
  <c r="U12" i="30"/>
  <c r="T10" i="30"/>
  <c r="R13" i="30"/>
  <c r="U14" i="30"/>
  <c r="N12" i="31"/>
  <c r="R10" i="30"/>
  <c r="U15" i="30"/>
  <c r="R11" i="30"/>
  <c r="T13" i="30"/>
  <c r="U16" i="30"/>
  <c r="R16" i="30"/>
  <c r="T14" i="30"/>
  <c r="R9" i="30"/>
  <c r="T11" i="30"/>
  <c r="R14" i="30"/>
  <c r="I9" i="32"/>
  <c r="K10" i="32"/>
  <c r="J10" i="32"/>
  <c r="J11" i="32"/>
  <c r="J9" i="32"/>
  <c r="I10" i="32"/>
  <c r="I11" i="32"/>
  <c r="K9" i="32"/>
  <c r="K11" i="32"/>
  <c r="N58" i="31"/>
  <c r="M58" i="31"/>
  <c r="O12" i="31"/>
  <c r="G60" i="31"/>
  <c r="Z13" i="14"/>
  <c r="AB12" i="14"/>
  <c r="N20" i="43" l="1"/>
  <c r="O21" i="43" s="1"/>
  <c r="N21" i="43"/>
  <c r="O20" i="43" s="1"/>
  <c r="O18" i="42"/>
  <c r="N20" i="42" s="1"/>
  <c r="O21" i="42" s="1"/>
  <c r="DB140" i="40" a="1"/>
  <c r="DB140" i="40" s="1"/>
  <c r="DB141" i="40"/>
  <c r="DC140" i="40" a="1"/>
  <c r="DC140" i="40" s="1"/>
  <c r="DC141" i="40"/>
  <c r="DA141" i="40"/>
  <c r="DA140" i="40" a="1"/>
  <c r="DA140" i="40" s="1"/>
  <c r="CZ140" i="40"/>
  <c r="CZ141" i="40"/>
  <c r="DD9" i="55"/>
  <c r="DD36" i="55" s="1"/>
  <c r="DD7" i="55"/>
  <c r="DD34" i="55" s="1"/>
  <c r="DD13" i="55"/>
  <c r="DD40" i="55" s="1"/>
  <c r="DD14" i="55"/>
  <c r="DD41" i="55" s="1"/>
  <c r="DD10" i="55"/>
  <c r="DD37" i="55" s="1"/>
  <c r="DD12" i="55"/>
  <c r="DD39" i="55" s="1"/>
  <c r="DD8" i="55"/>
  <c r="DD35" i="55" s="1"/>
  <c r="DD11" i="55"/>
  <c r="DD38" i="55" s="1"/>
  <c r="DD6" i="55"/>
  <c r="DD33" i="55" s="1"/>
  <c r="DQ5" i="55"/>
  <c r="DS5" i="55"/>
  <c r="DW5" i="55"/>
  <c r="DR5" i="55"/>
  <c r="DV5" i="55"/>
  <c r="DY5" i="55"/>
  <c r="DX5" i="55"/>
  <c r="DU5" i="55"/>
  <c r="DT5" i="55"/>
  <c r="DE26" i="40" a="1"/>
  <c r="AD10" i="35"/>
  <c r="AC10" i="35"/>
  <c r="AC8" i="35"/>
  <c r="AD8" i="35"/>
  <c r="AD7" i="35"/>
  <c r="AC7" i="35"/>
  <c r="AC9" i="35"/>
  <c r="AD9" i="35"/>
  <c r="S7" i="30"/>
  <c r="S9" i="34"/>
  <c r="S10" i="34" s="1"/>
  <c r="V12" i="30"/>
  <c r="V10" i="30"/>
  <c r="U6" i="30"/>
  <c r="S8" i="30"/>
  <c r="V15" i="30"/>
  <c r="T7" i="30"/>
  <c r="V11" i="30"/>
  <c r="U7" i="30"/>
  <c r="S6" i="30"/>
  <c r="V16" i="30"/>
  <c r="U8" i="30"/>
  <c r="R8" i="30"/>
  <c r="R7" i="30"/>
  <c r="R6" i="30"/>
  <c r="V9" i="30"/>
  <c r="T8" i="30"/>
  <c r="F9" i="32" a="1"/>
  <c r="F9" i="32" s="1"/>
  <c r="G9" i="32" s="1"/>
  <c r="H9" i="32" s="1"/>
  <c r="F12" i="32" a="1"/>
  <c r="F12" i="32" s="1"/>
  <c r="G12" i="32" s="1"/>
  <c r="H12" i="32" s="1"/>
  <c r="F14" i="32" a="1"/>
  <c r="F14" i="32" s="1"/>
  <c r="G14" i="32" s="1"/>
  <c r="H14" i="32" s="1"/>
  <c r="F17" i="32" a="1"/>
  <c r="F17" i="32" s="1"/>
  <c r="G17" i="32" s="1"/>
  <c r="H17" i="32" s="1"/>
  <c r="F20" i="32" a="1"/>
  <c r="F20" i="32" s="1"/>
  <c r="G20" i="32" s="1"/>
  <c r="H20" i="32" s="1"/>
  <c r="F23" i="32" a="1"/>
  <c r="F23" i="32" s="1"/>
  <c r="G23" i="32" s="1"/>
  <c r="H23" i="32" s="1"/>
  <c r="F28" i="32" a="1"/>
  <c r="F28" i="32" s="1"/>
  <c r="G28" i="32" s="1"/>
  <c r="H28" i="32" s="1"/>
  <c r="F31" i="32" a="1"/>
  <c r="F31" i="32" s="1"/>
  <c r="G31" i="32" s="1"/>
  <c r="H31" i="32" s="1"/>
  <c r="F5" i="32" a="1"/>
  <c r="F5" i="32" s="1"/>
  <c r="G5" i="32" s="1"/>
  <c r="H5" i="32" s="1"/>
  <c r="F8" i="32" a="1"/>
  <c r="F8" i="32" s="1"/>
  <c r="G8" i="32" s="1"/>
  <c r="H8" i="32" s="1"/>
  <c r="F10" i="32" a="1"/>
  <c r="F10" i="32" s="1"/>
  <c r="G10" i="32" s="1"/>
  <c r="H10" i="32" s="1"/>
  <c r="F15" i="32" a="1"/>
  <c r="F15" i="32" s="1"/>
  <c r="G15" i="32" s="1"/>
  <c r="H15" i="32" s="1"/>
  <c r="F18" i="32" a="1"/>
  <c r="F18" i="32" s="1"/>
  <c r="G18" i="32" s="1"/>
  <c r="H18" i="32" s="1"/>
  <c r="F21" i="32" a="1"/>
  <c r="F21" i="32" s="1"/>
  <c r="G21" i="32" s="1"/>
  <c r="H21" i="32" s="1"/>
  <c r="F26" i="32" a="1"/>
  <c r="F26" i="32" s="1"/>
  <c r="G26" i="32" s="1"/>
  <c r="H26" i="32" s="1"/>
  <c r="F29" i="32" a="1"/>
  <c r="F29" i="32" s="1"/>
  <c r="G29" i="32" s="1"/>
  <c r="H29" i="32" s="1"/>
  <c r="F34" i="32" a="1"/>
  <c r="F34" i="32" s="1"/>
  <c r="G34" i="32" s="1"/>
  <c r="H34" i="32" s="1"/>
  <c r="F4" i="32" a="1"/>
  <c r="F4" i="32" s="1"/>
  <c r="G4" i="32" s="1"/>
  <c r="H4" i="32" s="1"/>
  <c r="F7" i="32" a="1"/>
  <c r="F7" i="32" s="1"/>
  <c r="G7" i="32" s="1"/>
  <c r="H7" i="32" s="1"/>
  <c r="F16" i="32" a="1"/>
  <c r="F16" i="32" s="1"/>
  <c r="G16" i="32" s="1"/>
  <c r="H16" i="32" s="1"/>
  <c r="F22" i="32" a="1"/>
  <c r="F22" i="32" s="1"/>
  <c r="G22" i="32" s="1"/>
  <c r="H22" i="32" s="1"/>
  <c r="F33" i="32" a="1"/>
  <c r="F33" i="32" s="1"/>
  <c r="G33" i="32" s="1"/>
  <c r="H33" i="32" s="1"/>
  <c r="F19" i="32" a="1"/>
  <c r="F19" i="32" s="1"/>
  <c r="G19" i="32" s="1"/>
  <c r="H19" i="32" s="1"/>
  <c r="F24" i="32" a="1"/>
  <c r="F24" i="32" s="1"/>
  <c r="G24" i="32" s="1"/>
  <c r="H24" i="32" s="1"/>
  <c r="F35" i="32" a="1"/>
  <c r="F35" i="32" s="1"/>
  <c r="G35" i="32" s="1"/>
  <c r="H35" i="32" s="1"/>
  <c r="F13" i="32" a="1"/>
  <c r="F13" i="32" s="1"/>
  <c r="G13" i="32" s="1"/>
  <c r="H13" i="32" s="1"/>
  <c r="F25" i="32" a="1"/>
  <c r="F25" i="32" s="1"/>
  <c r="G25" i="32" s="1"/>
  <c r="H25" i="32" s="1"/>
  <c r="F30" i="32" a="1"/>
  <c r="F30" i="32" s="1"/>
  <c r="G30" i="32" s="1"/>
  <c r="H30" i="32" s="1"/>
  <c r="F11" i="32" a="1"/>
  <c r="F11" i="32" s="1"/>
  <c r="G11" i="32" s="1"/>
  <c r="H11" i="32" s="1"/>
  <c r="F32" i="32" a="1"/>
  <c r="F32" i="32" s="1"/>
  <c r="G32" i="32" s="1"/>
  <c r="H32" i="32" s="1"/>
  <c r="F6" i="32" a="1"/>
  <c r="F6" i="32" s="1"/>
  <c r="G6" i="32" s="1"/>
  <c r="H6" i="32" s="1"/>
  <c r="F27" i="32" a="1"/>
  <c r="F27" i="32" s="1"/>
  <c r="G27" i="32" s="1"/>
  <c r="H27" i="32" s="1"/>
  <c r="T6" i="30"/>
  <c r="V14" i="30"/>
  <c r="V13" i="30"/>
  <c r="Z14" i="14"/>
  <c r="AB13" i="14"/>
  <c r="N9" i="21" a="1"/>
  <c r="Q16" i="43" l="1" a="1"/>
  <c r="Q21" i="43" s="1"/>
  <c r="N21" i="42"/>
  <c r="O20" i="42" s="1"/>
  <c r="Q16" i="42" s="1" a="1"/>
  <c r="Q21" i="42" s="1"/>
  <c r="EC5" i="55" a="1"/>
  <c r="DP6" i="55" a="1"/>
  <c r="DE34" i="40"/>
  <c r="DE31" i="40"/>
  <c r="DE28" i="40"/>
  <c r="DE30" i="40"/>
  <c r="DE33" i="40"/>
  <c r="DE32" i="40"/>
  <c r="DE26" i="40"/>
  <c r="DE29" i="40"/>
  <c r="DE27" i="40"/>
  <c r="Z15" i="14"/>
  <c r="AB14" i="14"/>
  <c r="L4" i="21"/>
  <c r="L5" i="21"/>
  <c r="L6" i="21"/>
  <c r="Q22" i="43" l="1"/>
  <c r="R23" i="43"/>
  <c r="R21" i="43"/>
  <c r="R17" i="43"/>
  <c r="R19" i="43"/>
  <c r="R18" i="43"/>
  <c r="Q24" i="43"/>
  <c r="Q16" i="43"/>
  <c r="R16" i="43"/>
  <c r="Q18" i="43"/>
  <c r="Q23" i="43"/>
  <c r="R24" i="43"/>
  <c r="R22" i="43"/>
  <c r="Q17" i="43"/>
  <c r="R20" i="43"/>
  <c r="Q19" i="43"/>
  <c r="Q20" i="43"/>
  <c r="R22" i="42"/>
  <c r="R16" i="42"/>
  <c r="Q20" i="42"/>
  <c r="R24" i="42"/>
  <c r="Q24" i="42"/>
  <c r="Q22" i="42"/>
  <c r="R18" i="42"/>
  <c r="R23" i="42"/>
  <c r="Q18" i="42"/>
  <c r="R21" i="42"/>
  <c r="Q19" i="42"/>
  <c r="R20" i="42"/>
  <c r="R17" i="42"/>
  <c r="Q17" i="42"/>
  <c r="Q16" i="42"/>
  <c r="Q23" i="42"/>
  <c r="R19" i="42"/>
  <c r="DP6" i="55"/>
  <c r="DP33" i="55" s="1"/>
  <c r="DP9" i="55"/>
  <c r="DP36" i="55" s="1"/>
  <c r="DP11" i="55"/>
  <c r="DP38" i="55" s="1"/>
  <c r="DP10" i="55"/>
  <c r="DP37" i="55" s="1"/>
  <c r="DP8" i="55"/>
  <c r="DP35" i="55" s="1"/>
  <c r="DP13" i="55"/>
  <c r="DP40" i="55" s="1"/>
  <c r="DP7" i="55"/>
  <c r="DP34" i="55" s="1"/>
  <c r="DP14" i="55"/>
  <c r="DP41" i="55" s="1"/>
  <c r="DP12" i="55"/>
  <c r="DP39" i="55" s="1"/>
  <c r="EC5" i="55"/>
  <c r="EK5" i="55"/>
  <c r="EE5" i="55"/>
  <c r="EH5" i="55"/>
  <c r="EI5" i="55"/>
  <c r="ED5" i="55"/>
  <c r="EG5" i="55"/>
  <c r="EF5" i="55"/>
  <c r="EJ5" i="55"/>
  <c r="P9" i="21"/>
  <c r="Z16" i="14"/>
  <c r="AB15" i="14"/>
  <c r="O10" i="21"/>
  <c r="O11" i="21"/>
  <c r="P10" i="21"/>
  <c r="N9" i="21"/>
  <c r="O9" i="21"/>
  <c r="P11" i="21"/>
  <c r="N10" i="21"/>
  <c r="N11" i="21"/>
  <c r="A29" i="43" l="1" a="1"/>
  <c r="A29" i="43" s="1"/>
  <c r="B29" i="43" a="1"/>
  <c r="B31" i="43" s="1"/>
  <c r="A29" i="42" a="1"/>
  <c r="A29" i="42" s="1"/>
  <c r="B29" i="42" a="1"/>
  <c r="B30" i="42" s="1"/>
  <c r="EO5" i="55" a="1"/>
  <c r="EB6" i="55" a="1"/>
  <c r="Z17" i="14"/>
  <c r="AB16" i="14"/>
  <c r="A36" i="43" l="1"/>
  <c r="F36" i="43" s="1"/>
  <c r="I36" i="43" s="1"/>
  <c r="A33" i="43"/>
  <c r="F33" i="43" s="1"/>
  <c r="J33" i="43" s="1"/>
  <c r="A31" i="43"/>
  <c r="F31" i="43" s="1"/>
  <c r="J31" i="43" s="1"/>
  <c r="A37" i="43"/>
  <c r="F37" i="43" s="1"/>
  <c r="J37" i="43" s="1"/>
  <c r="A35" i="43"/>
  <c r="F35" i="43" s="1"/>
  <c r="I35" i="43" s="1"/>
  <c r="A32" i="43"/>
  <c r="F32" i="43" s="1"/>
  <c r="J32" i="43" s="1"/>
  <c r="A30" i="43"/>
  <c r="F30" i="43" s="1"/>
  <c r="I30" i="43" s="1"/>
  <c r="A34" i="43"/>
  <c r="F34" i="43" s="1"/>
  <c r="I34" i="43" s="1"/>
  <c r="B32" i="43"/>
  <c r="B35" i="43"/>
  <c r="B30" i="43"/>
  <c r="B34" i="43"/>
  <c r="B36" i="43"/>
  <c r="B29" i="43"/>
  <c r="B33" i="43"/>
  <c r="B37" i="43"/>
  <c r="A35" i="42"/>
  <c r="F35" i="42" s="1"/>
  <c r="J35" i="42" s="1"/>
  <c r="A32" i="42"/>
  <c r="F32" i="42" s="1"/>
  <c r="J32" i="42" s="1"/>
  <c r="A34" i="42"/>
  <c r="F34" i="42" s="1"/>
  <c r="J34" i="42" s="1"/>
  <c r="A33" i="42"/>
  <c r="F33" i="42" s="1"/>
  <c r="I33" i="42" s="1"/>
  <c r="A36" i="42"/>
  <c r="F36" i="42" s="1"/>
  <c r="J36" i="42" s="1"/>
  <c r="B32" i="42"/>
  <c r="B35" i="42"/>
  <c r="I33" i="43"/>
  <c r="L33" i="43" s="1"/>
  <c r="B37" i="42"/>
  <c r="A37" i="42"/>
  <c r="F37" i="42" s="1"/>
  <c r="J37" i="42" s="1"/>
  <c r="A31" i="42"/>
  <c r="F31" i="42" s="1"/>
  <c r="J31" i="42" s="1"/>
  <c r="B33" i="42"/>
  <c r="A30" i="42"/>
  <c r="F30" i="42" s="1"/>
  <c r="J30" i="42" s="1"/>
  <c r="B31" i="42"/>
  <c r="B36" i="42"/>
  <c r="B34" i="42"/>
  <c r="B29" i="42"/>
  <c r="F29" i="43"/>
  <c r="F29" i="42"/>
  <c r="EB12" i="55"/>
  <c r="EB39" i="55" s="1"/>
  <c r="EB13" i="55"/>
  <c r="EB40" i="55" s="1"/>
  <c r="EB7" i="55"/>
  <c r="EB34" i="55" s="1"/>
  <c r="EB14" i="55"/>
  <c r="EB41" i="55" s="1"/>
  <c r="EB9" i="55"/>
  <c r="EB36" i="55" s="1"/>
  <c r="EB6" i="55"/>
  <c r="EB33" i="55" s="1"/>
  <c r="EB11" i="55"/>
  <c r="EB38" i="55" s="1"/>
  <c r="EB8" i="55"/>
  <c r="EB35" i="55" s="1"/>
  <c r="EB10" i="55"/>
  <c r="EB37" i="55" s="1"/>
  <c r="EW5" i="55"/>
  <c r="EO5" i="55"/>
  <c r="ES5" i="55"/>
  <c r="EQ5" i="55"/>
  <c r="ET5" i="55"/>
  <c r="EP5" i="55"/>
  <c r="EU5" i="55"/>
  <c r="EV5" i="55"/>
  <c r="ER5" i="55"/>
  <c r="Z18" i="14"/>
  <c r="AB17" i="14"/>
  <c r="I34" i="42" l="1"/>
  <c r="K34" i="42" s="1"/>
  <c r="J35" i="43"/>
  <c r="L35" i="43" s="1"/>
  <c r="J36" i="43"/>
  <c r="L36" i="43" s="1"/>
  <c r="B42" i="43" a="1"/>
  <c r="B44" i="43" s="1"/>
  <c r="I37" i="43"/>
  <c r="L37" i="43" s="1"/>
  <c r="J34" i="43"/>
  <c r="K34" i="43" s="1"/>
  <c r="J30" i="43"/>
  <c r="K30" i="43" s="1"/>
  <c r="I31" i="43"/>
  <c r="K31" i="43" s="1"/>
  <c r="I32" i="43"/>
  <c r="K32" i="43" s="1"/>
  <c r="B39" i="43"/>
  <c r="I35" i="42"/>
  <c r="K35" i="42" s="1"/>
  <c r="J33" i="42"/>
  <c r="L33" i="42" s="1"/>
  <c r="I32" i="42"/>
  <c r="K32" i="42" s="1"/>
  <c r="I31" i="42"/>
  <c r="L31" i="42" s="1"/>
  <c r="K33" i="43"/>
  <c r="I36" i="42"/>
  <c r="K36" i="42" s="1"/>
  <c r="I30" i="42"/>
  <c r="L30" i="42" s="1"/>
  <c r="B39" i="42"/>
  <c r="B42" i="42" a="1"/>
  <c r="B42" i="42" s="1"/>
  <c r="I37" i="42"/>
  <c r="L37" i="42" s="1"/>
  <c r="L34" i="43"/>
  <c r="J29" i="43"/>
  <c r="I29" i="43"/>
  <c r="I29" i="42"/>
  <c r="J29" i="42"/>
  <c r="FA5" i="55" a="1"/>
  <c r="EN6" i="55" a="1"/>
  <c r="Z19" i="14"/>
  <c r="AB18" i="14"/>
  <c r="K35" i="43" l="1"/>
  <c r="J38" i="42"/>
  <c r="J38" i="43"/>
  <c r="L34" i="42"/>
  <c r="K36" i="43"/>
  <c r="L32" i="42"/>
  <c r="K33" i="42"/>
  <c r="B45" i="43"/>
  <c r="B42" i="43"/>
  <c r="B50" i="43"/>
  <c r="B46" i="43"/>
  <c r="B48" i="43"/>
  <c r="B43" i="43"/>
  <c r="B47" i="43"/>
  <c r="K37" i="43"/>
  <c r="B49" i="43"/>
  <c r="L32" i="43"/>
  <c r="L30" i="43"/>
  <c r="L31" i="43"/>
  <c r="K31" i="42"/>
  <c r="L35" i="42"/>
  <c r="L36" i="42"/>
  <c r="K30" i="42"/>
  <c r="K37" i="42"/>
  <c r="B43" i="42"/>
  <c r="B46" i="42"/>
  <c r="B49" i="42"/>
  <c r="B45" i="42"/>
  <c r="B47" i="42"/>
  <c r="B44" i="42"/>
  <c r="B48" i="42"/>
  <c r="B50" i="42"/>
  <c r="I38" i="43"/>
  <c r="K29" i="43"/>
  <c r="L29" i="43"/>
  <c r="K29" i="42"/>
  <c r="I38" i="42"/>
  <c r="L29" i="42"/>
  <c r="EN13" i="55"/>
  <c r="EN40" i="55" s="1"/>
  <c r="EN14" i="55"/>
  <c r="EN41" i="55" s="1"/>
  <c r="EN10" i="55"/>
  <c r="EN37" i="55" s="1"/>
  <c r="EN12" i="55"/>
  <c r="EN39" i="55" s="1"/>
  <c r="EN7" i="55"/>
  <c r="EN34" i="55" s="1"/>
  <c r="EN9" i="55"/>
  <c r="EN36" i="55" s="1"/>
  <c r="EN6" i="55"/>
  <c r="EN33" i="55" s="1"/>
  <c r="EN11" i="55"/>
  <c r="EN38" i="55" s="1"/>
  <c r="EN8" i="55"/>
  <c r="EN35" i="55" s="1"/>
  <c r="FI5" i="55"/>
  <c r="FA5" i="55"/>
  <c r="FF5" i="55"/>
  <c r="FG5" i="55"/>
  <c r="FC5" i="55"/>
  <c r="FB5" i="55"/>
  <c r="FE5" i="55"/>
  <c r="FH5" i="55"/>
  <c r="FD5" i="55"/>
  <c r="Z20" i="14"/>
  <c r="AB19" i="14"/>
  <c r="L38" i="43" l="1"/>
  <c r="O29" i="43" s="1"/>
  <c r="K38" i="43"/>
  <c r="O30" i="43" s="1"/>
  <c r="L38" i="42"/>
  <c r="O29" i="42" s="1"/>
  <c r="B55" i="43" a="1"/>
  <c r="B60" i="43" s="1"/>
  <c r="F60" i="43" s="1"/>
  <c r="K38" i="42"/>
  <c r="O30" i="42" s="1"/>
  <c r="B55" i="42" a="1"/>
  <c r="B61" i="42" s="1"/>
  <c r="F61" i="42" s="1"/>
  <c r="FM5" i="55" a="1"/>
  <c r="EZ6" i="55" a="1"/>
  <c r="Z21" i="14"/>
  <c r="AB20" i="14"/>
  <c r="B58" i="43" l="1"/>
  <c r="F58" i="43" s="1"/>
  <c r="B55" i="43"/>
  <c r="F55" i="43" s="1"/>
  <c r="B61" i="43"/>
  <c r="F61" i="43" s="1"/>
  <c r="B59" i="43"/>
  <c r="F59" i="43" s="1"/>
  <c r="B62" i="43"/>
  <c r="F62" i="43" s="1"/>
  <c r="B56" i="43"/>
  <c r="F56" i="43" s="1"/>
  <c r="B63" i="43"/>
  <c r="F63" i="43" s="1"/>
  <c r="B57" i="43"/>
  <c r="F57" i="43" s="1"/>
  <c r="O31" i="43"/>
  <c r="N34" i="43" s="1"/>
  <c r="O33" i="43" s="1"/>
  <c r="B59" i="42"/>
  <c r="F59" i="42" s="1"/>
  <c r="B63" i="42"/>
  <c r="F63" i="42" s="1"/>
  <c r="B55" i="42"/>
  <c r="F55" i="42" s="1"/>
  <c r="B56" i="42"/>
  <c r="F56" i="42" s="1"/>
  <c r="B60" i="42"/>
  <c r="F60" i="42" s="1"/>
  <c r="B57" i="42"/>
  <c r="F57" i="42" s="1"/>
  <c r="B62" i="42"/>
  <c r="F62" i="42" s="1"/>
  <c r="B58" i="42"/>
  <c r="F58" i="42" s="1"/>
  <c r="O31" i="42"/>
  <c r="N33" i="42" s="1"/>
  <c r="O34" i="42" s="1"/>
  <c r="FM5" i="55"/>
  <c r="FU5" i="55"/>
  <c r="FN5" i="55"/>
  <c r="FQ5" i="55"/>
  <c r="FR5" i="55"/>
  <c r="FO5" i="55"/>
  <c r="FS5" i="55"/>
  <c r="FT5" i="55"/>
  <c r="FP5" i="55"/>
  <c r="EZ7" i="55"/>
  <c r="EZ34" i="55" s="1"/>
  <c r="EZ10" i="55"/>
  <c r="EZ37" i="55" s="1"/>
  <c r="EZ12" i="55"/>
  <c r="EZ39" i="55" s="1"/>
  <c r="EZ9" i="55"/>
  <c r="EZ36" i="55" s="1"/>
  <c r="EZ11" i="55"/>
  <c r="EZ38" i="55" s="1"/>
  <c r="EZ13" i="55"/>
  <c r="EZ40" i="55" s="1"/>
  <c r="EZ14" i="55"/>
  <c r="EZ41" i="55" s="1"/>
  <c r="EZ6" i="55"/>
  <c r="EZ33" i="55" s="1"/>
  <c r="EZ8" i="55"/>
  <c r="EZ35" i="55" s="1"/>
  <c r="Z22" i="14"/>
  <c r="AB21" i="14"/>
  <c r="N33" i="43" l="1"/>
  <c r="O34" i="43" s="1"/>
  <c r="N34" i="42"/>
  <c r="O33" i="42" s="1"/>
  <c r="Q29" i="42" s="1" a="1"/>
  <c r="Q37" i="42" s="1"/>
  <c r="FY5" i="55" a="1"/>
  <c r="FL6" i="55" a="1"/>
  <c r="Z23" i="14"/>
  <c r="AB22" i="14"/>
  <c r="Q29" i="43" l="1" a="1"/>
  <c r="Q35" i="43" s="1"/>
  <c r="Q31" i="42"/>
  <c r="Q36" i="42"/>
  <c r="Q35" i="42"/>
  <c r="R35" i="42"/>
  <c r="Q30" i="42"/>
  <c r="R29" i="42"/>
  <c r="Q33" i="42"/>
  <c r="R36" i="42"/>
  <c r="R30" i="42"/>
  <c r="R37" i="42"/>
  <c r="R31" i="42"/>
  <c r="R33" i="42"/>
  <c r="R32" i="42"/>
  <c r="Q32" i="42"/>
  <c r="R34" i="42"/>
  <c r="Q34" i="42"/>
  <c r="Q29" i="42"/>
  <c r="FL14" i="55"/>
  <c r="FL41" i="55" s="1"/>
  <c r="FL12" i="55"/>
  <c r="FL39" i="55" s="1"/>
  <c r="FL10" i="55"/>
  <c r="FL37" i="55" s="1"/>
  <c r="FL11" i="55"/>
  <c r="FL38" i="55" s="1"/>
  <c r="FL8" i="55"/>
  <c r="FL35" i="55" s="1"/>
  <c r="FL9" i="55"/>
  <c r="FL36" i="55" s="1"/>
  <c r="FL7" i="55"/>
  <c r="FL34" i="55" s="1"/>
  <c r="FL6" i="55"/>
  <c r="FL33" i="55" s="1"/>
  <c r="FL13" i="55"/>
  <c r="FL40" i="55" s="1"/>
  <c r="GG5" i="55"/>
  <c r="FY5" i="55"/>
  <c r="GA5" i="55"/>
  <c r="FZ5" i="55"/>
  <c r="GC5" i="55"/>
  <c r="GD5" i="55"/>
  <c r="GE5" i="55"/>
  <c r="GB5" i="55"/>
  <c r="GF5" i="55"/>
  <c r="Z24" i="14"/>
  <c r="AB23" i="14"/>
  <c r="Q29" i="43" l="1"/>
  <c r="R34" i="43"/>
  <c r="Q31" i="43"/>
  <c r="Q33" i="43"/>
  <c r="R37" i="43"/>
  <c r="R29" i="43"/>
  <c r="R32" i="43"/>
  <c r="Q34" i="43"/>
  <c r="Q32" i="43"/>
  <c r="R36" i="43"/>
  <c r="R31" i="43"/>
  <c r="Q37" i="43"/>
  <c r="R35" i="43"/>
  <c r="R33" i="43"/>
  <c r="Q36" i="43"/>
  <c r="R30" i="43"/>
  <c r="Q30" i="43"/>
  <c r="A42" i="42" a="1"/>
  <c r="C42" i="42" a="1"/>
  <c r="GK5" i="55" a="1"/>
  <c r="FX6" i="55" a="1"/>
  <c r="Z25" i="14"/>
  <c r="AB24" i="14"/>
  <c r="C42" i="43" l="1" a="1"/>
  <c r="C45" i="43" s="1"/>
  <c r="A42" i="43" a="1"/>
  <c r="A44" i="43" s="1"/>
  <c r="F44" i="43" s="1"/>
  <c r="J44" i="43" s="1"/>
  <c r="A49" i="42"/>
  <c r="F49" i="42" s="1"/>
  <c r="A43" i="42"/>
  <c r="F43" i="42" s="1"/>
  <c r="A47" i="42"/>
  <c r="F47" i="42" s="1"/>
  <c r="A45" i="42"/>
  <c r="F45" i="42" s="1"/>
  <c r="A48" i="42"/>
  <c r="F48" i="42" s="1"/>
  <c r="A46" i="42"/>
  <c r="F46" i="42" s="1"/>
  <c r="A50" i="42"/>
  <c r="F50" i="42" s="1"/>
  <c r="A42" i="42"/>
  <c r="A44" i="42"/>
  <c r="F44" i="42" s="1"/>
  <c r="C45" i="42"/>
  <c r="C50" i="42"/>
  <c r="C49" i="42"/>
  <c r="C48" i="42"/>
  <c r="C47" i="42"/>
  <c r="C42" i="42"/>
  <c r="C43" i="42"/>
  <c r="C44" i="42"/>
  <c r="C46" i="42"/>
  <c r="FX11" i="55"/>
  <c r="FX38" i="55" s="1"/>
  <c r="FX9" i="55"/>
  <c r="FX36" i="55" s="1"/>
  <c r="FX13" i="55"/>
  <c r="FX40" i="55" s="1"/>
  <c r="FX7" i="55"/>
  <c r="FX34" i="55" s="1"/>
  <c r="FX10" i="55"/>
  <c r="FX37" i="55" s="1"/>
  <c r="FX12" i="55"/>
  <c r="FX39" i="55" s="1"/>
  <c r="FX8" i="55"/>
  <c r="FX35" i="55" s="1"/>
  <c r="FX6" i="55"/>
  <c r="FX33" i="55" s="1"/>
  <c r="FX14" i="55"/>
  <c r="FX41" i="55" s="1"/>
  <c r="GS5" i="55"/>
  <c r="GK5" i="55"/>
  <c r="GO5" i="55"/>
  <c r="GM5" i="55"/>
  <c r="GL5" i="55"/>
  <c r="GP5" i="55"/>
  <c r="GQ5" i="55"/>
  <c r="GR5" i="55"/>
  <c r="GN5" i="55"/>
  <c r="Z26" i="14"/>
  <c r="AB25" i="14"/>
  <c r="C44" i="43" l="1"/>
  <c r="C43" i="43"/>
  <c r="C49" i="43"/>
  <c r="C42" i="43"/>
  <c r="C46" i="43"/>
  <c r="C48" i="43"/>
  <c r="C50" i="43"/>
  <c r="C47" i="43"/>
  <c r="A43" i="43"/>
  <c r="F43" i="43" s="1"/>
  <c r="J43" i="43" s="1"/>
  <c r="A47" i="43"/>
  <c r="F47" i="43" s="1"/>
  <c r="J47" i="43" s="1"/>
  <c r="I44" i="43"/>
  <c r="K44" i="43" s="1"/>
  <c r="A48" i="43"/>
  <c r="F48" i="43" s="1"/>
  <c r="I48" i="43" s="1"/>
  <c r="A45" i="43"/>
  <c r="F45" i="43" s="1"/>
  <c r="A50" i="43"/>
  <c r="F50" i="43" s="1"/>
  <c r="I50" i="43" s="1"/>
  <c r="A42" i="43"/>
  <c r="F42" i="43" s="1"/>
  <c r="A46" i="43"/>
  <c r="F46" i="43" s="1"/>
  <c r="I46" i="43" s="1"/>
  <c r="A49" i="43"/>
  <c r="F49" i="43" s="1"/>
  <c r="I49" i="43" s="1"/>
  <c r="C55" i="42" a="1"/>
  <c r="C57" i="42" s="1"/>
  <c r="G57" i="42" s="1"/>
  <c r="I57" i="42" s="1"/>
  <c r="I44" i="42"/>
  <c r="J44" i="42"/>
  <c r="J48" i="42"/>
  <c r="I48" i="42"/>
  <c r="I49" i="42"/>
  <c r="J49" i="42"/>
  <c r="F42" i="42"/>
  <c r="B52" i="42"/>
  <c r="J45" i="42"/>
  <c r="I45" i="42"/>
  <c r="J50" i="42"/>
  <c r="I50" i="42"/>
  <c r="J47" i="42"/>
  <c r="I47" i="42"/>
  <c r="I46" i="42"/>
  <c r="J46" i="42"/>
  <c r="I43" i="42"/>
  <c r="J43" i="42"/>
  <c r="GW5" i="55" a="1"/>
  <c r="GJ6" i="55" a="1"/>
  <c r="Z27" i="14"/>
  <c r="AB26" i="14"/>
  <c r="I47" i="43" l="1"/>
  <c r="K47" i="43" s="1"/>
  <c r="L44" i="43"/>
  <c r="J48" i="43"/>
  <c r="L48" i="43" s="1"/>
  <c r="J50" i="43"/>
  <c r="L50" i="43" s="1"/>
  <c r="J46" i="43"/>
  <c r="L46" i="43" s="1"/>
  <c r="C55" i="43" a="1"/>
  <c r="C56" i="43" s="1"/>
  <c r="G56" i="43" s="1"/>
  <c r="I43" i="43"/>
  <c r="L43" i="43" s="1"/>
  <c r="J49" i="43"/>
  <c r="K49" i="43" s="1"/>
  <c r="B52" i="43"/>
  <c r="I45" i="43"/>
  <c r="J45" i="43"/>
  <c r="C58" i="42"/>
  <c r="G58" i="42" s="1"/>
  <c r="J58" i="42" s="1"/>
  <c r="I42" i="43"/>
  <c r="J42" i="43"/>
  <c r="C63" i="42"/>
  <c r="G63" i="42" s="1"/>
  <c r="J63" i="42" s="1"/>
  <c r="C56" i="42"/>
  <c r="G56" i="42" s="1"/>
  <c r="J56" i="42" s="1"/>
  <c r="J57" i="42"/>
  <c r="K57" i="42" s="1"/>
  <c r="C62" i="42"/>
  <c r="G62" i="42" s="1"/>
  <c r="I62" i="42" s="1"/>
  <c r="C55" i="42"/>
  <c r="G55" i="42" s="1"/>
  <c r="J55" i="42" s="1"/>
  <c r="C61" i="42"/>
  <c r="G61" i="42" s="1"/>
  <c r="J61" i="42" s="1"/>
  <c r="C59" i="42"/>
  <c r="G59" i="42" s="1"/>
  <c r="I59" i="42" s="1"/>
  <c r="C60" i="42"/>
  <c r="G60" i="42" s="1"/>
  <c r="J60" i="42" s="1"/>
  <c r="K43" i="42"/>
  <c r="L43" i="42"/>
  <c r="K47" i="42"/>
  <c r="L47" i="42"/>
  <c r="L45" i="42"/>
  <c r="K45" i="42"/>
  <c r="K49" i="42"/>
  <c r="L49" i="42"/>
  <c r="L44" i="42"/>
  <c r="K44" i="42"/>
  <c r="L46" i="42"/>
  <c r="K46" i="42"/>
  <c r="L50" i="42"/>
  <c r="K50" i="42"/>
  <c r="L48" i="42"/>
  <c r="K48" i="42"/>
  <c r="I42" i="42"/>
  <c r="J42" i="42"/>
  <c r="J51" i="42" s="1"/>
  <c r="GJ12" i="55"/>
  <c r="GJ39" i="55" s="1"/>
  <c r="GJ13" i="55"/>
  <c r="GJ40" i="55" s="1"/>
  <c r="GJ14" i="55"/>
  <c r="GJ41" i="55" s="1"/>
  <c r="GJ10" i="55"/>
  <c r="GJ37" i="55" s="1"/>
  <c r="GJ9" i="55"/>
  <c r="GJ36" i="55" s="1"/>
  <c r="GJ8" i="55"/>
  <c r="GJ35" i="55" s="1"/>
  <c r="GJ11" i="55"/>
  <c r="GJ38" i="55" s="1"/>
  <c r="GJ7" i="55"/>
  <c r="GJ34" i="55" s="1"/>
  <c r="GJ6" i="55"/>
  <c r="GJ33" i="55" s="1"/>
  <c r="HE5" i="55"/>
  <c r="GW5" i="55"/>
  <c r="HC5" i="55"/>
  <c r="GY5" i="55"/>
  <c r="HB5" i="55"/>
  <c r="GX5" i="55"/>
  <c r="HA5" i="55"/>
  <c r="GZ5" i="55"/>
  <c r="HD5" i="55"/>
  <c r="Z28" i="14"/>
  <c r="AB27" i="14"/>
  <c r="L47" i="43" l="1"/>
  <c r="K43" i="43"/>
  <c r="K48" i="43"/>
  <c r="K50" i="43"/>
  <c r="K46" i="43"/>
  <c r="I58" i="42"/>
  <c r="L58" i="42" s="1"/>
  <c r="C62" i="43"/>
  <c r="G62" i="43" s="1"/>
  <c r="I62" i="43" s="1"/>
  <c r="C63" i="43"/>
  <c r="G63" i="43" s="1"/>
  <c r="J63" i="43" s="1"/>
  <c r="C57" i="43"/>
  <c r="G57" i="43" s="1"/>
  <c r="I57" i="43" s="1"/>
  <c r="C59" i="43"/>
  <c r="G59" i="43" s="1"/>
  <c r="J59" i="43" s="1"/>
  <c r="C55" i="43"/>
  <c r="G55" i="43" s="1"/>
  <c r="C60" i="43"/>
  <c r="G60" i="43" s="1"/>
  <c r="J60" i="43" s="1"/>
  <c r="C61" i="43"/>
  <c r="G61" i="43" s="1"/>
  <c r="L49" i="43"/>
  <c r="C58" i="43"/>
  <c r="G58" i="43" s="1"/>
  <c r="J58" i="43" s="1"/>
  <c r="J56" i="43"/>
  <c r="I56" i="43"/>
  <c r="J62" i="42"/>
  <c r="L62" i="42" s="1"/>
  <c r="K45" i="43"/>
  <c r="L57" i="42"/>
  <c r="I56" i="42"/>
  <c r="L56" i="42" s="1"/>
  <c r="L45" i="43"/>
  <c r="J59" i="42"/>
  <c r="L59" i="42" s="1"/>
  <c r="I61" i="42"/>
  <c r="K61" i="42" s="1"/>
  <c r="I63" i="42"/>
  <c r="L63" i="42" s="1"/>
  <c r="I55" i="42"/>
  <c r="K55" i="42" s="1"/>
  <c r="L42" i="43"/>
  <c r="J51" i="43"/>
  <c r="I51" i="43"/>
  <c r="K42" i="43"/>
  <c r="I60" i="42"/>
  <c r="K60" i="42" s="1"/>
  <c r="I51" i="42"/>
  <c r="K42" i="42"/>
  <c r="K51" i="42" s="1"/>
  <c r="L42" i="42"/>
  <c r="L51" i="42" s="1"/>
  <c r="HI5" i="55" a="1"/>
  <c r="GV6" i="55" a="1"/>
  <c r="Z29" i="14"/>
  <c r="AB28" i="14"/>
  <c r="K58" i="42" l="1"/>
  <c r="J57" i="43"/>
  <c r="L57" i="43" s="1"/>
  <c r="O42" i="42"/>
  <c r="J62" i="43"/>
  <c r="L62" i="43" s="1"/>
  <c r="I58" i="43"/>
  <c r="L58" i="43" s="1"/>
  <c r="K51" i="43"/>
  <c r="O43" i="43" s="1"/>
  <c r="K59" i="42"/>
  <c r="J64" i="42"/>
  <c r="I60" i="43"/>
  <c r="K60" i="43" s="1"/>
  <c r="L55" i="42"/>
  <c r="K62" i="42"/>
  <c r="I63" i="43"/>
  <c r="K63" i="43" s="1"/>
  <c r="I59" i="43"/>
  <c r="K59" i="43" s="1"/>
  <c r="I55" i="43"/>
  <c r="J55" i="43"/>
  <c r="J61" i="43"/>
  <c r="I61" i="43"/>
  <c r="K56" i="43"/>
  <c r="L56" i="43"/>
  <c r="K56" i="42"/>
  <c r="K63" i="42"/>
  <c r="I64" i="42"/>
  <c r="L51" i="43"/>
  <c r="O42" i="43" s="1"/>
  <c r="L61" i="42"/>
  <c r="L60" i="42"/>
  <c r="K57" i="43"/>
  <c r="O43" i="42"/>
  <c r="GV7" i="55"/>
  <c r="GV34" i="55" s="1"/>
  <c r="GV14" i="55"/>
  <c r="GV41" i="55" s="1"/>
  <c r="GV10" i="55"/>
  <c r="GV37" i="55" s="1"/>
  <c r="GV9" i="55"/>
  <c r="GV36" i="55" s="1"/>
  <c r="GV11" i="55"/>
  <c r="GV38" i="55" s="1"/>
  <c r="GV13" i="55"/>
  <c r="GV40" i="55" s="1"/>
  <c r="GV6" i="55"/>
  <c r="GV33" i="55" s="1"/>
  <c r="GV12" i="55"/>
  <c r="GV39" i="55" s="1"/>
  <c r="GV8" i="55"/>
  <c r="GV35" i="55" s="1"/>
  <c r="HI5" i="55"/>
  <c r="HQ5" i="55"/>
  <c r="HJ5" i="55"/>
  <c r="HM5" i="55"/>
  <c r="HO5" i="55"/>
  <c r="HK5" i="55"/>
  <c r="HN5" i="55"/>
  <c r="HL5" i="55"/>
  <c r="HP5" i="55"/>
  <c r="Z30" i="14"/>
  <c r="AB29" i="14"/>
  <c r="K58" i="43" l="1"/>
  <c r="O44" i="43"/>
  <c r="N47" i="43" s="1"/>
  <c r="O46" i="43" s="1"/>
  <c r="L63" i="43"/>
  <c r="L60" i="43"/>
  <c r="K62" i="43"/>
  <c r="L55" i="43"/>
  <c r="L61" i="43"/>
  <c r="J64" i="43"/>
  <c r="I64" i="43"/>
  <c r="L59" i="43"/>
  <c r="K55" i="43"/>
  <c r="K61" i="43"/>
  <c r="K64" i="42"/>
  <c r="L64" i="42"/>
  <c r="O44" i="42"/>
  <c r="N47" i="42" s="1"/>
  <c r="O46" i="42" s="1"/>
  <c r="HU5" i="55" a="1"/>
  <c r="HH6" i="55" a="1"/>
  <c r="Z31" i="14"/>
  <c r="AB30" i="14"/>
  <c r="N46" i="43" l="1"/>
  <c r="O47" i="43" s="1"/>
  <c r="L64" i="43"/>
  <c r="K64" i="43"/>
  <c r="N46" i="42"/>
  <c r="O47" i="42" s="1"/>
  <c r="HH9" i="55"/>
  <c r="HH36" i="55" s="1"/>
  <c r="HH7" i="55"/>
  <c r="HH34" i="55" s="1"/>
  <c r="HH6" i="55"/>
  <c r="HH33" i="55" s="1"/>
  <c r="HH13" i="55"/>
  <c r="HH40" i="55" s="1"/>
  <c r="HH12" i="55"/>
  <c r="HH39" i="55" s="1"/>
  <c r="HH14" i="55"/>
  <c r="HH41" i="55" s="1"/>
  <c r="HH10" i="55"/>
  <c r="HH37" i="55" s="1"/>
  <c r="HH8" i="55"/>
  <c r="HH35" i="55" s="1"/>
  <c r="HH11" i="55"/>
  <c r="HH38" i="55" s="1"/>
  <c r="HU5" i="55"/>
  <c r="IC5" i="55"/>
  <c r="HV5" i="55"/>
  <c r="HW5" i="55"/>
  <c r="HY5" i="55"/>
  <c r="HZ5" i="55"/>
  <c r="IA5" i="55"/>
  <c r="HX5" i="55"/>
  <c r="IB5" i="55"/>
  <c r="Z32" i="14"/>
  <c r="AB31" i="14"/>
  <c r="D119" i="14"/>
  <c r="C119" i="14"/>
  <c r="B119" i="14"/>
  <c r="Q42" i="42" l="1" a="1"/>
  <c r="Q43" i="42" s="1"/>
  <c r="Q42" i="43" a="1"/>
  <c r="IG5" i="55" a="1"/>
  <c r="HT6" i="55" a="1"/>
  <c r="Z33" i="14"/>
  <c r="AB32" i="14"/>
  <c r="Q44" i="42" l="1"/>
  <c r="Q49" i="42"/>
  <c r="Q48" i="42"/>
  <c r="R50" i="42"/>
  <c r="R44" i="42"/>
  <c r="R47" i="42"/>
  <c r="R43" i="42"/>
  <c r="R46" i="42"/>
  <c r="Q46" i="42"/>
  <c r="Q45" i="42"/>
  <c r="Q47" i="42"/>
  <c r="R49" i="42"/>
  <c r="R42" i="42"/>
  <c r="R48" i="42"/>
  <c r="Q42" i="42"/>
  <c r="Q50" i="42"/>
  <c r="R45" i="42"/>
  <c r="Q45" i="43"/>
  <c r="Q50" i="43"/>
  <c r="R47" i="43"/>
  <c r="Q48" i="43"/>
  <c r="Q44" i="43"/>
  <c r="Q47" i="43"/>
  <c r="Q42" i="43"/>
  <c r="R48" i="43"/>
  <c r="R42" i="43"/>
  <c r="R44" i="43"/>
  <c r="Q49" i="43"/>
  <c r="R49" i="43"/>
  <c r="R50" i="43"/>
  <c r="R45" i="43"/>
  <c r="R43" i="43"/>
  <c r="R46" i="43"/>
  <c r="Q43" i="43"/>
  <c r="Q46" i="43"/>
  <c r="HT14" i="55"/>
  <c r="HT41" i="55" s="1"/>
  <c r="HT11" i="55"/>
  <c r="HT38" i="55" s="1"/>
  <c r="HT10" i="55"/>
  <c r="HT37" i="55" s="1"/>
  <c r="HT12" i="55"/>
  <c r="HT39" i="55" s="1"/>
  <c r="HT9" i="55"/>
  <c r="HT36" i="55" s="1"/>
  <c r="HT7" i="55"/>
  <c r="HT34" i="55" s="1"/>
  <c r="HT13" i="55"/>
  <c r="HT40" i="55" s="1"/>
  <c r="HT6" i="55"/>
  <c r="HT33" i="55" s="1"/>
  <c r="HT8" i="55"/>
  <c r="HT35" i="55" s="1"/>
  <c r="IO5" i="55"/>
  <c r="IG5" i="55"/>
  <c r="IK5" i="55"/>
  <c r="IL5" i="55"/>
  <c r="II5" i="55"/>
  <c r="IH5" i="55"/>
  <c r="IM5" i="55"/>
  <c r="IJ5" i="55"/>
  <c r="IN5" i="55"/>
  <c r="Z34" i="14"/>
  <c r="AB33" i="14"/>
  <c r="I91" i="14" a="1"/>
  <c r="A55" i="42" l="1" a="1"/>
  <c r="A57" i="42" s="1"/>
  <c r="D55" i="42" a="1"/>
  <c r="D55" i="43" a="1"/>
  <c r="D61" i="43" s="1"/>
  <c r="A55" i="43" a="1"/>
  <c r="IS5" i="55" a="1"/>
  <c r="IF6" i="55" a="1"/>
  <c r="Z35" i="14"/>
  <c r="AB34" i="14"/>
  <c r="K92" i="14"/>
  <c r="J91" i="14"/>
  <c r="J93" i="14"/>
  <c r="I92" i="14"/>
  <c r="I93" i="14"/>
  <c r="K93" i="14"/>
  <c r="J92" i="14"/>
  <c r="I91" i="14"/>
  <c r="K91" i="14"/>
  <c r="A58" i="42" l="1"/>
  <c r="A61" i="42"/>
  <c r="A63" i="42"/>
  <c r="A55" i="42"/>
  <c r="A59" i="42"/>
  <c r="A62" i="42"/>
  <c r="A60" i="42"/>
  <c r="A56" i="42"/>
  <c r="D57" i="43"/>
  <c r="D60" i="43"/>
  <c r="D59" i="43"/>
  <c r="D56" i="43"/>
  <c r="D63" i="43"/>
  <c r="D62" i="43"/>
  <c r="D55" i="43"/>
  <c r="D58" i="43"/>
  <c r="D57" i="42"/>
  <c r="D63" i="42"/>
  <c r="D56" i="42"/>
  <c r="D62" i="42"/>
  <c r="D55" i="42"/>
  <c r="D60" i="42"/>
  <c r="D58" i="42"/>
  <c r="D59" i="42"/>
  <c r="D61" i="42"/>
  <c r="A56" i="43"/>
  <c r="A58" i="43"/>
  <c r="A61" i="43"/>
  <c r="A57" i="43"/>
  <c r="A59" i="43"/>
  <c r="A55" i="43"/>
  <c r="A60" i="43"/>
  <c r="A63" i="43"/>
  <c r="A62" i="43"/>
  <c r="IF9" i="55"/>
  <c r="IF36" i="55" s="1"/>
  <c r="IF13" i="55"/>
  <c r="IF40" i="55" s="1"/>
  <c r="IF14" i="55"/>
  <c r="IF41" i="55" s="1"/>
  <c r="IF10" i="55"/>
  <c r="IF37" i="55" s="1"/>
  <c r="IF11" i="55"/>
  <c r="IF38" i="55" s="1"/>
  <c r="IF8" i="55"/>
  <c r="IF35" i="55" s="1"/>
  <c r="IF12" i="55"/>
  <c r="IF39" i="55" s="1"/>
  <c r="IF7" i="55"/>
  <c r="IF34" i="55" s="1"/>
  <c r="IF6" i="55"/>
  <c r="IF33" i="55" s="1"/>
  <c r="IS5" i="55"/>
  <c r="JA5" i="55"/>
  <c r="IU5" i="55"/>
  <c r="IT5" i="55"/>
  <c r="IY5" i="55"/>
  <c r="IW5" i="55"/>
  <c r="IX5" i="55"/>
  <c r="IV5" i="55"/>
  <c r="IZ5" i="55"/>
  <c r="Z36" i="14"/>
  <c r="AB35" i="14"/>
  <c r="C83" i="14"/>
  <c r="D83" i="14"/>
  <c r="B83" i="14"/>
  <c r="R16" i="18"/>
  <c r="Q16" i="18"/>
  <c r="V5" i="18"/>
  <c r="S3" i="18"/>
  <c r="H31" i="18"/>
  <c r="G31" i="18"/>
  <c r="I31" i="18" s="1"/>
  <c r="L20" i="18"/>
  <c r="I18" i="18"/>
  <c r="H16" i="18"/>
  <c r="G16" i="18"/>
  <c r="I16" i="18" s="1"/>
  <c r="L5" i="18"/>
  <c r="I3" i="18"/>
  <c r="AJ5" i="15"/>
  <c r="AJ4" i="15"/>
  <c r="AM4" i="15" s="1"/>
  <c r="AJ3" i="15"/>
  <c r="B65" i="42" l="1"/>
  <c r="D68" i="43" a="1"/>
  <c r="D73" i="43" s="1"/>
  <c r="G73" i="43" s="1"/>
  <c r="A68" i="42" a="1"/>
  <c r="D68" i="42" a="1"/>
  <c r="A68" i="43" a="1"/>
  <c r="B65" i="43"/>
  <c r="AM7" i="15"/>
  <c r="JE5" i="55" a="1"/>
  <c r="IR6" i="55" a="1"/>
  <c r="AJ14" i="15"/>
  <c r="M50" i="14" a="1"/>
  <c r="Z37" i="14"/>
  <c r="AB36" i="14"/>
  <c r="H30" i="18"/>
  <c r="L29" i="18" s="1"/>
  <c r="H15" i="18"/>
  <c r="L14" i="18" s="1"/>
  <c r="R15" i="18"/>
  <c r="V14" i="18" s="1"/>
  <c r="S16" i="18"/>
  <c r="AM5" i="15"/>
  <c r="AJ6" i="15"/>
  <c r="AJ7" i="15"/>
  <c r="AJ10" i="15"/>
  <c r="AJ8" i="15"/>
  <c r="AM3" i="15"/>
  <c r="AM6" i="15"/>
  <c r="O56" i="42" l="1"/>
  <c r="O55" i="42"/>
  <c r="O56" i="43"/>
  <c r="O55" i="43"/>
  <c r="D75" i="43"/>
  <c r="G75" i="43" s="1"/>
  <c r="A73" i="42"/>
  <c r="A68" i="42"/>
  <c r="A75" i="42"/>
  <c r="A76" i="42"/>
  <c r="A71" i="42"/>
  <c r="A69" i="42"/>
  <c r="A72" i="42"/>
  <c r="A70" i="42"/>
  <c r="A74" i="42"/>
  <c r="D71" i="43"/>
  <c r="G71" i="43" s="1"/>
  <c r="D69" i="43"/>
  <c r="G69" i="43" s="1"/>
  <c r="D76" i="43"/>
  <c r="G76" i="43" s="1"/>
  <c r="D68" i="43"/>
  <c r="G68" i="43" s="1"/>
  <c r="D72" i="43"/>
  <c r="G72" i="43" s="1"/>
  <c r="D70" i="43"/>
  <c r="G70" i="43" s="1"/>
  <c r="D74" i="43"/>
  <c r="G74" i="43" s="1"/>
  <c r="D70" i="42"/>
  <c r="G70" i="42" s="1"/>
  <c r="D71" i="42"/>
  <c r="G71" i="42" s="1"/>
  <c r="D75" i="42"/>
  <c r="G75" i="42" s="1"/>
  <c r="D68" i="42"/>
  <c r="G68" i="42" s="1"/>
  <c r="D74" i="42"/>
  <c r="G74" i="42" s="1"/>
  <c r="D69" i="42"/>
  <c r="G69" i="42" s="1"/>
  <c r="D73" i="42"/>
  <c r="G73" i="42" s="1"/>
  <c r="D76" i="42"/>
  <c r="G76" i="42" s="1"/>
  <c r="D72" i="42"/>
  <c r="G72" i="42" s="1"/>
  <c r="A76" i="43"/>
  <c r="A74" i="43"/>
  <c r="A68" i="43"/>
  <c r="A69" i="43"/>
  <c r="A73" i="43"/>
  <c r="A72" i="43"/>
  <c r="A75" i="43"/>
  <c r="A71" i="43"/>
  <c r="A70" i="43"/>
  <c r="IR10" i="55"/>
  <c r="IR37" i="55" s="1"/>
  <c r="IR6" i="55"/>
  <c r="IR33" i="55" s="1"/>
  <c r="IR9" i="55"/>
  <c r="IR36" i="55" s="1"/>
  <c r="IR7" i="55"/>
  <c r="IR34" i="55" s="1"/>
  <c r="IR13" i="55"/>
  <c r="IR40" i="55" s="1"/>
  <c r="IR14" i="55"/>
  <c r="IR41" i="55" s="1"/>
  <c r="IR12" i="55"/>
  <c r="IR39" i="55" s="1"/>
  <c r="IR8" i="55"/>
  <c r="IR35" i="55" s="1"/>
  <c r="IR11" i="55"/>
  <c r="IR38" i="55" s="1"/>
  <c r="JE5" i="55"/>
  <c r="JM5" i="55"/>
  <c r="JF5" i="55"/>
  <c r="JG5" i="55"/>
  <c r="JJ5" i="55"/>
  <c r="JK5" i="55"/>
  <c r="JI5" i="55"/>
  <c r="JL5" i="55"/>
  <c r="JH5" i="55"/>
  <c r="AM8" i="15"/>
  <c r="Z38" i="14"/>
  <c r="AB37" i="14"/>
  <c r="M50" i="14"/>
  <c r="O50" i="14"/>
  <c r="N50" i="14"/>
  <c r="N52" i="14"/>
  <c r="O52" i="14"/>
  <c r="M51" i="14"/>
  <c r="N51" i="14"/>
  <c r="M52" i="14"/>
  <c r="O51" i="14"/>
  <c r="AJ9" i="15"/>
  <c r="I55" i="14" a="1"/>
  <c r="Q10" i="18"/>
  <c r="S10" i="18"/>
  <c r="R10" i="18"/>
  <c r="T10" i="18" a="1"/>
  <c r="T10" i="18" s="1"/>
  <c r="G22" i="18"/>
  <c r="J22" i="18" a="1"/>
  <c r="J22" i="18" s="1"/>
  <c r="I22" i="18"/>
  <c r="H22" i="18"/>
  <c r="H7" i="18"/>
  <c r="I7" i="18"/>
  <c r="G7" i="18"/>
  <c r="J7" i="18" a="1"/>
  <c r="J7" i="18" s="1"/>
  <c r="R9" i="18"/>
  <c r="S9" i="18"/>
  <c r="Q9" i="18"/>
  <c r="T9" i="18" a="1"/>
  <c r="T9" i="18" s="1"/>
  <c r="J23" i="18" a="1"/>
  <c r="J23" i="18" s="1"/>
  <c r="I23" i="18"/>
  <c r="H23" i="18"/>
  <c r="G23" i="18"/>
  <c r="G8" i="18"/>
  <c r="J8" i="18" a="1"/>
  <c r="J8" i="18" s="1"/>
  <c r="I8" i="18"/>
  <c r="H8" i="18"/>
  <c r="T7" i="18" a="1"/>
  <c r="T7" i="18" s="1"/>
  <c r="R7" i="18"/>
  <c r="Q7" i="18"/>
  <c r="S7" i="18"/>
  <c r="H25" i="18"/>
  <c r="I25" i="18"/>
  <c r="G25" i="18"/>
  <c r="J25" i="18" a="1"/>
  <c r="J25" i="18" s="1"/>
  <c r="J9" i="18" a="1"/>
  <c r="J9" i="18" s="1"/>
  <c r="I9" i="18"/>
  <c r="H9" i="18"/>
  <c r="G9" i="18"/>
  <c r="S8" i="18"/>
  <c r="Q8" i="18"/>
  <c r="R8" i="18"/>
  <c r="T8" i="18" a="1"/>
  <c r="T8" i="18" s="1"/>
  <c r="I24" i="18"/>
  <c r="G24" i="18"/>
  <c r="J24" i="18" a="1"/>
  <c r="J24" i="18" s="1"/>
  <c r="H24" i="18"/>
  <c r="I10" i="18"/>
  <c r="J10" i="18" a="1"/>
  <c r="J10" i="18" s="1"/>
  <c r="H10" i="18"/>
  <c r="G10" i="18"/>
  <c r="AM11" i="15"/>
  <c r="AP6" i="15"/>
  <c r="AM12" i="15"/>
  <c r="AJ15" i="15"/>
  <c r="AJ17" i="15" s="1"/>
  <c r="O57" i="42" l="1"/>
  <c r="N60" i="42" s="1"/>
  <c r="O59" i="42" s="1"/>
  <c r="O57" i="43"/>
  <c r="N59" i="43" s="1"/>
  <c r="O60" i="43" s="1"/>
  <c r="B78" i="42"/>
  <c r="A81" i="42" a="1"/>
  <c r="B78" i="43"/>
  <c r="A81" i="43" a="1"/>
  <c r="JQ5" i="55" a="1"/>
  <c r="JD6" i="55" a="1"/>
  <c r="Z39" i="14"/>
  <c r="AB38" i="14"/>
  <c r="K23" i="18"/>
  <c r="K9" i="18"/>
  <c r="K10" i="18"/>
  <c r="I56" i="14"/>
  <c r="K56" i="14"/>
  <c r="I55" i="14"/>
  <c r="J55" i="14"/>
  <c r="J57" i="14"/>
  <c r="I57" i="14"/>
  <c r="K57" i="14"/>
  <c r="K55" i="14"/>
  <c r="J56" i="14"/>
  <c r="U7" i="18"/>
  <c r="K25" i="18"/>
  <c r="U9" i="18"/>
  <c r="K7" i="18"/>
  <c r="K24" i="18"/>
  <c r="U8" i="18"/>
  <c r="K8" i="18"/>
  <c r="K22" i="18"/>
  <c r="U10" i="18"/>
  <c r="AM14" i="15"/>
  <c r="AP5" i="15"/>
  <c r="AP8" i="15" s="1"/>
  <c r="N59" i="42" l="1"/>
  <c r="O60" i="42" s="1"/>
  <c r="Q55" i="42" s="1" a="1"/>
  <c r="R62" i="42" s="1"/>
  <c r="N60" i="43"/>
  <c r="O59" i="43" s="1"/>
  <c r="A88" i="42"/>
  <c r="A83" i="42"/>
  <c r="A81" i="42"/>
  <c r="A85" i="42"/>
  <c r="A89" i="42"/>
  <c r="A82" i="42"/>
  <c r="A87" i="42"/>
  <c r="A84" i="42"/>
  <c r="A86" i="42"/>
  <c r="A81" i="43"/>
  <c r="A85" i="43"/>
  <c r="A84" i="43"/>
  <c r="A82" i="43"/>
  <c r="A87" i="43"/>
  <c r="A83" i="43"/>
  <c r="A89" i="43"/>
  <c r="A88" i="43"/>
  <c r="A86" i="43"/>
  <c r="JD14" i="55"/>
  <c r="JD41" i="55" s="1"/>
  <c r="JD12" i="55"/>
  <c r="JD39" i="55" s="1"/>
  <c r="JD9" i="55"/>
  <c r="JD36" i="55" s="1"/>
  <c r="JD8" i="55"/>
  <c r="JD35" i="55" s="1"/>
  <c r="JD13" i="55"/>
  <c r="JD40" i="55" s="1"/>
  <c r="JD7" i="55"/>
  <c r="JD34" i="55" s="1"/>
  <c r="JD11" i="55"/>
  <c r="JD38" i="55" s="1"/>
  <c r="JD6" i="55"/>
  <c r="JD33" i="55" s="1"/>
  <c r="JD10" i="55"/>
  <c r="JD37" i="55" s="1"/>
  <c r="JY5" i="55"/>
  <c r="JQ5" i="55"/>
  <c r="JW5" i="55"/>
  <c r="JU5" i="55"/>
  <c r="JV5" i="55"/>
  <c r="JS5" i="55"/>
  <c r="JR5" i="55"/>
  <c r="JX5" i="55"/>
  <c r="JT5" i="55"/>
  <c r="Z40" i="14"/>
  <c r="AB39" i="14"/>
  <c r="F87" i="14" a="1"/>
  <c r="F87" i="14" s="1"/>
  <c r="G87" i="14" s="1"/>
  <c r="F112" i="14" a="1"/>
  <c r="F112" i="14" s="1"/>
  <c r="G112" i="14" s="1"/>
  <c r="F107" i="14" a="1"/>
  <c r="F107" i="14" s="1"/>
  <c r="G107" i="14" s="1"/>
  <c r="F105" i="14" a="1"/>
  <c r="F105" i="14" s="1"/>
  <c r="G105" i="14" s="1"/>
  <c r="F102" i="14" a="1"/>
  <c r="F102" i="14" s="1"/>
  <c r="G102" i="14" s="1"/>
  <c r="F96" i="14" a="1"/>
  <c r="F96" i="14" s="1"/>
  <c r="G96" i="14" s="1"/>
  <c r="F90" i="14" a="1"/>
  <c r="F90" i="14" s="1"/>
  <c r="G90" i="14" s="1"/>
  <c r="F113" i="14" a="1"/>
  <c r="F113" i="14" s="1"/>
  <c r="G113" i="14" s="1"/>
  <c r="F104" i="14" a="1"/>
  <c r="F104" i="14" s="1"/>
  <c r="G104" i="14" s="1"/>
  <c r="F97" i="14" a="1"/>
  <c r="F97" i="14" s="1"/>
  <c r="G97" i="14" s="1"/>
  <c r="F91" i="14" a="1"/>
  <c r="F91" i="14" s="1"/>
  <c r="G91" i="14" s="1"/>
  <c r="F86" i="14" a="1"/>
  <c r="F86" i="14" s="1"/>
  <c r="G86" i="14" s="1"/>
  <c r="F114" i="14" a="1"/>
  <c r="F114" i="14" s="1"/>
  <c r="G114" i="14" s="1"/>
  <c r="F108" i="14" a="1"/>
  <c r="F108" i="14" s="1"/>
  <c r="G108" i="14" s="1"/>
  <c r="F101" i="14" a="1"/>
  <c r="F101" i="14" s="1"/>
  <c r="G101" i="14" s="1"/>
  <c r="F116" i="14" a="1"/>
  <c r="F116" i="14" s="1"/>
  <c r="G116" i="14" s="1"/>
  <c r="F111" i="14" a="1"/>
  <c r="F111" i="14" s="1"/>
  <c r="G111" i="14" s="1"/>
  <c r="F109" i="14" a="1"/>
  <c r="F109" i="14" s="1"/>
  <c r="G109" i="14" s="1"/>
  <c r="F106" i="14" a="1"/>
  <c r="F106" i="14" s="1"/>
  <c r="G106" i="14" s="1"/>
  <c r="F100" i="14" a="1"/>
  <c r="F100" i="14" s="1"/>
  <c r="G100" i="14" s="1"/>
  <c r="F95" i="14" a="1"/>
  <c r="F95" i="14" s="1"/>
  <c r="G95" i="14" s="1"/>
  <c r="F93" i="14" a="1"/>
  <c r="F93" i="14" s="1"/>
  <c r="G93" i="14" s="1"/>
  <c r="F89" i="14" a="1"/>
  <c r="F89" i="14" s="1"/>
  <c r="G89" i="14" s="1"/>
  <c r="F115" i="14" a="1"/>
  <c r="F115" i="14" s="1"/>
  <c r="G115" i="14" s="1"/>
  <c r="F110" i="14" a="1"/>
  <c r="F110" i="14" s="1"/>
  <c r="G110" i="14" s="1"/>
  <c r="F99" i="14" a="1"/>
  <c r="F99" i="14" s="1"/>
  <c r="G99" i="14" s="1"/>
  <c r="F94" i="14" a="1"/>
  <c r="F94" i="14" s="1"/>
  <c r="G94" i="14" s="1"/>
  <c r="F88" i="14" a="1"/>
  <c r="F88" i="14" s="1"/>
  <c r="G88" i="14" s="1"/>
  <c r="F117" i="14" a="1"/>
  <c r="F117" i="14" s="1"/>
  <c r="G117" i="14" s="1"/>
  <c r="F103" i="14" a="1"/>
  <c r="F103" i="14" s="1"/>
  <c r="G103" i="14" s="1"/>
  <c r="F98" i="14" a="1"/>
  <c r="F98" i="14" s="1"/>
  <c r="G98" i="14" s="1"/>
  <c r="F92" i="14" a="1"/>
  <c r="F92" i="14" s="1"/>
  <c r="G92" i="14" s="1"/>
  <c r="G30" i="18"/>
  <c r="G29" i="18" s="1"/>
  <c r="I29" i="18" s="1"/>
  <c r="G15" i="18"/>
  <c r="G14" i="18" s="1"/>
  <c r="I14" i="18" s="1"/>
  <c r="F51" i="14" a="1"/>
  <c r="F51" i="14" s="1"/>
  <c r="G51" i="14" s="1"/>
  <c r="F54" i="14" a="1"/>
  <c r="F54" i="14" s="1"/>
  <c r="G54" i="14" s="1"/>
  <c r="F59" i="14" a="1"/>
  <c r="F59" i="14" s="1"/>
  <c r="G59" i="14" s="1"/>
  <c r="F62" i="14" a="1"/>
  <c r="F62" i="14" s="1"/>
  <c r="G62" i="14" s="1"/>
  <c r="F67" i="14" a="1"/>
  <c r="F67" i="14" s="1"/>
  <c r="G67" i="14" s="1"/>
  <c r="F70" i="14" a="1"/>
  <c r="F70" i="14" s="1"/>
  <c r="G70" i="14" s="1"/>
  <c r="F75" i="14" a="1"/>
  <c r="F75" i="14" s="1"/>
  <c r="G75" i="14" s="1"/>
  <c r="F78" i="14" a="1"/>
  <c r="F78" i="14" s="1"/>
  <c r="G78" i="14" s="1"/>
  <c r="F55" i="14" a="1"/>
  <c r="F55" i="14" s="1"/>
  <c r="G55" i="14" s="1"/>
  <c r="F63" i="14" a="1"/>
  <c r="F63" i="14" s="1"/>
  <c r="G63" i="14" s="1"/>
  <c r="F71" i="14" a="1"/>
  <c r="F71" i="14" s="1"/>
  <c r="G71" i="14" s="1"/>
  <c r="F79" i="14" a="1"/>
  <c r="F79" i="14" s="1"/>
  <c r="G79" i="14" s="1"/>
  <c r="F64" i="14" a="1"/>
  <c r="F64" i="14" s="1"/>
  <c r="G64" i="14" s="1"/>
  <c r="F72" i="14" a="1"/>
  <c r="F72" i="14" s="1"/>
  <c r="G72" i="14" s="1"/>
  <c r="F80" i="14" a="1"/>
  <c r="F80" i="14" s="1"/>
  <c r="G80" i="14" s="1"/>
  <c r="F52" i="14" a="1"/>
  <c r="F52" i="14" s="1"/>
  <c r="G52" i="14" s="1"/>
  <c r="F57" i="14" a="1"/>
  <c r="F57" i="14" s="1"/>
  <c r="G57" i="14" s="1"/>
  <c r="F60" i="14" a="1"/>
  <c r="F60" i="14" s="1"/>
  <c r="G60" i="14" s="1"/>
  <c r="F65" i="14" a="1"/>
  <c r="F65" i="14" s="1"/>
  <c r="G65" i="14" s="1"/>
  <c r="F68" i="14" a="1"/>
  <c r="F68" i="14" s="1"/>
  <c r="G68" i="14" s="1"/>
  <c r="F73" i="14" a="1"/>
  <c r="F73" i="14" s="1"/>
  <c r="G73" i="14" s="1"/>
  <c r="F76" i="14" a="1"/>
  <c r="F76" i="14" s="1"/>
  <c r="G76" i="14" s="1"/>
  <c r="F81" i="14" a="1"/>
  <c r="F81" i="14" s="1"/>
  <c r="G81" i="14" s="1"/>
  <c r="F58" i="14" a="1"/>
  <c r="F58" i="14" s="1"/>
  <c r="G58" i="14" s="1"/>
  <c r="F66" i="14" a="1"/>
  <c r="F66" i="14" s="1"/>
  <c r="G66" i="14" s="1"/>
  <c r="F74" i="14" a="1"/>
  <c r="F74" i="14" s="1"/>
  <c r="G74" i="14" s="1"/>
  <c r="F50" i="14" a="1"/>
  <c r="F50" i="14" s="1"/>
  <c r="G50" i="14" s="1"/>
  <c r="F53" i="14" a="1"/>
  <c r="F53" i="14" s="1"/>
  <c r="G53" i="14" s="1"/>
  <c r="F56" i="14" a="1"/>
  <c r="F56" i="14" s="1"/>
  <c r="G56" i="14" s="1"/>
  <c r="F61" i="14" a="1"/>
  <c r="F61" i="14" s="1"/>
  <c r="G61" i="14" s="1"/>
  <c r="F69" i="14" a="1"/>
  <c r="F69" i="14" s="1"/>
  <c r="G69" i="14" s="1"/>
  <c r="F77" i="14" a="1"/>
  <c r="F77" i="14" s="1"/>
  <c r="G77" i="14" s="1"/>
  <c r="Q15" i="18"/>
  <c r="Q14" i="18" s="1"/>
  <c r="S14" i="18" s="1"/>
  <c r="Q62" i="42" l="1"/>
  <c r="R61" i="42"/>
  <c r="R63" i="42"/>
  <c r="R57" i="42"/>
  <c r="Q63" i="42"/>
  <c r="R56" i="42"/>
  <c r="Q55" i="42"/>
  <c r="Q58" i="42"/>
  <c r="Q56" i="42"/>
  <c r="R55" i="42"/>
  <c r="Q57" i="42"/>
  <c r="R60" i="42"/>
  <c r="Q61" i="42"/>
  <c r="R59" i="42"/>
  <c r="Q59" i="42"/>
  <c r="R58" i="42"/>
  <c r="Q60" i="42"/>
  <c r="B91" i="42"/>
  <c r="A94" i="42" a="1"/>
  <c r="A94" i="43" a="1"/>
  <c r="B91" i="43"/>
  <c r="Q55" i="43" a="1"/>
  <c r="KC5" i="55" a="1"/>
  <c r="JP6" i="55" a="1"/>
  <c r="Z41" i="14"/>
  <c r="AB41" i="14" s="1"/>
  <c r="AB40" i="14"/>
  <c r="I15" i="18"/>
  <c r="J14" i="18" s="1"/>
  <c r="K14" i="18" s="1"/>
  <c r="I30" i="18"/>
  <c r="L25" i="18" s="1"/>
  <c r="S15" i="18"/>
  <c r="V10" i="18" s="1"/>
  <c r="C68" i="42" l="1" a="1"/>
  <c r="C74" i="42" s="1"/>
  <c r="B68" i="42" a="1"/>
  <c r="B76" i="42" s="1"/>
  <c r="F76" i="42" s="1"/>
  <c r="J76" i="42" s="1"/>
  <c r="A94" i="42"/>
  <c r="A102" i="42"/>
  <c r="F102" i="42" s="1"/>
  <c r="A97" i="42"/>
  <c r="F97" i="42" s="1"/>
  <c r="A99" i="42"/>
  <c r="F99" i="42" s="1"/>
  <c r="A98" i="42"/>
  <c r="F98" i="42" s="1"/>
  <c r="A101" i="42"/>
  <c r="F101" i="42" s="1"/>
  <c r="A95" i="42"/>
  <c r="F95" i="42" s="1"/>
  <c r="A96" i="42"/>
  <c r="F96" i="42" s="1"/>
  <c r="A100" i="42"/>
  <c r="F100" i="42" s="1"/>
  <c r="R60" i="43"/>
  <c r="R63" i="43"/>
  <c r="R57" i="43"/>
  <c r="R59" i="43"/>
  <c r="Q55" i="43"/>
  <c r="R56" i="43"/>
  <c r="Q63" i="43"/>
  <c r="R58" i="43"/>
  <c r="R61" i="43"/>
  <c r="Q56" i="43"/>
  <c r="Q58" i="43"/>
  <c r="R62" i="43"/>
  <c r="Q60" i="43"/>
  <c r="Q61" i="43"/>
  <c r="Q59" i="43"/>
  <c r="R55" i="43"/>
  <c r="Q62" i="43"/>
  <c r="Q57" i="43"/>
  <c r="A97" i="43"/>
  <c r="F97" i="43" s="1"/>
  <c r="A99" i="43"/>
  <c r="F99" i="43" s="1"/>
  <c r="A96" i="43"/>
  <c r="F96" i="43" s="1"/>
  <c r="A95" i="43"/>
  <c r="F95" i="43" s="1"/>
  <c r="A102" i="43"/>
  <c r="F102" i="43" s="1"/>
  <c r="A94" i="43"/>
  <c r="A100" i="43"/>
  <c r="F100" i="43" s="1"/>
  <c r="A101" i="43"/>
  <c r="F101" i="43" s="1"/>
  <c r="A98" i="43"/>
  <c r="F98" i="43" s="1"/>
  <c r="JP8" i="55"/>
  <c r="JP35" i="55" s="1"/>
  <c r="JP11" i="55"/>
  <c r="JP38" i="55" s="1"/>
  <c r="JP14" i="55"/>
  <c r="JP41" i="55" s="1"/>
  <c r="JP6" i="55"/>
  <c r="JP33" i="55" s="1"/>
  <c r="JP12" i="55"/>
  <c r="JP39" i="55" s="1"/>
  <c r="JP9" i="55"/>
  <c r="JP36" i="55" s="1"/>
  <c r="JP7" i="55"/>
  <c r="JP34" i="55" s="1"/>
  <c r="JP10" i="55"/>
  <c r="JP37" i="55" s="1"/>
  <c r="JP13" i="55"/>
  <c r="JP40" i="55" s="1"/>
  <c r="KC5" i="55"/>
  <c r="KK5" i="55"/>
  <c r="KE5" i="55"/>
  <c r="KI5" i="55"/>
  <c r="KH5" i="55"/>
  <c r="KD5" i="55"/>
  <c r="KG5" i="55"/>
  <c r="KF5" i="55"/>
  <c r="KJ5" i="55"/>
  <c r="N14" i="18"/>
  <c r="L7" i="18"/>
  <c r="M7" i="18" s="1"/>
  <c r="V8" i="18"/>
  <c r="W8" i="18" s="1"/>
  <c r="M29" i="18"/>
  <c r="L9" i="18"/>
  <c r="M9" i="18" s="1"/>
  <c r="L22" i="18"/>
  <c r="N22" i="18" s="1"/>
  <c r="L10" i="18"/>
  <c r="N10" i="18" s="1"/>
  <c r="L23" i="18"/>
  <c r="M23" i="18" s="1"/>
  <c r="L24" i="18"/>
  <c r="M24" i="18" s="1"/>
  <c r="M14" i="18"/>
  <c r="N29" i="18"/>
  <c r="L8" i="18"/>
  <c r="N8" i="18" s="1"/>
  <c r="J29" i="18"/>
  <c r="K29" i="18" s="1"/>
  <c r="T14" i="18"/>
  <c r="U14" i="18" s="1"/>
  <c r="V9" i="18"/>
  <c r="X9" i="18" s="1"/>
  <c r="V7" i="18"/>
  <c r="W7" i="18" s="1"/>
  <c r="W14" i="18"/>
  <c r="X14" i="18"/>
  <c r="X8" i="18"/>
  <c r="N25" i="18"/>
  <c r="M25" i="18"/>
  <c r="X10" i="18"/>
  <c r="W10" i="18"/>
  <c r="C72" i="42" l="1"/>
  <c r="C73" i="42"/>
  <c r="C70" i="42"/>
  <c r="C71" i="42"/>
  <c r="N7" i="18"/>
  <c r="C76" i="42"/>
  <c r="C68" i="42"/>
  <c r="C69" i="42"/>
  <c r="C75" i="42"/>
  <c r="B75" i="42"/>
  <c r="F75" i="42" s="1"/>
  <c r="J75" i="42" s="1"/>
  <c r="B71" i="42"/>
  <c r="F71" i="42" s="1"/>
  <c r="I71" i="42" s="1"/>
  <c r="B68" i="42"/>
  <c r="F68" i="42" s="1"/>
  <c r="J68" i="42" s="1"/>
  <c r="B69" i="42"/>
  <c r="F69" i="42" s="1"/>
  <c r="J69" i="42" s="1"/>
  <c r="B70" i="42"/>
  <c r="F70" i="42" s="1"/>
  <c r="I70" i="42" s="1"/>
  <c r="B74" i="42"/>
  <c r="F74" i="42" s="1"/>
  <c r="I74" i="42" s="1"/>
  <c r="B72" i="42"/>
  <c r="F72" i="42" s="1"/>
  <c r="I72" i="42" s="1"/>
  <c r="B73" i="42"/>
  <c r="F73" i="42" s="1"/>
  <c r="J73" i="42" s="1"/>
  <c r="I76" i="42"/>
  <c r="L76" i="42" s="1"/>
  <c r="F94" i="42"/>
  <c r="B104" i="42"/>
  <c r="F94" i="43"/>
  <c r="B104" i="43"/>
  <c r="C68" i="43" a="1"/>
  <c r="B68" i="43" a="1"/>
  <c r="KO5" i="55" a="1"/>
  <c r="KB6" i="55" a="1"/>
  <c r="N23" i="18"/>
  <c r="M22" i="18"/>
  <c r="M10" i="18"/>
  <c r="M8" i="18"/>
  <c r="N24" i="18"/>
  <c r="N9" i="18"/>
  <c r="W9" i="18"/>
  <c r="X7" i="18"/>
  <c r="J71" i="42" l="1"/>
  <c r="L71" i="42" s="1"/>
  <c r="J72" i="42"/>
  <c r="K72" i="42" s="1"/>
  <c r="C81" i="42" a="1"/>
  <c r="C86" i="42" s="1"/>
  <c r="F86" i="42" s="1"/>
  <c r="I75" i="42"/>
  <c r="L75" i="42" s="1"/>
  <c r="I69" i="42"/>
  <c r="L69" i="42" s="1"/>
  <c r="J70" i="42"/>
  <c r="K70" i="42" s="1"/>
  <c r="I68" i="42"/>
  <c r="K68" i="42" s="1"/>
  <c r="K76" i="42"/>
  <c r="J74" i="42"/>
  <c r="L74" i="42" s="1"/>
  <c r="I73" i="42"/>
  <c r="K71" i="42"/>
  <c r="B75" i="43"/>
  <c r="F75" i="43" s="1"/>
  <c r="B69" i="43"/>
  <c r="F69" i="43" s="1"/>
  <c r="B68" i="43"/>
  <c r="F68" i="43" s="1"/>
  <c r="B71" i="43"/>
  <c r="F71" i="43" s="1"/>
  <c r="B73" i="43"/>
  <c r="F73" i="43" s="1"/>
  <c r="B74" i="43"/>
  <c r="F74" i="43" s="1"/>
  <c r="B72" i="43"/>
  <c r="F72" i="43" s="1"/>
  <c r="B70" i="43"/>
  <c r="F70" i="43" s="1"/>
  <c r="B76" i="43"/>
  <c r="F76" i="43" s="1"/>
  <c r="C69" i="43"/>
  <c r="C71" i="43"/>
  <c r="C76" i="43"/>
  <c r="C70" i="43"/>
  <c r="C72" i="43"/>
  <c r="C75" i="43"/>
  <c r="C73" i="43"/>
  <c r="C68" i="43"/>
  <c r="C74" i="43"/>
  <c r="KB14" i="55"/>
  <c r="KB41" i="55" s="1"/>
  <c r="KB9" i="55"/>
  <c r="KB36" i="55" s="1"/>
  <c r="KB13" i="55"/>
  <c r="KB40" i="55" s="1"/>
  <c r="KB10" i="55"/>
  <c r="KB37" i="55" s="1"/>
  <c r="KB8" i="55"/>
  <c r="KB35" i="55" s="1"/>
  <c r="KB11" i="55"/>
  <c r="KB38" i="55" s="1"/>
  <c r="KB7" i="55"/>
  <c r="KB34" i="55" s="1"/>
  <c r="KB6" i="55"/>
  <c r="KB33" i="55" s="1"/>
  <c r="KB12" i="55"/>
  <c r="KB39" i="55" s="1"/>
  <c r="KW5" i="55"/>
  <c r="KO5" i="55"/>
  <c r="KS5" i="55"/>
  <c r="KP5" i="55"/>
  <c r="KU5" i="55"/>
  <c r="KQ5" i="55"/>
  <c r="KT5" i="55"/>
  <c r="KR5" i="55"/>
  <c r="KV5" i="55"/>
  <c r="J15" i="15"/>
  <c r="L35" i="17"/>
  <c r="L20" i="17"/>
  <c r="L5" i="17"/>
  <c r="H46" i="17"/>
  <c r="G46" i="17"/>
  <c r="I46" i="17" s="1"/>
  <c r="I33" i="17"/>
  <c r="H31" i="17"/>
  <c r="G31" i="17"/>
  <c r="I18" i="17"/>
  <c r="H16" i="17"/>
  <c r="G16" i="17"/>
  <c r="I3" i="17"/>
  <c r="G7" i="15"/>
  <c r="H7" i="15"/>
  <c r="I7" i="15"/>
  <c r="G8" i="15"/>
  <c r="H8" i="15"/>
  <c r="I8" i="15"/>
  <c r="G9" i="15"/>
  <c r="H9" i="15"/>
  <c r="I9" i="15"/>
  <c r="H6" i="15"/>
  <c r="I6" i="15"/>
  <c r="G6" i="15"/>
  <c r="I10" i="15"/>
  <c r="H10" i="15"/>
  <c r="G10" i="15"/>
  <c r="G17" i="15" l="1"/>
  <c r="K75" i="42"/>
  <c r="C87" i="42"/>
  <c r="F87" i="42" s="1"/>
  <c r="C85" i="42"/>
  <c r="F85" i="42" s="1"/>
  <c r="L72" i="42"/>
  <c r="C89" i="42"/>
  <c r="F89" i="42" s="1"/>
  <c r="C81" i="42"/>
  <c r="F81" i="42" s="1"/>
  <c r="C88" i="42"/>
  <c r="F88" i="42" s="1"/>
  <c r="K69" i="42"/>
  <c r="K74" i="42"/>
  <c r="C83" i="42"/>
  <c r="F83" i="42" s="1"/>
  <c r="C84" i="42"/>
  <c r="F84" i="42" s="1"/>
  <c r="C82" i="42"/>
  <c r="F82" i="42" s="1"/>
  <c r="I77" i="42"/>
  <c r="P16" i="15" a="1"/>
  <c r="P17" i="15" s="1"/>
  <c r="I31" i="17"/>
  <c r="H18" i="15"/>
  <c r="L68" i="42"/>
  <c r="I16" i="17"/>
  <c r="K73" i="42"/>
  <c r="J77" i="42"/>
  <c r="L70" i="42"/>
  <c r="L73" i="42"/>
  <c r="C81" i="43" a="1"/>
  <c r="C85" i="43" s="1"/>
  <c r="F85" i="43" s="1"/>
  <c r="J76" i="43"/>
  <c r="I76" i="43"/>
  <c r="I73" i="43"/>
  <c r="J73" i="43"/>
  <c r="I75" i="43"/>
  <c r="J75" i="43"/>
  <c r="I70" i="43"/>
  <c r="J70" i="43"/>
  <c r="J71" i="43"/>
  <c r="I71" i="43"/>
  <c r="J72" i="43"/>
  <c r="I72" i="43"/>
  <c r="J68" i="43"/>
  <c r="I68" i="43"/>
  <c r="J74" i="43"/>
  <c r="I74" i="43"/>
  <c r="J69" i="43"/>
  <c r="I69" i="43"/>
  <c r="G18" i="15"/>
  <c r="LA5" i="55" a="1"/>
  <c r="KN6" i="55" a="1"/>
  <c r="H15" i="15"/>
  <c r="T6" i="15" a="1"/>
  <c r="T8" i="15" s="1"/>
  <c r="T21" i="15" a="1"/>
  <c r="U22" i="15" s="1"/>
  <c r="H15" i="17"/>
  <c r="H30" i="17"/>
  <c r="L29" i="17" s="1"/>
  <c r="H45" i="17"/>
  <c r="L44" i="17" s="1"/>
  <c r="P21" i="15" a="1"/>
  <c r="Q21" i="15" s="1"/>
  <c r="I15" i="15"/>
  <c r="L4" i="15" a="1"/>
  <c r="L5" i="15" s="1"/>
  <c r="I16" i="15"/>
  <c r="I17" i="15"/>
  <c r="H16" i="15"/>
  <c r="H17" i="15"/>
  <c r="G16" i="15"/>
  <c r="G15" i="15"/>
  <c r="T11" i="15" a="1"/>
  <c r="U11" i="15" s="1"/>
  <c r="T16" i="15" a="1"/>
  <c r="U16" i="15" s="1"/>
  <c r="I18" i="15"/>
  <c r="P6" i="15" a="1"/>
  <c r="R8" i="15" s="1"/>
  <c r="P11" i="15" a="1"/>
  <c r="P12" i="15" s="1"/>
  <c r="R18" i="15"/>
  <c r="J16" i="15"/>
  <c r="J17" i="15"/>
  <c r="J18" i="15"/>
  <c r="Q16" i="15" l="1"/>
  <c r="V8" i="15"/>
  <c r="R16" i="15"/>
  <c r="Q18" i="15"/>
  <c r="R21" i="15"/>
  <c r="K77" i="42"/>
  <c r="O69" i="42" s="1"/>
  <c r="P18" i="15"/>
  <c r="P16" i="15"/>
  <c r="Q22" i="15"/>
  <c r="Q17" i="15"/>
  <c r="R17" i="15"/>
  <c r="V6" i="15"/>
  <c r="T6" i="15"/>
  <c r="L77" i="42"/>
  <c r="O68" i="42" s="1"/>
  <c r="C84" i="43"/>
  <c r="F84" i="43" s="1"/>
  <c r="C83" i="43"/>
  <c r="F83" i="43" s="1"/>
  <c r="C89" i="43"/>
  <c r="F89" i="43" s="1"/>
  <c r="C81" i="43"/>
  <c r="F81" i="43" s="1"/>
  <c r="C82" i="43"/>
  <c r="F82" i="43" s="1"/>
  <c r="C86" i="43"/>
  <c r="F86" i="43" s="1"/>
  <c r="C87" i="43"/>
  <c r="F87" i="43" s="1"/>
  <c r="C88" i="43"/>
  <c r="F88" i="43" s="1"/>
  <c r="L74" i="43"/>
  <c r="K74" i="43"/>
  <c r="L72" i="43"/>
  <c r="K72" i="43"/>
  <c r="K70" i="43"/>
  <c r="L70" i="43"/>
  <c r="K73" i="43"/>
  <c r="L73" i="43"/>
  <c r="L69" i="43"/>
  <c r="K69" i="43"/>
  <c r="L68" i="43"/>
  <c r="I77" i="43"/>
  <c r="K68" i="43"/>
  <c r="L71" i="43"/>
  <c r="K71" i="43"/>
  <c r="L76" i="43"/>
  <c r="K76" i="43"/>
  <c r="J77" i="43"/>
  <c r="K75" i="43"/>
  <c r="L75" i="43"/>
  <c r="LI5" i="55"/>
  <c r="LA5" i="55"/>
  <c r="LC5" i="55"/>
  <c r="LF5" i="55"/>
  <c r="LB5" i="55"/>
  <c r="LG5" i="55"/>
  <c r="LE5" i="55"/>
  <c r="LD5" i="55"/>
  <c r="LH5" i="55"/>
  <c r="KN9" i="55"/>
  <c r="KN36" i="55" s="1"/>
  <c r="KN7" i="55"/>
  <c r="KN34" i="55" s="1"/>
  <c r="KN10" i="55"/>
  <c r="KN37" i="55" s="1"/>
  <c r="KN13" i="55"/>
  <c r="KN40" i="55" s="1"/>
  <c r="KN6" i="55"/>
  <c r="KN33" i="55" s="1"/>
  <c r="KN14" i="55"/>
  <c r="KN41" i="55" s="1"/>
  <c r="KN12" i="55"/>
  <c r="KN39" i="55" s="1"/>
  <c r="KN8" i="55"/>
  <c r="KN35" i="55" s="1"/>
  <c r="KN11" i="55"/>
  <c r="KN38" i="55" s="1"/>
  <c r="L6" i="15"/>
  <c r="L4" i="15"/>
  <c r="T21" i="15"/>
  <c r="P23" i="15"/>
  <c r="R23" i="15"/>
  <c r="U23" i="15"/>
  <c r="P22" i="15"/>
  <c r="V7" i="15"/>
  <c r="U8" i="15"/>
  <c r="V22" i="15"/>
  <c r="R13" i="15"/>
  <c r="P21" i="15"/>
  <c r="U6" i="15"/>
  <c r="T7" i="15"/>
  <c r="U21" i="15"/>
  <c r="N6" i="15"/>
  <c r="P13" i="15"/>
  <c r="M4" i="15"/>
  <c r="M6" i="15"/>
  <c r="N5" i="15"/>
  <c r="T23" i="15"/>
  <c r="V23" i="15"/>
  <c r="T22" i="15"/>
  <c r="U7" i="15"/>
  <c r="V21" i="15"/>
  <c r="G38" i="17"/>
  <c r="H38" i="17"/>
  <c r="I38" i="17"/>
  <c r="J38" i="17" a="1"/>
  <c r="J38" i="17" s="1"/>
  <c r="I10" i="17"/>
  <c r="J10" i="17" a="1"/>
  <c r="J10" i="17" s="1"/>
  <c r="G10" i="17"/>
  <c r="H10" i="17"/>
  <c r="I25" i="17"/>
  <c r="J25" i="17" a="1"/>
  <c r="J25" i="17" s="1"/>
  <c r="G25" i="17"/>
  <c r="H25" i="17"/>
  <c r="I37" i="17"/>
  <c r="H37" i="17"/>
  <c r="J37" i="17" a="1"/>
  <c r="J37" i="17" s="1"/>
  <c r="G37" i="17"/>
  <c r="J9" i="17" a="1"/>
  <c r="J9" i="17" s="1"/>
  <c r="G9" i="17"/>
  <c r="H9" i="17"/>
  <c r="I9" i="17"/>
  <c r="J24" i="17" a="1"/>
  <c r="J24" i="17" s="1"/>
  <c r="G24" i="17"/>
  <c r="H24" i="17"/>
  <c r="I24" i="17"/>
  <c r="G40" i="17"/>
  <c r="H40" i="17"/>
  <c r="I40" i="17"/>
  <c r="J40" i="17" a="1"/>
  <c r="J40" i="17" s="1"/>
  <c r="L14" i="17"/>
  <c r="J8" i="17" a="1"/>
  <c r="J8" i="17" s="1"/>
  <c r="G8" i="17"/>
  <c r="H8" i="17"/>
  <c r="I8" i="17"/>
  <c r="J23" i="17" a="1"/>
  <c r="J23" i="17" s="1"/>
  <c r="G23" i="17"/>
  <c r="H23" i="17"/>
  <c r="I23" i="17"/>
  <c r="G39" i="17"/>
  <c r="H39" i="17"/>
  <c r="I39" i="17"/>
  <c r="J39" i="17" a="1"/>
  <c r="J39" i="17" s="1"/>
  <c r="I7" i="17"/>
  <c r="H7" i="17"/>
  <c r="G7" i="17"/>
  <c r="J7" i="17" a="1"/>
  <c r="J7" i="17" s="1"/>
  <c r="I22" i="17"/>
  <c r="H22" i="17"/>
  <c r="G22" i="17"/>
  <c r="J22" i="17" a="1"/>
  <c r="J22" i="17" s="1"/>
  <c r="T12" i="15"/>
  <c r="L9" i="15" a="1"/>
  <c r="M9" i="15" s="1"/>
  <c r="M14" i="15" s="1"/>
  <c r="V12" i="15"/>
  <c r="V11" i="15"/>
  <c r="T11" i="15"/>
  <c r="T18" i="15"/>
  <c r="V18" i="15"/>
  <c r="T17" i="15"/>
  <c r="R22" i="15"/>
  <c r="Q23" i="15"/>
  <c r="M5" i="15"/>
  <c r="N4" i="15"/>
  <c r="T13" i="15"/>
  <c r="T16" i="15"/>
  <c r="V13" i="15"/>
  <c r="U12" i="15"/>
  <c r="V16" i="15"/>
  <c r="U17" i="15"/>
  <c r="U13" i="15"/>
  <c r="V17" i="15"/>
  <c r="U18" i="15"/>
  <c r="R7" i="15"/>
  <c r="Q8" i="15"/>
  <c r="Q6" i="15"/>
  <c r="R6" i="15"/>
  <c r="P7" i="15"/>
  <c r="P8" i="15"/>
  <c r="Q7" i="15"/>
  <c r="P6" i="15"/>
  <c r="Q13" i="15"/>
  <c r="Q11" i="15"/>
  <c r="P11" i="15"/>
  <c r="R12" i="15"/>
  <c r="Q12" i="15"/>
  <c r="R11" i="15"/>
  <c r="O70" i="42" l="1"/>
  <c r="N73" i="42" s="1"/>
  <c r="O72" i="42" s="1"/>
  <c r="T26" i="15" a="1"/>
  <c r="T26" i="15" s="1"/>
  <c r="L77" i="43"/>
  <c r="O68" i="43" s="1"/>
  <c r="K77" i="43"/>
  <c r="O69" i="43" s="1"/>
  <c r="LM5" i="55" a="1"/>
  <c r="KZ6" i="55" a="1"/>
  <c r="N11" i="15"/>
  <c r="N16" i="15" s="1"/>
  <c r="K38" i="17"/>
  <c r="K22" i="17"/>
  <c r="K7" i="17"/>
  <c r="K39" i="17"/>
  <c r="K40" i="17"/>
  <c r="K23" i="17"/>
  <c r="K8" i="17"/>
  <c r="K24" i="17"/>
  <c r="K9" i="17"/>
  <c r="K25" i="17"/>
  <c r="K10" i="17"/>
  <c r="K37" i="17"/>
  <c r="N10" i="15"/>
  <c r="N15" i="15" s="1"/>
  <c r="L10" i="15"/>
  <c r="L15" i="15" s="1"/>
  <c r="N9" i="15"/>
  <c r="N14" i="15" s="1"/>
  <c r="M11" i="15"/>
  <c r="M16" i="15" s="1"/>
  <c r="M10" i="15"/>
  <c r="M15" i="15" s="1"/>
  <c r="L11" i="15"/>
  <c r="L16" i="15" s="1"/>
  <c r="L9" i="15"/>
  <c r="L14" i="15" s="1"/>
  <c r="P26" i="15" a="1"/>
  <c r="R27" i="15" s="1"/>
  <c r="V26" i="15"/>
  <c r="V27" i="15"/>
  <c r="U27" i="15"/>
  <c r="T27" i="15"/>
  <c r="L33" i="14"/>
  <c r="M33" i="14"/>
  <c r="N33" i="14"/>
  <c r="O33" i="14"/>
  <c r="M19" i="14"/>
  <c r="N19" i="14"/>
  <c r="O19" i="14"/>
  <c r="L19" i="14"/>
  <c r="O5" i="14"/>
  <c r="L5" i="14"/>
  <c r="M5" i="14"/>
  <c r="N5" i="14"/>
  <c r="V28" i="15" l="1"/>
  <c r="P26" i="15"/>
  <c r="T28" i="15"/>
  <c r="U28" i="15"/>
  <c r="N72" i="42"/>
  <c r="O73" i="42" s="1"/>
  <c r="U26" i="15"/>
  <c r="O70" i="43"/>
  <c r="N72" i="43" s="1"/>
  <c r="O73" i="43" s="1"/>
  <c r="KZ6" i="55"/>
  <c r="KZ33" i="55" s="1"/>
  <c r="KZ13" i="55"/>
  <c r="KZ40" i="55" s="1"/>
  <c r="KZ14" i="55"/>
  <c r="KZ41" i="55" s="1"/>
  <c r="KZ9" i="55"/>
  <c r="KZ36" i="55" s="1"/>
  <c r="KZ7" i="55"/>
  <c r="KZ34" i="55" s="1"/>
  <c r="KZ11" i="55"/>
  <c r="KZ38" i="55" s="1"/>
  <c r="KZ8" i="55"/>
  <c r="KZ35" i="55" s="1"/>
  <c r="KZ10" i="55"/>
  <c r="KZ37" i="55" s="1"/>
  <c r="KZ12" i="55"/>
  <c r="KZ39" i="55" s="1"/>
  <c r="LM5" i="55"/>
  <c r="LR5" i="55"/>
  <c r="LO5" i="55"/>
  <c r="LP5" i="55"/>
  <c r="LN5" i="55"/>
  <c r="LQ5" i="55"/>
  <c r="LU5" i="55"/>
  <c r="LT5" i="55"/>
  <c r="LS5" i="55"/>
  <c r="AN4" i="14"/>
  <c r="AN3" i="14"/>
  <c r="AO3" i="14" s="1"/>
  <c r="AN5" i="14"/>
  <c r="G30" i="17"/>
  <c r="I30" i="17" s="1"/>
  <c r="G45" i="17"/>
  <c r="I45" i="17" s="1"/>
  <c r="G15" i="17"/>
  <c r="G14" i="17" s="1"/>
  <c r="I14" i="17" s="1"/>
  <c r="X4" i="15" a="1"/>
  <c r="Y4" i="15" s="1"/>
  <c r="G42" i="14"/>
  <c r="G43" i="14"/>
  <c r="AB4" i="15" a="1"/>
  <c r="AB5" i="15" s="1"/>
  <c r="AG4" i="15"/>
  <c r="AJ11" i="15" s="1"/>
  <c r="AJ12" i="15" s="1"/>
  <c r="AJ13" i="15" s="1"/>
  <c r="AJ18" i="15" s="1"/>
  <c r="R28" i="15"/>
  <c r="P27" i="15"/>
  <c r="R26" i="15"/>
  <c r="Q28" i="15"/>
  <c r="P28" i="15"/>
  <c r="Q27" i="15"/>
  <c r="Q26" i="15"/>
  <c r="O23" i="14"/>
  <c r="O20" i="14"/>
  <c r="O21" i="14" s="1"/>
  <c r="O22" i="14"/>
  <c r="O24" i="14"/>
  <c r="N34" i="14"/>
  <c r="N35" i="14" s="1"/>
  <c r="N38" i="14"/>
  <c r="N37" i="14"/>
  <c r="N36" i="14"/>
  <c r="N20" i="14"/>
  <c r="N21" i="14" s="1"/>
  <c r="N22" i="14"/>
  <c r="N24" i="14"/>
  <c r="N23" i="14"/>
  <c r="M37" i="14"/>
  <c r="M36" i="14"/>
  <c r="M34" i="14"/>
  <c r="M35" i="14" s="1"/>
  <c r="M38" i="14"/>
  <c r="M24" i="14"/>
  <c r="M23" i="14"/>
  <c r="M20" i="14"/>
  <c r="M21" i="14" s="1"/>
  <c r="M22" i="14"/>
  <c r="L36" i="14"/>
  <c r="L38" i="14"/>
  <c r="L34" i="14"/>
  <c r="L35" i="14" s="1"/>
  <c r="L37" i="14"/>
  <c r="L24" i="14"/>
  <c r="L20" i="14"/>
  <c r="L21" i="14" s="1"/>
  <c r="L23" i="14"/>
  <c r="L22" i="14"/>
  <c r="O34" i="14"/>
  <c r="O35" i="14" s="1"/>
  <c r="O38" i="14"/>
  <c r="O37" i="14"/>
  <c r="O36" i="14"/>
  <c r="N8" i="14"/>
  <c r="N10" i="14"/>
  <c r="N6" i="14"/>
  <c r="N7" i="14" s="1"/>
  <c r="N9" i="14"/>
  <c r="M10" i="14"/>
  <c r="M6" i="14"/>
  <c r="M7" i="14" s="1"/>
  <c r="M9" i="14"/>
  <c r="M8" i="14"/>
  <c r="L9" i="14"/>
  <c r="L10" i="14"/>
  <c r="L8" i="14"/>
  <c r="L6" i="14"/>
  <c r="L7" i="14" s="1"/>
  <c r="O8" i="14"/>
  <c r="O10" i="14"/>
  <c r="O6" i="14"/>
  <c r="O7" i="14" s="1"/>
  <c r="O9" i="14"/>
  <c r="Q68" i="42" l="1" a="1"/>
  <c r="R71" i="42" s="1"/>
  <c r="AB4" i="15"/>
  <c r="N73" i="43"/>
  <c r="O72" i="43" s="1"/>
  <c r="Q68" i="43" s="1" a="1"/>
  <c r="Q70" i="43" s="1"/>
  <c r="AC5" i="15"/>
  <c r="LY5" i="55" a="1"/>
  <c r="LL6" i="55" a="1"/>
  <c r="AC6" i="15"/>
  <c r="G29" i="17"/>
  <c r="I29" i="17" s="1"/>
  <c r="J29" i="17" s="1"/>
  <c r="K29" i="17" s="1"/>
  <c r="AP15" i="14"/>
  <c r="AP14" i="14"/>
  <c r="AO8" i="14"/>
  <c r="AO9" i="14"/>
  <c r="AO14" i="14"/>
  <c r="AO12" i="14"/>
  <c r="AO15" i="14"/>
  <c r="AO10" i="14"/>
  <c r="AO13" i="14"/>
  <c r="AO11" i="14"/>
  <c r="AP11" i="14"/>
  <c r="AP9" i="14"/>
  <c r="AP12" i="14"/>
  <c r="AP10" i="14"/>
  <c r="AP8" i="14"/>
  <c r="AP13" i="14"/>
  <c r="AD4" i="15"/>
  <c r="AD5" i="15"/>
  <c r="AD6" i="15"/>
  <c r="AC4" i="15"/>
  <c r="AB6" i="15"/>
  <c r="G44" i="17"/>
  <c r="I44" i="17" s="1"/>
  <c r="J44" i="17" s="1"/>
  <c r="K44" i="17" s="1"/>
  <c r="Z5" i="15"/>
  <c r="X4" i="15"/>
  <c r="I15" i="17"/>
  <c r="L8" i="17" s="1"/>
  <c r="X6" i="15"/>
  <c r="Z4" i="15"/>
  <c r="Y6" i="15"/>
  <c r="Y5" i="15"/>
  <c r="G44" i="14"/>
  <c r="X5" i="15"/>
  <c r="Z6" i="15"/>
  <c r="L25" i="17"/>
  <c r="M29" i="17"/>
  <c r="L22" i="17"/>
  <c r="L23" i="17"/>
  <c r="N29" i="17"/>
  <c r="L24" i="17"/>
  <c r="L40" i="17"/>
  <c r="L37" i="17"/>
  <c r="L39" i="17"/>
  <c r="L38" i="17"/>
  <c r="N44" i="17"/>
  <c r="M44" i="17"/>
  <c r="AG5" i="15"/>
  <c r="Q68" i="42" l="1"/>
  <c r="Q75" i="42"/>
  <c r="R74" i="42"/>
  <c r="Q70" i="42"/>
  <c r="R68" i="42"/>
  <c r="R73" i="42"/>
  <c r="R75" i="42"/>
  <c r="R72" i="42"/>
  <c r="R76" i="42"/>
  <c r="Q72" i="42"/>
  <c r="Q69" i="42"/>
  <c r="Q73" i="42"/>
  <c r="Q71" i="42"/>
  <c r="R70" i="42"/>
  <c r="R69" i="42"/>
  <c r="Q74" i="42"/>
  <c r="Q76" i="42"/>
  <c r="M38" i="17"/>
  <c r="N38" i="17"/>
  <c r="M39" i="17"/>
  <c r="N39" i="17"/>
  <c r="M25" i="17"/>
  <c r="N25" i="17"/>
  <c r="M8" i="17"/>
  <c r="N8" i="17"/>
  <c r="M24" i="17"/>
  <c r="N24" i="17"/>
  <c r="N37" i="17"/>
  <c r="M37" i="17"/>
  <c r="M23" i="17"/>
  <c r="N23" i="17"/>
  <c r="M40" i="17"/>
  <c r="N40" i="17"/>
  <c r="N22" i="17"/>
  <c r="M22" i="17"/>
  <c r="D81" i="42" a="1"/>
  <c r="D89" i="42" s="1"/>
  <c r="G89" i="42" s="1"/>
  <c r="J89" i="42" s="1"/>
  <c r="B81" i="42" a="1"/>
  <c r="B89" i="42" s="1"/>
  <c r="Q69" i="43"/>
  <c r="R68" i="43"/>
  <c r="R72" i="43"/>
  <c r="Q74" i="43"/>
  <c r="R70" i="43"/>
  <c r="R74" i="43"/>
  <c r="R76" i="43"/>
  <c r="Q72" i="43"/>
  <c r="Q73" i="43"/>
  <c r="Q68" i="43"/>
  <c r="Q71" i="43"/>
  <c r="R73" i="43"/>
  <c r="R75" i="43"/>
  <c r="R71" i="43"/>
  <c r="R69" i="43"/>
  <c r="Q76" i="43"/>
  <c r="Q75" i="43"/>
  <c r="LL6" i="55"/>
  <c r="LL33" i="55" s="1"/>
  <c r="LL11" i="55"/>
  <c r="LL38" i="55" s="1"/>
  <c r="LL8" i="55"/>
  <c r="LL35" i="55" s="1"/>
  <c r="LL10" i="55"/>
  <c r="LL37" i="55" s="1"/>
  <c r="LL13" i="55"/>
  <c r="LL40" i="55" s="1"/>
  <c r="LL7" i="55"/>
  <c r="LL34" i="55" s="1"/>
  <c r="LL9" i="55"/>
  <c r="LL36" i="55" s="1"/>
  <c r="LL12" i="55"/>
  <c r="LL39" i="55" s="1"/>
  <c r="LL14" i="55"/>
  <c r="LL41" i="55" s="1"/>
  <c r="LY5" i="55"/>
  <c r="ME5" i="55"/>
  <c r="LZ5" i="55"/>
  <c r="MD5" i="55"/>
  <c r="MA5" i="55"/>
  <c r="MB5" i="55"/>
  <c r="MG5" i="55"/>
  <c r="MC5" i="55"/>
  <c r="MF5" i="55"/>
  <c r="X11" i="15" a="1"/>
  <c r="Y11" i="15" s="1"/>
  <c r="AP3" i="15"/>
  <c r="AP4" i="15" s="1"/>
  <c r="AP9" i="15" s="1"/>
  <c r="N14" i="17"/>
  <c r="L10" i="17"/>
  <c r="J14" i="17"/>
  <c r="K14" i="17" s="1"/>
  <c r="L9" i="17"/>
  <c r="L7" i="17"/>
  <c r="M14" i="17"/>
  <c r="AM9" i="15"/>
  <c r="AM10" i="15" s="1"/>
  <c r="AM15" i="15" s="1"/>
  <c r="X11" i="15" l="1"/>
  <c r="Z13" i="15"/>
  <c r="M10" i="17"/>
  <c r="N10" i="17"/>
  <c r="N7" i="17"/>
  <c r="M7" i="17"/>
  <c r="M9" i="17"/>
  <c r="N9" i="17"/>
  <c r="D83" i="42"/>
  <c r="G83" i="42" s="1"/>
  <c r="J83" i="42" s="1"/>
  <c r="B83" i="42"/>
  <c r="D87" i="42"/>
  <c r="G87" i="42" s="1"/>
  <c r="I87" i="42" s="1"/>
  <c r="D81" i="42"/>
  <c r="G81" i="42" s="1"/>
  <c r="I81" i="42" s="1"/>
  <c r="D82" i="42"/>
  <c r="G82" i="42" s="1"/>
  <c r="I82" i="42" s="1"/>
  <c r="D86" i="42"/>
  <c r="G86" i="42" s="1"/>
  <c r="I86" i="42" s="1"/>
  <c r="D88" i="42"/>
  <c r="G88" i="42" s="1"/>
  <c r="I88" i="42" s="1"/>
  <c r="I89" i="42"/>
  <c r="K89" i="42" s="1"/>
  <c r="D84" i="42"/>
  <c r="G84" i="42" s="1"/>
  <c r="J84" i="42" s="1"/>
  <c r="D85" i="42"/>
  <c r="G85" i="42" s="1"/>
  <c r="J85" i="42" s="1"/>
  <c r="B87" i="42"/>
  <c r="B85" i="42"/>
  <c r="B81" i="42"/>
  <c r="B86" i="42"/>
  <c r="B88" i="42"/>
  <c r="B82" i="42"/>
  <c r="B84" i="42"/>
  <c r="D81" i="43" a="1"/>
  <c r="D84" i="43" s="1"/>
  <c r="G84" i="43" s="1"/>
  <c r="B81" i="43" a="1"/>
  <c r="B82" i="43" s="1"/>
  <c r="Y13" i="15"/>
  <c r="X13" i="15"/>
  <c r="X12" i="15"/>
  <c r="Z12" i="15"/>
  <c r="MK5" i="55" a="1"/>
  <c r="LX6" i="55" a="1"/>
  <c r="Y12" i="15"/>
  <c r="Z11" i="15"/>
  <c r="X15" i="15" a="1"/>
  <c r="Z15" i="15" l="1"/>
  <c r="X15" i="15"/>
  <c r="Y15" i="15"/>
  <c r="AC13" i="15" a="1"/>
  <c r="J87" i="42"/>
  <c r="K87" i="42" s="1"/>
  <c r="J88" i="42"/>
  <c r="L88" i="42" s="1"/>
  <c r="I83" i="42"/>
  <c r="K83" i="42" s="1"/>
  <c r="J82" i="42"/>
  <c r="K82" i="42" s="1"/>
  <c r="I84" i="42"/>
  <c r="L84" i="42" s="1"/>
  <c r="I85" i="42"/>
  <c r="K85" i="42" s="1"/>
  <c r="L89" i="42"/>
  <c r="J81" i="42"/>
  <c r="K81" i="42" s="1"/>
  <c r="J86" i="42"/>
  <c r="L86" i="42" s="1"/>
  <c r="B94" i="42" a="1"/>
  <c r="B97" i="42" s="1"/>
  <c r="G97" i="42" s="1"/>
  <c r="I97" i="42" s="1"/>
  <c r="D89" i="43"/>
  <c r="G89" i="43" s="1"/>
  <c r="I89" i="43" s="1"/>
  <c r="D83" i="43"/>
  <c r="G83" i="43" s="1"/>
  <c r="I83" i="43" s="1"/>
  <c r="B84" i="43"/>
  <c r="D81" i="43"/>
  <c r="G81" i="43" s="1"/>
  <c r="I81" i="43" s="1"/>
  <c r="B81" i="43"/>
  <c r="D85" i="43"/>
  <c r="G85" i="43" s="1"/>
  <c r="I85" i="43" s="1"/>
  <c r="D87" i="43"/>
  <c r="G87" i="43" s="1"/>
  <c r="I87" i="43" s="1"/>
  <c r="D82" i="43"/>
  <c r="G82" i="43" s="1"/>
  <c r="I82" i="43" s="1"/>
  <c r="B83" i="43"/>
  <c r="B88" i="43"/>
  <c r="D86" i="43"/>
  <c r="G86" i="43" s="1"/>
  <c r="J86" i="43" s="1"/>
  <c r="B85" i="43"/>
  <c r="B89" i="43"/>
  <c r="D88" i="43"/>
  <c r="G88" i="43" s="1"/>
  <c r="I88" i="43" s="1"/>
  <c r="B87" i="43"/>
  <c r="B86" i="43"/>
  <c r="J84" i="43"/>
  <c r="I84" i="43"/>
  <c r="LX7" i="55"/>
  <c r="LX34" i="55" s="1"/>
  <c r="LX11" i="55"/>
  <c r="LX38" i="55" s="1"/>
  <c r="LX10" i="55"/>
  <c r="LX37" i="55" s="1"/>
  <c r="LX13" i="55"/>
  <c r="LX40" i="55" s="1"/>
  <c r="LX6" i="55"/>
  <c r="LX33" i="55" s="1"/>
  <c r="LX8" i="55"/>
  <c r="LX35" i="55" s="1"/>
  <c r="LX14" i="55"/>
  <c r="LX41" i="55" s="1"/>
  <c r="LX9" i="55"/>
  <c r="LX36" i="55" s="1"/>
  <c r="LX12" i="55"/>
  <c r="LX39" i="55" s="1"/>
  <c r="MK5" i="55"/>
  <c r="MN5" i="55"/>
  <c r="MP5" i="55"/>
  <c r="MQ5" i="55"/>
  <c r="MS5" i="55"/>
  <c r="MR5" i="55"/>
  <c r="ML5" i="55"/>
  <c r="MO5" i="55"/>
  <c r="MM5" i="55"/>
  <c r="AC14" i="15" l="1"/>
  <c r="K88" i="42"/>
  <c r="L87" i="42"/>
  <c r="L82" i="42"/>
  <c r="K84" i="42"/>
  <c r="J90" i="42"/>
  <c r="I90" i="42"/>
  <c r="L83" i="42"/>
  <c r="L85" i="42"/>
  <c r="L81" i="42"/>
  <c r="K86" i="42"/>
  <c r="B95" i="42"/>
  <c r="G95" i="42" s="1"/>
  <c r="I95" i="42" s="1"/>
  <c r="B99" i="42"/>
  <c r="G99" i="42" s="1"/>
  <c r="I99" i="42" s="1"/>
  <c r="B94" i="42"/>
  <c r="G94" i="42" s="1"/>
  <c r="J94" i="42" s="1"/>
  <c r="B96" i="42"/>
  <c r="G96" i="42" s="1"/>
  <c r="I96" i="42" s="1"/>
  <c r="B101" i="42"/>
  <c r="G101" i="42" s="1"/>
  <c r="J101" i="42" s="1"/>
  <c r="B102" i="42"/>
  <c r="G102" i="42" s="1"/>
  <c r="I102" i="42" s="1"/>
  <c r="J97" i="42"/>
  <c r="L97" i="42" s="1"/>
  <c r="B98" i="42"/>
  <c r="G98" i="42" s="1"/>
  <c r="J98" i="42" s="1"/>
  <c r="B100" i="42"/>
  <c r="G100" i="42" s="1"/>
  <c r="J89" i="43"/>
  <c r="K89" i="43" s="1"/>
  <c r="J85" i="43"/>
  <c r="L85" i="43" s="1"/>
  <c r="J83" i="43"/>
  <c r="L83" i="43" s="1"/>
  <c r="J82" i="43"/>
  <c r="L82" i="43" s="1"/>
  <c r="J81" i="43"/>
  <c r="K81" i="43" s="1"/>
  <c r="I86" i="43"/>
  <c r="L86" i="43" s="1"/>
  <c r="B94" i="43" a="1"/>
  <c r="B94" i="43" s="1"/>
  <c r="G94" i="43" s="1"/>
  <c r="J87" i="43"/>
  <c r="L87" i="43" s="1"/>
  <c r="J88" i="43"/>
  <c r="L88" i="43" s="1"/>
  <c r="L84" i="43"/>
  <c r="K84" i="43"/>
  <c r="AC13" i="15"/>
  <c r="AC12" i="15"/>
  <c r="AC11" i="15" a="1"/>
  <c r="AC11" i="15" s="1"/>
  <c r="MJ6" i="55" a="1"/>
  <c r="N17" i="7"/>
  <c r="O17" i="7"/>
  <c r="P17" i="7"/>
  <c r="O24" i="7"/>
  <c r="P24" i="7" s="1"/>
  <c r="A15" i="13"/>
  <c r="A9" i="13"/>
  <c r="F5" i="13"/>
  <c r="A3" i="13"/>
  <c r="C25" i="12"/>
  <c r="B25" i="12"/>
  <c r="A25" i="12"/>
  <c r="A24" i="12"/>
  <c r="G23" i="12"/>
  <c r="F23" i="12"/>
  <c r="E23" i="12"/>
  <c r="C23" i="12"/>
  <c r="A23" i="12"/>
  <c r="G22" i="12"/>
  <c r="F22" i="12"/>
  <c r="E22" i="12"/>
  <c r="C22" i="12"/>
  <c r="B22" i="12"/>
  <c r="A22" i="12"/>
  <c r="G21" i="12"/>
  <c r="F21" i="12"/>
  <c r="E21" i="12"/>
  <c r="B21" i="12"/>
  <c r="A21" i="12"/>
  <c r="G20" i="12"/>
  <c r="F20" i="12"/>
  <c r="E20" i="12"/>
  <c r="C20" i="12"/>
  <c r="B20" i="12"/>
  <c r="A20" i="12"/>
  <c r="G19" i="12"/>
  <c r="F19" i="12"/>
  <c r="E19" i="12"/>
  <c r="C19" i="12"/>
  <c r="A19" i="12"/>
  <c r="G18" i="12"/>
  <c r="F18" i="12"/>
  <c r="E18" i="12"/>
  <c r="C18" i="12"/>
  <c r="A18" i="12"/>
  <c r="G17" i="12"/>
  <c r="F17" i="12"/>
  <c r="E17" i="12"/>
  <c r="C17" i="12"/>
  <c r="B17" i="12"/>
  <c r="A17" i="12"/>
  <c r="G16" i="12"/>
  <c r="F16" i="12"/>
  <c r="E16" i="12"/>
  <c r="B16" i="12"/>
  <c r="A16" i="12"/>
  <c r="G15" i="12"/>
  <c r="F15" i="12"/>
  <c r="E15" i="12"/>
  <c r="C15" i="12"/>
  <c r="A15" i="12"/>
  <c r="G14" i="12"/>
  <c r="F14" i="12"/>
  <c r="E14" i="12"/>
  <c r="B14" i="12"/>
  <c r="A14" i="12"/>
  <c r="G13" i="12"/>
  <c r="F13" i="12"/>
  <c r="E13" i="12"/>
  <c r="C13" i="12"/>
  <c r="A13" i="12"/>
  <c r="G12" i="12"/>
  <c r="F12" i="12"/>
  <c r="E12" i="12"/>
  <c r="C12" i="12"/>
  <c r="B12" i="12"/>
  <c r="A12" i="12"/>
  <c r="G11" i="12"/>
  <c r="F11" i="12"/>
  <c r="E11" i="12"/>
  <c r="C11" i="12"/>
  <c r="A11" i="12"/>
  <c r="G10" i="12"/>
  <c r="F10" i="12"/>
  <c r="E10" i="12"/>
  <c r="C10" i="12"/>
  <c r="B10" i="12"/>
  <c r="A10" i="12"/>
  <c r="G9" i="12"/>
  <c r="F9" i="12"/>
  <c r="E9" i="12"/>
  <c r="B9" i="12"/>
  <c r="A9" i="12"/>
  <c r="G8" i="12"/>
  <c r="F8" i="12"/>
  <c r="E8" i="12"/>
  <c r="C8" i="12"/>
  <c r="A8" i="12"/>
  <c r="G7" i="12"/>
  <c r="F7" i="12"/>
  <c r="E7" i="12"/>
  <c r="A7" i="12"/>
  <c r="G6" i="12"/>
  <c r="F6" i="12"/>
  <c r="E6" i="12"/>
  <c r="C6" i="12"/>
  <c r="B6" i="12"/>
  <c r="A6" i="12"/>
  <c r="A15" i="11"/>
  <c r="A9" i="11"/>
  <c r="F5" i="11"/>
  <c r="A3" i="11"/>
  <c r="F5" i="9"/>
  <c r="A15" i="9"/>
  <c r="A9" i="9"/>
  <c r="A3" i="9"/>
  <c r="G28" i="7"/>
  <c r="P28" i="7" s="1"/>
  <c r="F28" i="7"/>
  <c r="O28" i="7" s="1"/>
  <c r="E28" i="7"/>
  <c r="N28" i="7" s="1"/>
  <c r="C28" i="7"/>
  <c r="P27" i="7" s="1"/>
  <c r="B28" i="7"/>
  <c r="O27" i="7" s="1"/>
  <c r="A28" i="7"/>
  <c r="N27" i="7" s="1"/>
  <c r="A27" i="7"/>
  <c r="O43" i="7"/>
  <c r="P43" i="7" s="1"/>
  <c r="P37" i="7"/>
  <c r="O37" i="7"/>
  <c r="N37" i="7"/>
  <c r="G28" i="5"/>
  <c r="P28" i="5" s="1"/>
  <c r="F28" i="5"/>
  <c r="O28" i="5" s="1"/>
  <c r="E28" i="5"/>
  <c r="N28" i="5" s="1"/>
  <c r="B28" i="5"/>
  <c r="O27" i="5" s="1"/>
  <c r="C28" i="5"/>
  <c r="P27" i="5" s="1"/>
  <c r="A28" i="5"/>
  <c r="N27" i="5" s="1"/>
  <c r="A27" i="5"/>
  <c r="O37" i="5"/>
  <c r="P37" i="5"/>
  <c r="N37" i="5"/>
  <c r="O17" i="5"/>
  <c r="P17" i="5"/>
  <c r="N17" i="5"/>
  <c r="O43" i="5"/>
  <c r="O24" i="5"/>
  <c r="P24" i="5" s="1"/>
  <c r="E7" i="6"/>
  <c r="F7" i="6"/>
  <c r="G7" i="6"/>
  <c r="E8" i="6"/>
  <c r="F8" i="6"/>
  <c r="G8" i="6"/>
  <c r="E9" i="6"/>
  <c r="F9" i="6"/>
  <c r="G9" i="6"/>
  <c r="E10" i="6"/>
  <c r="F10" i="6"/>
  <c r="G10" i="6"/>
  <c r="E11" i="6"/>
  <c r="F11" i="6"/>
  <c r="G11" i="6"/>
  <c r="E12" i="6"/>
  <c r="F12" i="6"/>
  <c r="G12" i="6"/>
  <c r="E13" i="6"/>
  <c r="F13" i="6"/>
  <c r="G13" i="6"/>
  <c r="E14" i="6"/>
  <c r="F14" i="6"/>
  <c r="G14" i="6"/>
  <c r="E15" i="6"/>
  <c r="F15" i="6"/>
  <c r="G15" i="6"/>
  <c r="E16" i="6"/>
  <c r="F16" i="6"/>
  <c r="G16" i="6"/>
  <c r="E17" i="6"/>
  <c r="F17" i="6"/>
  <c r="G17" i="6"/>
  <c r="E18" i="6"/>
  <c r="F18" i="6"/>
  <c r="G18" i="6"/>
  <c r="E19" i="6"/>
  <c r="F19" i="6"/>
  <c r="G19" i="6"/>
  <c r="E20" i="6"/>
  <c r="F20" i="6"/>
  <c r="G20" i="6"/>
  <c r="E21" i="6"/>
  <c r="F21" i="6"/>
  <c r="G21" i="6"/>
  <c r="E22" i="6"/>
  <c r="F22" i="6"/>
  <c r="G22" i="6"/>
  <c r="E23" i="6"/>
  <c r="F23" i="6"/>
  <c r="G23" i="6"/>
  <c r="F6" i="6"/>
  <c r="G6" i="6"/>
  <c r="E6" i="6"/>
  <c r="A7" i="6"/>
  <c r="B7" i="6"/>
  <c r="C7" i="6"/>
  <c r="A8" i="6"/>
  <c r="B8" i="6"/>
  <c r="C8" i="6"/>
  <c r="A9" i="6"/>
  <c r="B9" i="6"/>
  <c r="C9" i="6"/>
  <c r="A10" i="6"/>
  <c r="B10" i="6"/>
  <c r="C10" i="6"/>
  <c r="A11" i="6"/>
  <c r="B11" i="6"/>
  <c r="C11" i="6"/>
  <c r="A12" i="6"/>
  <c r="B12" i="6"/>
  <c r="C12" i="6"/>
  <c r="A13" i="6"/>
  <c r="B13" i="6"/>
  <c r="C13" i="6"/>
  <c r="A14" i="6"/>
  <c r="B14" i="6"/>
  <c r="C14" i="6"/>
  <c r="A15" i="6"/>
  <c r="B15" i="6"/>
  <c r="C15" i="6"/>
  <c r="A16" i="6"/>
  <c r="B16" i="6"/>
  <c r="C16" i="6"/>
  <c r="A17" i="6"/>
  <c r="B17" i="6"/>
  <c r="C17" i="6"/>
  <c r="A18" i="6"/>
  <c r="B18" i="6"/>
  <c r="C18" i="6"/>
  <c r="A19" i="6"/>
  <c r="B19" i="6"/>
  <c r="C19" i="6"/>
  <c r="A20" i="6"/>
  <c r="B20" i="6"/>
  <c r="C20" i="6"/>
  <c r="A21" i="6"/>
  <c r="B21" i="6"/>
  <c r="C21" i="6"/>
  <c r="A22" i="6"/>
  <c r="B22" i="6"/>
  <c r="C22" i="6"/>
  <c r="A23" i="6"/>
  <c r="B23" i="6"/>
  <c r="C23" i="6"/>
  <c r="A24" i="6"/>
  <c r="B24" i="6"/>
  <c r="C24" i="6"/>
  <c r="A25" i="6"/>
  <c r="B25" i="6"/>
  <c r="C25" i="6"/>
  <c r="B6" i="6"/>
  <c r="C6" i="6"/>
  <c r="A6" i="6"/>
  <c r="G27" i="7"/>
  <c r="F27" i="7"/>
  <c r="E27" i="7"/>
  <c r="K4" i="7" s="1" a="1"/>
  <c r="K5" i="7" s="1"/>
  <c r="K7" i="7"/>
  <c r="I5" i="9" s="1"/>
  <c r="J5" i="9" s="1"/>
  <c r="K5" i="9" s="1"/>
  <c r="I11" i="12" a="1"/>
  <c r="J28" i="12"/>
  <c r="J31" i="12"/>
  <c r="J29" i="12"/>
  <c r="L28" i="12" a="1"/>
  <c r="J32" i="12"/>
  <c r="I11" i="6" a="1"/>
  <c r="J29" i="6"/>
  <c r="J32" i="6"/>
  <c r="J28" i="6"/>
  <c r="J31" i="6"/>
  <c r="K13" i="6" l="1"/>
  <c r="K11" i="6"/>
  <c r="J11" i="6"/>
  <c r="J12" i="6"/>
  <c r="I12" i="6"/>
  <c r="K12" i="6"/>
  <c r="J13" i="6"/>
  <c r="I11" i="6"/>
  <c r="I13" i="6"/>
  <c r="L29" i="12"/>
  <c r="L28" i="12"/>
  <c r="M31" i="12"/>
  <c r="M32" i="12"/>
  <c r="L31" i="12"/>
  <c r="L30" i="12"/>
  <c r="M28" i="12"/>
  <c r="M30" i="12"/>
  <c r="M29" i="12"/>
  <c r="L32" i="12"/>
  <c r="K13" i="12"/>
  <c r="I12" i="12"/>
  <c r="J11" i="12"/>
  <c r="J12" i="12"/>
  <c r="B6" i="38" s="1"/>
  <c r="K11" i="12"/>
  <c r="I13" i="12"/>
  <c r="K12" i="12"/>
  <c r="I11" i="12"/>
  <c r="J13" i="12"/>
  <c r="B7" i="38" s="1"/>
  <c r="I5" i="11"/>
  <c r="J5" i="11" s="1"/>
  <c r="K5" i="11" s="1"/>
  <c r="G28" i="6"/>
  <c r="C28" i="6"/>
  <c r="K90" i="42"/>
  <c r="O82" i="42" s="1"/>
  <c r="L90" i="42"/>
  <c r="O81" i="42" s="1"/>
  <c r="B5" i="38"/>
  <c r="C5" i="38"/>
  <c r="C6" i="38"/>
  <c r="A6" i="38"/>
  <c r="A7" i="38"/>
  <c r="J95" i="42"/>
  <c r="K95" i="42" s="1"/>
  <c r="K83" i="43"/>
  <c r="J99" i="42"/>
  <c r="K99" i="42" s="1"/>
  <c r="K85" i="43"/>
  <c r="I94" i="42"/>
  <c r="K94" i="42" s="1"/>
  <c r="K97" i="42"/>
  <c r="I98" i="42"/>
  <c r="K98" i="42" s="1"/>
  <c r="J96" i="42"/>
  <c r="K96" i="42" s="1"/>
  <c r="I101" i="42"/>
  <c r="J102" i="42"/>
  <c r="L102" i="42" s="1"/>
  <c r="J100" i="42"/>
  <c r="I100" i="42"/>
  <c r="L89" i="43"/>
  <c r="L81" i="43"/>
  <c r="K86" i="43"/>
  <c r="K82" i="43"/>
  <c r="I90" i="43"/>
  <c r="B100" i="43"/>
  <c r="G100" i="43" s="1"/>
  <c r="I100" i="43" s="1"/>
  <c r="B99" i="43"/>
  <c r="G99" i="43" s="1"/>
  <c r="I99" i="43" s="1"/>
  <c r="B95" i="43"/>
  <c r="G95" i="43" s="1"/>
  <c r="I95" i="43" s="1"/>
  <c r="B97" i="43"/>
  <c r="G97" i="43" s="1"/>
  <c r="I97" i="43" s="1"/>
  <c r="B96" i="43"/>
  <c r="G96" i="43" s="1"/>
  <c r="J96" i="43" s="1"/>
  <c r="J90" i="43"/>
  <c r="K87" i="43"/>
  <c r="B102" i="43"/>
  <c r="G102" i="43" s="1"/>
  <c r="J102" i="43" s="1"/>
  <c r="B101" i="43"/>
  <c r="G101" i="43" s="1"/>
  <c r="J101" i="43" s="1"/>
  <c r="K88" i="43"/>
  <c r="B98" i="43"/>
  <c r="G98" i="43" s="1"/>
  <c r="I98" i="43" s="1"/>
  <c r="I94" i="43"/>
  <c r="J94" i="43"/>
  <c r="B27" i="12"/>
  <c r="G27" i="12"/>
  <c r="N20" i="7"/>
  <c r="K4" i="7"/>
  <c r="K6" i="7"/>
  <c r="F6" i="38"/>
  <c r="S18" i="7"/>
  <c r="I5" i="13"/>
  <c r="J5" i="13" s="1"/>
  <c r="K5" i="13" s="1"/>
  <c r="MJ10" i="55"/>
  <c r="MJ37" i="55" s="1"/>
  <c r="MJ9" i="55"/>
  <c r="MJ36" i="55" s="1"/>
  <c r="MJ11" i="55"/>
  <c r="MJ38" i="55" s="1"/>
  <c r="MJ6" i="55"/>
  <c r="MJ33" i="55" s="1"/>
  <c r="MJ13" i="55"/>
  <c r="MJ40" i="55" s="1"/>
  <c r="MJ12" i="55"/>
  <c r="MJ39" i="55" s="1"/>
  <c r="MJ14" i="55"/>
  <c r="MJ41" i="55" s="1"/>
  <c r="MJ7" i="55"/>
  <c r="MJ34" i="55" s="1"/>
  <c r="MJ8" i="55"/>
  <c r="MJ35" i="55" s="1"/>
  <c r="C27" i="12"/>
  <c r="J7" i="12"/>
  <c r="A28" i="6"/>
  <c r="F28" i="6"/>
  <c r="K7" i="12"/>
  <c r="C27" i="6"/>
  <c r="E28" i="6"/>
  <c r="A28" i="12"/>
  <c r="F28" i="12"/>
  <c r="C7" i="38"/>
  <c r="A5" i="38"/>
  <c r="C13" i="38"/>
  <c r="B12" i="38"/>
  <c r="A11" i="38"/>
  <c r="E6" i="38" s="1"/>
  <c r="B13" i="38"/>
  <c r="A12" i="38"/>
  <c r="A13" i="38"/>
  <c r="C11" i="38"/>
  <c r="C12" i="38"/>
  <c r="B11" i="38"/>
  <c r="E27" i="12"/>
  <c r="B28" i="12"/>
  <c r="G28" i="12"/>
  <c r="J16" i="12"/>
  <c r="J19" i="12" s="1"/>
  <c r="A27" i="12"/>
  <c r="F27" i="12"/>
  <c r="C28" i="12"/>
  <c r="E28" i="12"/>
  <c r="J16" i="6"/>
  <c r="J19" i="6" s="1"/>
  <c r="F27" i="6"/>
  <c r="B28" i="6"/>
  <c r="E27" i="6"/>
  <c r="K7" i="6"/>
  <c r="B27" i="6"/>
  <c r="J7" i="6"/>
  <c r="G27" i="6"/>
  <c r="P43" i="5"/>
  <c r="A27" i="6"/>
  <c r="B27" i="7"/>
  <c r="J7" i="7"/>
  <c r="C27" i="7"/>
  <c r="J16" i="7"/>
  <c r="A13" i="9"/>
  <c r="C11" i="9"/>
  <c r="C12" i="9"/>
  <c r="B11" i="9"/>
  <c r="A12" i="9"/>
  <c r="C13" i="9"/>
  <c r="B12" i="9"/>
  <c r="A11" i="9"/>
  <c r="B13" i="9"/>
  <c r="C7" i="9"/>
  <c r="B6" i="9"/>
  <c r="B7" i="9"/>
  <c r="A6" i="9"/>
  <c r="C6" i="9"/>
  <c r="B5" i="9"/>
  <c r="A7" i="9"/>
  <c r="C5" i="9"/>
  <c r="J16" i="5"/>
  <c r="N21" i="5" s="1"/>
  <c r="K7" i="5"/>
  <c r="J7" i="5"/>
  <c r="N19" i="5" s="1"/>
  <c r="B27" i="5"/>
  <c r="C27" i="5"/>
  <c r="E27" i="5"/>
  <c r="F27" i="5"/>
  <c r="G27" i="5"/>
  <c r="N7" i="4"/>
  <c r="O7" i="4"/>
  <c r="P7" i="4"/>
  <c r="Q7" i="4"/>
  <c r="R7" i="4"/>
  <c r="N8" i="4"/>
  <c r="O8" i="4"/>
  <c r="P8" i="4"/>
  <c r="Q8" i="4"/>
  <c r="R8" i="4"/>
  <c r="N9" i="4"/>
  <c r="O9" i="4"/>
  <c r="P9" i="4"/>
  <c r="Q9" i="4"/>
  <c r="R9" i="4"/>
  <c r="N10" i="4"/>
  <c r="O10" i="4"/>
  <c r="P10" i="4"/>
  <c r="Q10" i="4"/>
  <c r="R10" i="4"/>
  <c r="N11" i="4"/>
  <c r="O11" i="4"/>
  <c r="P11" i="4"/>
  <c r="Q11" i="4"/>
  <c r="R11" i="4"/>
  <c r="N12" i="4"/>
  <c r="O12" i="4"/>
  <c r="P12" i="4"/>
  <c r="Q12" i="4"/>
  <c r="R12" i="4"/>
  <c r="N13" i="4"/>
  <c r="O13" i="4"/>
  <c r="P13" i="4"/>
  <c r="Q13" i="4"/>
  <c r="R13" i="4"/>
  <c r="N14" i="4"/>
  <c r="O14" i="4"/>
  <c r="P14" i="4"/>
  <c r="Q14" i="4"/>
  <c r="R14" i="4"/>
  <c r="N15" i="4"/>
  <c r="O15" i="4"/>
  <c r="P15" i="4"/>
  <c r="Q15" i="4"/>
  <c r="R15" i="4"/>
  <c r="N16" i="4"/>
  <c r="O16" i="4"/>
  <c r="P16" i="4"/>
  <c r="Q16" i="4"/>
  <c r="R16" i="4"/>
  <c r="N17" i="4"/>
  <c r="O17" i="4"/>
  <c r="P17" i="4"/>
  <c r="Q17" i="4"/>
  <c r="R17" i="4"/>
  <c r="N18" i="4"/>
  <c r="O18" i="4"/>
  <c r="P18" i="4"/>
  <c r="Q18" i="4"/>
  <c r="R18" i="4"/>
  <c r="N19" i="4"/>
  <c r="O19" i="4"/>
  <c r="P19" i="4"/>
  <c r="Q19" i="4"/>
  <c r="R19" i="4"/>
  <c r="N20" i="4"/>
  <c r="O20" i="4"/>
  <c r="P20" i="4"/>
  <c r="Q20" i="4"/>
  <c r="R20" i="4"/>
  <c r="N21" i="4"/>
  <c r="O21" i="4"/>
  <c r="P21" i="4"/>
  <c r="Q21" i="4"/>
  <c r="R21" i="4"/>
  <c r="N22" i="4"/>
  <c r="O22" i="4"/>
  <c r="P22" i="4"/>
  <c r="Q22" i="4"/>
  <c r="R22" i="4"/>
  <c r="N23" i="4"/>
  <c r="O23" i="4"/>
  <c r="P23" i="4"/>
  <c r="Q23" i="4"/>
  <c r="R23" i="4"/>
  <c r="N24" i="4"/>
  <c r="O24" i="4"/>
  <c r="P24" i="4"/>
  <c r="Q24" i="4"/>
  <c r="R24" i="4"/>
  <c r="N25" i="4"/>
  <c r="O25" i="4"/>
  <c r="P25" i="4"/>
  <c r="Q25" i="4"/>
  <c r="R25" i="4"/>
  <c r="N26" i="4"/>
  <c r="O26" i="4"/>
  <c r="P26" i="4"/>
  <c r="Q26" i="4"/>
  <c r="R26" i="4"/>
  <c r="N27" i="4"/>
  <c r="O27" i="4"/>
  <c r="P27" i="4"/>
  <c r="Q27" i="4"/>
  <c r="R27" i="4"/>
  <c r="N28" i="4"/>
  <c r="O28" i="4"/>
  <c r="P28" i="4"/>
  <c r="Q28" i="4"/>
  <c r="R28" i="4"/>
  <c r="N29" i="4"/>
  <c r="O29" i="4"/>
  <c r="P29" i="4"/>
  <c r="Q29" i="4"/>
  <c r="R29" i="4"/>
  <c r="N30" i="4"/>
  <c r="O30" i="4"/>
  <c r="P30" i="4"/>
  <c r="Q30" i="4"/>
  <c r="R30" i="4"/>
  <c r="O6" i="4"/>
  <c r="P6" i="4"/>
  <c r="Q6" i="4"/>
  <c r="R6" i="4"/>
  <c r="N6" i="4"/>
  <c r="A7" i="4"/>
  <c r="A8" i="4" s="1"/>
  <c r="A9" i="4" s="1"/>
  <c r="A10" i="4" s="1"/>
  <c r="A11" i="4" s="1"/>
  <c r="A12" i="4" s="1"/>
  <c r="A13" i="4" s="1"/>
  <c r="A14" i="4" s="1"/>
  <c r="A15" i="4" s="1"/>
  <c r="A16" i="4" s="1"/>
  <c r="A17" i="4" s="1"/>
  <c r="A18" i="4" s="1"/>
  <c r="A19" i="4" s="1"/>
  <c r="A20" i="4" s="1"/>
  <c r="A21" i="4" s="1"/>
  <c r="A22" i="4" s="1"/>
  <c r="A23" i="4" s="1"/>
  <c r="A24" i="4" s="1"/>
  <c r="A25" i="4" s="1"/>
  <c r="A26" i="4" s="1"/>
  <c r="A27" i="4" s="1"/>
  <c r="A28" i="4" s="1"/>
  <c r="A29" i="4" s="1"/>
  <c r="A30" i="4" s="1"/>
  <c r="AG29" i="4"/>
  <c r="AH29" i="4" s="1"/>
  <c r="AI29" i="4" s="1"/>
  <c r="AJ29" i="4" s="1"/>
  <c r="AK29" i="4" s="1"/>
  <c r="AH13" i="4"/>
  <c r="AI13" i="4" s="1"/>
  <c r="AK6" i="4"/>
  <c r="AJ6" i="4"/>
  <c r="AJ39" i="4" s="1"/>
  <c r="AI6" i="4"/>
  <c r="AI39" i="4" s="1"/>
  <c r="AH6" i="4"/>
  <c r="AH39" i="4" s="1"/>
  <c r="AG6" i="4"/>
  <c r="I19" i="3"/>
  <c r="I22" i="3" s="1"/>
  <c r="I18" i="3"/>
  <c r="U27" i="3"/>
  <c r="V27" i="3" s="1"/>
  <c r="W27" i="3" s="1"/>
  <c r="X27" i="3" s="1"/>
  <c r="Y27" i="3" s="1"/>
  <c r="V4" i="3"/>
  <c r="V44" i="3" s="1"/>
  <c r="V61" i="3" s="1"/>
  <c r="W4" i="3"/>
  <c r="W44" i="3" s="1"/>
  <c r="W61" i="3" s="1"/>
  <c r="X4" i="3"/>
  <c r="X44" i="3" s="1"/>
  <c r="X61" i="3" s="1"/>
  <c r="Y4" i="3"/>
  <c r="Y21" i="3" s="1"/>
  <c r="Y36" i="3" s="1"/>
  <c r="U4" i="3"/>
  <c r="U44" i="3" s="1"/>
  <c r="U61" i="3" s="1"/>
  <c r="V11" i="3"/>
  <c r="W11" i="3" s="1"/>
  <c r="X11" i="3" s="1"/>
  <c r="Y11" i="3" s="1"/>
  <c r="C30" i="3"/>
  <c r="D30" i="3"/>
  <c r="E30" i="3"/>
  <c r="F30" i="3"/>
  <c r="C31" i="3"/>
  <c r="D31" i="3"/>
  <c r="E31" i="3"/>
  <c r="F31" i="3"/>
  <c r="B31" i="3"/>
  <c r="B30" i="3"/>
  <c r="A6" i="3"/>
  <c r="A7" i="3" s="1"/>
  <c r="A8" i="3" s="1"/>
  <c r="A9" i="3" s="1"/>
  <c r="A10" i="3" s="1"/>
  <c r="A11" i="3" s="1"/>
  <c r="A12" i="3" s="1"/>
  <c r="A13" i="3" s="1"/>
  <c r="A14" i="3" s="1"/>
  <c r="A15" i="3" s="1"/>
  <c r="A16" i="3" s="1"/>
  <c r="A17" i="3" s="1"/>
  <c r="A18" i="3" s="1"/>
  <c r="A19" i="3" s="1"/>
  <c r="A20" i="3" s="1"/>
  <c r="A21" i="3" s="1"/>
  <c r="A22" i="3" s="1"/>
  <c r="A23" i="3" s="1"/>
  <c r="A24" i="3" s="1"/>
  <c r="A25" i="3" s="1"/>
  <c r="A26" i="3" s="1"/>
  <c r="A27" i="3" s="1"/>
  <c r="A28" i="3" s="1"/>
  <c r="A5" i="3"/>
  <c r="R33" i="4" l="1"/>
  <c r="Q6" i="13"/>
  <c r="I23" i="3"/>
  <c r="K4" i="5" a="1"/>
  <c r="K4" i="5" s="1"/>
  <c r="Y44" i="3"/>
  <c r="Y61" i="3" s="1"/>
  <c r="O32" i="4"/>
  <c r="J99" i="43"/>
  <c r="K99" i="43" s="1"/>
  <c r="O83" i="42"/>
  <c r="N85" i="42" s="1"/>
  <c r="O86" i="42" s="1"/>
  <c r="L95" i="42"/>
  <c r="L98" i="42"/>
  <c r="L99" i="42"/>
  <c r="L94" i="42"/>
  <c r="J103" i="42"/>
  <c r="I103" i="42"/>
  <c r="L101" i="42"/>
  <c r="K101" i="42"/>
  <c r="L96" i="42"/>
  <c r="K102" i="42"/>
  <c r="L90" i="43"/>
  <c r="O81" i="43" s="1"/>
  <c r="K100" i="42"/>
  <c r="L100" i="42"/>
  <c r="I101" i="43"/>
  <c r="L101" i="43" s="1"/>
  <c r="I96" i="43"/>
  <c r="L96" i="43" s="1"/>
  <c r="J100" i="43"/>
  <c r="L100" i="43" s="1"/>
  <c r="J95" i="43"/>
  <c r="L95" i="43" s="1"/>
  <c r="J97" i="43"/>
  <c r="L97" i="43" s="1"/>
  <c r="I102" i="43"/>
  <c r="L102" i="43" s="1"/>
  <c r="K90" i="43"/>
  <c r="O82" i="43" s="1"/>
  <c r="J98" i="43"/>
  <c r="K98" i="43" s="1"/>
  <c r="L94" i="43"/>
  <c r="K94" i="43"/>
  <c r="U25" i="3"/>
  <c r="V25" i="3" s="1"/>
  <c r="W25" i="3" s="1"/>
  <c r="X25" i="3" s="1"/>
  <c r="Y25" i="3" s="1"/>
  <c r="I25" i="3"/>
  <c r="U28" i="3" s="1"/>
  <c r="V28" i="3" s="1"/>
  <c r="W28" i="3" s="1"/>
  <c r="X28" i="3" s="1"/>
  <c r="Y28" i="3" s="1"/>
  <c r="X21" i="3"/>
  <c r="X36" i="3" s="1"/>
  <c r="J15" i="7"/>
  <c r="J20" i="7" s="1"/>
  <c r="F5" i="38"/>
  <c r="S17" i="7"/>
  <c r="I4" i="11"/>
  <c r="I4" i="13"/>
  <c r="I4" i="9"/>
  <c r="N19" i="7"/>
  <c r="N40" i="7"/>
  <c r="O20" i="7"/>
  <c r="U24" i="3"/>
  <c r="W21" i="3"/>
  <c r="W36" i="3" s="1"/>
  <c r="U21" i="3"/>
  <c r="U36" i="3" s="1"/>
  <c r="P33" i="4"/>
  <c r="J4" i="5" a="1"/>
  <c r="J5" i="5" s="1"/>
  <c r="A17" i="38" a="1"/>
  <c r="A19" i="38" s="1"/>
  <c r="V21" i="3"/>
  <c r="V36" i="3" s="1"/>
  <c r="U8" i="3"/>
  <c r="U23" i="3"/>
  <c r="V23" i="3" s="1"/>
  <c r="W23" i="3" s="1"/>
  <c r="J19" i="7"/>
  <c r="N21" i="7"/>
  <c r="J4" i="6" a="1"/>
  <c r="J6" i="6" s="1"/>
  <c r="N39" i="5"/>
  <c r="N29" i="5"/>
  <c r="N30" i="5" s="1"/>
  <c r="N45" i="5" s="1"/>
  <c r="O19" i="5"/>
  <c r="J15" i="5"/>
  <c r="J20" i="5" s="1"/>
  <c r="N20" i="5"/>
  <c r="O21" i="5"/>
  <c r="N41" i="5"/>
  <c r="N22" i="5"/>
  <c r="O22" i="5" s="1"/>
  <c r="P22" i="5" s="1"/>
  <c r="E5" i="38"/>
  <c r="F8" i="38"/>
  <c r="J4" i="12" a="1"/>
  <c r="J6" i="12" s="1"/>
  <c r="J15" i="12"/>
  <c r="K4" i="6" a="1"/>
  <c r="K6" i="6" s="1"/>
  <c r="J15" i="6"/>
  <c r="A11" i="13"/>
  <c r="P6" i="13" s="1"/>
  <c r="B7" i="13"/>
  <c r="A13" i="13"/>
  <c r="B12" i="13"/>
  <c r="A5" i="13"/>
  <c r="C6" i="13"/>
  <c r="C11" i="13"/>
  <c r="B5" i="13"/>
  <c r="L5" i="9"/>
  <c r="M5" i="9" s="1"/>
  <c r="N5" i="9" s="1"/>
  <c r="B11" i="13"/>
  <c r="A12" i="13"/>
  <c r="C13" i="13"/>
  <c r="B6" i="13"/>
  <c r="C5" i="13"/>
  <c r="C12" i="13"/>
  <c r="B13" i="13"/>
  <c r="A6" i="13"/>
  <c r="C7" i="13"/>
  <c r="A7" i="13"/>
  <c r="Q11" i="7" a="1"/>
  <c r="Q11" i="7" s="1"/>
  <c r="A17" i="9" s="1"/>
  <c r="A5" i="9"/>
  <c r="K4" i="12" a="1"/>
  <c r="Q11" i="12" a="1"/>
  <c r="Q11" i="6" a="1"/>
  <c r="Q12" i="6" s="1"/>
  <c r="L6" i="6"/>
  <c r="J4" i="7" a="1"/>
  <c r="J4" i="7" s="1"/>
  <c r="L4" i="7" s="1"/>
  <c r="K6" i="5"/>
  <c r="K5" i="5"/>
  <c r="J19" i="5"/>
  <c r="A12" i="11"/>
  <c r="B13" i="11"/>
  <c r="A11" i="11"/>
  <c r="B12" i="11"/>
  <c r="C13" i="11"/>
  <c r="B11" i="11"/>
  <c r="C12" i="11"/>
  <c r="C11" i="11"/>
  <c r="A13" i="11"/>
  <c r="A6" i="11"/>
  <c r="B7" i="11"/>
  <c r="A5" i="11"/>
  <c r="B6" i="11"/>
  <c r="C7" i="11"/>
  <c r="B5" i="11"/>
  <c r="C6" i="11"/>
  <c r="C5" i="11"/>
  <c r="A7" i="11"/>
  <c r="P32" i="4"/>
  <c r="U21" i="4"/>
  <c r="U24" i="4" s="1"/>
  <c r="AG27" i="4" s="1"/>
  <c r="AH27" i="4" s="1"/>
  <c r="AI27" i="4" s="1"/>
  <c r="AJ27" i="4" s="1"/>
  <c r="AK27" i="4" s="1"/>
  <c r="O33" i="4"/>
  <c r="Q32" i="4"/>
  <c r="Q33" i="4"/>
  <c r="N33" i="4"/>
  <c r="R32" i="4"/>
  <c r="N32" i="4"/>
  <c r="U20" i="4"/>
  <c r="AG10" i="4" s="1"/>
  <c r="AJ13" i="4"/>
  <c r="AG39" i="4"/>
  <c r="AG23" i="4"/>
  <c r="AK39" i="4"/>
  <c r="AK23" i="4"/>
  <c r="AJ23" i="4"/>
  <c r="AH23" i="4"/>
  <c r="AI23" i="4"/>
  <c r="U26" i="3"/>
  <c r="V26" i="3" s="1"/>
  <c r="W26" i="3" s="1"/>
  <c r="X26" i="3" s="1"/>
  <c r="Y26" i="3" s="1"/>
  <c r="J4" i="3" a="1"/>
  <c r="K4" i="3" s="1"/>
  <c r="H12" i="38" a="1"/>
  <c r="I7" i="38"/>
  <c r="I5" i="38"/>
  <c r="L8" i="38"/>
  <c r="I6" i="38"/>
  <c r="L7" i="38"/>
  <c r="L6" i="38"/>
  <c r="L9" i="38"/>
  <c r="L5" i="38"/>
  <c r="I14" i="38" l="1"/>
  <c r="J14" i="38"/>
  <c r="I12" i="38"/>
  <c r="H12" i="38"/>
  <c r="H14" i="38"/>
  <c r="J12" i="38"/>
  <c r="H13" i="38"/>
  <c r="J13" i="38"/>
  <c r="I13" i="38"/>
  <c r="AG26" i="4"/>
  <c r="AH26" i="4" s="1"/>
  <c r="AI26" i="4" s="1"/>
  <c r="J6" i="5"/>
  <c r="L6" i="5" s="1"/>
  <c r="J4" i="5"/>
  <c r="L4" i="5" s="1"/>
  <c r="N18" i="5" s="1" a="1"/>
  <c r="N18" i="5" s="1"/>
  <c r="L5" i="5"/>
  <c r="L99" i="43"/>
  <c r="S13" i="7"/>
  <c r="C19" i="9" s="1"/>
  <c r="C17" i="38"/>
  <c r="S12" i="7"/>
  <c r="C18" i="9" s="1"/>
  <c r="Q12" i="7"/>
  <c r="A18" i="9" s="1"/>
  <c r="O83" i="43"/>
  <c r="N86" i="43" s="1"/>
  <c r="O85" i="43" s="1"/>
  <c r="N86" i="42"/>
  <c r="O85" i="42" s="1"/>
  <c r="Q81" i="42" s="1" a="1"/>
  <c r="R86" i="42" s="1"/>
  <c r="J5" i="6"/>
  <c r="J5" i="12"/>
  <c r="J4" i="12"/>
  <c r="J4" i="6"/>
  <c r="L103" i="42"/>
  <c r="O94" i="42" s="1"/>
  <c r="K103" i="42"/>
  <c r="O95" i="42" s="1"/>
  <c r="K96" i="43"/>
  <c r="K101" i="43"/>
  <c r="K97" i="43"/>
  <c r="K100" i="43"/>
  <c r="K95" i="43"/>
  <c r="J103" i="43"/>
  <c r="K102" i="43"/>
  <c r="I103" i="43"/>
  <c r="L98" i="43"/>
  <c r="S11" i="7"/>
  <c r="C17" i="9" s="1"/>
  <c r="R13" i="7"/>
  <c r="B19" i="9" s="1"/>
  <c r="Q13" i="7"/>
  <c r="A19" i="9" s="1"/>
  <c r="R12" i="7"/>
  <c r="B18" i="9" s="1"/>
  <c r="B17" i="38"/>
  <c r="B18" i="38"/>
  <c r="C18" i="38"/>
  <c r="C19" i="38"/>
  <c r="J22" i="7"/>
  <c r="N25" i="7" s="1"/>
  <c r="N23" i="7"/>
  <c r="O23" i="7" s="1"/>
  <c r="P23" i="7" s="1"/>
  <c r="Q13" i="6"/>
  <c r="R12" i="6"/>
  <c r="P5" i="13"/>
  <c r="N22" i="7"/>
  <c r="O22" i="7" s="1"/>
  <c r="P22" i="7" s="1"/>
  <c r="O21" i="7"/>
  <c r="N41" i="7"/>
  <c r="P20" i="7"/>
  <c r="P40" i="7" s="1"/>
  <c r="O40" i="7"/>
  <c r="J4" i="13"/>
  <c r="K4" i="13" s="1"/>
  <c r="Q5" i="13"/>
  <c r="I6" i="13"/>
  <c r="J6" i="13" s="1"/>
  <c r="S13" i="6"/>
  <c r="A18" i="38"/>
  <c r="I6" i="11"/>
  <c r="J6" i="11" s="1"/>
  <c r="J4" i="11"/>
  <c r="K4" i="11" s="1"/>
  <c r="R11" i="6"/>
  <c r="S12" i="6"/>
  <c r="O19" i="7"/>
  <c r="N29" i="7"/>
  <c r="N30" i="7" s="1"/>
  <c r="N45" i="7" s="1"/>
  <c r="N39" i="7"/>
  <c r="N42" i="7" s="1"/>
  <c r="N44" i="7" s="1"/>
  <c r="AG25" i="4"/>
  <c r="AH25" i="4" s="1"/>
  <c r="S11" i="6"/>
  <c r="R13" i="6"/>
  <c r="R11" i="7"/>
  <c r="B17" i="9" s="1"/>
  <c r="A17" i="38"/>
  <c r="B19" i="38"/>
  <c r="U48" i="3"/>
  <c r="V8" i="3"/>
  <c r="U10" i="3"/>
  <c r="V24" i="3"/>
  <c r="W24" i="3" s="1"/>
  <c r="X24" i="3" s="1"/>
  <c r="Y24" i="3" s="1"/>
  <c r="U51" i="3"/>
  <c r="U29" i="3"/>
  <c r="J4" i="9"/>
  <c r="K4" i="9" s="1"/>
  <c r="I6" i="9"/>
  <c r="J6" i="9" s="1"/>
  <c r="P21" i="5"/>
  <c r="P41" i="5" s="1"/>
  <c r="O41" i="5"/>
  <c r="P19" i="5"/>
  <c r="O39" i="5"/>
  <c r="J22" i="5"/>
  <c r="N25" i="5" s="1"/>
  <c r="N23" i="5"/>
  <c r="O23" i="5" s="1"/>
  <c r="P23" i="5" s="1"/>
  <c r="Q11" i="5" a="1"/>
  <c r="S12" i="5" s="1"/>
  <c r="C18" i="11" s="1"/>
  <c r="O20" i="5"/>
  <c r="O29" i="5" s="1"/>
  <c r="O30" i="5" s="1"/>
  <c r="O45" i="5" s="1"/>
  <c r="N40" i="5"/>
  <c r="N42" i="5" s="1"/>
  <c r="N44" i="5" s="1"/>
  <c r="K4" i="6"/>
  <c r="K5" i="6"/>
  <c r="F6" i="13"/>
  <c r="L5" i="13"/>
  <c r="M5" i="13" s="1"/>
  <c r="N5" i="13" s="1"/>
  <c r="L4" i="13"/>
  <c r="M4" i="13" s="1"/>
  <c r="N4" i="13" s="1"/>
  <c r="F6" i="11"/>
  <c r="L4" i="11"/>
  <c r="M4" i="11" s="1"/>
  <c r="N4" i="11" s="1"/>
  <c r="L5" i="11"/>
  <c r="M5" i="11" s="1"/>
  <c r="N5" i="11" s="1"/>
  <c r="L4" i="9"/>
  <c r="M4" i="9" s="1"/>
  <c r="N4" i="9" s="1"/>
  <c r="F6" i="9"/>
  <c r="Q13" i="12"/>
  <c r="S11" i="12"/>
  <c r="S12" i="12"/>
  <c r="R11" i="12"/>
  <c r="S13" i="12"/>
  <c r="R12" i="12"/>
  <c r="Q11" i="12"/>
  <c r="R13" i="12"/>
  <c r="Q12" i="12"/>
  <c r="K6" i="12"/>
  <c r="L6" i="12" s="1"/>
  <c r="K5" i="12"/>
  <c r="K4" i="12"/>
  <c r="L5" i="6"/>
  <c r="Q11" i="6"/>
  <c r="L4" i="6"/>
  <c r="J5" i="7"/>
  <c r="L5" i="7" s="1"/>
  <c r="J6" i="7"/>
  <c r="L6" i="7" s="1"/>
  <c r="AG46" i="4"/>
  <c r="AH46" i="4" s="1"/>
  <c r="U25" i="4"/>
  <c r="AG28" i="4" s="1"/>
  <c r="AH28" i="4" s="1"/>
  <c r="AI28" i="4" s="1"/>
  <c r="AJ28" i="4" s="1"/>
  <c r="AK28" i="4" s="1"/>
  <c r="V6" i="4" a="1"/>
  <c r="V10" i="4" s="1"/>
  <c r="AH10" i="4"/>
  <c r="AG12" i="4"/>
  <c r="AG43" i="4"/>
  <c r="AK13" i="4"/>
  <c r="AJ26" i="4"/>
  <c r="V29" i="3"/>
  <c r="X23" i="3"/>
  <c r="W29" i="3"/>
  <c r="J5" i="3"/>
  <c r="K8" i="3"/>
  <c r="K7" i="3"/>
  <c r="J4" i="3"/>
  <c r="I20" i="3" s="1" a="1"/>
  <c r="I20" i="3" s="1"/>
  <c r="I21" i="3" s="1"/>
  <c r="J7" i="3"/>
  <c r="J6" i="3"/>
  <c r="K6" i="3"/>
  <c r="K5" i="3"/>
  <c r="J8" i="3"/>
  <c r="T5" i="13"/>
  <c r="W5" i="13"/>
  <c r="L103" i="43" l="1"/>
  <c r="O94" i="43" s="1"/>
  <c r="N18" i="7" a="1"/>
  <c r="S13" i="5"/>
  <c r="C19" i="11" s="1"/>
  <c r="Q13" i="5"/>
  <c r="A19" i="11" s="1"/>
  <c r="R13" i="5"/>
  <c r="B19" i="11" s="1"/>
  <c r="R11" i="5"/>
  <c r="B17" i="11" s="1"/>
  <c r="R12" i="5"/>
  <c r="B18" i="11" s="1"/>
  <c r="S11" i="5"/>
  <c r="C17" i="11" s="1"/>
  <c r="Q11" i="5"/>
  <c r="A17" i="11" s="1"/>
  <c r="Q12" i="5"/>
  <c r="A18" i="11" s="1"/>
  <c r="O18" i="5"/>
  <c r="O38" i="5" s="1"/>
  <c r="U27" i="4"/>
  <c r="AG30" i="4" s="1"/>
  <c r="AH30" i="4" s="1"/>
  <c r="AI30" i="4" s="1"/>
  <c r="AJ30" i="4" s="1"/>
  <c r="AK30" i="4" s="1"/>
  <c r="L4" i="12"/>
  <c r="N85" i="43"/>
  <c r="O86" i="43" s="1"/>
  <c r="I26" i="3"/>
  <c r="I27" i="3" s="1"/>
  <c r="R87" i="42"/>
  <c r="Q82" i="42"/>
  <c r="R81" i="42"/>
  <c r="R84" i="42"/>
  <c r="Q84" i="42"/>
  <c r="R82" i="42"/>
  <c r="Q86" i="42"/>
  <c r="Q83" i="42"/>
  <c r="Q87" i="42"/>
  <c r="Q85" i="42"/>
  <c r="R83" i="42"/>
  <c r="Q81" i="42"/>
  <c r="R88" i="42"/>
  <c r="Q88" i="42"/>
  <c r="R85" i="42"/>
  <c r="R89" i="42"/>
  <c r="Q89" i="42"/>
  <c r="L5" i="12"/>
  <c r="O96" i="42"/>
  <c r="K103" i="43"/>
  <c r="O95" i="43" s="1"/>
  <c r="L6" i="9"/>
  <c r="M6" i="9" s="1"/>
  <c r="N6" i="9" s="1"/>
  <c r="N7" i="9" s="1"/>
  <c r="F11" i="9" s="1"/>
  <c r="Q17" i="6" a="1"/>
  <c r="R18" i="6" s="1"/>
  <c r="O18" i="7"/>
  <c r="N18" i="7"/>
  <c r="P18" i="7"/>
  <c r="P21" i="7"/>
  <c r="P41" i="7" s="1"/>
  <c r="O41" i="7"/>
  <c r="K6" i="9"/>
  <c r="J7" i="9"/>
  <c r="F12" i="9" s="1"/>
  <c r="P19" i="7"/>
  <c r="O29" i="7"/>
  <c r="O30" i="7" s="1"/>
  <c r="O45" i="7" s="1"/>
  <c r="O39" i="7"/>
  <c r="O42" i="7" s="1"/>
  <c r="K6" i="11"/>
  <c r="K7" i="11" s="1"/>
  <c r="I11" i="11" s="1"/>
  <c r="J7" i="11"/>
  <c r="F12" i="11" s="1"/>
  <c r="V51" i="3"/>
  <c r="K7" i="9"/>
  <c r="U50" i="3"/>
  <c r="U53" i="3" s="1"/>
  <c r="U13" i="3"/>
  <c r="K6" i="13"/>
  <c r="K7" i="13" s="1"/>
  <c r="I11" i="13" s="1"/>
  <c r="J7" i="13"/>
  <c r="F12" i="13" s="1"/>
  <c r="A17" i="13" a="1"/>
  <c r="V10" i="3"/>
  <c r="W8" i="3"/>
  <c r="V48" i="3"/>
  <c r="N26" i="7"/>
  <c r="O25" i="7"/>
  <c r="N38" i="5"/>
  <c r="O47" i="5"/>
  <c r="O46" i="5"/>
  <c r="P39" i="5"/>
  <c r="P18" i="5"/>
  <c r="P38" i="5" s="1"/>
  <c r="P20" i="5"/>
  <c r="P40" i="5" s="1"/>
  <c r="O40" i="5"/>
  <c r="O42" i="5" s="1"/>
  <c r="O44" i="5" s="1"/>
  <c r="N26" i="5"/>
  <c r="N31" i="5" s="1"/>
  <c r="O25" i="5"/>
  <c r="F14" i="13"/>
  <c r="F17" i="13" s="1"/>
  <c r="F14" i="11"/>
  <c r="F17" i="11" s="1"/>
  <c r="F14" i="9"/>
  <c r="I11" i="9"/>
  <c r="Q17" i="12" a="1"/>
  <c r="J17" i="7" a="1"/>
  <c r="J17" i="7" s="1"/>
  <c r="V9" i="4"/>
  <c r="W6" i="4"/>
  <c r="W9" i="4"/>
  <c r="V6" i="4"/>
  <c r="V7" i="4"/>
  <c r="W10" i="4"/>
  <c r="V8" i="4"/>
  <c r="W8" i="4"/>
  <c r="W7" i="4"/>
  <c r="AK26" i="4"/>
  <c r="AG45" i="4"/>
  <c r="AG48" i="4" s="1"/>
  <c r="AG15" i="4"/>
  <c r="AI46" i="4"/>
  <c r="AI25" i="4"/>
  <c r="AH12" i="4"/>
  <c r="AH43" i="4"/>
  <c r="AI10" i="4"/>
  <c r="U5" i="3" a="1"/>
  <c r="X29" i="3"/>
  <c r="Y23" i="3"/>
  <c r="Y29" i="3" s="1"/>
  <c r="Q81" i="43" l="1" a="1"/>
  <c r="R87" i="43" s="1"/>
  <c r="P29" i="5"/>
  <c r="P30" i="5" s="1"/>
  <c r="P45" i="5" s="1"/>
  <c r="J17" i="5" a="1"/>
  <c r="J17" i="5" s="1"/>
  <c r="J18" i="5" s="1"/>
  <c r="J23" i="5" s="1"/>
  <c r="J24" i="5" s="1"/>
  <c r="L6" i="11"/>
  <c r="M6" i="11" s="1"/>
  <c r="N6" i="11" s="1"/>
  <c r="N7" i="11" s="1"/>
  <c r="F11" i="11" s="1"/>
  <c r="O44" i="7"/>
  <c r="AH31" i="4"/>
  <c r="AG31" i="4"/>
  <c r="O96" i="43"/>
  <c r="N99" i="43" s="1"/>
  <c r="O98" i="43" s="1"/>
  <c r="D94" i="42" a="1"/>
  <c r="D102" i="42" s="1"/>
  <c r="C94" i="42" a="1"/>
  <c r="C95" i="42" s="1"/>
  <c r="Q89" i="43"/>
  <c r="N99" i="42"/>
  <c r="O98" i="42" s="1"/>
  <c r="N98" i="42"/>
  <c r="Q17" i="6"/>
  <c r="Q18" i="6"/>
  <c r="S19" i="6"/>
  <c r="S17" i="6"/>
  <c r="S18" i="6"/>
  <c r="R19" i="6"/>
  <c r="R17" i="6"/>
  <c r="Q19" i="6"/>
  <c r="X8" i="3"/>
  <c r="W48" i="3"/>
  <c r="W10" i="3"/>
  <c r="O26" i="7"/>
  <c r="O31" i="7" s="1"/>
  <c r="P25" i="7"/>
  <c r="P26" i="7" s="1"/>
  <c r="V50" i="3"/>
  <c r="V53" i="3" s="1"/>
  <c r="V13" i="3"/>
  <c r="W51" i="3"/>
  <c r="A17" i="13"/>
  <c r="C18" i="13"/>
  <c r="A18" i="13"/>
  <c r="A19" i="13"/>
  <c r="C17" i="13"/>
  <c r="B18" i="13"/>
  <c r="B17" i="13"/>
  <c r="C19" i="13"/>
  <c r="B19" i="13"/>
  <c r="N32" i="7"/>
  <c r="N33" i="7" s="1"/>
  <c r="N31" i="7"/>
  <c r="P42" i="5"/>
  <c r="P44" i="5" s="1"/>
  <c r="P29" i="7"/>
  <c r="P30" i="7" s="1"/>
  <c r="P45" i="7" s="1"/>
  <c r="P39" i="7"/>
  <c r="P42" i="7" s="1"/>
  <c r="P44" i="7" s="1"/>
  <c r="P25" i="5"/>
  <c r="P26" i="5" s="1"/>
  <c r="P31" i="5" s="1"/>
  <c r="O26" i="5"/>
  <c r="P47" i="5"/>
  <c r="P46" i="5"/>
  <c r="N32" i="5"/>
  <c r="N33" i="5" s="1"/>
  <c r="O48" i="5"/>
  <c r="N46" i="5"/>
  <c r="N47" i="5"/>
  <c r="J18" i="7"/>
  <c r="J23" i="7" s="1"/>
  <c r="J24" i="7" s="1"/>
  <c r="S19" i="7"/>
  <c r="S20" i="7" s="1"/>
  <c r="I12" i="13"/>
  <c r="I12" i="11"/>
  <c r="F13" i="9"/>
  <c r="F15" i="9" s="1"/>
  <c r="F18" i="9" s="1"/>
  <c r="F13" i="11"/>
  <c r="F15" i="11" s="1"/>
  <c r="F18" i="11" s="1"/>
  <c r="F17" i="9"/>
  <c r="I12" i="9"/>
  <c r="S19" i="12"/>
  <c r="R18" i="12"/>
  <c r="Q17" i="12"/>
  <c r="R19" i="12"/>
  <c r="Q18" i="12"/>
  <c r="Q19" i="12"/>
  <c r="S17" i="12"/>
  <c r="S18" i="12"/>
  <c r="R17" i="12"/>
  <c r="O38" i="7"/>
  <c r="P38" i="7"/>
  <c r="N38" i="7"/>
  <c r="AG7" i="4" a="1"/>
  <c r="AH9" i="4" s="1"/>
  <c r="U22" i="4" a="1"/>
  <c r="U22" i="4" s="1"/>
  <c r="U23" i="4" s="1"/>
  <c r="U28" i="4" s="1"/>
  <c r="U29" i="4" s="1"/>
  <c r="AI43" i="4"/>
  <c r="AI12" i="4"/>
  <c r="AJ10" i="4"/>
  <c r="AJ25" i="4"/>
  <c r="AI31" i="4"/>
  <c r="AJ46" i="4"/>
  <c r="AH45" i="4"/>
  <c r="AH48" i="4" s="1"/>
  <c r="AH15" i="4"/>
  <c r="U5" i="3"/>
  <c r="X5" i="3"/>
  <c r="W5" i="3"/>
  <c r="V5" i="3"/>
  <c r="Y7" i="3"/>
  <c r="X7" i="3"/>
  <c r="W7" i="3"/>
  <c r="V7" i="3"/>
  <c r="U7" i="3"/>
  <c r="Y6" i="3"/>
  <c r="X6" i="3"/>
  <c r="W6" i="3"/>
  <c r="V6" i="3"/>
  <c r="U6" i="3"/>
  <c r="U46" i="3" s="1"/>
  <c r="Y5" i="3"/>
  <c r="R89" i="43" l="1"/>
  <c r="R83" i="43"/>
  <c r="Q83" i="43"/>
  <c r="R82" i="43"/>
  <c r="Q85" i="43"/>
  <c r="R84" i="43"/>
  <c r="Q82" i="43"/>
  <c r="R85" i="43"/>
  <c r="Q84" i="43"/>
  <c r="R86" i="43"/>
  <c r="Q87" i="43"/>
  <c r="Q81" i="43"/>
  <c r="R81" i="43"/>
  <c r="Q86" i="43"/>
  <c r="R88" i="43"/>
  <c r="Q88" i="43"/>
  <c r="C94" i="43" s="1" a="1"/>
  <c r="C96" i="43" s="1"/>
  <c r="P32" i="5"/>
  <c r="N98" i="43"/>
  <c r="O99" i="43" s="1"/>
  <c r="P31" i="7"/>
  <c r="O32" i="7"/>
  <c r="O33" i="7" s="1"/>
  <c r="D98" i="42"/>
  <c r="C94" i="42"/>
  <c r="C102" i="42"/>
  <c r="D95" i="42"/>
  <c r="D101" i="42"/>
  <c r="D100" i="42"/>
  <c r="C98" i="42"/>
  <c r="C100" i="42"/>
  <c r="D96" i="42"/>
  <c r="D94" i="42"/>
  <c r="D97" i="42"/>
  <c r="D99" i="42"/>
  <c r="C99" i="42"/>
  <c r="C96" i="42"/>
  <c r="C101" i="42"/>
  <c r="C97" i="42"/>
  <c r="O99" i="42"/>
  <c r="Q94" i="42" s="1" a="1"/>
  <c r="J17" i="6" a="1"/>
  <c r="J17" i="6" s="1"/>
  <c r="J18" i="6" s="1"/>
  <c r="L6" i="13"/>
  <c r="M6" i="13" s="1"/>
  <c r="N6" i="13" s="1"/>
  <c r="N7" i="13" s="1"/>
  <c r="F11" i="13" s="1"/>
  <c r="F13" i="13" s="1"/>
  <c r="F15" i="13" s="1"/>
  <c r="F18" i="13" s="1"/>
  <c r="Y37" i="3"/>
  <c r="Y45" i="3"/>
  <c r="Y62" i="3" s="1"/>
  <c r="X46" i="3"/>
  <c r="W9" i="3"/>
  <c r="W47" i="3"/>
  <c r="W37" i="3"/>
  <c r="W45" i="3"/>
  <c r="W62" i="3" s="1"/>
  <c r="P32" i="7"/>
  <c r="W50" i="3"/>
  <c r="W53" i="3" s="1"/>
  <c r="W13" i="3"/>
  <c r="W17" i="3" s="1"/>
  <c r="Y46" i="3"/>
  <c r="X9" i="3"/>
  <c r="X47" i="3"/>
  <c r="X37" i="3"/>
  <c r="X45" i="3"/>
  <c r="X62" i="3" s="1"/>
  <c r="V46" i="3"/>
  <c r="U9" i="3"/>
  <c r="U16" i="3" s="1"/>
  <c r="U47" i="3"/>
  <c r="Y47" i="3"/>
  <c r="U37" i="3"/>
  <c r="U45" i="3"/>
  <c r="U62" i="3" s="1"/>
  <c r="W46" i="3"/>
  <c r="V9" i="3"/>
  <c r="V17" i="3" s="1"/>
  <c r="V47" i="3"/>
  <c r="V37" i="3"/>
  <c r="V45" i="3"/>
  <c r="V62" i="3" s="1"/>
  <c r="N48" i="5"/>
  <c r="X51" i="3"/>
  <c r="X48" i="3"/>
  <c r="Y8" i="3"/>
  <c r="Y9" i="3" s="1"/>
  <c r="X10" i="3"/>
  <c r="P48" i="5"/>
  <c r="O31" i="5"/>
  <c r="O32" i="5"/>
  <c r="P33" i="5"/>
  <c r="I19" i="13"/>
  <c r="I14" i="9"/>
  <c r="I16" i="9" s="1"/>
  <c r="I19" i="11"/>
  <c r="I14" i="13"/>
  <c r="I13" i="13"/>
  <c r="I14" i="11"/>
  <c r="I16" i="11" s="1"/>
  <c r="I13" i="11"/>
  <c r="I15" i="11" s="1"/>
  <c r="I13" i="9"/>
  <c r="I15" i="9" s="1"/>
  <c r="I19" i="9"/>
  <c r="J17" i="12" a="1"/>
  <c r="J17" i="12" s="1"/>
  <c r="P47" i="7"/>
  <c r="P46" i="7"/>
  <c r="N47" i="7"/>
  <c r="N46" i="7"/>
  <c r="O46" i="7"/>
  <c r="O47" i="7"/>
  <c r="AJ8" i="4"/>
  <c r="AJ24" i="4" s="1"/>
  <c r="AK8" i="4"/>
  <c r="AK41" i="4" s="1"/>
  <c r="AI7" i="4"/>
  <c r="AI40" i="4" s="1"/>
  <c r="AI9" i="4"/>
  <c r="AI42" i="4" s="1"/>
  <c r="AJ7" i="4"/>
  <c r="AJ40" i="4" s="1"/>
  <c r="AG7" i="4"/>
  <c r="AG40" i="4" s="1"/>
  <c r="AK9" i="4"/>
  <c r="AK42" i="4" s="1"/>
  <c r="AK7" i="4"/>
  <c r="AJ9" i="4"/>
  <c r="AJ11" i="4" s="1"/>
  <c r="AH8" i="4"/>
  <c r="AH41" i="4" s="1"/>
  <c r="AI8" i="4"/>
  <c r="AI41" i="4" s="1"/>
  <c r="AG8" i="4"/>
  <c r="AH7" i="4"/>
  <c r="AG9" i="4"/>
  <c r="AG11" i="4" s="1"/>
  <c r="AK25" i="4"/>
  <c r="AK31" i="4" s="1"/>
  <c r="AJ31" i="4"/>
  <c r="AH42" i="4"/>
  <c r="AH11" i="4"/>
  <c r="AK10" i="4"/>
  <c r="AJ43" i="4"/>
  <c r="AJ12" i="4"/>
  <c r="AK46" i="4"/>
  <c r="AI45" i="4"/>
  <c r="AI48" i="4" s="1"/>
  <c r="AI15" i="4"/>
  <c r="V12" i="3"/>
  <c r="V14" i="3" s="1"/>
  <c r="V15" i="3" s="1"/>
  <c r="V22" i="3"/>
  <c r="W22" i="3"/>
  <c r="W12" i="3"/>
  <c r="W14" i="3" s="1"/>
  <c r="W15" i="3" s="1"/>
  <c r="X12" i="3"/>
  <c r="X22" i="3"/>
  <c r="U12" i="3"/>
  <c r="U14" i="3" s="1"/>
  <c r="U15" i="3" s="1"/>
  <c r="U22" i="3"/>
  <c r="Y12" i="3"/>
  <c r="Y22" i="3"/>
  <c r="D94" i="43" l="1" a="1"/>
  <c r="D100" i="43" s="1"/>
  <c r="U17" i="3"/>
  <c r="W16" i="3"/>
  <c r="P33" i="7"/>
  <c r="X14" i="3"/>
  <c r="X15" i="3" s="1"/>
  <c r="U52" i="3"/>
  <c r="U54" i="3" s="1"/>
  <c r="U55" i="3" s="1"/>
  <c r="D107" i="42" a="1"/>
  <c r="D115" i="42" s="1"/>
  <c r="C107" i="42" a="1"/>
  <c r="C107" i="42" s="1"/>
  <c r="G107" i="42" s="1"/>
  <c r="D95" i="43"/>
  <c r="R98" i="42"/>
  <c r="R95" i="42"/>
  <c r="Q99" i="42"/>
  <c r="R102" i="42"/>
  <c r="R100" i="42"/>
  <c r="R94" i="42"/>
  <c r="Q97" i="42"/>
  <c r="Q102" i="42"/>
  <c r="R99" i="42"/>
  <c r="R96" i="42"/>
  <c r="Q100" i="42"/>
  <c r="R101" i="42"/>
  <c r="Q96" i="42"/>
  <c r="Q98" i="42"/>
  <c r="Q101" i="42"/>
  <c r="R97" i="42"/>
  <c r="Q94" i="42"/>
  <c r="Q95" i="42"/>
  <c r="D94" i="43"/>
  <c r="Q94" i="43" a="1"/>
  <c r="R94" i="43" s="1"/>
  <c r="D101" i="43"/>
  <c r="D96" i="43"/>
  <c r="C97" i="43"/>
  <c r="C101" i="43"/>
  <c r="C99" i="43"/>
  <c r="C98" i="43"/>
  <c r="C102" i="43"/>
  <c r="C95" i="43"/>
  <c r="C100" i="43"/>
  <c r="C94" i="43"/>
  <c r="I17" i="9"/>
  <c r="I18" i="9" s="1"/>
  <c r="I20" i="9" s="1"/>
  <c r="J20" i="6" a="1"/>
  <c r="J20" i="6" s="1"/>
  <c r="J22" i="6" s="1"/>
  <c r="I15" i="13"/>
  <c r="I16" i="13"/>
  <c r="X50" i="3"/>
  <c r="X53" i="3" s="1"/>
  <c r="X13" i="3"/>
  <c r="Y51" i="3"/>
  <c r="Y30" i="3"/>
  <c r="Y31" i="3" s="1"/>
  <c r="Y38" i="3" s="1"/>
  <c r="Y49" i="3"/>
  <c r="I17" i="11"/>
  <c r="I18" i="11" s="1"/>
  <c r="I20" i="11" s="1"/>
  <c r="Y10" i="3"/>
  <c r="Y48" i="3"/>
  <c r="Y52" i="3" s="1"/>
  <c r="V30" i="3"/>
  <c r="V31" i="3" s="1"/>
  <c r="V38" i="3" s="1"/>
  <c r="V49" i="3"/>
  <c r="V57" i="3" s="1"/>
  <c r="V64" i="3" s="1"/>
  <c r="V16" i="3"/>
  <c r="X30" i="3"/>
  <c r="X31" i="3" s="1"/>
  <c r="X38" i="3" s="1"/>
  <c r="X49" i="3"/>
  <c r="W52" i="3"/>
  <c r="W54" i="3" s="1"/>
  <c r="W55" i="3" s="1"/>
  <c r="U30" i="3"/>
  <c r="U32" i="3" s="1"/>
  <c r="U39" i="3" s="1"/>
  <c r="U49" i="3"/>
  <c r="W30" i="3"/>
  <c r="W32" i="3" s="1"/>
  <c r="W39" i="3" s="1"/>
  <c r="W49" i="3"/>
  <c r="W57" i="3" s="1"/>
  <c r="W64" i="3" s="1"/>
  <c r="V52" i="3"/>
  <c r="V54" i="3" s="1"/>
  <c r="V55" i="3" s="1"/>
  <c r="X52" i="3"/>
  <c r="X54" i="3" s="1"/>
  <c r="X55" i="3" s="1"/>
  <c r="O33" i="5"/>
  <c r="P48" i="7"/>
  <c r="N48" i="7"/>
  <c r="J18" i="12"/>
  <c r="J20" i="12" a="1"/>
  <c r="J20" i="12" s="1"/>
  <c r="J22" i="12" s="1"/>
  <c r="O48" i="7"/>
  <c r="AJ41" i="4"/>
  <c r="AI11" i="4"/>
  <c r="AI18" i="4" s="1"/>
  <c r="AK24" i="4"/>
  <c r="AK40" i="4"/>
  <c r="AG42" i="4"/>
  <c r="AI24" i="4"/>
  <c r="AH24" i="4"/>
  <c r="AK11" i="4"/>
  <c r="AK32" i="4" s="1"/>
  <c r="AH18" i="4"/>
  <c r="AJ42" i="4"/>
  <c r="AG14" i="4"/>
  <c r="AG16" i="4" s="1"/>
  <c r="AG17" i="4" s="1"/>
  <c r="AH40" i="4"/>
  <c r="AH14" i="4"/>
  <c r="AH16" i="4" s="1"/>
  <c r="AH17" i="4" s="1"/>
  <c r="AJ14" i="4"/>
  <c r="AJ16" i="4" s="1"/>
  <c r="AJ17" i="4" s="1"/>
  <c r="AG41" i="4"/>
  <c r="AI14" i="4"/>
  <c r="AI16" i="4" s="1"/>
  <c r="AI17" i="4" s="1"/>
  <c r="AG24" i="4"/>
  <c r="AG18" i="4"/>
  <c r="AK14" i="4"/>
  <c r="AH19" i="4"/>
  <c r="AJ32" i="4"/>
  <c r="AJ34" i="4" s="1"/>
  <c r="AJ44" i="4"/>
  <c r="AH44" i="4"/>
  <c r="AH52" i="4" s="1"/>
  <c r="AH32" i="4"/>
  <c r="AI47" i="4"/>
  <c r="AI49" i="4" s="1"/>
  <c r="AI50" i="4" s="1"/>
  <c r="AK12" i="4"/>
  <c r="AK43" i="4"/>
  <c r="AG32" i="4"/>
  <c r="AG44" i="4"/>
  <c r="AJ45" i="4"/>
  <c r="AJ48" i="4" s="1"/>
  <c r="AJ15" i="4"/>
  <c r="AG19" i="4"/>
  <c r="D98" i="43" l="1"/>
  <c r="D97" i="43"/>
  <c r="D99" i="43"/>
  <c r="D102" i="43"/>
  <c r="W31" i="3"/>
  <c r="W38" i="3" s="1"/>
  <c r="Y32" i="3"/>
  <c r="Y39" i="3" s="1"/>
  <c r="V56" i="3"/>
  <c r="V63" i="3" s="1"/>
  <c r="V65" i="3" s="1"/>
  <c r="C111" i="42"/>
  <c r="G111" i="42" s="1"/>
  <c r="C110" i="42"/>
  <c r="G110" i="42" s="1"/>
  <c r="C115" i="42"/>
  <c r="G115" i="42" s="1"/>
  <c r="X56" i="3"/>
  <c r="X63" i="3" s="1"/>
  <c r="X57" i="3"/>
  <c r="X64" i="3" s="1"/>
  <c r="X65" i="3" s="1"/>
  <c r="D114" i="42"/>
  <c r="W56" i="3"/>
  <c r="W63" i="3" s="1"/>
  <c r="D111" i="42"/>
  <c r="D110" i="42"/>
  <c r="U31" i="3"/>
  <c r="U38" i="3" s="1"/>
  <c r="U40" i="3" s="1"/>
  <c r="D107" i="42"/>
  <c r="V32" i="3"/>
  <c r="V39" i="3" s="1"/>
  <c r="V40" i="3" s="1"/>
  <c r="D113" i="42"/>
  <c r="C112" i="42"/>
  <c r="G112" i="42" s="1"/>
  <c r="C113" i="42"/>
  <c r="G113" i="42" s="1"/>
  <c r="D112" i="42"/>
  <c r="D109" i="42"/>
  <c r="C109" i="42"/>
  <c r="G109" i="42" s="1"/>
  <c r="C114" i="42"/>
  <c r="G114" i="42" s="1"/>
  <c r="C108" i="42"/>
  <c r="G108" i="42" s="1"/>
  <c r="D108" i="42"/>
  <c r="Q101" i="43"/>
  <c r="R102" i="43"/>
  <c r="Q95" i="43"/>
  <c r="R98" i="43"/>
  <c r="Q97" i="43"/>
  <c r="Q96" i="43"/>
  <c r="R95" i="43"/>
  <c r="R100" i="43"/>
  <c r="Q102" i="43"/>
  <c r="Q94" i="43"/>
  <c r="R96" i="43"/>
  <c r="I17" i="13"/>
  <c r="I18" i="13" s="1"/>
  <c r="I20" i="13" s="1"/>
  <c r="A107" i="42" a="1"/>
  <c r="R99" i="43"/>
  <c r="Q99" i="43"/>
  <c r="R101" i="43"/>
  <c r="Q100" i="43"/>
  <c r="R97" i="43"/>
  <c r="Q98" i="43"/>
  <c r="D107" i="43" a="1"/>
  <c r="D110" i="43" s="1"/>
  <c r="B107" i="42" a="1"/>
  <c r="C107" i="43" a="1"/>
  <c r="C111" i="43" s="1"/>
  <c r="G111" i="43" s="1"/>
  <c r="J23" i="6"/>
  <c r="J24" i="6" s="1"/>
  <c r="W65" i="3"/>
  <c r="Y50" i="3"/>
  <c r="Y53" i="3" s="1"/>
  <c r="Y13" i="3"/>
  <c r="X16" i="3"/>
  <c r="X17" i="3"/>
  <c r="Y54" i="3"/>
  <c r="Y55" i="3" s="1"/>
  <c r="X32" i="3"/>
  <c r="X39" i="3" s="1"/>
  <c r="X40" i="3" s="1"/>
  <c r="U56" i="3"/>
  <c r="U63" i="3" s="1"/>
  <c r="U57" i="3"/>
  <c r="U64" i="3" s="1"/>
  <c r="U65" i="3" s="1"/>
  <c r="Y14" i="3"/>
  <c r="Y15" i="3" s="1"/>
  <c r="J23" i="12"/>
  <c r="J24" i="12" s="1"/>
  <c r="AG34" i="4"/>
  <c r="AI32" i="4"/>
  <c r="AI34" i="4" s="1"/>
  <c r="AJ47" i="4"/>
  <c r="AJ49" i="4" s="1"/>
  <c r="AJ50" i="4" s="1"/>
  <c r="AI44" i="4"/>
  <c r="AI52" i="4" s="1"/>
  <c r="AI19" i="4"/>
  <c r="AH47" i="4"/>
  <c r="AH49" i="4" s="1"/>
  <c r="AH50" i="4" s="1"/>
  <c r="AG47" i="4"/>
  <c r="AG49" i="4" s="1"/>
  <c r="AG50" i="4" s="1"/>
  <c r="AK47" i="4"/>
  <c r="AK33" i="4"/>
  <c r="AI33" i="4"/>
  <c r="AH33" i="4"/>
  <c r="AK44" i="4"/>
  <c r="AG51" i="4"/>
  <c r="AJ33" i="4"/>
  <c r="AJ35" i="4" s="1"/>
  <c r="AG52" i="4"/>
  <c r="AG53" i="4" s="1"/>
  <c r="AJ52" i="4"/>
  <c r="AK34" i="4"/>
  <c r="AK35" i="4" s="1"/>
  <c r="AJ51" i="4"/>
  <c r="AG33" i="4"/>
  <c r="AK45" i="4"/>
  <c r="AK48" i="4" s="1"/>
  <c r="AK15" i="4"/>
  <c r="AK16" i="4"/>
  <c r="AK17" i="4" s="1"/>
  <c r="AH51" i="4"/>
  <c r="AH53" i="4" s="1"/>
  <c r="AH34" i="4"/>
  <c r="AH35" i="4" s="1"/>
  <c r="AJ19" i="4"/>
  <c r="AJ18" i="4"/>
  <c r="W40" i="3"/>
  <c r="Y40" i="3"/>
  <c r="D120" i="42" l="1" a="1"/>
  <c r="D125" i="42" s="1"/>
  <c r="G125" i="42" s="1"/>
  <c r="AI35" i="4"/>
  <c r="AJ53" i="4"/>
  <c r="A107" i="43" a="1"/>
  <c r="A109" i="43" s="1"/>
  <c r="F109" i="43" s="1"/>
  <c r="B107" i="43" a="1"/>
  <c r="B115" i="43" s="1"/>
  <c r="A111" i="42"/>
  <c r="F111" i="42" s="1"/>
  <c r="A109" i="42"/>
  <c r="F109" i="42" s="1"/>
  <c r="A112" i="42"/>
  <c r="F112" i="42" s="1"/>
  <c r="A113" i="42"/>
  <c r="F113" i="42" s="1"/>
  <c r="A114" i="42"/>
  <c r="F114" i="42" s="1"/>
  <c r="A110" i="42"/>
  <c r="F110" i="42" s="1"/>
  <c r="A108" i="42"/>
  <c r="F108" i="42" s="1"/>
  <c r="A107" i="42"/>
  <c r="A115" i="42"/>
  <c r="F115" i="42" s="1"/>
  <c r="C115" i="43"/>
  <c r="G115" i="43" s="1"/>
  <c r="C108" i="43"/>
  <c r="G108" i="43" s="1"/>
  <c r="C112" i="43"/>
  <c r="G112" i="43" s="1"/>
  <c r="C107" i="43"/>
  <c r="G107" i="43" s="1"/>
  <c r="D115" i="43"/>
  <c r="D111" i="43"/>
  <c r="D108" i="43"/>
  <c r="D107" i="43"/>
  <c r="D114" i="43"/>
  <c r="C113" i="43"/>
  <c r="G113" i="43" s="1"/>
  <c r="C114" i="43"/>
  <c r="G114" i="43" s="1"/>
  <c r="B113" i="42"/>
  <c r="B109" i="42"/>
  <c r="B112" i="42"/>
  <c r="B111" i="42"/>
  <c r="B107" i="42"/>
  <c r="B114" i="42"/>
  <c r="B110" i="42"/>
  <c r="B115" i="42"/>
  <c r="B108" i="42"/>
  <c r="D113" i="43"/>
  <c r="D112" i="43"/>
  <c r="C109" i="43"/>
  <c r="G109" i="43" s="1"/>
  <c r="D109" i="43"/>
  <c r="C110" i="43"/>
  <c r="G110" i="43" s="1"/>
  <c r="Y56" i="3"/>
  <c r="Y63" i="3" s="1"/>
  <c r="Y57" i="3"/>
  <c r="Y64" i="3" s="1"/>
  <c r="AG35" i="4"/>
  <c r="Y17" i="3"/>
  <c r="Y16" i="3"/>
  <c r="AI51" i="4"/>
  <c r="AI53" i="4" s="1"/>
  <c r="AK19" i="4"/>
  <c r="AK18" i="4"/>
  <c r="AK51" i="4"/>
  <c r="AK52" i="4"/>
  <c r="AK49" i="4"/>
  <c r="AK50" i="4" s="1"/>
  <c r="Y65" i="3" l="1"/>
  <c r="D126" i="42"/>
  <c r="G126" i="42" s="1"/>
  <c r="A114" i="43"/>
  <c r="F114" i="43" s="1"/>
  <c r="I114" i="43" s="1"/>
  <c r="A113" i="43"/>
  <c r="F113" i="43" s="1"/>
  <c r="I113" i="43" s="1"/>
  <c r="D121" i="42"/>
  <c r="G121" i="42" s="1"/>
  <c r="D120" i="42"/>
  <c r="G120" i="42" s="1"/>
  <c r="D127" i="42"/>
  <c r="G127" i="42" s="1"/>
  <c r="D123" i="42"/>
  <c r="G123" i="42" s="1"/>
  <c r="D124" i="42"/>
  <c r="G124" i="42" s="1"/>
  <c r="D122" i="42"/>
  <c r="G122" i="42" s="1"/>
  <c r="D128" i="42"/>
  <c r="G128" i="42" s="1"/>
  <c r="A111" i="43"/>
  <c r="F111" i="43" s="1"/>
  <c r="I111" i="43" s="1"/>
  <c r="B113" i="43"/>
  <c r="B112" i="43"/>
  <c r="B114" i="43"/>
  <c r="B107" i="43"/>
  <c r="A112" i="43"/>
  <c r="F112" i="43" s="1"/>
  <c r="J112" i="43" s="1"/>
  <c r="A107" i="43"/>
  <c r="F107" i="43" s="1"/>
  <c r="B111" i="43"/>
  <c r="B109" i="43"/>
  <c r="B108" i="43"/>
  <c r="B110" i="43"/>
  <c r="A115" i="43"/>
  <c r="F115" i="43" s="1"/>
  <c r="J115" i="43" s="1"/>
  <c r="A110" i="43"/>
  <c r="F110" i="43" s="1"/>
  <c r="I110" i="43" s="1"/>
  <c r="A108" i="43"/>
  <c r="F108" i="43" s="1"/>
  <c r="I108" i="43" s="1"/>
  <c r="D120" i="43" a="1"/>
  <c r="D126" i="43" s="1"/>
  <c r="G126" i="43" s="1"/>
  <c r="J113" i="42"/>
  <c r="I113" i="42"/>
  <c r="I108" i="42"/>
  <c r="J108" i="42"/>
  <c r="J112" i="42"/>
  <c r="I112" i="42"/>
  <c r="J110" i="42"/>
  <c r="I110" i="42"/>
  <c r="I109" i="42"/>
  <c r="J109" i="42"/>
  <c r="F107" i="42"/>
  <c r="B117" i="42"/>
  <c r="J115" i="42"/>
  <c r="I115" i="42"/>
  <c r="J114" i="42"/>
  <c r="I114" i="42"/>
  <c r="J111" i="42"/>
  <c r="I111" i="42"/>
  <c r="B120" i="42" a="1"/>
  <c r="J109" i="43"/>
  <c r="I109" i="43"/>
  <c r="J113" i="43"/>
  <c r="AK53" i="4"/>
  <c r="B32" i="2"/>
  <c r="C32" i="2"/>
  <c r="D32" i="2"/>
  <c r="E32" i="2"/>
  <c r="F32" i="2"/>
  <c r="B33" i="2"/>
  <c r="C33" i="2"/>
  <c r="D33" i="2"/>
  <c r="E33" i="2"/>
  <c r="F33" i="2"/>
  <c r="B34" i="2"/>
  <c r="C34" i="2"/>
  <c r="D34" i="2"/>
  <c r="E34" i="2"/>
  <c r="F34" i="2"/>
  <c r="J114" i="43" l="1"/>
  <c r="J110" i="43"/>
  <c r="I115" i="43"/>
  <c r="J111" i="43"/>
  <c r="B120" i="43" a="1"/>
  <c r="B124" i="43" s="1"/>
  <c r="B117" i="43"/>
  <c r="I112" i="43"/>
  <c r="L112" i="43" s="1"/>
  <c r="J108" i="43"/>
  <c r="K108" i="43" s="1"/>
  <c r="D128" i="43"/>
  <c r="G128" i="43" s="1"/>
  <c r="D127" i="43"/>
  <c r="G127" i="43" s="1"/>
  <c r="D120" i="43"/>
  <c r="G120" i="43" s="1"/>
  <c r="D124" i="43"/>
  <c r="G124" i="43" s="1"/>
  <c r="D125" i="43"/>
  <c r="G125" i="43" s="1"/>
  <c r="D121" i="43"/>
  <c r="G121" i="43" s="1"/>
  <c r="D123" i="43"/>
  <c r="G123" i="43" s="1"/>
  <c r="D122" i="43"/>
  <c r="G122" i="43" s="1"/>
  <c r="K109" i="42"/>
  <c r="I107" i="42"/>
  <c r="J107" i="42"/>
  <c r="L108" i="42"/>
  <c r="K108" i="42"/>
  <c r="K110" i="42"/>
  <c r="L110" i="42"/>
  <c r="K111" i="42"/>
  <c r="L111" i="42"/>
  <c r="K115" i="42"/>
  <c r="L115" i="42"/>
  <c r="L112" i="42"/>
  <c r="K112" i="42"/>
  <c r="L113" i="42"/>
  <c r="K113" i="42"/>
  <c r="K114" i="42"/>
  <c r="L114" i="42"/>
  <c r="L109" i="42"/>
  <c r="B121" i="42"/>
  <c r="B122" i="42"/>
  <c r="B127" i="42"/>
  <c r="B125" i="42"/>
  <c r="B126" i="42"/>
  <c r="B124" i="42"/>
  <c r="B120" i="42"/>
  <c r="B123" i="42"/>
  <c r="B128" i="42"/>
  <c r="K111" i="43"/>
  <c r="L111" i="43"/>
  <c r="L110" i="43"/>
  <c r="K110" i="43"/>
  <c r="K113" i="43"/>
  <c r="L113" i="43"/>
  <c r="L109" i="43"/>
  <c r="K109" i="43"/>
  <c r="J107" i="43"/>
  <c r="I107" i="43"/>
  <c r="L115" i="43"/>
  <c r="K115" i="43"/>
  <c r="K114" i="43"/>
  <c r="L114" i="43"/>
  <c r="J116" i="43" l="1"/>
  <c r="B127" i="43"/>
  <c r="B122" i="43"/>
  <c r="B123" i="43"/>
  <c r="B120" i="43"/>
  <c r="B121" i="43"/>
  <c r="B125" i="43"/>
  <c r="B126" i="43"/>
  <c r="B128" i="43"/>
  <c r="L108" i="43"/>
  <c r="K112" i="43"/>
  <c r="B133" i="42" a="1"/>
  <c r="B137" i="42" s="1"/>
  <c r="F137" i="42" s="1"/>
  <c r="L107" i="42"/>
  <c r="L116" i="42" s="1"/>
  <c r="J116" i="42"/>
  <c r="K107" i="42"/>
  <c r="K116" i="42" s="1"/>
  <c r="I116" i="42"/>
  <c r="K107" i="43"/>
  <c r="L107" i="43"/>
  <c r="L116" i="43" s="1"/>
  <c r="I116" i="43"/>
  <c r="U17" i="2"/>
  <c r="Y4" i="2"/>
  <c r="Z4" i="2"/>
  <c r="AA4" i="2"/>
  <c r="AB4" i="2"/>
  <c r="K116" i="43" l="1"/>
  <c r="O108" i="43" s="1"/>
  <c r="B133" i="43" a="1"/>
  <c r="B136" i="43" s="1"/>
  <c r="F136" i="43" s="1"/>
  <c r="O107" i="43"/>
  <c r="O107" i="42"/>
  <c r="B133" i="42"/>
  <c r="F133" i="42" s="1"/>
  <c r="B139" i="42"/>
  <c r="F139" i="42" s="1"/>
  <c r="B138" i="42"/>
  <c r="F138" i="42" s="1"/>
  <c r="B135" i="42"/>
  <c r="F135" i="42" s="1"/>
  <c r="B141" i="42"/>
  <c r="F141" i="42" s="1"/>
  <c r="B136" i="42"/>
  <c r="F136" i="42" s="1"/>
  <c r="B134" i="42"/>
  <c r="F134" i="42" s="1"/>
  <c r="B140" i="42"/>
  <c r="F140" i="42" s="1"/>
  <c r="O108" i="42"/>
  <c r="X4" i="2"/>
  <c r="U3" i="2"/>
  <c r="U5" i="2" s="1"/>
  <c r="AB5" i="2" s="1"/>
  <c r="B135" i="43" l="1"/>
  <c r="F135" i="43" s="1"/>
  <c r="B134" i="43"/>
  <c r="F134" i="43" s="1"/>
  <c r="B140" i="43"/>
  <c r="F140" i="43" s="1"/>
  <c r="B141" i="43"/>
  <c r="F141" i="43" s="1"/>
  <c r="B133" i="43"/>
  <c r="F133" i="43" s="1"/>
  <c r="B137" i="43"/>
  <c r="F137" i="43" s="1"/>
  <c r="B138" i="43"/>
  <c r="F138" i="43" s="1"/>
  <c r="B139" i="43"/>
  <c r="F139" i="43" s="1"/>
  <c r="O109" i="43"/>
  <c r="N111" i="43" s="1"/>
  <c r="O112" i="43" s="1"/>
  <c r="O109" i="42"/>
  <c r="U12" i="2"/>
  <c r="U16" i="2" s="1"/>
  <c r="U14" i="2"/>
  <c r="U15" i="2"/>
  <c r="Y5" i="2"/>
  <c r="X5" i="2"/>
  <c r="Z5" i="2"/>
  <c r="AA5" i="2"/>
  <c r="N112" i="43" l="1"/>
  <c r="O111" i="43" s="1"/>
  <c r="N112" i="42"/>
  <c r="O111" i="42" s="1"/>
  <c r="N111" i="42"/>
  <c r="O112" i="42" s="1"/>
  <c r="U18" i="2"/>
  <c r="Q107" i="42" l="1" a="1"/>
  <c r="R112" i="42" s="1"/>
  <c r="Q107" i="43" a="1"/>
  <c r="Q115" i="43" s="1"/>
  <c r="R107" i="42" l="1"/>
  <c r="Q109" i="42"/>
  <c r="Q113" i="42"/>
  <c r="Q107" i="42"/>
  <c r="R109" i="42"/>
  <c r="Q108" i="42"/>
  <c r="R111" i="42"/>
  <c r="R115" i="42"/>
  <c r="Q111" i="42"/>
  <c r="Q112" i="42"/>
  <c r="Q115" i="42"/>
  <c r="Q114" i="42"/>
  <c r="Q110" i="42"/>
  <c r="R108" i="42"/>
  <c r="R114" i="42"/>
  <c r="R110" i="42"/>
  <c r="R113" i="42"/>
  <c r="R112" i="43"/>
  <c r="R107" i="43"/>
  <c r="Q112" i="43"/>
  <c r="Q111" i="43"/>
  <c r="R109" i="43"/>
  <c r="Q113" i="43"/>
  <c r="R114" i="43"/>
  <c r="R115" i="43"/>
  <c r="Q110" i="43"/>
  <c r="Q107" i="43"/>
  <c r="R108" i="43"/>
  <c r="Q109" i="43"/>
  <c r="R110" i="43"/>
  <c r="R111" i="43"/>
  <c r="Q108" i="43"/>
  <c r="Q114" i="43"/>
  <c r="R113" i="43"/>
  <c r="C120" i="42" l="1" a="1"/>
  <c r="C121" i="42" s="1"/>
  <c r="A120" i="42" a="1"/>
  <c r="A122" i="42" s="1"/>
  <c r="F122" i="42" s="1"/>
  <c r="I122" i="42" s="1"/>
  <c r="C120" i="43" a="1"/>
  <c r="C125" i="43" s="1"/>
  <c r="A120" i="43" a="1"/>
  <c r="A127" i="43" s="1"/>
  <c r="F127" i="43" s="1"/>
  <c r="C120" i="42" l="1"/>
  <c r="C126" i="42"/>
  <c r="C122" i="42"/>
  <c r="C128" i="42"/>
  <c r="C124" i="42"/>
  <c r="C127" i="42"/>
  <c r="C125" i="42"/>
  <c r="C123" i="42"/>
  <c r="A121" i="42"/>
  <c r="F121" i="42" s="1"/>
  <c r="I121" i="42" s="1"/>
  <c r="A126" i="42"/>
  <c r="F126" i="42" s="1"/>
  <c r="J126" i="42" s="1"/>
  <c r="A120" i="42"/>
  <c r="A124" i="42"/>
  <c r="F124" i="42" s="1"/>
  <c r="I124" i="42" s="1"/>
  <c r="J122" i="42"/>
  <c r="L122" i="42" s="1"/>
  <c r="A127" i="42"/>
  <c r="F127" i="42" s="1"/>
  <c r="A128" i="42"/>
  <c r="F128" i="42" s="1"/>
  <c r="A123" i="42"/>
  <c r="F123" i="42" s="1"/>
  <c r="J123" i="42" s="1"/>
  <c r="A125" i="42"/>
  <c r="F125" i="42" s="1"/>
  <c r="J125" i="42" s="1"/>
  <c r="C123" i="43"/>
  <c r="C122" i="43"/>
  <c r="A124" i="43"/>
  <c r="F124" i="43" s="1"/>
  <c r="I124" i="43" s="1"/>
  <c r="C121" i="43"/>
  <c r="C120" i="43"/>
  <c r="C128" i="43"/>
  <c r="C127" i="43"/>
  <c r="C126" i="43"/>
  <c r="C124" i="43"/>
  <c r="A122" i="43"/>
  <c r="F122" i="43" s="1"/>
  <c r="I122" i="43" s="1"/>
  <c r="A128" i="43"/>
  <c r="F128" i="43" s="1"/>
  <c r="I128" i="43" s="1"/>
  <c r="A126" i="43"/>
  <c r="F126" i="43" s="1"/>
  <c r="I126" i="43" s="1"/>
  <c r="A120" i="43"/>
  <c r="F120" i="43" s="1"/>
  <c r="A123" i="43"/>
  <c r="F123" i="43" s="1"/>
  <c r="J123" i="43" s="1"/>
  <c r="A125" i="43"/>
  <c r="F125" i="43" s="1"/>
  <c r="J125" i="43" s="1"/>
  <c r="A121" i="43"/>
  <c r="F121" i="43" s="1"/>
  <c r="I121" i="43" s="1"/>
  <c r="I127" i="43"/>
  <c r="J127" i="43"/>
  <c r="J121" i="42" l="1"/>
  <c r="L121" i="42" s="1"/>
  <c r="C133" i="42" a="1"/>
  <c r="C138" i="42" s="1"/>
  <c r="G138" i="42" s="1"/>
  <c r="I138" i="42" s="1"/>
  <c r="K122" i="42"/>
  <c r="I126" i="42"/>
  <c r="K126" i="42" s="1"/>
  <c r="I125" i="42"/>
  <c r="K125" i="42" s="1"/>
  <c r="I123" i="42"/>
  <c r="I128" i="42"/>
  <c r="J128" i="42"/>
  <c r="J124" i="42"/>
  <c r="J127" i="42"/>
  <c r="I127" i="42"/>
  <c r="F120" i="42"/>
  <c r="B130" i="42"/>
  <c r="J124" i="43"/>
  <c r="K124" i="43" s="1"/>
  <c r="C133" i="43" a="1"/>
  <c r="C138" i="43" s="1"/>
  <c r="G138" i="43" s="1"/>
  <c r="J128" i="43"/>
  <c r="K128" i="43" s="1"/>
  <c r="I125" i="43"/>
  <c r="L125" i="43" s="1"/>
  <c r="J122" i="43"/>
  <c r="L122" i="43" s="1"/>
  <c r="J126" i="43"/>
  <c r="L126" i="43" s="1"/>
  <c r="J121" i="43"/>
  <c r="L121" i="43" s="1"/>
  <c r="I123" i="43"/>
  <c r="L123" i="43" s="1"/>
  <c r="B130" i="43"/>
  <c r="K127" i="43"/>
  <c r="J120" i="43"/>
  <c r="I120" i="43"/>
  <c r="L127" i="43"/>
  <c r="K121" i="42" l="1"/>
  <c r="L126" i="42"/>
  <c r="C137" i="42"/>
  <c r="G137" i="42" s="1"/>
  <c r="I137" i="42" s="1"/>
  <c r="C140" i="42"/>
  <c r="G140" i="42" s="1"/>
  <c r="I140" i="42" s="1"/>
  <c r="C141" i="42"/>
  <c r="G141" i="42" s="1"/>
  <c r="J141" i="42" s="1"/>
  <c r="J138" i="42"/>
  <c r="K138" i="42" s="1"/>
  <c r="C139" i="42"/>
  <c r="G139" i="42" s="1"/>
  <c r="J139" i="42" s="1"/>
  <c r="C133" i="42"/>
  <c r="G133" i="42" s="1"/>
  <c r="I133" i="42" s="1"/>
  <c r="C136" i="42"/>
  <c r="G136" i="42" s="1"/>
  <c r="I136" i="42" s="1"/>
  <c r="L125" i="42"/>
  <c r="C135" i="42"/>
  <c r="G135" i="42" s="1"/>
  <c r="I135" i="42" s="1"/>
  <c r="C134" i="42"/>
  <c r="G134" i="42" s="1"/>
  <c r="I134" i="42" s="1"/>
  <c r="C135" i="43"/>
  <c r="G135" i="43" s="1"/>
  <c r="I135" i="43" s="1"/>
  <c r="C136" i="43"/>
  <c r="G136" i="43" s="1"/>
  <c r="I136" i="43" s="1"/>
  <c r="L124" i="42"/>
  <c r="K124" i="42"/>
  <c r="J120" i="42"/>
  <c r="J129" i="42" s="1"/>
  <c r="I120" i="42"/>
  <c r="K127" i="42"/>
  <c r="L127" i="42"/>
  <c r="L128" i="42"/>
  <c r="K128" i="42"/>
  <c r="L123" i="42"/>
  <c r="K123" i="42"/>
  <c r="K126" i="43"/>
  <c r="L124" i="43"/>
  <c r="C141" i="43"/>
  <c r="G141" i="43" s="1"/>
  <c r="J141" i="43" s="1"/>
  <c r="C139" i="43"/>
  <c r="G139" i="43" s="1"/>
  <c r="I139" i="43" s="1"/>
  <c r="C140" i="43"/>
  <c r="G140" i="43" s="1"/>
  <c r="J140" i="43" s="1"/>
  <c r="C134" i="43"/>
  <c r="G134" i="43" s="1"/>
  <c r="J134" i="43" s="1"/>
  <c r="L128" i="43"/>
  <c r="C137" i="43"/>
  <c r="G137" i="43" s="1"/>
  <c r="I137" i="43" s="1"/>
  <c r="C133" i="43"/>
  <c r="G133" i="43" s="1"/>
  <c r="J133" i="43" s="1"/>
  <c r="K125" i="43"/>
  <c r="K123" i="43"/>
  <c r="L138" i="42"/>
  <c r="K122" i="43"/>
  <c r="K121" i="43"/>
  <c r="J129" i="43"/>
  <c r="I129" i="43"/>
  <c r="K120" i="43"/>
  <c r="L120" i="43"/>
  <c r="I138" i="43"/>
  <c r="J138" i="43"/>
  <c r="I141" i="42" l="1"/>
  <c r="L141" i="42" s="1"/>
  <c r="J139" i="43"/>
  <c r="K139" i="43" s="1"/>
  <c r="J135" i="42"/>
  <c r="L135" i="42" s="1"/>
  <c r="J137" i="42"/>
  <c r="K137" i="42" s="1"/>
  <c r="J136" i="42"/>
  <c r="J133" i="42"/>
  <c r="L133" i="42" s="1"/>
  <c r="J140" i="42"/>
  <c r="L140" i="42" s="1"/>
  <c r="I139" i="42"/>
  <c r="L139" i="42" s="1"/>
  <c r="J135" i="43"/>
  <c r="K135" i="43" s="1"/>
  <c r="J134" i="42"/>
  <c r="J137" i="43"/>
  <c r="K137" i="43" s="1"/>
  <c r="J136" i="43"/>
  <c r="K136" i="43" s="1"/>
  <c r="I141" i="43"/>
  <c r="K141" i="43" s="1"/>
  <c r="L129" i="43"/>
  <c r="O120" i="43" s="1"/>
  <c r="I134" i="43"/>
  <c r="K134" i="43" s="1"/>
  <c r="I140" i="43"/>
  <c r="K140" i="43" s="1"/>
  <c r="I129" i="42"/>
  <c r="K120" i="42"/>
  <c r="K129" i="42" s="1"/>
  <c r="L120" i="42"/>
  <c r="L129" i="42" s="1"/>
  <c r="I133" i="43"/>
  <c r="L133" i="43" s="1"/>
  <c r="K129" i="43"/>
  <c r="O121" i="43" s="1"/>
  <c r="L138" i="43"/>
  <c r="K138" i="43"/>
  <c r="I142" i="42" l="1"/>
  <c r="K141" i="42"/>
  <c r="L139" i="43"/>
  <c r="K140" i="42"/>
  <c r="K135" i="42"/>
  <c r="J142" i="42"/>
  <c r="K133" i="42"/>
  <c r="L137" i="42"/>
  <c r="K139" i="42"/>
  <c r="L135" i="43"/>
  <c r="K136" i="42"/>
  <c r="L136" i="42"/>
  <c r="L141" i="43"/>
  <c r="L137" i="43"/>
  <c r="J142" i="43"/>
  <c r="L134" i="43"/>
  <c r="K134" i="42"/>
  <c r="L134" i="42"/>
  <c r="L136" i="43"/>
  <c r="O120" i="42"/>
  <c r="O122" i="43"/>
  <c r="O121" i="42"/>
  <c r="L140" i="43"/>
  <c r="K133" i="43"/>
  <c r="K142" i="43" s="1"/>
  <c r="I142" i="43"/>
  <c r="K142" i="42" l="1"/>
  <c r="L142" i="42"/>
  <c r="L142" i="43"/>
  <c r="N124" i="43"/>
  <c r="O125" i="43" s="1"/>
  <c r="N125" i="43"/>
  <c r="O124" i="43" s="1"/>
  <c r="O122" i="42"/>
  <c r="N125" i="42" s="1"/>
  <c r="O124" i="42" s="1"/>
  <c r="Q120" i="43" l="1" a="1"/>
  <c r="Q127" i="43" s="1"/>
  <c r="N124" i="42"/>
  <c r="R125" i="43" l="1"/>
  <c r="R126" i="43"/>
  <c r="Q128" i="43"/>
  <c r="Q124" i="43"/>
  <c r="R124" i="43"/>
  <c r="Q125" i="43"/>
  <c r="Q120" i="43"/>
  <c r="R121" i="43"/>
  <c r="R127" i="43"/>
  <c r="R123" i="43"/>
  <c r="Q123" i="43"/>
  <c r="Q122" i="43"/>
  <c r="R122" i="43"/>
  <c r="R120" i="43"/>
  <c r="Q126" i="43"/>
  <c r="Q121" i="43"/>
  <c r="R128" i="43"/>
  <c r="O125" i="42"/>
  <c r="Q120" i="42" a="1"/>
  <c r="D133" i="43" l="1" a="1"/>
  <c r="D141" i="43" s="1"/>
  <c r="A133" i="43" a="1"/>
  <c r="A141" i="43" s="1"/>
  <c r="Q125" i="42"/>
  <c r="R124" i="42"/>
  <c r="R120" i="42"/>
  <c r="Q123" i="42"/>
  <c r="R128" i="42"/>
  <c r="R127" i="42"/>
  <c r="Q128" i="42"/>
  <c r="R123" i="42"/>
  <c r="Q120" i="42"/>
  <c r="R125" i="42"/>
  <c r="Q127" i="42"/>
  <c r="Q126" i="42"/>
  <c r="R126" i="42"/>
  <c r="Q122" i="42"/>
  <c r="R122" i="42"/>
  <c r="R121" i="42"/>
  <c r="Q121" i="42"/>
  <c r="Q124" i="42"/>
  <c r="D136" i="43" l="1"/>
  <c r="D138" i="43"/>
  <c r="D139" i="43"/>
  <c r="D134" i="43"/>
  <c r="D133" i="43"/>
  <c r="D137" i="43"/>
  <c r="D135" i="43"/>
  <c r="D146" i="43" s="1" a="1"/>
  <c r="D152" i="43" s="1"/>
  <c r="G152" i="43" s="1"/>
  <c r="D140" i="43"/>
  <c r="A137" i="43"/>
  <c r="A134" i="43"/>
  <c r="A140" i="43"/>
  <c r="A136" i="43"/>
  <c r="A135" i="43"/>
  <c r="A139" i="43"/>
  <c r="A133" i="43"/>
  <c r="A138" i="43"/>
  <c r="A133" i="42" a="1"/>
  <c r="D133" i="42" a="1"/>
  <c r="B143" i="43" l="1"/>
  <c r="O134" i="43" s="1"/>
  <c r="A146" i="43" a="1"/>
  <c r="A151" i="43" s="1"/>
  <c r="D135" i="42"/>
  <c r="D139" i="42"/>
  <c r="D136" i="42"/>
  <c r="D133" i="42"/>
  <c r="D137" i="42"/>
  <c r="D134" i="42"/>
  <c r="D138" i="42"/>
  <c r="D141" i="42"/>
  <c r="D140" i="42"/>
  <c r="A138" i="42"/>
  <c r="A135" i="42"/>
  <c r="A136" i="42"/>
  <c r="A140" i="42"/>
  <c r="A134" i="42"/>
  <c r="A139" i="42"/>
  <c r="A133" i="42"/>
  <c r="A137" i="42"/>
  <c r="A141" i="42"/>
  <c r="D148" i="43"/>
  <c r="G148" i="43" s="1"/>
  <c r="D149" i="43"/>
  <c r="G149" i="43" s="1"/>
  <c r="D154" i="43"/>
  <c r="G154" i="43" s="1"/>
  <c r="D147" i="43"/>
  <c r="G147" i="43" s="1"/>
  <c r="D146" i="43"/>
  <c r="G146" i="43" s="1"/>
  <c r="D151" i="43"/>
  <c r="G151" i="43" s="1"/>
  <c r="D153" i="43"/>
  <c r="G153" i="43" s="1"/>
  <c r="D150" i="43"/>
  <c r="G150" i="43" s="1"/>
  <c r="O133" i="43" l="1"/>
  <c r="O135" i="43" s="1"/>
  <c r="A148" i="43"/>
  <c r="A153" i="43"/>
  <c r="A146" i="43"/>
  <c r="A149" i="43"/>
  <c r="A147" i="43"/>
  <c r="A152" i="43"/>
  <c r="A150" i="43"/>
  <c r="A154" i="43"/>
  <c r="B143" i="42"/>
  <c r="O133" i="42" s="1"/>
  <c r="A146" i="42" a="1"/>
  <c r="D146" i="42" a="1"/>
  <c r="B156" i="43" l="1"/>
  <c r="A159" i="43" a="1"/>
  <c r="A162" i="43" s="1"/>
  <c r="N138" i="43"/>
  <c r="O137" i="43" s="1"/>
  <c r="N137" i="43"/>
  <c r="O138" i="43" s="1"/>
  <c r="A147" i="42"/>
  <c r="A151" i="42"/>
  <c r="A152" i="42"/>
  <c r="A146" i="42"/>
  <c r="A150" i="42"/>
  <c r="A148" i="42"/>
  <c r="A154" i="42"/>
  <c r="A149" i="42"/>
  <c r="A153" i="42"/>
  <c r="D154" i="42"/>
  <c r="G154" i="42" s="1"/>
  <c r="D146" i="42"/>
  <c r="G146" i="42" s="1"/>
  <c r="D151" i="42"/>
  <c r="G151" i="42" s="1"/>
  <c r="D149" i="42"/>
  <c r="G149" i="42" s="1"/>
  <c r="D153" i="42"/>
  <c r="G153" i="42" s="1"/>
  <c r="D148" i="42"/>
  <c r="G148" i="42" s="1"/>
  <c r="D147" i="42"/>
  <c r="G147" i="42" s="1"/>
  <c r="D150" i="42"/>
  <c r="G150" i="42" s="1"/>
  <c r="D152" i="42"/>
  <c r="G152" i="42" s="1"/>
  <c r="O134" i="42"/>
  <c r="O135" i="42" s="1"/>
  <c r="Q133" i="43" a="1"/>
  <c r="A160" i="43" l="1"/>
  <c r="A165" i="43"/>
  <c r="A159" i="43"/>
  <c r="A164" i="43"/>
  <c r="A161" i="43"/>
  <c r="A167" i="43"/>
  <c r="A166" i="43"/>
  <c r="A163" i="43"/>
  <c r="N137" i="42"/>
  <c r="O138" i="42" s="1"/>
  <c r="N138" i="42"/>
  <c r="O137" i="42" s="1"/>
  <c r="B156" i="42"/>
  <c r="A159" i="42" a="1"/>
  <c r="R141" i="43"/>
  <c r="Q134" i="43"/>
  <c r="R140" i="43"/>
  <c r="R135" i="43"/>
  <c r="Q135" i="43"/>
  <c r="Q140" i="43"/>
  <c r="R137" i="43"/>
  <c r="R138" i="43"/>
  <c r="Q137" i="43"/>
  <c r="Q138" i="43"/>
  <c r="Q141" i="43"/>
  <c r="R133" i="43"/>
  <c r="R136" i="43"/>
  <c r="Q133" i="43"/>
  <c r="Q136" i="43"/>
  <c r="R139" i="43"/>
  <c r="R134" i="43"/>
  <c r="Q139" i="43"/>
  <c r="A172" i="43" l="1" a="1"/>
  <c r="A178" i="43" s="1"/>
  <c r="F178" i="43" s="1"/>
  <c r="B169" i="43"/>
  <c r="Q133" i="42" a="1"/>
  <c r="Q136" i="42" s="1"/>
  <c r="A163" i="42"/>
  <c r="A160" i="42"/>
  <c r="A165" i="42"/>
  <c r="A167" i="42"/>
  <c r="A161" i="42"/>
  <c r="A162" i="42"/>
  <c r="A164" i="42"/>
  <c r="A159" i="42"/>
  <c r="A166" i="42"/>
  <c r="B146" i="43" a="1"/>
  <c r="C146" i="43" a="1"/>
  <c r="A174" i="43" l="1"/>
  <c r="F174" i="43" s="1"/>
  <c r="A175" i="43"/>
  <c r="F175" i="43" s="1"/>
  <c r="A180" i="43"/>
  <c r="F180" i="43" s="1"/>
  <c r="A177" i="43"/>
  <c r="F177" i="43" s="1"/>
  <c r="A176" i="43"/>
  <c r="F176" i="43" s="1"/>
  <c r="A172" i="43"/>
  <c r="F172" i="43" s="1"/>
  <c r="A179" i="43"/>
  <c r="F179" i="43" s="1"/>
  <c r="A173" i="43"/>
  <c r="F173" i="43" s="1"/>
  <c r="R136" i="42"/>
  <c r="Q139" i="42"/>
  <c r="Q134" i="42"/>
  <c r="Q140" i="42"/>
  <c r="R139" i="42"/>
  <c r="R135" i="42"/>
  <c r="R133" i="42"/>
  <c r="Q141" i="42"/>
  <c r="Q138" i="42"/>
  <c r="R140" i="42"/>
  <c r="R134" i="42"/>
  <c r="Q137" i="42"/>
  <c r="Q133" i="42"/>
  <c r="Q135" i="42"/>
  <c r="R141" i="42"/>
  <c r="R138" i="42"/>
  <c r="R137" i="42"/>
  <c r="A172" i="42" a="1"/>
  <c r="B169" i="42"/>
  <c r="C150" i="43"/>
  <c r="C148" i="43"/>
  <c r="C146" i="43"/>
  <c r="C151" i="43"/>
  <c r="C149" i="43"/>
  <c r="C147" i="43"/>
  <c r="C154" i="43"/>
  <c r="C153" i="43"/>
  <c r="C152" i="43"/>
  <c r="B149" i="43"/>
  <c r="F149" i="43" s="1"/>
  <c r="B146" i="43"/>
  <c r="F146" i="43" s="1"/>
  <c r="B153" i="43"/>
  <c r="F153" i="43" s="1"/>
  <c r="B147" i="43"/>
  <c r="F147" i="43" s="1"/>
  <c r="B152" i="43"/>
  <c r="F152" i="43" s="1"/>
  <c r="B148" i="43"/>
  <c r="F148" i="43" s="1"/>
  <c r="B151" i="43"/>
  <c r="F151" i="43" s="1"/>
  <c r="B154" i="43"/>
  <c r="F154" i="43" s="1"/>
  <c r="B150" i="43"/>
  <c r="F150" i="43" s="1"/>
  <c r="B182" i="43" l="1"/>
  <c r="B146" i="42" a="1"/>
  <c r="B147" i="42" s="1"/>
  <c r="F147" i="42" s="1"/>
  <c r="C146" i="42" a="1"/>
  <c r="C153" i="42" s="1"/>
  <c r="A180" i="42"/>
  <c r="F180" i="42" s="1"/>
  <c r="A177" i="42"/>
  <c r="F177" i="42" s="1"/>
  <c r="A173" i="42"/>
  <c r="F173" i="42" s="1"/>
  <c r="A174" i="42"/>
  <c r="F174" i="42" s="1"/>
  <c r="A176" i="42"/>
  <c r="F176" i="42" s="1"/>
  <c r="A179" i="42"/>
  <c r="F179" i="42" s="1"/>
  <c r="A175" i="42"/>
  <c r="F175" i="42" s="1"/>
  <c r="A172" i="42"/>
  <c r="A178" i="42"/>
  <c r="F178" i="42" s="1"/>
  <c r="I153" i="43"/>
  <c r="J153" i="43"/>
  <c r="J148" i="43"/>
  <c r="I148" i="43"/>
  <c r="I146" i="43"/>
  <c r="J146" i="43"/>
  <c r="C159" i="43" a="1"/>
  <c r="J152" i="43"/>
  <c r="I152" i="43"/>
  <c r="J151" i="43"/>
  <c r="I151" i="43"/>
  <c r="I150" i="43"/>
  <c r="J150" i="43"/>
  <c r="I149" i="43"/>
  <c r="J149" i="43"/>
  <c r="J154" i="43"/>
  <c r="I154" i="43"/>
  <c r="J147" i="43"/>
  <c r="I147" i="43"/>
  <c r="C152" i="42" l="1"/>
  <c r="C150" i="42"/>
  <c r="C154" i="42"/>
  <c r="C147" i="42"/>
  <c r="C149" i="42"/>
  <c r="C146" i="42"/>
  <c r="B150" i="42"/>
  <c r="F150" i="42" s="1"/>
  <c r="I150" i="42" s="1"/>
  <c r="B146" i="42"/>
  <c r="F146" i="42" s="1"/>
  <c r="J146" i="42" s="1"/>
  <c r="C148" i="42"/>
  <c r="B153" i="42"/>
  <c r="F153" i="42" s="1"/>
  <c r="I153" i="42" s="1"/>
  <c r="C151" i="42"/>
  <c r="B148" i="42"/>
  <c r="F148" i="42" s="1"/>
  <c r="J148" i="42" s="1"/>
  <c r="B154" i="42"/>
  <c r="F154" i="42" s="1"/>
  <c r="I154" i="42" s="1"/>
  <c r="B152" i="42"/>
  <c r="F152" i="42" s="1"/>
  <c r="J152" i="42" s="1"/>
  <c r="B149" i="42"/>
  <c r="F149" i="42" s="1"/>
  <c r="I149" i="42" s="1"/>
  <c r="B151" i="42"/>
  <c r="F151" i="42" s="1"/>
  <c r="J151" i="42" s="1"/>
  <c r="F172" i="42"/>
  <c r="B182" i="42"/>
  <c r="J147" i="42"/>
  <c r="I147" i="42"/>
  <c r="L150" i="43"/>
  <c r="K149" i="43"/>
  <c r="L153" i="43"/>
  <c r="K148" i="43"/>
  <c r="L148" i="43"/>
  <c r="K147" i="43"/>
  <c r="L147" i="43"/>
  <c r="L149" i="43"/>
  <c r="L151" i="43"/>
  <c r="K151" i="43"/>
  <c r="C166" i="43"/>
  <c r="F166" i="43" s="1"/>
  <c r="C167" i="43"/>
  <c r="F167" i="43" s="1"/>
  <c r="C165" i="43"/>
  <c r="F165" i="43" s="1"/>
  <c r="C164" i="43"/>
  <c r="F164" i="43" s="1"/>
  <c r="C163" i="43"/>
  <c r="F163" i="43" s="1"/>
  <c r="C159" i="43"/>
  <c r="F159" i="43" s="1"/>
  <c r="C162" i="43"/>
  <c r="F162" i="43" s="1"/>
  <c r="C161" i="43"/>
  <c r="F161" i="43" s="1"/>
  <c r="C160" i="43"/>
  <c r="F160" i="43" s="1"/>
  <c r="L146" i="43"/>
  <c r="J155" i="43"/>
  <c r="K154" i="43"/>
  <c r="L154" i="43"/>
  <c r="K150" i="43"/>
  <c r="L152" i="43"/>
  <c r="K152" i="43"/>
  <c r="K146" i="43"/>
  <c r="I155" i="43"/>
  <c r="K153" i="43"/>
  <c r="I146" i="42" l="1"/>
  <c r="K146" i="42" s="1"/>
  <c r="J154" i="42"/>
  <c r="L154" i="42" s="1"/>
  <c r="C159" i="42" a="1"/>
  <c r="C164" i="42" s="1"/>
  <c r="F164" i="42" s="1"/>
  <c r="J150" i="42"/>
  <c r="K150" i="42" s="1"/>
  <c r="I148" i="42"/>
  <c r="L148" i="42" s="1"/>
  <c r="I152" i="42"/>
  <c r="L152" i="42" s="1"/>
  <c r="J153" i="42"/>
  <c r="L153" i="42" s="1"/>
  <c r="I151" i="42"/>
  <c r="L151" i="42" s="1"/>
  <c r="J149" i="42"/>
  <c r="K149" i="42" s="1"/>
  <c r="L147" i="42"/>
  <c r="K147" i="42"/>
  <c r="K155" i="43"/>
  <c r="O147" i="43" s="1"/>
  <c r="L155" i="43"/>
  <c r="O146" i="43" s="1"/>
  <c r="L150" i="42" l="1"/>
  <c r="K152" i="42"/>
  <c r="K148" i="42"/>
  <c r="C166" i="42"/>
  <c r="F166" i="42" s="1"/>
  <c r="L146" i="42"/>
  <c r="C167" i="42"/>
  <c r="F167" i="42" s="1"/>
  <c r="C163" i="42"/>
  <c r="F163" i="42" s="1"/>
  <c r="K153" i="42"/>
  <c r="C161" i="42"/>
  <c r="F161" i="42" s="1"/>
  <c r="K154" i="42"/>
  <c r="C159" i="42"/>
  <c r="F159" i="42" s="1"/>
  <c r="C165" i="42"/>
  <c r="F165" i="42" s="1"/>
  <c r="C162" i="42"/>
  <c r="F162" i="42" s="1"/>
  <c r="C160" i="42"/>
  <c r="F160" i="42" s="1"/>
  <c r="I155" i="42"/>
  <c r="K151" i="42"/>
  <c r="K155" i="42" s="1"/>
  <c r="L149" i="42"/>
  <c r="J155" i="42"/>
  <c r="O148" i="43"/>
  <c r="L155" i="42" l="1"/>
  <c r="O146" i="42" s="1"/>
  <c r="O147" i="42"/>
  <c r="N151" i="43"/>
  <c r="O150" i="43" s="1"/>
  <c r="N150" i="43"/>
  <c r="O151" i="43" s="1"/>
  <c r="O148" i="42" l="1"/>
  <c r="N151" i="42" s="1"/>
  <c r="O150" i="42" s="1"/>
  <c r="Q146" i="43" a="1"/>
  <c r="N150" i="42" l="1"/>
  <c r="O151" i="42" s="1"/>
  <c r="Q146" i="43"/>
  <c r="R148" i="43"/>
  <c r="R153" i="43"/>
  <c r="R152" i="43"/>
  <c r="Q148" i="43"/>
  <c r="Q147" i="43"/>
  <c r="R147" i="43"/>
  <c r="Q153" i="43"/>
  <c r="R146" i="43"/>
  <c r="R151" i="43"/>
  <c r="Q152" i="43"/>
  <c r="R149" i="43"/>
  <c r="R154" i="43"/>
  <c r="Q154" i="43"/>
  <c r="Q149" i="43"/>
  <c r="Q151" i="43"/>
  <c r="R150" i="43"/>
  <c r="Q150" i="43"/>
  <c r="Q146" i="42" l="1" a="1"/>
  <c r="D159" i="43" a="1"/>
  <c r="B159" i="43" a="1"/>
  <c r="Q152" i="42" l="1"/>
  <c r="R147" i="42"/>
  <c r="R150" i="42"/>
  <c r="Q148" i="42"/>
  <c r="Q147" i="42"/>
  <c r="Q149" i="42"/>
  <c r="R152" i="42"/>
  <c r="Q153" i="42"/>
  <c r="Q151" i="42"/>
  <c r="R149" i="42"/>
  <c r="R153" i="42"/>
  <c r="R148" i="42"/>
  <c r="R146" i="42"/>
  <c r="Q154" i="42"/>
  <c r="R151" i="42"/>
  <c r="Q150" i="42"/>
  <c r="R154" i="42"/>
  <c r="Q146" i="42"/>
  <c r="B164" i="43"/>
  <c r="B161" i="43"/>
  <c r="B166" i="43"/>
  <c r="B165" i="43"/>
  <c r="B159" i="43"/>
  <c r="B160" i="43"/>
  <c r="B163" i="43"/>
  <c r="B167" i="43"/>
  <c r="B162" i="43"/>
  <c r="D165" i="43"/>
  <c r="G165" i="43" s="1"/>
  <c r="D159" i="43"/>
  <c r="G159" i="43" s="1"/>
  <c r="D160" i="43"/>
  <c r="G160" i="43" s="1"/>
  <c r="D166" i="43"/>
  <c r="G166" i="43" s="1"/>
  <c r="D164" i="43"/>
  <c r="G164" i="43" s="1"/>
  <c r="D167" i="43"/>
  <c r="G167" i="43" s="1"/>
  <c r="D162" i="43"/>
  <c r="G162" i="43" s="1"/>
  <c r="D161" i="43"/>
  <c r="G161" i="43" s="1"/>
  <c r="D163" i="43"/>
  <c r="G163" i="43" s="1"/>
  <c r="D159" i="42" l="1" a="1"/>
  <c r="B159" i="42" a="1"/>
  <c r="J162" i="43"/>
  <c r="I162" i="43"/>
  <c r="J160" i="43"/>
  <c r="I160" i="43"/>
  <c r="J167" i="43"/>
  <c r="I167" i="43"/>
  <c r="J159" i="43"/>
  <c r="I159" i="43"/>
  <c r="I163" i="43"/>
  <c r="J163" i="43"/>
  <c r="J165" i="43"/>
  <c r="I165" i="43"/>
  <c r="J164" i="43"/>
  <c r="I164" i="43"/>
  <c r="I161" i="43"/>
  <c r="J161" i="43"/>
  <c r="J166" i="43"/>
  <c r="I166" i="43"/>
  <c r="B172" i="43" a="1"/>
  <c r="B166" i="42" l="1"/>
  <c r="B164" i="42"/>
  <c r="B163" i="42"/>
  <c r="B162" i="42"/>
  <c r="B159" i="42"/>
  <c r="B167" i="42"/>
  <c r="B161" i="42"/>
  <c r="B165" i="42"/>
  <c r="B160" i="42"/>
  <c r="D165" i="42"/>
  <c r="G165" i="42" s="1"/>
  <c r="D161" i="42"/>
  <c r="G161" i="42" s="1"/>
  <c r="D166" i="42"/>
  <c r="G166" i="42" s="1"/>
  <c r="D167" i="42"/>
  <c r="G167" i="42" s="1"/>
  <c r="D160" i="42"/>
  <c r="G160" i="42" s="1"/>
  <c r="D159" i="42"/>
  <c r="G159" i="42" s="1"/>
  <c r="D163" i="42"/>
  <c r="G163" i="42" s="1"/>
  <c r="D162" i="42"/>
  <c r="G162" i="42" s="1"/>
  <c r="D164" i="42"/>
  <c r="G164" i="42" s="1"/>
  <c r="L161" i="43"/>
  <c r="K163" i="43"/>
  <c r="L165" i="43"/>
  <c r="K165" i="43"/>
  <c r="L159" i="43"/>
  <c r="K159" i="43"/>
  <c r="I168" i="43"/>
  <c r="K160" i="43"/>
  <c r="L160" i="43"/>
  <c r="B176" i="43"/>
  <c r="G176" i="43" s="1"/>
  <c r="B178" i="43"/>
  <c r="G178" i="43" s="1"/>
  <c r="B174" i="43"/>
  <c r="G174" i="43" s="1"/>
  <c r="B177" i="43"/>
  <c r="G177" i="43" s="1"/>
  <c r="B173" i="43"/>
  <c r="G173" i="43" s="1"/>
  <c r="B179" i="43"/>
  <c r="G179" i="43" s="1"/>
  <c r="B172" i="43"/>
  <c r="G172" i="43" s="1"/>
  <c r="B175" i="43"/>
  <c r="G175" i="43" s="1"/>
  <c r="B180" i="43"/>
  <c r="G180" i="43" s="1"/>
  <c r="K161" i="43"/>
  <c r="J168" i="43"/>
  <c r="K162" i="43"/>
  <c r="L162" i="43"/>
  <c r="L166" i="43"/>
  <c r="K166" i="43"/>
  <c r="K164" i="43"/>
  <c r="L164" i="43"/>
  <c r="L167" i="43"/>
  <c r="K167" i="43"/>
  <c r="L163" i="43"/>
  <c r="J159" i="42" l="1"/>
  <c r="I159" i="42"/>
  <c r="J160" i="42"/>
  <c r="I160" i="42"/>
  <c r="I167" i="42"/>
  <c r="J167" i="42"/>
  <c r="B172" i="42" a="1"/>
  <c r="J166" i="42"/>
  <c r="I166" i="42"/>
  <c r="I163" i="42"/>
  <c r="J163" i="42"/>
  <c r="I161" i="42"/>
  <c r="J161" i="42"/>
  <c r="J164" i="42"/>
  <c r="I164" i="42"/>
  <c r="J165" i="42"/>
  <c r="I165" i="42"/>
  <c r="I162" i="42"/>
  <c r="J162" i="42"/>
  <c r="L168" i="43"/>
  <c r="O159" i="43" s="1"/>
  <c r="I180" i="43"/>
  <c r="J180" i="43"/>
  <c r="I173" i="43"/>
  <c r="J173" i="43"/>
  <c r="I176" i="43"/>
  <c r="J176" i="43"/>
  <c r="K168" i="43"/>
  <c r="O160" i="43" s="1"/>
  <c r="I175" i="43"/>
  <c r="J175" i="43"/>
  <c r="J177" i="43"/>
  <c r="I177" i="43"/>
  <c r="J172" i="43"/>
  <c r="I172" i="43"/>
  <c r="J174" i="43"/>
  <c r="I174" i="43"/>
  <c r="J179" i="43"/>
  <c r="I179" i="43"/>
  <c r="J178" i="43"/>
  <c r="I178" i="43"/>
  <c r="B176" i="42" l="1"/>
  <c r="G176" i="42" s="1"/>
  <c r="B173" i="42"/>
  <c r="G173" i="42" s="1"/>
  <c r="B175" i="42"/>
  <c r="G175" i="42" s="1"/>
  <c r="B177" i="42"/>
  <c r="G177" i="42" s="1"/>
  <c r="B174" i="42"/>
  <c r="G174" i="42" s="1"/>
  <c r="B180" i="42"/>
  <c r="G180" i="42" s="1"/>
  <c r="B179" i="42"/>
  <c r="G179" i="42" s="1"/>
  <c r="B178" i="42"/>
  <c r="G178" i="42" s="1"/>
  <c r="B172" i="42"/>
  <c r="G172" i="42" s="1"/>
  <c r="K164" i="42"/>
  <c r="L164" i="42"/>
  <c r="K167" i="42"/>
  <c r="L167" i="42"/>
  <c r="K161" i="42"/>
  <c r="L161" i="42"/>
  <c r="L160" i="42"/>
  <c r="K160" i="42"/>
  <c r="L162" i="42"/>
  <c r="K162" i="42"/>
  <c r="L163" i="42"/>
  <c r="K163" i="42"/>
  <c r="K159" i="42"/>
  <c r="I168" i="42"/>
  <c r="L159" i="42"/>
  <c r="K165" i="42"/>
  <c r="L165" i="42"/>
  <c r="L166" i="42"/>
  <c r="K166" i="42"/>
  <c r="J168" i="42"/>
  <c r="O161" i="43"/>
  <c r="K173" i="43"/>
  <c r="L175" i="43"/>
  <c r="K176" i="43"/>
  <c r="L180" i="43"/>
  <c r="K172" i="43"/>
  <c r="L172" i="43"/>
  <c r="I181" i="43"/>
  <c r="L178" i="43"/>
  <c r="K178" i="43"/>
  <c r="L174" i="43"/>
  <c r="K174" i="43"/>
  <c r="K177" i="43"/>
  <c r="L177" i="43"/>
  <c r="L176" i="43"/>
  <c r="K180" i="43"/>
  <c r="L179" i="43"/>
  <c r="K179" i="43"/>
  <c r="J181" i="43"/>
  <c r="K175" i="43"/>
  <c r="L173" i="43"/>
  <c r="L168" i="42" l="1"/>
  <c r="O159" i="42" s="1"/>
  <c r="K168" i="42"/>
  <c r="O160" i="42" s="1"/>
  <c r="O161" i="42" s="1"/>
  <c r="J179" i="42"/>
  <c r="I179" i="42"/>
  <c r="I180" i="42"/>
  <c r="J180" i="42"/>
  <c r="I174" i="42"/>
  <c r="J174" i="42"/>
  <c r="J177" i="42"/>
  <c r="I177" i="42"/>
  <c r="I175" i="42"/>
  <c r="J175" i="42"/>
  <c r="I178" i="42"/>
  <c r="J178" i="42"/>
  <c r="I173" i="42"/>
  <c r="J173" i="42"/>
  <c r="I172" i="42"/>
  <c r="J172" i="42"/>
  <c r="J176" i="42"/>
  <c r="I176" i="42"/>
  <c r="N163" i="43"/>
  <c r="O164" i="43" s="1"/>
  <c r="N164" i="43"/>
  <c r="O163" i="43" s="1"/>
  <c r="L181" i="43"/>
  <c r="O172" i="43" s="1"/>
  <c r="K181" i="43"/>
  <c r="O173" i="43" s="1"/>
  <c r="N163" i="42" l="1"/>
  <c r="O164" i="42" s="1"/>
  <c r="N164" i="42"/>
  <c r="O163" i="42" s="1"/>
  <c r="K174" i="42"/>
  <c r="L174" i="42"/>
  <c r="K173" i="42"/>
  <c r="L173" i="42"/>
  <c r="L178" i="42"/>
  <c r="K178" i="42"/>
  <c r="K180" i="42"/>
  <c r="L180" i="42"/>
  <c r="L175" i="42"/>
  <c r="K175" i="42"/>
  <c r="K179" i="42"/>
  <c r="L179" i="42"/>
  <c r="J181" i="42"/>
  <c r="L177" i="42"/>
  <c r="K177" i="42"/>
  <c r="L176" i="42"/>
  <c r="K176" i="42"/>
  <c r="L172" i="42"/>
  <c r="K172" i="42"/>
  <c r="I181" i="42"/>
  <c r="Q159" i="43" a="1"/>
  <c r="R164" i="43" s="1"/>
  <c r="Q159" i="42" a="1"/>
  <c r="Q163" i="42" s="1"/>
  <c r="O174" i="43"/>
  <c r="N176" i="43" s="1"/>
  <c r="O177" i="43" s="1"/>
  <c r="L181" i="42" l="1"/>
  <c r="O172" i="42" s="1"/>
  <c r="K181" i="42"/>
  <c r="O173" i="42" s="1"/>
  <c r="R163" i="43"/>
  <c r="Q161" i="43"/>
  <c r="R160" i="43"/>
  <c r="R161" i="43"/>
  <c r="Q163" i="43"/>
  <c r="R167" i="43"/>
  <c r="Q159" i="43"/>
  <c r="Q167" i="43"/>
  <c r="Q160" i="43"/>
  <c r="R165" i="43"/>
  <c r="Q164" i="43"/>
  <c r="Q165" i="43"/>
  <c r="Q166" i="43"/>
  <c r="Q162" i="43"/>
  <c r="R162" i="43"/>
  <c r="R159" i="43"/>
  <c r="R166" i="43"/>
  <c r="Q165" i="42"/>
  <c r="Q166" i="42"/>
  <c r="R159" i="42"/>
  <c r="Q164" i="42"/>
  <c r="Q159" i="42"/>
  <c r="Q160" i="42"/>
  <c r="R165" i="42"/>
  <c r="R160" i="42"/>
  <c r="Q167" i="42"/>
  <c r="R167" i="42"/>
  <c r="R161" i="42"/>
  <c r="R162" i="42"/>
  <c r="Q162" i="42"/>
  <c r="R164" i="42"/>
  <c r="Q161" i="42"/>
  <c r="R166" i="42"/>
  <c r="R163" i="42"/>
  <c r="N177" i="43"/>
  <c r="O176" i="43" s="1"/>
  <c r="D172" i="43" l="1" a="1"/>
  <c r="D179" i="43" s="1"/>
  <c r="O174" i="42"/>
  <c r="C172" i="43" a="1"/>
  <c r="C174" i="43" s="1"/>
  <c r="C172" i="42" a="1"/>
  <c r="C175" i="42" s="1"/>
  <c r="D172" i="42" a="1"/>
  <c r="D173" i="42" s="1"/>
  <c r="Q172" i="43" a="1"/>
  <c r="D177" i="43" l="1"/>
  <c r="D175" i="43"/>
  <c r="D174" i="43"/>
  <c r="D172" i="43"/>
  <c r="D180" i="43"/>
  <c r="D178" i="43"/>
  <c r="D176" i="43"/>
  <c r="D173" i="43"/>
  <c r="D185" i="43" s="1" a="1"/>
  <c r="D191" i="43" s="1"/>
  <c r="N177" i="42"/>
  <c r="O176" i="42" s="1"/>
  <c r="N176" i="42"/>
  <c r="O177" i="42" s="1"/>
  <c r="Q172" i="42" s="1" a="1"/>
  <c r="C177" i="43"/>
  <c r="C175" i="43"/>
  <c r="C173" i="43"/>
  <c r="C179" i="43"/>
  <c r="C172" i="43"/>
  <c r="C176" i="43"/>
  <c r="C180" i="43"/>
  <c r="C178" i="43"/>
  <c r="D176" i="42"/>
  <c r="D174" i="42"/>
  <c r="C174" i="42"/>
  <c r="C173" i="42"/>
  <c r="D175" i="42"/>
  <c r="C176" i="42"/>
  <c r="C177" i="42"/>
  <c r="C180" i="42"/>
  <c r="D172" i="42"/>
  <c r="C172" i="42"/>
  <c r="C178" i="42"/>
  <c r="C179" i="42"/>
  <c r="D177" i="42"/>
  <c r="D178" i="42"/>
  <c r="D180" i="42"/>
  <c r="D179" i="42"/>
  <c r="R177" i="43"/>
  <c r="R176" i="43"/>
  <c r="Q179" i="43"/>
  <c r="Q174" i="43"/>
  <c r="Q175" i="43"/>
  <c r="R174" i="43"/>
  <c r="R178" i="43"/>
  <c r="Q180" i="43"/>
  <c r="Q177" i="43"/>
  <c r="Q172" i="43"/>
  <c r="R180" i="43"/>
  <c r="R179" i="43"/>
  <c r="R173" i="43"/>
  <c r="R172" i="43"/>
  <c r="Q178" i="43"/>
  <c r="Q173" i="43"/>
  <c r="Q176" i="43"/>
  <c r="R175" i="43"/>
  <c r="Q173" i="42" l="1"/>
  <c r="Q175" i="42"/>
  <c r="R172" i="42"/>
  <c r="R178" i="42"/>
  <c r="R173" i="42"/>
  <c r="R179" i="42"/>
  <c r="Q180" i="42"/>
  <c r="R177" i="42"/>
  <c r="Q178" i="42"/>
  <c r="Q174" i="42"/>
  <c r="R175" i="42"/>
  <c r="Q177" i="42"/>
  <c r="R176" i="42"/>
  <c r="Q179" i="42"/>
  <c r="R180" i="42"/>
  <c r="Q172" i="42"/>
  <c r="A185" i="42" s="1" a="1"/>
  <c r="A186" i="42" s="1"/>
  <c r="F186" i="42" s="1"/>
  <c r="R174" i="42"/>
  <c r="Q176" i="42"/>
  <c r="C185" i="43" a="1"/>
  <c r="C190" i="43" s="1"/>
  <c r="G190" i="43" s="1"/>
  <c r="C185" i="42" a="1"/>
  <c r="C188" i="42" s="1"/>
  <c r="G188" i="42" s="1"/>
  <c r="D185" i="42" a="1"/>
  <c r="D192" i="42" s="1"/>
  <c r="D186" i="43"/>
  <c r="D185" i="43"/>
  <c r="D193" i="43"/>
  <c r="D187" i="43"/>
  <c r="D192" i="43"/>
  <c r="D190" i="43"/>
  <c r="D188" i="43"/>
  <c r="D189" i="43"/>
  <c r="B185" i="43" a="1"/>
  <c r="A185" i="43" a="1"/>
  <c r="C191" i="43" l="1"/>
  <c r="G191" i="43" s="1"/>
  <c r="C185" i="43"/>
  <c r="G185" i="43" s="1"/>
  <c r="A192" i="42"/>
  <c r="F192" i="42" s="1"/>
  <c r="A193" i="42"/>
  <c r="F193" i="42" s="1"/>
  <c r="A185" i="42"/>
  <c r="F185" i="42" s="1"/>
  <c r="B185" i="42" a="1"/>
  <c r="A189" i="42"/>
  <c r="F189" i="42" s="1"/>
  <c r="A191" i="42"/>
  <c r="F191" i="42" s="1"/>
  <c r="C192" i="43"/>
  <c r="G192" i="43" s="1"/>
  <c r="C188" i="43"/>
  <c r="G188" i="43" s="1"/>
  <c r="C187" i="43"/>
  <c r="G187" i="43" s="1"/>
  <c r="A187" i="42"/>
  <c r="F187" i="42" s="1"/>
  <c r="C193" i="43"/>
  <c r="G193" i="43" s="1"/>
  <c r="A190" i="42"/>
  <c r="F190" i="42" s="1"/>
  <c r="C189" i="43"/>
  <c r="G189" i="43" s="1"/>
  <c r="C186" i="43"/>
  <c r="G186" i="43" s="1"/>
  <c r="A188" i="42"/>
  <c r="F188" i="42" s="1"/>
  <c r="I188" i="42" s="1"/>
  <c r="C193" i="42"/>
  <c r="G193" i="42" s="1"/>
  <c r="C189" i="42"/>
  <c r="G189" i="42" s="1"/>
  <c r="C192" i="42"/>
  <c r="G192" i="42" s="1"/>
  <c r="I192" i="42" s="1"/>
  <c r="C190" i="42"/>
  <c r="G190" i="42" s="1"/>
  <c r="C187" i="42"/>
  <c r="G187" i="42" s="1"/>
  <c r="J187" i="42" s="1"/>
  <c r="C185" i="42"/>
  <c r="G185" i="42" s="1"/>
  <c r="C186" i="42"/>
  <c r="G186" i="42" s="1"/>
  <c r="I186" i="42" s="1"/>
  <c r="C191" i="42"/>
  <c r="G191" i="42" s="1"/>
  <c r="D187" i="42"/>
  <c r="D188" i="42"/>
  <c r="D193" i="42"/>
  <c r="D189" i="42"/>
  <c r="D191" i="42"/>
  <c r="D185" i="42"/>
  <c r="D190" i="42"/>
  <c r="D186" i="42"/>
  <c r="J188" i="42"/>
  <c r="D198" i="43" a="1"/>
  <c r="D203" i="43" s="1"/>
  <c r="G203" i="43" s="1"/>
  <c r="A190" i="43"/>
  <c r="F190" i="43" s="1"/>
  <c r="A192" i="43"/>
  <c r="F192" i="43" s="1"/>
  <c r="A189" i="43"/>
  <c r="F189" i="43" s="1"/>
  <c r="A193" i="43"/>
  <c r="F193" i="43" s="1"/>
  <c r="A187" i="43"/>
  <c r="F187" i="43" s="1"/>
  <c r="A186" i="43"/>
  <c r="F186" i="43" s="1"/>
  <c r="A191" i="43"/>
  <c r="F191" i="43" s="1"/>
  <c r="A185" i="43"/>
  <c r="A188" i="43"/>
  <c r="F188" i="43" s="1"/>
  <c r="B188" i="43"/>
  <c r="B186" i="43"/>
  <c r="B193" i="43"/>
  <c r="B189" i="43"/>
  <c r="B187" i="43"/>
  <c r="B190" i="43"/>
  <c r="B192" i="43"/>
  <c r="B191" i="43"/>
  <c r="B185" i="43"/>
  <c r="J193" i="42" l="1"/>
  <c r="I190" i="42"/>
  <c r="I191" i="42"/>
  <c r="J185" i="42"/>
  <c r="B189" i="42"/>
  <c r="B191" i="42"/>
  <c r="B190" i="42"/>
  <c r="B186" i="42"/>
  <c r="B185" i="42"/>
  <c r="B193" i="42"/>
  <c r="B187" i="42"/>
  <c r="B188" i="42"/>
  <c r="B192" i="42"/>
  <c r="J190" i="42"/>
  <c r="B195" i="42"/>
  <c r="J189" i="42"/>
  <c r="I189" i="42"/>
  <c r="I193" i="42"/>
  <c r="J192" i="42"/>
  <c r="K192" i="42" s="1"/>
  <c r="J186" i="42"/>
  <c r="L186" i="42" s="1"/>
  <c r="J191" i="42"/>
  <c r="K191" i="42" s="1"/>
  <c r="I185" i="42"/>
  <c r="I187" i="42"/>
  <c r="L187" i="42" s="1"/>
  <c r="D198" i="42" a="1"/>
  <c r="D203" i="42" s="1"/>
  <c r="G203" i="42" s="1"/>
  <c r="L188" i="42"/>
  <c r="K188" i="42"/>
  <c r="D205" i="43"/>
  <c r="G205" i="43" s="1"/>
  <c r="D200" i="43"/>
  <c r="G200" i="43" s="1"/>
  <c r="D199" i="43"/>
  <c r="G199" i="43" s="1"/>
  <c r="D201" i="43"/>
  <c r="G201" i="43" s="1"/>
  <c r="D202" i="43"/>
  <c r="G202" i="43" s="1"/>
  <c r="D206" i="43"/>
  <c r="G206" i="43" s="1"/>
  <c r="D204" i="43"/>
  <c r="G204" i="43" s="1"/>
  <c r="D198" i="43"/>
  <c r="G198" i="43" s="1"/>
  <c r="J193" i="43"/>
  <c r="I193" i="43"/>
  <c r="I191" i="43"/>
  <c r="J191" i="43"/>
  <c r="I189" i="43"/>
  <c r="J189" i="43"/>
  <c r="B198" i="43" a="1"/>
  <c r="I186" i="43"/>
  <c r="J186" i="43"/>
  <c r="J192" i="43"/>
  <c r="I192" i="43"/>
  <c r="F185" i="43"/>
  <c r="B195" i="43"/>
  <c r="J188" i="43"/>
  <c r="I188" i="43"/>
  <c r="J187" i="43"/>
  <c r="I187" i="43"/>
  <c r="J190" i="43"/>
  <c r="I190" i="43"/>
  <c r="K193" i="42" l="1"/>
  <c r="K190" i="42"/>
  <c r="L190" i="42"/>
  <c r="K189" i="42"/>
  <c r="J194" i="42"/>
  <c r="B198" i="42" a="1"/>
  <c r="I194" i="42"/>
  <c r="L192" i="42"/>
  <c r="L189" i="42"/>
  <c r="K185" i="42"/>
  <c r="L193" i="42"/>
  <c r="L191" i="42"/>
  <c r="K186" i="42"/>
  <c r="K187" i="42"/>
  <c r="L185" i="42"/>
  <c r="D200" i="42"/>
  <c r="G200" i="42" s="1"/>
  <c r="D205" i="42"/>
  <c r="G205" i="42" s="1"/>
  <c r="D199" i="42"/>
  <c r="G199" i="42" s="1"/>
  <c r="D198" i="42"/>
  <c r="G198" i="42" s="1"/>
  <c r="D202" i="42"/>
  <c r="G202" i="42" s="1"/>
  <c r="D204" i="42"/>
  <c r="G204" i="42" s="1"/>
  <c r="D206" i="42"/>
  <c r="G206" i="42" s="1"/>
  <c r="D201" i="42"/>
  <c r="G201" i="42" s="1"/>
  <c r="K191" i="43"/>
  <c r="I185" i="43"/>
  <c r="J185" i="43"/>
  <c r="B206" i="43"/>
  <c r="B199" i="43"/>
  <c r="B200" i="43"/>
  <c r="B203" i="43"/>
  <c r="B202" i="43"/>
  <c r="B204" i="43"/>
  <c r="B201" i="43"/>
  <c r="B198" i="43"/>
  <c r="B205" i="43"/>
  <c r="L191" i="43"/>
  <c r="K193" i="43"/>
  <c r="L193" i="43"/>
  <c r="K186" i="43"/>
  <c r="L186" i="43"/>
  <c r="K190" i="43"/>
  <c r="L190" i="43"/>
  <c r="L188" i="43"/>
  <c r="K188" i="43"/>
  <c r="K192" i="43"/>
  <c r="L192" i="43"/>
  <c r="K187" i="43"/>
  <c r="L187" i="43"/>
  <c r="L189" i="43"/>
  <c r="K189" i="43"/>
  <c r="K194" i="42" l="1"/>
  <c r="O186" i="42" s="1"/>
  <c r="L194" i="42"/>
  <c r="O185" i="42" s="1"/>
  <c r="B204" i="42"/>
  <c r="B201" i="42"/>
  <c r="B202" i="42"/>
  <c r="B200" i="42"/>
  <c r="B199" i="42"/>
  <c r="B203" i="42"/>
  <c r="B205" i="42"/>
  <c r="B206" i="42"/>
  <c r="B198" i="42"/>
  <c r="B211" i="43" a="1"/>
  <c r="L185" i="43"/>
  <c r="L194" i="43" s="1"/>
  <c r="J194" i="43"/>
  <c r="I194" i="43"/>
  <c r="K185" i="43"/>
  <c r="K194" i="43" s="1"/>
  <c r="O187" i="42" l="1"/>
  <c r="N189" i="42" s="1"/>
  <c r="O190" i="42" s="1"/>
  <c r="B211" i="42" a="1"/>
  <c r="O185" i="43"/>
  <c r="O186" i="43"/>
  <c r="B212" i="43"/>
  <c r="F212" i="43" s="1"/>
  <c r="B218" i="43"/>
  <c r="F218" i="43" s="1"/>
  <c r="B211" i="43"/>
  <c r="F211" i="43" s="1"/>
  <c r="B214" i="43"/>
  <c r="F214" i="43" s="1"/>
  <c r="B217" i="43"/>
  <c r="F217" i="43" s="1"/>
  <c r="B219" i="43"/>
  <c r="F219" i="43" s="1"/>
  <c r="B216" i="43"/>
  <c r="F216" i="43" s="1"/>
  <c r="B215" i="43"/>
  <c r="F215" i="43" s="1"/>
  <c r="B213" i="43"/>
  <c r="F213" i="43" s="1"/>
  <c r="N190" i="42" l="1"/>
  <c r="O189" i="42" s="1"/>
  <c r="Q185" i="42" s="1" a="1"/>
  <c r="R187" i="42" s="1"/>
  <c r="B219" i="42"/>
  <c r="F219" i="42" s="1"/>
  <c r="B212" i="42"/>
  <c r="F212" i="42" s="1"/>
  <c r="B217" i="42"/>
  <c r="F217" i="42" s="1"/>
  <c r="B218" i="42"/>
  <c r="F218" i="42" s="1"/>
  <c r="B213" i="42"/>
  <c r="F213" i="42" s="1"/>
  <c r="B216" i="42"/>
  <c r="F216" i="42" s="1"/>
  <c r="B215" i="42"/>
  <c r="F215" i="42" s="1"/>
  <c r="B214" i="42"/>
  <c r="F214" i="42" s="1"/>
  <c r="B211" i="42"/>
  <c r="F211" i="42" s="1"/>
  <c r="O187" i="43"/>
  <c r="N190" i="43" s="1"/>
  <c r="O189" i="43" s="1"/>
  <c r="Q189" i="42" l="1"/>
  <c r="R185" i="42"/>
  <c r="R189" i="42"/>
  <c r="Q191" i="42"/>
  <c r="R192" i="42"/>
  <c r="Q186" i="42"/>
  <c r="Q192" i="42"/>
  <c r="R190" i="42"/>
  <c r="Q187" i="42"/>
  <c r="Q185" i="42"/>
  <c r="R193" i="42"/>
  <c r="Q193" i="42"/>
  <c r="R191" i="42"/>
  <c r="R188" i="42"/>
  <c r="Q190" i="42"/>
  <c r="R186" i="42"/>
  <c r="C198" i="42" s="1" a="1"/>
  <c r="C204" i="42" s="1"/>
  <c r="Q188" i="42"/>
  <c r="N189" i="43"/>
  <c r="O190" i="43" s="1"/>
  <c r="Q185" i="43" a="1"/>
  <c r="A198" i="42" l="1" a="1"/>
  <c r="A203" i="42" s="1"/>
  <c r="F203" i="42" s="1"/>
  <c r="I203" i="42" s="1"/>
  <c r="C205" i="42"/>
  <c r="C200" i="42"/>
  <c r="C199" i="42"/>
  <c r="C202" i="42"/>
  <c r="C198" i="42"/>
  <c r="C201" i="42"/>
  <c r="C206" i="42"/>
  <c r="C203" i="42"/>
  <c r="R191" i="43"/>
  <c r="Q189" i="43"/>
  <c r="Q188" i="43"/>
  <c r="R193" i="43"/>
  <c r="R186" i="43"/>
  <c r="R190" i="43"/>
  <c r="Q192" i="43"/>
  <c r="R189" i="43"/>
  <c r="Q185" i="43"/>
  <c r="R185" i="43"/>
  <c r="Q186" i="43"/>
  <c r="Q187" i="43"/>
  <c r="Q191" i="43"/>
  <c r="R188" i="43"/>
  <c r="Q193" i="43"/>
  <c r="R187" i="43"/>
  <c r="Q190" i="43"/>
  <c r="R192" i="43"/>
  <c r="A198" i="42" l="1"/>
  <c r="F198" i="42" s="1"/>
  <c r="A202" i="42"/>
  <c r="F202" i="42" s="1"/>
  <c r="I202" i="42" s="1"/>
  <c r="A206" i="42"/>
  <c r="F206" i="42" s="1"/>
  <c r="J206" i="42" s="1"/>
  <c r="A200" i="42"/>
  <c r="F200" i="42" s="1"/>
  <c r="J200" i="42" s="1"/>
  <c r="J203" i="42"/>
  <c r="A201" i="42"/>
  <c r="F201" i="42" s="1"/>
  <c r="I201" i="42" s="1"/>
  <c r="A204" i="42"/>
  <c r="F204" i="42" s="1"/>
  <c r="J204" i="42" s="1"/>
  <c r="A205" i="42"/>
  <c r="F205" i="42" s="1"/>
  <c r="I205" i="42" s="1"/>
  <c r="A199" i="42"/>
  <c r="F199" i="42" s="1"/>
  <c r="J199" i="42" s="1"/>
  <c r="C211" i="42" a="1"/>
  <c r="C211" i="42" s="1"/>
  <c r="G211" i="42" s="1"/>
  <c r="I199" i="42"/>
  <c r="L199" i="42" s="1"/>
  <c r="J201" i="42"/>
  <c r="K201" i="42" s="1"/>
  <c r="J202" i="42"/>
  <c r="L202" i="42" s="1"/>
  <c r="I200" i="42"/>
  <c r="L200" i="42" s="1"/>
  <c r="I204" i="42"/>
  <c r="L204" i="42" s="1"/>
  <c r="I206" i="42"/>
  <c r="K206" i="42" s="1"/>
  <c r="B208" i="42"/>
  <c r="K203" i="42"/>
  <c r="I198" i="42"/>
  <c r="J198" i="42"/>
  <c r="L203" i="42"/>
  <c r="C198" i="43" a="1"/>
  <c r="A198" i="43" a="1"/>
  <c r="J205" i="42" l="1"/>
  <c r="K205" i="42" s="1"/>
  <c r="C214" i="42"/>
  <c r="G214" i="42" s="1"/>
  <c r="C212" i="42"/>
  <c r="G212" i="42" s="1"/>
  <c r="I212" i="42" s="1"/>
  <c r="C217" i="42"/>
  <c r="G217" i="42" s="1"/>
  <c r="C213" i="42"/>
  <c r="G213" i="42" s="1"/>
  <c r="I213" i="42" s="1"/>
  <c r="C218" i="42"/>
  <c r="G218" i="42" s="1"/>
  <c r="J218" i="42" s="1"/>
  <c r="C219" i="42"/>
  <c r="G219" i="42" s="1"/>
  <c r="J219" i="42" s="1"/>
  <c r="C216" i="42"/>
  <c r="G216" i="42" s="1"/>
  <c r="I216" i="42" s="1"/>
  <c r="K199" i="42"/>
  <c r="C215" i="42"/>
  <c r="G215" i="42" s="1"/>
  <c r="I215" i="42" s="1"/>
  <c r="L205" i="42"/>
  <c r="L201" i="42"/>
  <c r="K202" i="42"/>
  <c r="J207" i="42"/>
  <c r="K204" i="42"/>
  <c r="K200" i="42"/>
  <c r="L206" i="42"/>
  <c r="J212" i="42"/>
  <c r="J215" i="42"/>
  <c r="J213" i="42"/>
  <c r="J211" i="42"/>
  <c r="I211" i="42"/>
  <c r="I218" i="42"/>
  <c r="J217" i="42"/>
  <c r="I217" i="42"/>
  <c r="J214" i="42"/>
  <c r="I214" i="42"/>
  <c r="L198" i="42"/>
  <c r="I207" i="42"/>
  <c r="K198" i="42"/>
  <c r="C198" i="43"/>
  <c r="C205" i="43"/>
  <c r="C203" i="43"/>
  <c r="C200" i="43"/>
  <c r="C202" i="43"/>
  <c r="C204" i="43"/>
  <c r="C206" i="43"/>
  <c r="C201" i="43"/>
  <c r="C199" i="43"/>
  <c r="A202" i="43"/>
  <c r="F202" i="43" s="1"/>
  <c r="A200" i="43"/>
  <c r="F200" i="43" s="1"/>
  <c r="A198" i="43"/>
  <c r="A203" i="43"/>
  <c r="F203" i="43" s="1"/>
  <c r="A206" i="43"/>
  <c r="F206" i="43" s="1"/>
  <c r="A205" i="43"/>
  <c r="F205" i="43" s="1"/>
  <c r="A199" i="43"/>
  <c r="F199" i="43" s="1"/>
  <c r="A201" i="43"/>
  <c r="F201" i="43" s="1"/>
  <c r="A204" i="43"/>
  <c r="F204" i="43" s="1"/>
  <c r="J216" i="42" l="1"/>
  <c r="I219" i="42"/>
  <c r="L219" i="42" s="1"/>
  <c r="K207" i="42"/>
  <c r="L207" i="42"/>
  <c r="O198" i="42" s="1"/>
  <c r="L215" i="42"/>
  <c r="L213" i="42"/>
  <c r="K212" i="42"/>
  <c r="L217" i="42"/>
  <c r="K217" i="42"/>
  <c r="L211" i="42"/>
  <c r="I220" i="42"/>
  <c r="K211" i="42"/>
  <c r="K216" i="42"/>
  <c r="L216" i="42"/>
  <c r="J220" i="42"/>
  <c r="K215" i="42"/>
  <c r="L214" i="42"/>
  <c r="K214" i="42"/>
  <c r="K219" i="42"/>
  <c r="K218" i="42"/>
  <c r="L218" i="42"/>
  <c r="O199" i="42"/>
  <c r="K213" i="42"/>
  <c r="L212" i="42"/>
  <c r="I203" i="43"/>
  <c r="J203" i="43"/>
  <c r="J199" i="43"/>
  <c r="I199" i="43"/>
  <c r="F198" i="43"/>
  <c r="B208" i="43"/>
  <c r="I205" i="43"/>
  <c r="J205" i="43"/>
  <c r="I200" i="43"/>
  <c r="J200" i="43"/>
  <c r="I204" i="43"/>
  <c r="J204" i="43"/>
  <c r="I206" i="43"/>
  <c r="J206" i="43"/>
  <c r="J202" i="43"/>
  <c r="I202" i="43"/>
  <c r="I201" i="43"/>
  <c r="J201" i="43"/>
  <c r="C211" i="43" a="1"/>
  <c r="O200" i="42" l="1"/>
  <c r="N202" i="42" s="1"/>
  <c r="O203" i="42" s="1"/>
  <c r="L220" i="42"/>
  <c r="K220" i="42"/>
  <c r="L204" i="43"/>
  <c r="K205" i="43"/>
  <c r="K206" i="43"/>
  <c r="L200" i="43"/>
  <c r="L201" i="43"/>
  <c r="K201" i="43"/>
  <c r="I198" i="43"/>
  <c r="J198" i="43"/>
  <c r="J207" i="43" s="1"/>
  <c r="L203" i="43"/>
  <c r="K203" i="43"/>
  <c r="L202" i="43"/>
  <c r="K202" i="43"/>
  <c r="K204" i="43"/>
  <c r="L205" i="43"/>
  <c r="K199" i="43"/>
  <c r="L199" i="43"/>
  <c r="C217" i="43"/>
  <c r="G217" i="43" s="1"/>
  <c r="C219" i="43"/>
  <c r="G219" i="43" s="1"/>
  <c r="C212" i="43"/>
  <c r="G212" i="43" s="1"/>
  <c r="C215" i="43"/>
  <c r="G215" i="43" s="1"/>
  <c r="C218" i="43"/>
  <c r="G218" i="43" s="1"/>
  <c r="C216" i="43"/>
  <c r="G216" i="43" s="1"/>
  <c r="C213" i="43"/>
  <c r="G213" i="43" s="1"/>
  <c r="C214" i="43"/>
  <c r="G214" i="43" s="1"/>
  <c r="C211" i="43"/>
  <c r="G211" i="43" s="1"/>
  <c r="L206" i="43"/>
  <c r="K200" i="43"/>
  <c r="N203" i="42" l="1"/>
  <c r="O202" i="42" s="1"/>
  <c r="Q198" i="42" s="1" a="1"/>
  <c r="I211" i="43"/>
  <c r="J211" i="43"/>
  <c r="J218" i="43"/>
  <c r="I218" i="43"/>
  <c r="I214" i="43"/>
  <c r="J214" i="43"/>
  <c r="J215" i="43"/>
  <c r="I215" i="43"/>
  <c r="I212" i="43"/>
  <c r="J212" i="43"/>
  <c r="I207" i="43"/>
  <c r="K198" i="43"/>
  <c r="K207" i="43" s="1"/>
  <c r="L198" i="43"/>
  <c r="L207" i="43" s="1"/>
  <c r="J213" i="43"/>
  <c r="I213" i="43"/>
  <c r="I216" i="43"/>
  <c r="J216" i="43"/>
  <c r="J219" i="43"/>
  <c r="I219" i="43"/>
  <c r="J217" i="43"/>
  <c r="I217" i="43"/>
  <c r="O198" i="43" l="1"/>
  <c r="O199" i="43"/>
  <c r="Q203" i="42"/>
  <c r="Q204" i="42"/>
  <c r="R204" i="42"/>
  <c r="R198" i="42"/>
  <c r="R203" i="42"/>
  <c r="Q202" i="42"/>
  <c r="R200" i="42"/>
  <c r="R199" i="42"/>
  <c r="Q199" i="42"/>
  <c r="R206" i="42"/>
  <c r="Q206" i="42"/>
  <c r="R202" i="42"/>
  <c r="Q201" i="42"/>
  <c r="Q200" i="42"/>
  <c r="R201" i="42"/>
  <c r="Q198" i="42"/>
  <c r="Q205" i="42"/>
  <c r="R205" i="42"/>
  <c r="K216" i="43"/>
  <c r="K214" i="43"/>
  <c r="L212" i="43"/>
  <c r="K212" i="43"/>
  <c r="L211" i="43"/>
  <c r="I220" i="43"/>
  <c r="L216" i="43"/>
  <c r="K215" i="43"/>
  <c r="L215" i="43"/>
  <c r="L218" i="43"/>
  <c r="K218" i="43"/>
  <c r="K219" i="43"/>
  <c r="L219" i="43"/>
  <c r="K213" i="43"/>
  <c r="L213" i="43"/>
  <c r="L214" i="43"/>
  <c r="K211" i="43"/>
  <c r="J220" i="43"/>
  <c r="K217" i="43"/>
  <c r="L217" i="43"/>
  <c r="O200" i="43" l="1"/>
  <c r="A211" i="42" a="1"/>
  <c r="A213" i="42" s="1"/>
  <c r="D211" i="42" a="1"/>
  <c r="D214" i="42" s="1"/>
  <c r="K220" i="43"/>
  <c r="L220" i="43"/>
  <c r="N203" i="43" l="1"/>
  <c r="O202" i="43" s="1"/>
  <c r="N202" i="43"/>
  <c r="O203" i="43" s="1"/>
  <c r="A211" i="42"/>
  <c r="A215" i="42"/>
  <c r="A217" i="42"/>
  <c r="A216" i="42"/>
  <c r="A218" i="42"/>
  <c r="A214" i="42"/>
  <c r="A212" i="42"/>
  <c r="A219" i="42"/>
  <c r="D218" i="42"/>
  <c r="D217" i="42"/>
  <c r="D219" i="42"/>
  <c r="D215" i="42"/>
  <c r="D213" i="42"/>
  <c r="D211" i="42"/>
  <c r="D212" i="42"/>
  <c r="D216" i="42"/>
  <c r="Q198" i="43" l="1" a="1"/>
  <c r="R204" i="43" s="1"/>
  <c r="B221" i="42"/>
  <c r="O211" i="42" s="1"/>
  <c r="A224" i="42" a="1"/>
  <c r="A227" i="42" s="1"/>
  <c r="D224" i="42" a="1"/>
  <c r="O212" i="42" l="1"/>
  <c r="O213" i="42" s="1"/>
  <c r="R199" i="43"/>
  <c r="Q201" i="43"/>
  <c r="R198" i="43"/>
  <c r="Q202" i="43"/>
  <c r="R200" i="43"/>
  <c r="Q205" i="43"/>
  <c r="R205" i="43"/>
  <c r="Q200" i="43"/>
  <c r="Q206" i="43"/>
  <c r="Q204" i="43"/>
  <c r="Q199" i="43"/>
  <c r="R201" i="43"/>
  <c r="R203" i="43"/>
  <c r="R202" i="43"/>
  <c r="Q203" i="43"/>
  <c r="R206" i="43"/>
  <c r="Q198" i="43"/>
  <c r="A224" i="42"/>
  <c r="A228" i="42"/>
  <c r="A230" i="42"/>
  <c r="A229" i="42"/>
  <c r="A232" i="42"/>
  <c r="A225" i="42"/>
  <c r="A231" i="42"/>
  <c r="A226" i="42"/>
  <c r="D225" i="42"/>
  <c r="G225" i="42" s="1"/>
  <c r="D227" i="42"/>
  <c r="G227" i="42" s="1"/>
  <c r="D230" i="42"/>
  <c r="G230" i="42" s="1"/>
  <c r="D232" i="42"/>
  <c r="G232" i="42" s="1"/>
  <c r="D226" i="42"/>
  <c r="G226" i="42" s="1"/>
  <c r="D228" i="42"/>
  <c r="G228" i="42" s="1"/>
  <c r="D231" i="42"/>
  <c r="G231" i="42" s="1"/>
  <c r="D224" i="42"/>
  <c r="G224" i="42" s="1"/>
  <c r="D229" i="42"/>
  <c r="G229" i="42" s="1"/>
  <c r="A211" i="43" l="1" a="1"/>
  <c r="A218" i="43" s="1"/>
  <c r="D211" i="43" a="1"/>
  <c r="D218" i="43" s="1"/>
  <c r="A237" i="42" a="1"/>
  <c r="A239" i="42" s="1"/>
  <c r="B234" i="42"/>
  <c r="N215" i="42"/>
  <c r="O216" i="42" s="1"/>
  <c r="N216" i="42"/>
  <c r="O215" i="42" s="1"/>
  <c r="A214" i="43" l="1"/>
  <c r="A213" i="43"/>
  <c r="A216" i="43"/>
  <c r="A211" i="43"/>
  <c r="A219" i="43"/>
  <c r="D212" i="43"/>
  <c r="A217" i="43"/>
  <c r="A215" i="43"/>
  <c r="A212" i="43"/>
  <c r="D216" i="43"/>
  <c r="D217" i="43"/>
  <c r="D219" i="43"/>
  <c r="D214" i="43"/>
  <c r="D213" i="43"/>
  <c r="D211" i="43"/>
  <c r="D215" i="43"/>
  <c r="A237" i="42"/>
  <c r="A241" i="42"/>
  <c r="A238" i="42"/>
  <c r="A245" i="42"/>
  <c r="A243" i="42"/>
  <c r="A242" i="42"/>
  <c r="A244" i="42"/>
  <c r="A240" i="42"/>
  <c r="Q211" i="42" a="1"/>
  <c r="R219" i="42" s="1"/>
  <c r="A224" i="43" l="1" a="1"/>
  <c r="A230" i="43" s="1"/>
  <c r="B221" i="43"/>
  <c r="O212" i="43" s="1"/>
  <c r="D224" i="43" a="1"/>
  <c r="D232" i="43" s="1"/>
  <c r="G232" i="43" s="1"/>
  <c r="A250" i="42" a="1"/>
  <c r="A256" i="42" s="1"/>
  <c r="F256" i="42" s="1"/>
  <c r="B247" i="42"/>
  <c r="Q211" i="42"/>
  <c r="R213" i="42"/>
  <c r="R218" i="42"/>
  <c r="Q217" i="42"/>
  <c r="Q212" i="42"/>
  <c r="Q216" i="42"/>
  <c r="Q218" i="42"/>
  <c r="R212" i="42"/>
  <c r="Q213" i="42"/>
  <c r="R216" i="42"/>
  <c r="Q215" i="42"/>
  <c r="R214" i="42"/>
  <c r="Q214" i="42"/>
  <c r="Q219" i="42"/>
  <c r="R211" i="42"/>
  <c r="R217" i="42"/>
  <c r="R215" i="42"/>
  <c r="O211" i="43" l="1"/>
  <c r="O213" i="43" s="1"/>
  <c r="N215" i="43" s="1"/>
  <c r="O216" i="43" s="1"/>
  <c r="A228" i="43"/>
  <c r="A227" i="43"/>
  <c r="A224" i="43"/>
  <c r="A225" i="43"/>
  <c r="A231" i="43"/>
  <c r="A226" i="43"/>
  <c r="A229" i="43"/>
  <c r="A232" i="43"/>
  <c r="D225" i="43"/>
  <c r="G225" i="43" s="1"/>
  <c r="D231" i="43"/>
  <c r="G231" i="43" s="1"/>
  <c r="D229" i="43"/>
  <c r="G229" i="43" s="1"/>
  <c r="D228" i="43"/>
  <c r="G228" i="43" s="1"/>
  <c r="D226" i="43"/>
  <c r="G226" i="43" s="1"/>
  <c r="D227" i="43"/>
  <c r="G227" i="43" s="1"/>
  <c r="D224" i="43"/>
  <c r="G224" i="43" s="1"/>
  <c r="D230" i="43"/>
  <c r="G230" i="43" s="1"/>
  <c r="A253" i="42"/>
  <c r="F253" i="42" s="1"/>
  <c r="A252" i="42"/>
  <c r="F252" i="42" s="1"/>
  <c r="A258" i="42"/>
  <c r="F258" i="42" s="1"/>
  <c r="A255" i="42"/>
  <c r="F255" i="42" s="1"/>
  <c r="A254" i="42"/>
  <c r="F254" i="42" s="1"/>
  <c r="A257" i="42"/>
  <c r="F257" i="42" s="1"/>
  <c r="A251" i="42"/>
  <c r="F251" i="42" s="1"/>
  <c r="A250" i="42"/>
  <c r="C224" i="42" a="1"/>
  <c r="C231" i="42" s="1"/>
  <c r="B224" i="42" a="1"/>
  <c r="B230" i="42" s="1"/>
  <c r="F230" i="42" s="1"/>
  <c r="B234" i="43" l="1"/>
  <c r="A237" i="43" a="1"/>
  <c r="A242" i="43" s="1"/>
  <c r="N216" i="43"/>
  <c r="O215" i="43" s="1"/>
  <c r="Q211" i="43" s="1" a="1"/>
  <c r="Q216" i="43" s="1"/>
  <c r="B260" i="42"/>
  <c r="F250" i="42"/>
  <c r="C226" i="42"/>
  <c r="B224" i="42"/>
  <c r="F224" i="42" s="1"/>
  <c r="J224" i="42" s="1"/>
  <c r="C225" i="42"/>
  <c r="C224" i="42"/>
  <c r="B228" i="42"/>
  <c r="F228" i="42" s="1"/>
  <c r="I228" i="42" s="1"/>
  <c r="B229" i="42"/>
  <c r="F229" i="42" s="1"/>
  <c r="J229" i="42" s="1"/>
  <c r="C232" i="42"/>
  <c r="B232" i="42"/>
  <c r="F232" i="42" s="1"/>
  <c r="I232" i="42" s="1"/>
  <c r="C230" i="42"/>
  <c r="C229" i="42"/>
  <c r="B231" i="42"/>
  <c r="F231" i="42" s="1"/>
  <c r="J231" i="42" s="1"/>
  <c r="B225" i="42"/>
  <c r="F225" i="42" s="1"/>
  <c r="J225" i="42" s="1"/>
  <c r="C228" i="42"/>
  <c r="C227" i="42"/>
  <c r="B226" i="42"/>
  <c r="F226" i="42" s="1"/>
  <c r="J226" i="42" s="1"/>
  <c r="B227" i="42"/>
  <c r="F227" i="42" s="1"/>
  <c r="J227" i="42" s="1"/>
  <c r="J230" i="42"/>
  <c r="I230" i="42"/>
  <c r="A243" i="43" l="1"/>
  <c r="A244" i="43"/>
  <c r="A241" i="43"/>
  <c r="A238" i="43"/>
  <c r="A240" i="43"/>
  <c r="A237" i="43"/>
  <c r="A245" i="43"/>
  <c r="A239" i="43"/>
  <c r="B247" i="43" s="1"/>
  <c r="R213" i="43"/>
  <c r="R211" i="43"/>
  <c r="I224" i="42"/>
  <c r="L224" i="42" s="1"/>
  <c r="R212" i="43"/>
  <c r="I229" i="42"/>
  <c r="L229" i="42" s="1"/>
  <c r="Q211" i="43"/>
  <c r="Q214" i="43"/>
  <c r="R219" i="43"/>
  <c r="R218" i="43"/>
  <c r="Q217" i="43"/>
  <c r="Q213" i="43"/>
  <c r="Q219" i="43"/>
  <c r="Q212" i="43"/>
  <c r="Q215" i="43"/>
  <c r="R217" i="43"/>
  <c r="R216" i="43"/>
  <c r="R215" i="43"/>
  <c r="R214" i="43"/>
  <c r="J228" i="42"/>
  <c r="K228" i="42" s="1"/>
  <c r="Q218" i="43"/>
  <c r="J232" i="42"/>
  <c r="L232" i="42" s="1"/>
  <c r="I226" i="42"/>
  <c r="K226" i="42" s="1"/>
  <c r="I231" i="42"/>
  <c r="K231" i="42" s="1"/>
  <c r="C237" i="42" a="1"/>
  <c r="C245" i="42" s="1"/>
  <c r="F245" i="42" s="1"/>
  <c r="I225" i="42"/>
  <c r="I227" i="42"/>
  <c r="K227" i="42" s="1"/>
  <c r="L230" i="42"/>
  <c r="K230" i="42"/>
  <c r="K224" i="42" l="1"/>
  <c r="A250" i="43" a="1"/>
  <c r="A251" i="43" s="1"/>
  <c r="F251" i="43" s="1"/>
  <c r="K229" i="42"/>
  <c r="B224" i="43" a="1"/>
  <c r="B225" i="43" s="1"/>
  <c r="F225" i="43" s="1"/>
  <c r="I225" i="43" s="1"/>
  <c r="C224" i="43" a="1"/>
  <c r="C229" i="43" s="1"/>
  <c r="L228" i="42"/>
  <c r="J233" i="42"/>
  <c r="K232" i="42"/>
  <c r="L226" i="42"/>
  <c r="L227" i="42"/>
  <c r="C242" i="42"/>
  <c r="F242" i="42" s="1"/>
  <c r="L231" i="42"/>
  <c r="I233" i="42"/>
  <c r="C240" i="42"/>
  <c r="F240" i="42" s="1"/>
  <c r="C237" i="42"/>
  <c r="F237" i="42" s="1"/>
  <c r="C241" i="42"/>
  <c r="F241" i="42" s="1"/>
  <c r="K225" i="42"/>
  <c r="L225" i="42"/>
  <c r="C243" i="42"/>
  <c r="F243" i="42" s="1"/>
  <c r="C238" i="42"/>
  <c r="F238" i="42" s="1"/>
  <c r="C239" i="42"/>
  <c r="F239" i="42" s="1"/>
  <c r="C244" i="42"/>
  <c r="F244" i="42" s="1"/>
  <c r="A253" i="43" l="1"/>
  <c r="F253" i="43" s="1"/>
  <c r="A250" i="43"/>
  <c r="F250" i="43" s="1"/>
  <c r="A255" i="43"/>
  <c r="F255" i="43" s="1"/>
  <c r="A257" i="43"/>
  <c r="F257" i="43" s="1"/>
  <c r="A258" i="43"/>
  <c r="F258" i="43" s="1"/>
  <c r="A256" i="43"/>
  <c r="F256" i="43" s="1"/>
  <c r="A254" i="43"/>
  <c r="F254" i="43" s="1"/>
  <c r="A252" i="43"/>
  <c r="F252" i="43" s="1"/>
  <c r="J225" i="43"/>
  <c r="K225" i="43" s="1"/>
  <c r="C228" i="43"/>
  <c r="C231" i="43"/>
  <c r="C225" i="43"/>
  <c r="C230" i="43"/>
  <c r="C227" i="43"/>
  <c r="C232" i="43"/>
  <c r="C226" i="43"/>
  <c r="C224" i="43"/>
  <c r="B224" i="43"/>
  <c r="F224" i="43" s="1"/>
  <c r="J224" i="43" s="1"/>
  <c r="B226" i="43"/>
  <c r="F226" i="43" s="1"/>
  <c r="J226" i="43" s="1"/>
  <c r="B229" i="43"/>
  <c r="F229" i="43" s="1"/>
  <c r="J229" i="43" s="1"/>
  <c r="B228" i="43"/>
  <c r="F228" i="43" s="1"/>
  <c r="J228" i="43" s="1"/>
  <c r="B230" i="43"/>
  <c r="F230" i="43" s="1"/>
  <c r="I230" i="43" s="1"/>
  <c r="B227" i="43"/>
  <c r="F227" i="43" s="1"/>
  <c r="I227" i="43" s="1"/>
  <c r="B231" i="43"/>
  <c r="F231" i="43" s="1"/>
  <c r="I231" i="43" s="1"/>
  <c r="B232" i="43"/>
  <c r="F232" i="43" s="1"/>
  <c r="J232" i="43" s="1"/>
  <c r="K233" i="42"/>
  <c r="O225" i="42" s="1"/>
  <c r="L233" i="42"/>
  <c r="O224" i="42" s="1"/>
  <c r="B260" i="43"/>
  <c r="C237" i="43" l="1" a="1"/>
  <c r="C240" i="43" s="1"/>
  <c r="F240" i="43" s="1"/>
  <c r="L225" i="43"/>
  <c r="O226" i="42"/>
  <c r="N229" i="42" s="1"/>
  <c r="O228" i="42" s="1"/>
  <c r="I229" i="43"/>
  <c r="K229" i="43" s="1"/>
  <c r="I228" i="43"/>
  <c r="K228" i="43" s="1"/>
  <c r="I224" i="43"/>
  <c r="L224" i="43" s="1"/>
  <c r="J230" i="43"/>
  <c r="K230" i="43" s="1"/>
  <c r="I226" i="43"/>
  <c r="L226" i="43" s="1"/>
  <c r="J231" i="43"/>
  <c r="K231" i="43" s="1"/>
  <c r="J227" i="43"/>
  <c r="K227" i="43" s="1"/>
  <c r="I232" i="43"/>
  <c r="K232" i="43" s="1"/>
  <c r="L228" i="43" l="1"/>
  <c r="J233" i="43"/>
  <c r="I233" i="43"/>
  <c r="N228" i="42"/>
  <c r="O229" i="42" s="1"/>
  <c r="C237" i="43"/>
  <c r="F237" i="43" s="1"/>
  <c r="C238" i="43"/>
  <c r="F238" i="43" s="1"/>
  <c r="C243" i="43"/>
  <c r="F243" i="43" s="1"/>
  <c r="C242" i="43"/>
  <c r="F242" i="43" s="1"/>
  <c r="C241" i="43"/>
  <c r="F241" i="43" s="1"/>
  <c r="C244" i="43"/>
  <c r="F244" i="43" s="1"/>
  <c r="C245" i="43"/>
  <c r="F245" i="43" s="1"/>
  <c r="C239" i="43"/>
  <c r="F239" i="43" s="1"/>
  <c r="K224" i="43"/>
  <c r="L230" i="43"/>
  <c r="L229" i="43"/>
  <c r="L232" i="43"/>
  <c r="K226" i="43"/>
  <c r="L227" i="43"/>
  <c r="L231" i="43"/>
  <c r="Q224" i="42" a="1"/>
  <c r="Q232" i="42" s="1"/>
  <c r="L233" i="43" l="1"/>
  <c r="O224" i="43" s="1"/>
  <c r="K233" i="43"/>
  <c r="O225" i="43" s="1"/>
  <c r="Q229" i="42"/>
  <c r="R228" i="42"/>
  <c r="R230" i="42"/>
  <c r="Q230" i="42"/>
  <c r="Q225" i="42"/>
  <c r="R224" i="42"/>
  <c r="R232" i="42"/>
  <c r="Q227" i="42"/>
  <c r="R225" i="42"/>
  <c r="R227" i="42"/>
  <c r="Q231" i="42"/>
  <c r="Q226" i="42"/>
  <c r="Q224" i="42"/>
  <c r="R229" i="42"/>
  <c r="Q228" i="42"/>
  <c r="R231" i="42"/>
  <c r="R226" i="42"/>
  <c r="O226" i="43" l="1"/>
  <c r="N228" i="43" s="1"/>
  <c r="O229" i="43" s="1"/>
  <c r="B237" i="42" a="1"/>
  <c r="B243" i="42" s="1"/>
  <c r="D237" i="42" a="1"/>
  <c r="N229" i="43" l="1"/>
  <c r="O228" i="43" s="1"/>
  <c r="Q224" i="43" s="1" a="1"/>
  <c r="R229" i="43" s="1"/>
  <c r="B241" i="42"/>
  <c r="B240" i="42"/>
  <c r="B239" i="42"/>
  <c r="B237" i="42"/>
  <c r="B238" i="42"/>
  <c r="B244" i="42"/>
  <c r="B242" i="42"/>
  <c r="B245" i="42"/>
  <c r="D238" i="42"/>
  <c r="G238" i="42" s="1"/>
  <c r="D240" i="42"/>
  <c r="G240" i="42" s="1"/>
  <c r="D245" i="42"/>
  <c r="G245" i="42" s="1"/>
  <c r="D237" i="42"/>
  <c r="G237" i="42" s="1"/>
  <c r="D244" i="42"/>
  <c r="G244" i="42" s="1"/>
  <c r="D241" i="42"/>
  <c r="G241" i="42" s="1"/>
  <c r="D243" i="42"/>
  <c r="G243" i="42" s="1"/>
  <c r="D239" i="42"/>
  <c r="G239" i="42" s="1"/>
  <c r="D242" i="42"/>
  <c r="G242" i="42" s="1"/>
  <c r="Q227" i="43" l="1"/>
  <c r="Q229" i="43"/>
  <c r="R224" i="43"/>
  <c r="Q231" i="43"/>
  <c r="R227" i="43"/>
  <c r="R228" i="43"/>
  <c r="Q224" i="43"/>
  <c r="Q228" i="43"/>
  <c r="Q226" i="43"/>
  <c r="Q230" i="43"/>
  <c r="Q232" i="43"/>
  <c r="R225" i="43"/>
  <c r="R231" i="43"/>
  <c r="R226" i="43"/>
  <c r="R230" i="43"/>
  <c r="Q225" i="43"/>
  <c r="B237" i="43" s="1" a="1"/>
  <c r="B241" i="43" s="1"/>
  <c r="R232" i="43"/>
  <c r="B250" i="42" a="1"/>
  <c r="B257" i="42" s="1"/>
  <c r="G257" i="42" s="1"/>
  <c r="J257" i="42" s="1"/>
  <c r="J239" i="42"/>
  <c r="I239" i="42"/>
  <c r="J237" i="42"/>
  <c r="I237" i="42"/>
  <c r="J243" i="42"/>
  <c r="I243" i="42"/>
  <c r="I245" i="42"/>
  <c r="J245" i="42"/>
  <c r="I241" i="42"/>
  <c r="J241" i="42"/>
  <c r="I240" i="42"/>
  <c r="J240" i="42"/>
  <c r="J242" i="42"/>
  <c r="I242" i="42"/>
  <c r="J244" i="42"/>
  <c r="I244" i="42"/>
  <c r="J238" i="42"/>
  <c r="I238" i="42"/>
  <c r="D237" i="43" a="1"/>
  <c r="D244" i="43" s="1"/>
  <c r="G244" i="43" s="1"/>
  <c r="B255" i="42" l="1"/>
  <c r="G255" i="42" s="1"/>
  <c r="J255" i="42" s="1"/>
  <c r="B253" i="42"/>
  <c r="G253" i="42" s="1"/>
  <c r="I253" i="42" s="1"/>
  <c r="B258" i="42"/>
  <c r="G258" i="42" s="1"/>
  <c r="J258" i="42" s="1"/>
  <c r="I257" i="42"/>
  <c r="B251" i="42"/>
  <c r="G251" i="42" s="1"/>
  <c r="B252" i="42"/>
  <c r="G252" i="42" s="1"/>
  <c r="B250" i="42"/>
  <c r="G250" i="42" s="1"/>
  <c r="J250" i="42" s="1"/>
  <c r="B254" i="42"/>
  <c r="G254" i="42" s="1"/>
  <c r="B256" i="42"/>
  <c r="G256" i="42" s="1"/>
  <c r="K244" i="42"/>
  <c r="L244" i="42"/>
  <c r="K237" i="42"/>
  <c r="I246" i="42"/>
  <c r="L237" i="42"/>
  <c r="K240" i="42"/>
  <c r="L240" i="42"/>
  <c r="K245" i="42"/>
  <c r="L245" i="42"/>
  <c r="J246" i="42"/>
  <c r="L238" i="42"/>
  <c r="K238" i="42"/>
  <c r="L242" i="42"/>
  <c r="K242" i="42"/>
  <c r="L243" i="42"/>
  <c r="K243" i="42"/>
  <c r="K239" i="42"/>
  <c r="L239" i="42"/>
  <c r="L241" i="42"/>
  <c r="K241" i="42"/>
  <c r="B242" i="43"/>
  <c r="B243" i="43"/>
  <c r="B239" i="43"/>
  <c r="B238" i="43"/>
  <c r="B245" i="43"/>
  <c r="B237" i="43"/>
  <c r="B240" i="43"/>
  <c r="B244" i="43"/>
  <c r="D237" i="43"/>
  <c r="G237" i="43" s="1"/>
  <c r="J237" i="43" s="1"/>
  <c r="D240" i="43"/>
  <c r="G240" i="43" s="1"/>
  <c r="J240" i="43" s="1"/>
  <c r="D239" i="43"/>
  <c r="G239" i="43" s="1"/>
  <c r="I239" i="43" s="1"/>
  <c r="D238" i="43"/>
  <c r="G238" i="43" s="1"/>
  <c r="I238" i="43" s="1"/>
  <c r="D245" i="43"/>
  <c r="G245" i="43" s="1"/>
  <c r="I245" i="43" s="1"/>
  <c r="D241" i="43"/>
  <c r="G241" i="43" s="1"/>
  <c r="J241" i="43" s="1"/>
  <c r="D243" i="43"/>
  <c r="G243" i="43" s="1"/>
  <c r="I243" i="43" s="1"/>
  <c r="D242" i="43"/>
  <c r="G242" i="43" s="1"/>
  <c r="J242" i="43" s="1"/>
  <c r="J244" i="43"/>
  <c r="I244" i="43"/>
  <c r="I258" i="42" l="1"/>
  <c r="J253" i="42"/>
  <c r="K253" i="42" s="1"/>
  <c r="I255" i="42"/>
  <c r="L255" i="42" s="1"/>
  <c r="I250" i="42"/>
  <c r="L250" i="42" s="1"/>
  <c r="J256" i="42"/>
  <c r="I256" i="42"/>
  <c r="J254" i="42"/>
  <c r="I254" i="42"/>
  <c r="L257" i="42"/>
  <c r="K257" i="42"/>
  <c r="J252" i="42"/>
  <c r="I252" i="42"/>
  <c r="I251" i="42"/>
  <c r="J251" i="42"/>
  <c r="K258" i="42"/>
  <c r="L258" i="42"/>
  <c r="K246" i="42"/>
  <c r="O238" i="42" s="1"/>
  <c r="L246" i="42"/>
  <c r="O237" i="42" s="1"/>
  <c r="I240" i="43"/>
  <c r="L240" i="43" s="1"/>
  <c r="I241" i="43"/>
  <c r="L241" i="43" s="1"/>
  <c r="J243" i="43"/>
  <c r="K243" i="43" s="1"/>
  <c r="J239" i="43"/>
  <c r="K239" i="43" s="1"/>
  <c r="I237" i="43"/>
  <c r="K237" i="43" s="1"/>
  <c r="B250" i="43" a="1"/>
  <c r="B256" i="43" s="1"/>
  <c r="G256" i="43" s="1"/>
  <c r="I256" i="43" s="1"/>
  <c r="I242" i="43"/>
  <c r="K242" i="43" s="1"/>
  <c r="J238" i="43"/>
  <c r="K238" i="43" s="1"/>
  <c r="J245" i="43"/>
  <c r="K245" i="43" s="1"/>
  <c r="L244" i="43"/>
  <c r="K244" i="43"/>
  <c r="J259" i="42" l="1"/>
  <c r="L253" i="42"/>
  <c r="K255" i="42"/>
  <c r="K241" i="43"/>
  <c r="K250" i="42"/>
  <c r="I259" i="42"/>
  <c r="L252" i="42"/>
  <c r="K252" i="42"/>
  <c r="L254" i="42"/>
  <c r="K254" i="42"/>
  <c r="L256" i="42"/>
  <c r="K256" i="42"/>
  <c r="K251" i="42"/>
  <c r="L251" i="42"/>
  <c r="O239" i="42"/>
  <c r="K240" i="43"/>
  <c r="K246" i="43" s="1"/>
  <c r="L239" i="43"/>
  <c r="L243" i="43"/>
  <c r="L237" i="43"/>
  <c r="L238" i="43"/>
  <c r="I246" i="43"/>
  <c r="B255" i="43"/>
  <c r="G255" i="43" s="1"/>
  <c r="J255" i="43" s="1"/>
  <c r="B254" i="43"/>
  <c r="G254" i="43" s="1"/>
  <c r="J254" i="43" s="1"/>
  <c r="B253" i="43"/>
  <c r="G253" i="43" s="1"/>
  <c r="I253" i="43" s="1"/>
  <c r="B251" i="43"/>
  <c r="G251" i="43" s="1"/>
  <c r="I251" i="43" s="1"/>
  <c r="J256" i="43"/>
  <c r="K256" i="43" s="1"/>
  <c r="B250" i="43"/>
  <c r="G250" i="43" s="1"/>
  <c r="I250" i="43" s="1"/>
  <c r="B258" i="43"/>
  <c r="G258" i="43" s="1"/>
  <c r="J258" i="43" s="1"/>
  <c r="B252" i="43"/>
  <c r="G252" i="43" s="1"/>
  <c r="B257" i="43"/>
  <c r="G257" i="43" s="1"/>
  <c r="I257" i="43" s="1"/>
  <c r="L242" i="43"/>
  <c r="J246" i="43"/>
  <c r="L245" i="43"/>
  <c r="K259" i="42" l="1"/>
  <c r="O251" i="42" s="1"/>
  <c r="L259" i="42"/>
  <c r="I255" i="43"/>
  <c r="L255" i="43" s="1"/>
  <c r="O250" i="42"/>
  <c r="O238" i="43"/>
  <c r="N242" i="42"/>
  <c r="O241" i="42" s="1"/>
  <c r="N241" i="42"/>
  <c r="O242" i="42" s="1"/>
  <c r="Q237" i="42" s="1" a="1"/>
  <c r="J253" i="43"/>
  <c r="K253" i="43" s="1"/>
  <c r="L256" i="43"/>
  <c r="J251" i="43"/>
  <c r="L251" i="43" s="1"/>
  <c r="I254" i="43"/>
  <c r="J250" i="43"/>
  <c r="K250" i="43" s="1"/>
  <c r="L246" i="43"/>
  <c r="O237" i="43" s="1"/>
  <c r="I258" i="43"/>
  <c r="I252" i="43"/>
  <c r="J252" i="43"/>
  <c r="J257" i="43"/>
  <c r="L257" i="43" s="1"/>
  <c r="K255" i="43" l="1"/>
  <c r="O252" i="42"/>
  <c r="N254" i="42" s="1"/>
  <c r="O255" i="42" s="1"/>
  <c r="O239" i="43"/>
  <c r="N242" i="43" s="1"/>
  <c r="O241" i="43" s="1"/>
  <c r="K251" i="43"/>
  <c r="R245" i="42"/>
  <c r="R237" i="42"/>
  <c r="Q239" i="42"/>
  <c r="R240" i="42"/>
  <c r="R243" i="42"/>
  <c r="Q245" i="42"/>
  <c r="Q237" i="42"/>
  <c r="R238" i="42"/>
  <c r="Q238" i="42"/>
  <c r="Q243" i="42"/>
  <c r="R244" i="42"/>
  <c r="Q244" i="42"/>
  <c r="R242" i="42"/>
  <c r="Q242" i="42"/>
  <c r="R241" i="42"/>
  <c r="R239" i="42"/>
  <c r="Q241" i="42"/>
  <c r="Q240" i="42"/>
  <c r="L253" i="43"/>
  <c r="I259" i="43"/>
  <c r="K254" i="43"/>
  <c r="L254" i="43"/>
  <c r="L250" i="43"/>
  <c r="L258" i="43"/>
  <c r="K258" i="43"/>
  <c r="J259" i="43"/>
  <c r="K252" i="43"/>
  <c r="L252" i="43"/>
  <c r="K257" i="43"/>
  <c r="N255" i="42" l="1"/>
  <c r="O254" i="42" s="1"/>
  <c r="Q250" i="42" s="1" a="1"/>
  <c r="N241" i="43"/>
  <c r="O242" i="43" s="1"/>
  <c r="C250" i="42" a="1"/>
  <c r="D250" i="42" a="1"/>
  <c r="L259" i="43"/>
  <c r="O250" i="43" s="1"/>
  <c r="K259" i="43"/>
  <c r="O251" i="43" s="1"/>
  <c r="Q257" i="42" l="1"/>
  <c r="Q253" i="42"/>
  <c r="Q252" i="42"/>
  <c r="R251" i="42"/>
  <c r="R250" i="42"/>
  <c r="Q250" i="42"/>
  <c r="Q258" i="42"/>
  <c r="Q254" i="42"/>
  <c r="R257" i="42"/>
  <c r="R258" i="42"/>
  <c r="R252" i="42"/>
  <c r="Q255" i="42"/>
  <c r="R253" i="42"/>
  <c r="R255" i="42"/>
  <c r="Q256" i="42"/>
  <c r="R254" i="42"/>
  <c r="Q251" i="42"/>
  <c r="R256" i="42"/>
  <c r="O252" i="43"/>
  <c r="D256" i="42"/>
  <c r="D254" i="42"/>
  <c r="D252" i="42"/>
  <c r="D258" i="42"/>
  <c r="D257" i="42"/>
  <c r="D250" i="42"/>
  <c r="D255" i="42"/>
  <c r="D253" i="42"/>
  <c r="D251" i="42"/>
  <c r="C251" i="42"/>
  <c r="C257" i="42"/>
  <c r="C258" i="42"/>
  <c r="C253" i="42"/>
  <c r="C254" i="42"/>
  <c r="C256" i="42"/>
  <c r="C255" i="42"/>
  <c r="C250" i="42"/>
  <c r="C252" i="42"/>
  <c r="Q237" i="43" a="1"/>
  <c r="Q243" i="43" s="1"/>
  <c r="A263" i="42" l="1" a="1"/>
  <c r="A265" i="42" s="1"/>
  <c r="F265" i="42" s="1"/>
  <c r="B263" i="42" a="1"/>
  <c r="N255" i="43"/>
  <c r="O254" i="43" s="1"/>
  <c r="N254" i="43"/>
  <c r="O255" i="43" s="1"/>
  <c r="D263" i="42" a="1"/>
  <c r="C263" i="42" a="1"/>
  <c r="Q242" i="43"/>
  <c r="Q244" i="43"/>
  <c r="R238" i="43"/>
  <c r="Q237" i="43"/>
  <c r="R241" i="43"/>
  <c r="R237" i="43"/>
  <c r="R239" i="43"/>
  <c r="Q240" i="43"/>
  <c r="R244" i="43"/>
  <c r="Q245" i="43"/>
  <c r="R243" i="43"/>
  <c r="Q241" i="43"/>
  <c r="R240" i="43"/>
  <c r="R242" i="43"/>
  <c r="Q239" i="43"/>
  <c r="R245" i="43"/>
  <c r="Q238" i="43"/>
  <c r="A264" i="42" l="1"/>
  <c r="F264" i="42" s="1"/>
  <c r="A269" i="42"/>
  <c r="F269" i="42" s="1"/>
  <c r="A270" i="42"/>
  <c r="F270" i="42" s="1"/>
  <c r="A267" i="42"/>
  <c r="F267" i="42" s="1"/>
  <c r="A268" i="42"/>
  <c r="F268" i="42" s="1"/>
  <c r="A266" i="42"/>
  <c r="F266" i="42" s="1"/>
  <c r="A263" i="42"/>
  <c r="F263" i="42" s="1"/>
  <c r="A271" i="42"/>
  <c r="F271" i="42" s="1"/>
  <c r="B267" i="42"/>
  <c r="B268" i="42"/>
  <c r="B263" i="42"/>
  <c r="B265" i="42"/>
  <c r="B271" i="42"/>
  <c r="B270" i="42"/>
  <c r="B266" i="42"/>
  <c r="B269" i="42"/>
  <c r="B264" i="42"/>
  <c r="Q250" i="43" a="1"/>
  <c r="R251" i="43" s="1"/>
  <c r="C270" i="42"/>
  <c r="G270" i="42" s="1"/>
  <c r="C269" i="42"/>
  <c r="G269" i="42" s="1"/>
  <c r="C271" i="42"/>
  <c r="G271" i="42" s="1"/>
  <c r="C266" i="42"/>
  <c r="G266" i="42" s="1"/>
  <c r="C265" i="42"/>
  <c r="G265" i="42" s="1"/>
  <c r="C267" i="42"/>
  <c r="G267" i="42" s="1"/>
  <c r="C263" i="42"/>
  <c r="G263" i="42" s="1"/>
  <c r="C264" i="42"/>
  <c r="G264" i="42" s="1"/>
  <c r="C268" i="42"/>
  <c r="G268" i="42" s="1"/>
  <c r="D271" i="42"/>
  <c r="D264" i="42"/>
  <c r="D267" i="42"/>
  <c r="D269" i="42"/>
  <c r="D263" i="42"/>
  <c r="D265" i="42"/>
  <c r="D268" i="42"/>
  <c r="D266" i="42"/>
  <c r="D270" i="42"/>
  <c r="D250" i="43" a="1"/>
  <c r="D256" i="43" s="1"/>
  <c r="C250" i="43" a="1"/>
  <c r="C256" i="43" s="1"/>
  <c r="B273" i="42" l="1"/>
  <c r="B276" i="42" a="1"/>
  <c r="R254" i="43"/>
  <c r="Q255" i="43"/>
  <c r="Q256" i="43"/>
  <c r="Q257" i="43"/>
  <c r="R255" i="43"/>
  <c r="Q252" i="43"/>
  <c r="Q253" i="43"/>
  <c r="R253" i="43"/>
  <c r="Q250" i="43"/>
  <c r="Q258" i="43"/>
  <c r="R258" i="43"/>
  <c r="R250" i="43"/>
  <c r="Q254" i="43"/>
  <c r="Q251" i="43"/>
  <c r="R256" i="43"/>
  <c r="R257" i="43"/>
  <c r="R252" i="43"/>
  <c r="I264" i="42"/>
  <c r="J264" i="42"/>
  <c r="I266" i="42"/>
  <c r="J266" i="42"/>
  <c r="I263" i="42"/>
  <c r="J263" i="42"/>
  <c r="J271" i="42"/>
  <c r="I271" i="42"/>
  <c r="D276" i="42" a="1"/>
  <c r="J267" i="42"/>
  <c r="I267" i="42"/>
  <c r="I269" i="42"/>
  <c r="J269" i="42"/>
  <c r="J268" i="42"/>
  <c r="I268" i="42"/>
  <c r="I265" i="42"/>
  <c r="J265" i="42"/>
  <c r="J270" i="42"/>
  <c r="I270" i="42"/>
  <c r="C252" i="43"/>
  <c r="D254" i="43"/>
  <c r="C253" i="43"/>
  <c r="D250" i="43"/>
  <c r="C251" i="43"/>
  <c r="C255" i="43"/>
  <c r="D251" i="43"/>
  <c r="D255" i="43"/>
  <c r="C254" i="43"/>
  <c r="D252" i="43"/>
  <c r="D258" i="43"/>
  <c r="C258" i="43"/>
  <c r="D253" i="43"/>
  <c r="D257" i="43"/>
  <c r="C257" i="43"/>
  <c r="C250" i="43"/>
  <c r="B277" i="42" l="1"/>
  <c r="B284" i="42"/>
  <c r="B280" i="42"/>
  <c r="B276" i="42"/>
  <c r="B283" i="42"/>
  <c r="B279" i="42"/>
  <c r="B278" i="42"/>
  <c r="B282" i="42"/>
  <c r="B281" i="42"/>
  <c r="B263" i="43" a="1"/>
  <c r="B270" i="43" s="1"/>
  <c r="A263" i="43" a="1"/>
  <c r="A270" i="43" s="1"/>
  <c r="F270" i="43" s="1"/>
  <c r="L265" i="42"/>
  <c r="L271" i="42"/>
  <c r="K271" i="42"/>
  <c r="K265" i="42"/>
  <c r="K270" i="42"/>
  <c r="L270" i="42"/>
  <c r="K268" i="42"/>
  <c r="L268" i="42"/>
  <c r="L267" i="42"/>
  <c r="K267" i="42"/>
  <c r="K266" i="42"/>
  <c r="L266" i="42"/>
  <c r="K269" i="42"/>
  <c r="L269" i="42"/>
  <c r="J272" i="42"/>
  <c r="D277" i="42"/>
  <c r="G277" i="42" s="1"/>
  <c r="D283" i="42"/>
  <c r="G283" i="42" s="1"/>
  <c r="D284" i="42"/>
  <c r="G284" i="42" s="1"/>
  <c r="D279" i="42"/>
  <c r="G279" i="42" s="1"/>
  <c r="D280" i="42"/>
  <c r="G280" i="42" s="1"/>
  <c r="D282" i="42"/>
  <c r="G282" i="42" s="1"/>
  <c r="D281" i="42"/>
  <c r="G281" i="42" s="1"/>
  <c r="D278" i="42"/>
  <c r="G278" i="42" s="1"/>
  <c r="D276" i="42"/>
  <c r="G276" i="42" s="1"/>
  <c r="L263" i="42"/>
  <c r="K263" i="42"/>
  <c r="I272" i="42"/>
  <c r="K264" i="42"/>
  <c r="L264" i="42"/>
  <c r="C263" i="43" a="1"/>
  <c r="C264" i="43" s="1"/>
  <c r="G264" i="43" s="1"/>
  <c r="D263" i="43" a="1"/>
  <c r="D267" i="43" s="1"/>
  <c r="B289" i="42" l="1" a="1"/>
  <c r="B263" i="43"/>
  <c r="A269" i="43"/>
  <c r="F269" i="43" s="1"/>
  <c r="A263" i="43"/>
  <c r="F263" i="43" s="1"/>
  <c r="A268" i="43"/>
  <c r="F268" i="43" s="1"/>
  <c r="A265" i="43"/>
  <c r="F265" i="43" s="1"/>
  <c r="B269" i="43"/>
  <c r="B267" i="43"/>
  <c r="B271" i="43"/>
  <c r="B265" i="43"/>
  <c r="A267" i="43"/>
  <c r="F267" i="43" s="1"/>
  <c r="A264" i="43"/>
  <c r="F264" i="43" s="1"/>
  <c r="I264" i="43" s="1"/>
  <c r="A266" i="43"/>
  <c r="F266" i="43" s="1"/>
  <c r="B264" i="43"/>
  <c r="A271" i="43"/>
  <c r="F271" i="43" s="1"/>
  <c r="B266" i="43"/>
  <c r="B268" i="43"/>
  <c r="L272" i="42"/>
  <c r="O263" i="42" s="1"/>
  <c r="K272" i="42"/>
  <c r="O264" i="42" s="1"/>
  <c r="C269" i="43"/>
  <c r="G269" i="43" s="1"/>
  <c r="D264" i="43"/>
  <c r="C267" i="43"/>
  <c r="G267" i="43" s="1"/>
  <c r="D269" i="43"/>
  <c r="D271" i="43"/>
  <c r="C265" i="43"/>
  <c r="G265" i="43" s="1"/>
  <c r="D263" i="43"/>
  <c r="C266" i="43"/>
  <c r="G266" i="43" s="1"/>
  <c r="C271" i="43"/>
  <c r="G271" i="43" s="1"/>
  <c r="D270" i="43"/>
  <c r="D265" i="43"/>
  <c r="C263" i="43"/>
  <c r="G263" i="43" s="1"/>
  <c r="C270" i="43"/>
  <c r="G270" i="43" s="1"/>
  <c r="I270" i="43" s="1"/>
  <c r="D266" i="43"/>
  <c r="C268" i="43"/>
  <c r="G268" i="43" s="1"/>
  <c r="D268" i="43"/>
  <c r="I263" i="43" l="1"/>
  <c r="B276" i="43" a="1"/>
  <c r="B280" i="43" s="1"/>
  <c r="B289" i="42"/>
  <c r="F289" i="42" s="1"/>
  <c r="B296" i="42"/>
  <c r="F296" i="42" s="1"/>
  <c r="B295" i="42"/>
  <c r="F295" i="42" s="1"/>
  <c r="B292" i="42"/>
  <c r="F292" i="42" s="1"/>
  <c r="B293" i="42"/>
  <c r="F293" i="42" s="1"/>
  <c r="B291" i="42"/>
  <c r="F291" i="42" s="1"/>
  <c r="B294" i="42"/>
  <c r="F294" i="42" s="1"/>
  <c r="B290" i="42"/>
  <c r="F290" i="42" s="1"/>
  <c r="B297" i="42"/>
  <c r="F297" i="42" s="1"/>
  <c r="I265" i="43"/>
  <c r="J271" i="43"/>
  <c r="I269" i="43"/>
  <c r="J268" i="43"/>
  <c r="J264" i="43"/>
  <c r="K264" i="43" s="1"/>
  <c r="B273" i="43"/>
  <c r="I267" i="43"/>
  <c r="J266" i="43"/>
  <c r="J267" i="43"/>
  <c r="I266" i="43"/>
  <c r="O265" i="42"/>
  <c r="I271" i="43"/>
  <c r="L271" i="43" s="1"/>
  <c r="J269" i="43"/>
  <c r="L269" i="43" s="1"/>
  <c r="J265" i="43"/>
  <c r="D276" i="43" a="1"/>
  <c r="D276" i="43" s="1"/>
  <c r="G276" i="43" s="1"/>
  <c r="J270" i="43"/>
  <c r="L270" i="43" s="1"/>
  <c r="I268" i="43"/>
  <c r="J263" i="43"/>
  <c r="K263" i="43" s="1"/>
  <c r="B277" i="43"/>
  <c r="B284" i="43"/>
  <c r="B278" i="43"/>
  <c r="B279" i="43"/>
  <c r="B281" i="43"/>
  <c r="B276" i="43"/>
  <c r="B283" i="43" l="1"/>
  <c r="B282" i="43"/>
  <c r="L265" i="43"/>
  <c r="K268" i="43"/>
  <c r="L264" i="43"/>
  <c r="K267" i="43"/>
  <c r="K266" i="43"/>
  <c r="L267" i="43"/>
  <c r="K271" i="43"/>
  <c r="L266" i="43"/>
  <c r="K269" i="43"/>
  <c r="N268" i="42"/>
  <c r="O267" i="42" s="1"/>
  <c r="N267" i="42"/>
  <c r="O268" i="42" s="1"/>
  <c r="K265" i="43"/>
  <c r="J272" i="43"/>
  <c r="I272" i="43"/>
  <c r="L263" i="43"/>
  <c r="D280" i="43"/>
  <c r="G280" i="43" s="1"/>
  <c r="D281" i="43"/>
  <c r="G281" i="43" s="1"/>
  <c r="D284" i="43"/>
  <c r="G284" i="43" s="1"/>
  <c r="D282" i="43"/>
  <c r="G282" i="43" s="1"/>
  <c r="D279" i="43"/>
  <c r="G279" i="43" s="1"/>
  <c r="D277" i="43"/>
  <c r="G277" i="43" s="1"/>
  <c r="L268" i="43"/>
  <c r="D283" i="43"/>
  <c r="G283" i="43" s="1"/>
  <c r="K270" i="43"/>
  <c r="D278" i="43"/>
  <c r="G278" i="43" s="1"/>
  <c r="B289" i="43" a="1"/>
  <c r="B297" i="43" s="1"/>
  <c r="F297" i="43" s="1"/>
  <c r="K272" i="43" l="1"/>
  <c r="O264" i="43" s="1"/>
  <c r="Q263" i="42" a="1"/>
  <c r="R264" i="42" s="1"/>
  <c r="L272" i="43"/>
  <c r="O263" i="43" s="1"/>
  <c r="B293" i="43"/>
  <c r="F293" i="43" s="1"/>
  <c r="B296" i="43"/>
  <c r="F296" i="43" s="1"/>
  <c r="B289" i="43"/>
  <c r="F289" i="43" s="1"/>
  <c r="B291" i="43"/>
  <c r="F291" i="43" s="1"/>
  <c r="B294" i="43"/>
  <c r="F294" i="43" s="1"/>
  <c r="B292" i="43"/>
  <c r="F292" i="43" s="1"/>
  <c r="B295" i="43"/>
  <c r="F295" i="43" s="1"/>
  <c r="B290" i="43"/>
  <c r="F290" i="43" s="1"/>
  <c r="O265" i="43" l="1"/>
  <c r="N268" i="43" s="1"/>
  <c r="O267" i="43" s="1"/>
  <c r="R268" i="42"/>
  <c r="Q266" i="42"/>
  <c r="Q263" i="42"/>
  <c r="R271" i="42"/>
  <c r="Q269" i="42"/>
  <c r="Q270" i="42"/>
  <c r="R269" i="42"/>
  <c r="R265" i="42"/>
  <c r="Q267" i="42"/>
  <c r="Q268" i="42"/>
  <c r="Q264" i="42"/>
  <c r="R266" i="42"/>
  <c r="R270" i="42"/>
  <c r="Q265" i="42"/>
  <c r="R263" i="42"/>
  <c r="R267" i="42"/>
  <c r="Q271" i="42"/>
  <c r="N267" i="43" l="1"/>
  <c r="C276" i="42" a="1"/>
  <c r="C279" i="42" s="1"/>
  <c r="A276" i="42" a="1"/>
  <c r="A283" i="42" s="1"/>
  <c r="F283" i="42" s="1"/>
  <c r="C284" i="42" l="1"/>
  <c r="C283" i="42"/>
  <c r="C276" i="42"/>
  <c r="C280" i="42"/>
  <c r="O268" i="43"/>
  <c r="Q263" i="43" a="1"/>
  <c r="C278" i="42"/>
  <c r="C277" i="42"/>
  <c r="C289" i="42" s="1" a="1"/>
  <c r="C289" i="42" s="1"/>
  <c r="G289" i="42" s="1"/>
  <c r="I289" i="42" s="1"/>
  <c r="C282" i="42"/>
  <c r="C281" i="42"/>
  <c r="A278" i="42"/>
  <c r="F278" i="42" s="1"/>
  <c r="J278" i="42" s="1"/>
  <c r="A276" i="42"/>
  <c r="F276" i="42" s="1"/>
  <c r="I276" i="42" s="1"/>
  <c r="A280" i="42"/>
  <c r="F280" i="42" s="1"/>
  <c r="J280" i="42" s="1"/>
  <c r="A282" i="42"/>
  <c r="F282" i="42" s="1"/>
  <c r="J282" i="42" s="1"/>
  <c r="A281" i="42"/>
  <c r="F281" i="42" s="1"/>
  <c r="I281" i="42" s="1"/>
  <c r="A284" i="42"/>
  <c r="F284" i="42" s="1"/>
  <c r="J284" i="42" s="1"/>
  <c r="A279" i="42"/>
  <c r="F279" i="42" s="1"/>
  <c r="I279" i="42" s="1"/>
  <c r="A277" i="42"/>
  <c r="F277" i="42" s="1"/>
  <c r="J277" i="42" s="1"/>
  <c r="J283" i="42"/>
  <c r="I283" i="42"/>
  <c r="I278" i="42" l="1"/>
  <c r="L278" i="42" s="1"/>
  <c r="I282" i="42"/>
  <c r="K282" i="42" s="1"/>
  <c r="Q268" i="43"/>
  <c r="R268" i="43"/>
  <c r="R270" i="43"/>
  <c r="Q269" i="43"/>
  <c r="Q267" i="43"/>
  <c r="Q265" i="43"/>
  <c r="R263" i="43"/>
  <c r="R266" i="43"/>
  <c r="R265" i="43"/>
  <c r="Q271" i="43"/>
  <c r="Q270" i="43"/>
  <c r="R264" i="43"/>
  <c r="R271" i="43"/>
  <c r="Q264" i="43"/>
  <c r="R269" i="43"/>
  <c r="Q266" i="43"/>
  <c r="Q263" i="43"/>
  <c r="R267" i="43"/>
  <c r="J276" i="42"/>
  <c r="L276" i="42" s="1"/>
  <c r="I280" i="42"/>
  <c r="K280" i="42" s="1"/>
  <c r="I277" i="42"/>
  <c r="K277" i="42" s="1"/>
  <c r="J279" i="42"/>
  <c r="L279" i="42" s="1"/>
  <c r="J281" i="42"/>
  <c r="L281" i="42" s="1"/>
  <c r="I284" i="42"/>
  <c r="L284" i="42" s="1"/>
  <c r="B286" i="42"/>
  <c r="L283" i="42"/>
  <c r="K283" i="42"/>
  <c r="L282" i="42"/>
  <c r="C292" i="42"/>
  <c r="G292" i="42" s="1"/>
  <c r="C296" i="42"/>
  <c r="G296" i="42" s="1"/>
  <c r="J296" i="42" s="1"/>
  <c r="C290" i="42"/>
  <c r="G290" i="42" s="1"/>
  <c r="C294" i="42"/>
  <c r="G294" i="42" s="1"/>
  <c r="J294" i="42" s="1"/>
  <c r="C291" i="42"/>
  <c r="G291" i="42" s="1"/>
  <c r="J291" i="42" s="1"/>
  <c r="C293" i="42"/>
  <c r="G293" i="42" s="1"/>
  <c r="J293" i="42" s="1"/>
  <c r="C295" i="42"/>
  <c r="G295" i="42" s="1"/>
  <c r="J295" i="42" s="1"/>
  <c r="C297" i="42"/>
  <c r="G297" i="42" s="1"/>
  <c r="J289" i="42"/>
  <c r="K289" i="42" s="1"/>
  <c r="K278" i="42" l="1"/>
  <c r="K284" i="42"/>
  <c r="K276" i="42"/>
  <c r="L280" i="42"/>
  <c r="I296" i="42"/>
  <c r="K296" i="42" s="1"/>
  <c r="L277" i="42"/>
  <c r="A276" i="43" a="1"/>
  <c r="C276" i="43" a="1"/>
  <c r="K281" i="42"/>
  <c r="J285" i="42"/>
  <c r="I285" i="42"/>
  <c r="K279" i="42"/>
  <c r="K285" i="42" s="1"/>
  <c r="I291" i="42"/>
  <c r="K291" i="42" s="1"/>
  <c r="I294" i="42"/>
  <c r="K294" i="42" s="1"/>
  <c r="I293" i="42"/>
  <c r="L293" i="42" s="1"/>
  <c r="J290" i="42"/>
  <c r="I290" i="42"/>
  <c r="L289" i="42"/>
  <c r="I295" i="42"/>
  <c r="I297" i="42"/>
  <c r="J297" i="42"/>
  <c r="I292" i="42"/>
  <c r="J292" i="42"/>
  <c r="L285" i="42" l="1"/>
  <c r="L296" i="42"/>
  <c r="A283" i="43"/>
  <c r="F283" i="43" s="1"/>
  <c r="A278" i="43"/>
  <c r="F278" i="43" s="1"/>
  <c r="A281" i="43"/>
  <c r="F281" i="43" s="1"/>
  <c r="A277" i="43"/>
  <c r="F277" i="43" s="1"/>
  <c r="A276" i="43"/>
  <c r="A280" i="43"/>
  <c r="F280" i="43" s="1"/>
  <c r="A282" i="43"/>
  <c r="F282" i="43" s="1"/>
  <c r="A279" i="43"/>
  <c r="F279" i="43" s="1"/>
  <c r="A284" i="43"/>
  <c r="F284" i="43" s="1"/>
  <c r="O276" i="42"/>
  <c r="C282" i="43"/>
  <c r="C280" i="43"/>
  <c r="C277" i="43"/>
  <c r="C283" i="43"/>
  <c r="C281" i="43"/>
  <c r="C284" i="43"/>
  <c r="C278" i="43"/>
  <c r="C276" i="43"/>
  <c r="C279" i="43"/>
  <c r="O277" i="42"/>
  <c r="L291" i="42"/>
  <c r="L294" i="42"/>
  <c r="K293" i="42"/>
  <c r="J298" i="42"/>
  <c r="L297" i="42"/>
  <c r="K292" i="42"/>
  <c r="L292" i="42"/>
  <c r="I298" i="42"/>
  <c r="K297" i="42"/>
  <c r="K290" i="42"/>
  <c r="L290" i="42"/>
  <c r="L295" i="42"/>
  <c r="K295" i="42"/>
  <c r="O278" i="42" l="1"/>
  <c r="N281" i="42" s="1"/>
  <c r="O280" i="42" s="1"/>
  <c r="I284" i="43"/>
  <c r="J284" i="43"/>
  <c r="F276" i="43"/>
  <c r="B286" i="43"/>
  <c r="J283" i="43"/>
  <c r="I283" i="43"/>
  <c r="I279" i="43"/>
  <c r="J279" i="43"/>
  <c r="J277" i="43"/>
  <c r="I277" i="43"/>
  <c r="J281" i="43"/>
  <c r="I281" i="43"/>
  <c r="I282" i="43"/>
  <c r="J282" i="43"/>
  <c r="C289" i="43" a="1"/>
  <c r="J280" i="43"/>
  <c r="I280" i="43"/>
  <c r="J278" i="43"/>
  <c r="I278" i="43"/>
  <c r="K298" i="42"/>
  <c r="L298" i="42"/>
  <c r="N280" i="42" l="1"/>
  <c r="O281" i="42" s="1"/>
  <c r="L282" i="43"/>
  <c r="K284" i="43"/>
  <c r="K281" i="43"/>
  <c r="L281" i="43"/>
  <c r="C295" i="43"/>
  <c r="G295" i="43" s="1"/>
  <c r="C297" i="43"/>
  <c r="G297" i="43" s="1"/>
  <c r="C293" i="43"/>
  <c r="G293" i="43" s="1"/>
  <c r="C290" i="43"/>
  <c r="G290" i="43" s="1"/>
  <c r="C291" i="43"/>
  <c r="G291" i="43" s="1"/>
  <c r="C289" i="43"/>
  <c r="G289" i="43" s="1"/>
  <c r="C296" i="43"/>
  <c r="G296" i="43" s="1"/>
  <c r="C292" i="43"/>
  <c r="G292" i="43" s="1"/>
  <c r="C294" i="43"/>
  <c r="G294" i="43" s="1"/>
  <c r="L279" i="43"/>
  <c r="K279" i="43"/>
  <c r="I276" i="43"/>
  <c r="J276" i="43"/>
  <c r="J285" i="43" s="1"/>
  <c r="L278" i="43"/>
  <c r="K278" i="43"/>
  <c r="L277" i="43"/>
  <c r="K277" i="43"/>
  <c r="K283" i="43"/>
  <c r="L283" i="43"/>
  <c r="K280" i="43"/>
  <c r="L280" i="43"/>
  <c r="K282" i="43"/>
  <c r="L284" i="43"/>
  <c r="Q276" i="42" a="1"/>
  <c r="Q279" i="42" s="1"/>
  <c r="I289" i="43" l="1"/>
  <c r="J289" i="43"/>
  <c r="I297" i="43"/>
  <c r="J297" i="43"/>
  <c r="J296" i="43"/>
  <c r="I296" i="43"/>
  <c r="I294" i="43"/>
  <c r="J294" i="43"/>
  <c r="I291" i="43"/>
  <c r="J291" i="43"/>
  <c r="I295" i="43"/>
  <c r="J295" i="43"/>
  <c r="K276" i="43"/>
  <c r="K285" i="43" s="1"/>
  <c r="I285" i="43"/>
  <c r="L276" i="43"/>
  <c r="L285" i="43" s="1"/>
  <c r="O276" i="43" s="1"/>
  <c r="I292" i="43"/>
  <c r="J292" i="43"/>
  <c r="I290" i="43"/>
  <c r="J290" i="43"/>
  <c r="J293" i="43"/>
  <c r="I293" i="43"/>
  <c r="R278" i="42"/>
  <c r="Q281" i="42"/>
  <c r="R279" i="42"/>
  <c r="R282" i="42"/>
  <c r="Q277" i="42"/>
  <c r="Q282" i="42"/>
  <c r="Q283" i="42"/>
  <c r="R277" i="42"/>
  <c r="R281" i="42"/>
  <c r="Q278" i="42"/>
  <c r="Q280" i="42"/>
  <c r="R283" i="42"/>
  <c r="Q276" i="42"/>
  <c r="R280" i="42"/>
  <c r="R284" i="42"/>
  <c r="R276" i="42"/>
  <c r="Q284" i="42"/>
  <c r="K290" i="43" l="1"/>
  <c r="K292" i="43"/>
  <c r="L291" i="43"/>
  <c r="L294" i="43"/>
  <c r="L295" i="43"/>
  <c r="L292" i="43"/>
  <c r="K295" i="43"/>
  <c r="K294" i="43"/>
  <c r="K297" i="43"/>
  <c r="L297" i="43"/>
  <c r="L290" i="43"/>
  <c r="L296" i="43"/>
  <c r="K296" i="43"/>
  <c r="L289" i="43"/>
  <c r="J298" i="43"/>
  <c r="L293" i="43"/>
  <c r="K293" i="43"/>
  <c r="O277" i="43"/>
  <c r="O278" i="43" s="1"/>
  <c r="K291" i="43"/>
  <c r="I298" i="43"/>
  <c r="K289" i="43"/>
  <c r="D289" i="42" a="1"/>
  <c r="D290" i="42" s="1"/>
  <c r="A289" i="42" a="1"/>
  <c r="K298" i="43" l="1"/>
  <c r="N281" i="43"/>
  <c r="O280" i="43" s="1"/>
  <c r="N280" i="43"/>
  <c r="L298" i="43"/>
  <c r="D291" i="42"/>
  <c r="D292" i="42"/>
  <c r="D295" i="42"/>
  <c r="D296" i="42"/>
  <c r="D297" i="42"/>
  <c r="D289" i="42"/>
  <c r="D294" i="42"/>
  <c r="D293" i="42"/>
  <c r="A297" i="42"/>
  <c r="A295" i="42"/>
  <c r="A290" i="42"/>
  <c r="A291" i="42"/>
  <c r="A292" i="42"/>
  <c r="A289" i="42"/>
  <c r="A293" i="42"/>
  <c r="A296" i="42"/>
  <c r="A294" i="42"/>
  <c r="O281" i="43" l="1"/>
  <c r="Q276" i="43" s="1" a="1"/>
  <c r="D302" i="42" a="1"/>
  <c r="D310" i="42" s="1"/>
  <c r="G310" i="42" s="1"/>
  <c r="A302" i="42" a="1"/>
  <c r="B299" i="42"/>
  <c r="R283" i="43" l="1"/>
  <c r="R282" i="43"/>
  <c r="Q282" i="43"/>
  <c r="Q281" i="43"/>
  <c r="R281" i="43"/>
  <c r="Q278" i="43"/>
  <c r="R277" i="43"/>
  <c r="Q283" i="43"/>
  <c r="R276" i="43"/>
  <c r="Q280" i="43"/>
  <c r="R279" i="43"/>
  <c r="R278" i="43"/>
  <c r="R284" i="43"/>
  <c r="Q279" i="43"/>
  <c r="Q276" i="43"/>
  <c r="R280" i="43"/>
  <c r="Q284" i="43"/>
  <c r="Q277" i="43"/>
  <c r="D306" i="42"/>
  <c r="G306" i="42" s="1"/>
  <c r="D302" i="42"/>
  <c r="G302" i="42" s="1"/>
  <c r="D305" i="42"/>
  <c r="G305" i="42" s="1"/>
  <c r="D307" i="42"/>
  <c r="G307" i="42" s="1"/>
  <c r="D303" i="42"/>
  <c r="G303" i="42" s="1"/>
  <c r="D304" i="42"/>
  <c r="G304" i="42" s="1"/>
  <c r="D308" i="42"/>
  <c r="G308" i="42" s="1"/>
  <c r="D309" i="42"/>
  <c r="G309" i="42" s="1"/>
  <c r="O289" i="42"/>
  <c r="O290" i="42"/>
  <c r="A310" i="42"/>
  <c r="A305" i="42"/>
  <c r="A306" i="42"/>
  <c r="A308" i="42"/>
  <c r="A307" i="42"/>
  <c r="A302" i="42"/>
  <c r="A304" i="42"/>
  <c r="A303" i="42"/>
  <c r="A309" i="42"/>
  <c r="D289" i="43" l="1" a="1"/>
  <c r="D294" i="43" s="1"/>
  <c r="A289" i="43" a="1"/>
  <c r="A289" i="43" s="1"/>
  <c r="A315" i="42" a="1"/>
  <c r="B312" i="42"/>
  <c r="O291" i="42"/>
  <c r="D290" i="43" l="1"/>
  <c r="D293" i="43"/>
  <c r="D296" i="43"/>
  <c r="D291" i="43"/>
  <c r="D289" i="43"/>
  <c r="D297" i="43"/>
  <c r="D295" i="43"/>
  <c r="D292" i="43"/>
  <c r="D302" i="43" s="1" a="1"/>
  <c r="D304" i="43" s="1"/>
  <c r="G304" i="43" s="1"/>
  <c r="A297" i="43"/>
  <c r="A293" i="43"/>
  <c r="A295" i="43"/>
  <c r="A292" i="43"/>
  <c r="A290" i="43"/>
  <c r="A291" i="43"/>
  <c r="A296" i="43"/>
  <c r="A294" i="43"/>
  <c r="N294" i="42"/>
  <c r="O293" i="42" s="1"/>
  <c r="N293" i="42"/>
  <c r="O294" i="42" s="1"/>
  <c r="A316" i="42"/>
  <c r="A322" i="42"/>
  <c r="A321" i="42"/>
  <c r="A323" i="42"/>
  <c r="A318" i="42"/>
  <c r="A317" i="42"/>
  <c r="A320" i="42"/>
  <c r="A315" i="42"/>
  <c r="A319" i="42"/>
  <c r="Q289" i="42" l="1" a="1"/>
  <c r="Q295" i="42" s="1"/>
  <c r="A302" i="43" a="1"/>
  <c r="A304" i="43" s="1"/>
  <c r="D306" i="43"/>
  <c r="G306" i="43" s="1"/>
  <c r="D303" i="43"/>
  <c r="G303" i="43" s="1"/>
  <c r="D302" i="43"/>
  <c r="G302" i="43" s="1"/>
  <c r="D310" i="43"/>
  <c r="G310" i="43" s="1"/>
  <c r="D307" i="43"/>
  <c r="G307" i="43" s="1"/>
  <c r="D305" i="43"/>
  <c r="G305" i="43" s="1"/>
  <c r="D308" i="43"/>
  <c r="G308" i="43" s="1"/>
  <c r="B299" i="43"/>
  <c r="O290" i="43" s="1"/>
  <c r="D309" i="43"/>
  <c r="G309" i="43" s="1"/>
  <c r="A328" i="42" a="1"/>
  <c r="B325" i="42"/>
  <c r="Q297" i="42" l="1"/>
  <c r="Q296" i="42"/>
  <c r="R293" i="42"/>
  <c r="R295" i="42"/>
  <c r="R292" i="42"/>
  <c r="Q290" i="42"/>
  <c r="Q291" i="42"/>
  <c r="R294" i="42"/>
  <c r="Q294" i="42"/>
  <c r="R297" i="42"/>
  <c r="R291" i="42"/>
  <c r="Q293" i="42"/>
  <c r="R289" i="42"/>
  <c r="Q292" i="42"/>
  <c r="R296" i="42"/>
  <c r="Q289" i="42"/>
  <c r="R290" i="42"/>
  <c r="A302" i="43"/>
  <c r="A305" i="43"/>
  <c r="A308" i="43"/>
  <c r="A306" i="43"/>
  <c r="A303" i="43"/>
  <c r="A310" i="43"/>
  <c r="A307" i="43"/>
  <c r="A309" i="43"/>
  <c r="O289" i="43"/>
  <c r="O291" i="43" s="1"/>
  <c r="A331" i="42"/>
  <c r="F331" i="42" s="1"/>
  <c r="A329" i="42"/>
  <c r="F329" i="42" s="1"/>
  <c r="A330" i="42"/>
  <c r="F330" i="42" s="1"/>
  <c r="A333" i="42"/>
  <c r="F333" i="42" s="1"/>
  <c r="A334" i="42"/>
  <c r="F334" i="42" s="1"/>
  <c r="A336" i="42"/>
  <c r="F336" i="42" s="1"/>
  <c r="A335" i="42"/>
  <c r="F335" i="42" s="1"/>
  <c r="A332" i="42"/>
  <c r="F332" i="42" s="1"/>
  <c r="A328" i="42"/>
  <c r="C302" i="42" a="1"/>
  <c r="B302" i="42" l="1" a="1"/>
  <c r="B312" i="43"/>
  <c r="A315" i="43" a="1"/>
  <c r="A321" i="43" s="1"/>
  <c r="N294" i="43"/>
  <c r="O293" i="43" s="1"/>
  <c r="N293" i="43"/>
  <c r="C310" i="42"/>
  <c r="C305" i="42"/>
  <c r="C306" i="42"/>
  <c r="C304" i="42"/>
  <c r="C303" i="42"/>
  <c r="C309" i="42"/>
  <c r="C307" i="42"/>
  <c r="C302" i="42"/>
  <c r="C308" i="42"/>
  <c r="B338" i="42"/>
  <c r="F328" i="42"/>
  <c r="B305" i="42"/>
  <c r="F305" i="42" s="1"/>
  <c r="B303" i="42"/>
  <c r="F303" i="42" s="1"/>
  <c r="B308" i="42"/>
  <c r="F308" i="42" s="1"/>
  <c r="B306" i="42"/>
  <c r="F306" i="42" s="1"/>
  <c r="B309" i="42"/>
  <c r="F309" i="42" s="1"/>
  <c r="B307" i="42"/>
  <c r="F307" i="42" s="1"/>
  <c r="B310" i="42"/>
  <c r="F310" i="42" s="1"/>
  <c r="B304" i="42"/>
  <c r="F304" i="42" s="1"/>
  <c r="B302" i="42"/>
  <c r="F302" i="42" s="1"/>
  <c r="A316" i="43" l="1"/>
  <c r="A317" i="43"/>
  <c r="A320" i="43"/>
  <c r="A323" i="43"/>
  <c r="A322" i="43"/>
  <c r="A318" i="43"/>
  <c r="A319" i="43"/>
  <c r="A315" i="43"/>
  <c r="O294" i="43"/>
  <c r="Q289" i="43" s="1" a="1"/>
  <c r="C315" i="42" a="1"/>
  <c r="C320" i="42" s="1"/>
  <c r="F320" i="42" s="1"/>
  <c r="J304" i="42"/>
  <c r="I304" i="42"/>
  <c r="J308" i="42"/>
  <c r="I308" i="42"/>
  <c r="I302" i="42"/>
  <c r="J302" i="42"/>
  <c r="I309" i="42"/>
  <c r="J309" i="42"/>
  <c r="I305" i="42"/>
  <c r="J305" i="42"/>
  <c r="J306" i="42"/>
  <c r="I306" i="42"/>
  <c r="J310" i="42"/>
  <c r="I310" i="42"/>
  <c r="J307" i="42"/>
  <c r="I307" i="42"/>
  <c r="J303" i="42"/>
  <c r="I303" i="42"/>
  <c r="B325" i="43" l="1"/>
  <c r="A328" i="43" a="1"/>
  <c r="A330" i="43" s="1"/>
  <c r="F330" i="43" s="1"/>
  <c r="C322" i="42"/>
  <c r="F322" i="42" s="1"/>
  <c r="Q297" i="43"/>
  <c r="R293" i="43"/>
  <c r="Q293" i="43"/>
  <c r="Q294" i="43"/>
  <c r="R292" i="43"/>
  <c r="Q292" i="43"/>
  <c r="Q290" i="43"/>
  <c r="R290" i="43"/>
  <c r="R297" i="43"/>
  <c r="Q291" i="43"/>
  <c r="R291" i="43"/>
  <c r="R294" i="43"/>
  <c r="R296" i="43"/>
  <c r="Q295" i="43"/>
  <c r="Q296" i="43"/>
  <c r="R295" i="43"/>
  <c r="R289" i="43"/>
  <c r="Q289" i="43"/>
  <c r="C316" i="42"/>
  <c r="F316" i="42" s="1"/>
  <c r="C321" i="42"/>
  <c r="F321" i="42" s="1"/>
  <c r="C315" i="42"/>
  <c r="F315" i="42" s="1"/>
  <c r="C318" i="42"/>
  <c r="F318" i="42" s="1"/>
  <c r="C323" i="42"/>
  <c r="F323" i="42" s="1"/>
  <c r="C317" i="42"/>
  <c r="F317" i="42" s="1"/>
  <c r="C319" i="42"/>
  <c r="F319" i="42" s="1"/>
  <c r="J311" i="42"/>
  <c r="K305" i="42"/>
  <c r="L305" i="42"/>
  <c r="L302" i="42"/>
  <c r="I311" i="42"/>
  <c r="K302" i="42"/>
  <c r="K307" i="42"/>
  <c r="L307" i="42"/>
  <c r="K308" i="42"/>
  <c r="L308" i="42"/>
  <c r="L303" i="42"/>
  <c r="K303" i="42"/>
  <c r="K304" i="42"/>
  <c r="L304" i="42"/>
  <c r="K310" i="42"/>
  <c r="L310" i="42"/>
  <c r="K306" i="42"/>
  <c r="L306" i="42"/>
  <c r="L309" i="42"/>
  <c r="K309" i="42"/>
  <c r="A333" i="43" l="1"/>
  <c r="F333" i="43" s="1"/>
  <c r="A331" i="43"/>
  <c r="F331" i="43" s="1"/>
  <c r="A329" i="43"/>
  <c r="F329" i="43" s="1"/>
  <c r="A328" i="43"/>
  <c r="F328" i="43" s="1"/>
  <c r="A334" i="43"/>
  <c r="F334" i="43" s="1"/>
  <c r="A335" i="43"/>
  <c r="F335" i="43" s="1"/>
  <c r="A336" i="43"/>
  <c r="F336" i="43" s="1"/>
  <c r="A332" i="43"/>
  <c r="F332" i="43" s="1"/>
  <c r="B302" i="43" a="1"/>
  <c r="C302" i="43" a="1"/>
  <c r="K311" i="42"/>
  <c r="O303" i="42" s="1"/>
  <c r="L311" i="42"/>
  <c r="O302" i="42" s="1"/>
  <c r="B338" i="43" l="1"/>
  <c r="C305" i="43"/>
  <c r="C307" i="43"/>
  <c r="C310" i="43"/>
  <c r="C306" i="43"/>
  <c r="C309" i="43"/>
  <c r="C302" i="43"/>
  <c r="C315" i="43" s="1" a="1"/>
  <c r="C319" i="43" s="1"/>
  <c r="F319" i="43" s="1"/>
  <c r="C304" i="43"/>
  <c r="C303" i="43"/>
  <c r="C308" i="43"/>
  <c r="B308" i="43"/>
  <c r="F308" i="43" s="1"/>
  <c r="B309" i="43"/>
  <c r="F309" i="43" s="1"/>
  <c r="B306" i="43"/>
  <c r="F306" i="43" s="1"/>
  <c r="B305" i="43"/>
  <c r="F305" i="43" s="1"/>
  <c r="B304" i="43"/>
  <c r="F304" i="43" s="1"/>
  <c r="B303" i="43"/>
  <c r="F303" i="43" s="1"/>
  <c r="B310" i="43"/>
  <c r="F310" i="43" s="1"/>
  <c r="B302" i="43"/>
  <c r="F302" i="43" s="1"/>
  <c r="B307" i="43"/>
  <c r="F307" i="43" s="1"/>
  <c r="O304" i="42"/>
  <c r="C316" i="43" l="1"/>
  <c r="F316" i="43" s="1"/>
  <c r="C318" i="43"/>
  <c r="F318" i="43" s="1"/>
  <c r="C322" i="43"/>
  <c r="F322" i="43" s="1"/>
  <c r="C317" i="43"/>
  <c r="F317" i="43" s="1"/>
  <c r="I305" i="43"/>
  <c r="J305" i="43"/>
  <c r="C315" i="43"/>
  <c r="F315" i="43" s="1"/>
  <c r="J306" i="43"/>
  <c r="I306" i="43"/>
  <c r="J310" i="43"/>
  <c r="I310" i="43"/>
  <c r="C320" i="43"/>
  <c r="F320" i="43" s="1"/>
  <c r="J309" i="43"/>
  <c r="I309" i="43"/>
  <c r="I303" i="43"/>
  <c r="J303" i="43"/>
  <c r="C323" i="43"/>
  <c r="F323" i="43" s="1"/>
  <c r="C321" i="43"/>
  <c r="F321" i="43" s="1"/>
  <c r="I307" i="43"/>
  <c r="J307" i="43"/>
  <c r="J308" i="43"/>
  <c r="I308" i="43"/>
  <c r="J304" i="43"/>
  <c r="I304" i="43"/>
  <c r="J302" i="43"/>
  <c r="I302" i="43"/>
  <c r="N306" i="42"/>
  <c r="O307" i="42" s="1"/>
  <c r="N307" i="42"/>
  <c r="O306" i="42" s="1"/>
  <c r="J311" i="43" l="1"/>
  <c r="K304" i="43"/>
  <c r="L304" i="43"/>
  <c r="K303" i="43"/>
  <c r="L303" i="43"/>
  <c r="K305" i="43"/>
  <c r="L305" i="43"/>
  <c r="L309" i="43"/>
  <c r="K309" i="43"/>
  <c r="L307" i="43"/>
  <c r="K307" i="43"/>
  <c r="K310" i="43"/>
  <c r="L310" i="43"/>
  <c r="L302" i="43"/>
  <c r="I311" i="43"/>
  <c r="K302" i="43"/>
  <c r="K311" i="43" s="1"/>
  <c r="K308" i="43"/>
  <c r="L308" i="43"/>
  <c r="L306" i="43"/>
  <c r="K306" i="43"/>
  <c r="Q302" i="42" a="1"/>
  <c r="Q307" i="42" s="1"/>
  <c r="L311" i="43" l="1"/>
  <c r="O303" i="43"/>
  <c r="O302" i="43"/>
  <c r="Q306" i="42"/>
  <c r="Q302" i="42"/>
  <c r="R304" i="42"/>
  <c r="R302" i="42"/>
  <c r="R303" i="42"/>
  <c r="R307" i="42"/>
  <c r="Q308" i="42"/>
  <c r="Q310" i="42"/>
  <c r="R305" i="42"/>
  <c r="R309" i="42"/>
  <c r="Q305" i="42"/>
  <c r="R310" i="42"/>
  <c r="R308" i="42"/>
  <c r="Q303" i="42"/>
  <c r="Q309" i="42"/>
  <c r="R306" i="42"/>
  <c r="Q304" i="42"/>
  <c r="O304" i="43" l="1"/>
  <c r="N307" i="43" s="1"/>
  <c r="O306" i="43" s="1"/>
  <c r="D315" i="42" a="1"/>
  <c r="D323" i="42" s="1"/>
  <c r="G323" i="42" s="1"/>
  <c r="J323" i="42" s="1"/>
  <c r="B315" i="42" a="1"/>
  <c r="N306" i="43" l="1"/>
  <c r="D316" i="42"/>
  <c r="G316" i="42" s="1"/>
  <c r="J316" i="42" s="1"/>
  <c r="D319" i="42"/>
  <c r="G319" i="42" s="1"/>
  <c r="I319" i="42" s="1"/>
  <c r="I323" i="42"/>
  <c r="K323" i="42" s="1"/>
  <c r="D317" i="42"/>
  <c r="G317" i="42" s="1"/>
  <c r="D322" i="42"/>
  <c r="G322" i="42" s="1"/>
  <c r="D321" i="42"/>
  <c r="G321" i="42" s="1"/>
  <c r="J321" i="42" s="1"/>
  <c r="D315" i="42"/>
  <c r="G315" i="42" s="1"/>
  <c r="D318" i="42"/>
  <c r="G318" i="42" s="1"/>
  <c r="D320" i="42"/>
  <c r="G320" i="42" s="1"/>
  <c r="O307" i="43"/>
  <c r="Q302" i="43" a="1"/>
  <c r="B322" i="42"/>
  <c r="B320" i="42"/>
  <c r="B319" i="42"/>
  <c r="B323" i="42"/>
  <c r="B318" i="42"/>
  <c r="B316" i="42"/>
  <c r="B321" i="42"/>
  <c r="B315" i="42"/>
  <c r="B317" i="42"/>
  <c r="L323" i="42" l="1"/>
  <c r="I316" i="42"/>
  <c r="K316" i="42" s="1"/>
  <c r="J319" i="42"/>
  <c r="K319" i="42" s="1"/>
  <c r="I318" i="42"/>
  <c r="J318" i="42"/>
  <c r="J322" i="42"/>
  <c r="I322" i="42"/>
  <c r="I315" i="42"/>
  <c r="J315" i="42"/>
  <c r="I317" i="42"/>
  <c r="J317" i="42"/>
  <c r="I321" i="42"/>
  <c r="J320" i="42"/>
  <c r="I320" i="42"/>
  <c r="R310" i="43"/>
  <c r="Q308" i="43"/>
  <c r="Q309" i="43"/>
  <c r="R306" i="43"/>
  <c r="R307" i="43"/>
  <c r="Q306" i="43"/>
  <c r="R303" i="43"/>
  <c r="Q305" i="43"/>
  <c r="Q304" i="43"/>
  <c r="R308" i="43"/>
  <c r="R302" i="43"/>
  <c r="Q303" i="43"/>
  <c r="Q302" i="43"/>
  <c r="Q310" i="43"/>
  <c r="R305" i="43"/>
  <c r="Q307" i="43"/>
  <c r="R309" i="43"/>
  <c r="R304" i="43"/>
  <c r="B328" i="42" a="1"/>
  <c r="B331" i="42" s="1"/>
  <c r="G331" i="42" s="1"/>
  <c r="J324" i="42" l="1"/>
  <c r="L316" i="42"/>
  <c r="L319" i="42"/>
  <c r="L317" i="42"/>
  <c r="K317" i="42"/>
  <c r="I324" i="42"/>
  <c r="L315" i="42"/>
  <c r="K315" i="42"/>
  <c r="L322" i="42"/>
  <c r="K322" i="42"/>
  <c r="L320" i="42"/>
  <c r="K320" i="42"/>
  <c r="K321" i="42"/>
  <c r="L321" i="42"/>
  <c r="K318" i="42"/>
  <c r="L318" i="42"/>
  <c r="B315" i="43" a="1"/>
  <c r="D315" i="43" a="1"/>
  <c r="J331" i="42"/>
  <c r="I331" i="42"/>
  <c r="B335" i="42"/>
  <c r="G335" i="42" s="1"/>
  <c r="B336" i="42"/>
  <c r="G336" i="42" s="1"/>
  <c r="B329" i="42"/>
  <c r="G329" i="42" s="1"/>
  <c r="B333" i="42"/>
  <c r="G333" i="42" s="1"/>
  <c r="B332" i="42"/>
  <c r="G332" i="42" s="1"/>
  <c r="B328" i="42"/>
  <c r="G328" i="42" s="1"/>
  <c r="B334" i="42"/>
  <c r="G334" i="42" s="1"/>
  <c r="B330" i="42"/>
  <c r="G330" i="42" s="1"/>
  <c r="K324" i="42" l="1"/>
  <c r="O316" i="42" s="1"/>
  <c r="L324" i="42"/>
  <c r="O315" i="42" s="1"/>
  <c r="K331" i="42"/>
  <c r="L331" i="42"/>
  <c r="D320" i="43"/>
  <c r="G320" i="43" s="1"/>
  <c r="D315" i="43"/>
  <c r="G315" i="43" s="1"/>
  <c r="D317" i="43"/>
  <c r="G317" i="43" s="1"/>
  <c r="D318" i="43"/>
  <c r="G318" i="43" s="1"/>
  <c r="D316" i="43"/>
  <c r="G316" i="43" s="1"/>
  <c r="D319" i="43"/>
  <c r="G319" i="43" s="1"/>
  <c r="D323" i="43"/>
  <c r="G323" i="43" s="1"/>
  <c r="D322" i="43"/>
  <c r="G322" i="43" s="1"/>
  <c r="D321" i="43"/>
  <c r="G321" i="43" s="1"/>
  <c r="B322" i="43"/>
  <c r="B319" i="43"/>
  <c r="B316" i="43"/>
  <c r="B317" i="43"/>
  <c r="B320" i="43"/>
  <c r="B323" i="43"/>
  <c r="B318" i="43"/>
  <c r="B315" i="43"/>
  <c r="B321" i="43"/>
  <c r="J328" i="42"/>
  <c r="I328" i="42"/>
  <c r="I332" i="42"/>
  <c r="J332" i="42"/>
  <c r="J333" i="42"/>
  <c r="I333" i="42"/>
  <c r="I329" i="42"/>
  <c r="J329" i="42"/>
  <c r="I336" i="42"/>
  <c r="J336" i="42"/>
  <c r="J335" i="42"/>
  <c r="I335" i="42"/>
  <c r="J330" i="42"/>
  <c r="I330" i="42"/>
  <c r="J334" i="42"/>
  <c r="I334" i="42"/>
  <c r="O317" i="42" l="1"/>
  <c r="J337" i="42"/>
  <c r="I323" i="43"/>
  <c r="J323" i="43"/>
  <c r="J319" i="43"/>
  <c r="I319" i="43"/>
  <c r="J316" i="43"/>
  <c r="I316" i="43"/>
  <c r="I322" i="43"/>
  <c r="J322" i="43"/>
  <c r="J318" i="43"/>
  <c r="I318" i="43"/>
  <c r="J317" i="43"/>
  <c r="I317" i="43"/>
  <c r="J315" i="43"/>
  <c r="I315" i="43"/>
  <c r="B328" i="43" a="1"/>
  <c r="J321" i="43"/>
  <c r="I321" i="43"/>
  <c r="J320" i="43"/>
  <c r="I320" i="43"/>
  <c r="K330" i="42"/>
  <c r="L330" i="42"/>
  <c r="K333" i="42"/>
  <c r="L333" i="42"/>
  <c r="K335" i="42"/>
  <c r="L335" i="42"/>
  <c r="K332" i="42"/>
  <c r="L332" i="42"/>
  <c r="L329" i="42"/>
  <c r="K329" i="42"/>
  <c r="K328" i="42"/>
  <c r="L328" i="42"/>
  <c r="L337" i="42" s="1"/>
  <c r="I337" i="42"/>
  <c r="K334" i="42"/>
  <c r="L334" i="42"/>
  <c r="K336" i="42"/>
  <c r="L336" i="42"/>
  <c r="N319" i="42" l="1"/>
  <c r="N320" i="42"/>
  <c r="O319" i="42" s="1"/>
  <c r="K337" i="42"/>
  <c r="O329" i="42" s="1"/>
  <c r="J324" i="43"/>
  <c r="O328" i="42"/>
  <c r="B336" i="43"/>
  <c r="G336" i="43" s="1"/>
  <c r="B332" i="43"/>
  <c r="G332" i="43" s="1"/>
  <c r="B328" i="43"/>
  <c r="G328" i="43" s="1"/>
  <c r="B333" i="43"/>
  <c r="G333" i="43" s="1"/>
  <c r="B334" i="43"/>
  <c r="G334" i="43" s="1"/>
  <c r="B329" i="43"/>
  <c r="G329" i="43" s="1"/>
  <c r="B331" i="43"/>
  <c r="G331" i="43" s="1"/>
  <c r="B335" i="43"/>
  <c r="G335" i="43" s="1"/>
  <c r="B330" i="43"/>
  <c r="G330" i="43" s="1"/>
  <c r="L322" i="43"/>
  <c r="K322" i="43"/>
  <c r="K315" i="43"/>
  <c r="I324" i="43"/>
  <c r="L315" i="43"/>
  <c r="K316" i="43"/>
  <c r="L316" i="43"/>
  <c r="K317" i="43"/>
  <c r="L317" i="43"/>
  <c r="L319" i="43"/>
  <c r="K319" i="43"/>
  <c r="K320" i="43"/>
  <c r="L320" i="43"/>
  <c r="K318" i="43"/>
  <c r="L318" i="43"/>
  <c r="L321" i="43"/>
  <c r="K321" i="43"/>
  <c r="K323" i="43"/>
  <c r="L323" i="43"/>
  <c r="O320" i="42" l="1"/>
  <c r="Q315" i="42" a="1"/>
  <c r="K324" i="43"/>
  <c r="O316" i="43" s="1"/>
  <c r="L324" i="43"/>
  <c r="O315" i="43" s="1"/>
  <c r="O330" i="42"/>
  <c r="N332" i="42" s="1"/>
  <c r="O333" i="42" s="1"/>
  <c r="I331" i="43"/>
  <c r="J331" i="43"/>
  <c r="I329" i="43"/>
  <c r="J329" i="43"/>
  <c r="I334" i="43"/>
  <c r="J334" i="43"/>
  <c r="J333" i="43"/>
  <c r="I333" i="43"/>
  <c r="I328" i="43"/>
  <c r="J328" i="43"/>
  <c r="J335" i="43"/>
  <c r="I335" i="43"/>
  <c r="J332" i="43"/>
  <c r="I332" i="43"/>
  <c r="J330" i="43"/>
  <c r="I330" i="43"/>
  <c r="I336" i="43"/>
  <c r="J336" i="43"/>
  <c r="O317" i="43" l="1"/>
  <c r="N319" i="43" s="1"/>
  <c r="O320" i="43" s="1"/>
  <c r="R316" i="42"/>
  <c r="Q315" i="42"/>
  <c r="Q319" i="42"/>
  <c r="R321" i="42"/>
  <c r="R317" i="42"/>
  <c r="R315" i="42"/>
  <c r="Q316" i="42"/>
  <c r="Q321" i="42"/>
  <c r="R320" i="42"/>
  <c r="Q320" i="42"/>
  <c r="Q318" i="42"/>
  <c r="R318" i="42"/>
  <c r="R323" i="42"/>
  <c r="Q317" i="42"/>
  <c r="Q322" i="42"/>
  <c r="R319" i="42"/>
  <c r="R322" i="42"/>
  <c r="Q323" i="42"/>
  <c r="K329" i="43"/>
  <c r="J337" i="43"/>
  <c r="K336" i="43"/>
  <c r="L331" i="43"/>
  <c r="K334" i="43"/>
  <c r="N333" i="42"/>
  <c r="O332" i="42" s="1"/>
  <c r="Q328" i="42" s="1" a="1"/>
  <c r="L334" i="43"/>
  <c r="K330" i="43"/>
  <c r="L330" i="43"/>
  <c r="L332" i="43"/>
  <c r="K332" i="43"/>
  <c r="L335" i="43"/>
  <c r="K335" i="43"/>
  <c r="L329" i="43"/>
  <c r="K333" i="43"/>
  <c r="L333" i="43"/>
  <c r="L336" i="43"/>
  <c r="I337" i="43"/>
  <c r="L328" i="43"/>
  <c r="K328" i="43"/>
  <c r="K331" i="43"/>
  <c r="N320" i="43" l="1"/>
  <c r="O319" i="43" s="1"/>
  <c r="Q315" i="43" s="1" a="1"/>
  <c r="Q318" i="43" s="1"/>
  <c r="D328" i="42" a="1"/>
  <c r="C328" i="42" a="1"/>
  <c r="K337" i="43"/>
  <c r="O329" i="43" s="1"/>
  <c r="Q334" i="42"/>
  <c r="Q335" i="42"/>
  <c r="R330" i="42"/>
  <c r="Q332" i="42"/>
  <c r="Q329" i="42"/>
  <c r="R335" i="42"/>
  <c r="R333" i="42"/>
  <c r="R336" i="42"/>
  <c r="R328" i="42"/>
  <c r="Q336" i="42"/>
  <c r="Q333" i="42"/>
  <c r="Q330" i="42"/>
  <c r="Q331" i="42"/>
  <c r="Q328" i="42"/>
  <c r="R332" i="42"/>
  <c r="R334" i="42"/>
  <c r="R331" i="42"/>
  <c r="R329" i="42"/>
  <c r="L337" i="43"/>
  <c r="O328" i="43" s="1"/>
  <c r="Q320" i="43" l="1"/>
  <c r="R317" i="43"/>
  <c r="Q323" i="43"/>
  <c r="Q317" i="43"/>
  <c r="R319" i="43"/>
  <c r="D328" i="43" s="1" a="1"/>
  <c r="D332" i="43" s="1"/>
  <c r="R320" i="43"/>
  <c r="Q319" i="43"/>
  <c r="Q322" i="43"/>
  <c r="R322" i="43"/>
  <c r="R318" i="43"/>
  <c r="R315" i="43"/>
  <c r="Q321" i="43"/>
  <c r="O330" i="43"/>
  <c r="N333" i="43" s="1"/>
  <c r="O332" i="43" s="1"/>
  <c r="Q316" i="43"/>
  <c r="R316" i="43"/>
  <c r="B341" i="42" a="1"/>
  <c r="B344" i="42" s="1"/>
  <c r="C332" i="42"/>
  <c r="C335" i="42"/>
  <c r="C333" i="42"/>
  <c r="C329" i="42"/>
  <c r="C331" i="42"/>
  <c r="C336" i="42"/>
  <c r="C330" i="42"/>
  <c r="C334" i="42"/>
  <c r="C328" i="42"/>
  <c r="R323" i="43"/>
  <c r="R321" i="43"/>
  <c r="Q315" i="43"/>
  <c r="A341" i="42" a="1"/>
  <c r="A343" i="42" s="1"/>
  <c r="F343" i="42" s="1"/>
  <c r="D333" i="42"/>
  <c r="D334" i="42"/>
  <c r="D328" i="42"/>
  <c r="D332" i="42"/>
  <c r="D335" i="42"/>
  <c r="D336" i="42"/>
  <c r="D330" i="42"/>
  <c r="D329" i="42"/>
  <c r="D331" i="42"/>
  <c r="N332" i="43" l="1"/>
  <c r="O333" i="43" s="1"/>
  <c r="D341" i="42" a="1"/>
  <c r="D343" i="42" s="1"/>
  <c r="C328" i="43" a="1"/>
  <c r="C335" i="43" s="1"/>
  <c r="B341" i="42"/>
  <c r="A347" i="42"/>
  <c r="F347" i="42" s="1"/>
  <c r="D329" i="43"/>
  <c r="A348" i="42"/>
  <c r="F348" i="42" s="1"/>
  <c r="B349" i="42"/>
  <c r="D334" i="43"/>
  <c r="A341" i="42"/>
  <c r="B342" i="42"/>
  <c r="D330" i="43"/>
  <c r="A345" i="42"/>
  <c r="F345" i="42" s="1"/>
  <c r="A349" i="42"/>
  <c r="F349" i="42" s="1"/>
  <c r="D333" i="43"/>
  <c r="D346" i="42"/>
  <c r="A344" i="42"/>
  <c r="F344" i="42" s="1"/>
  <c r="B345" i="42"/>
  <c r="D341" i="42"/>
  <c r="D335" i="43"/>
  <c r="D336" i="43"/>
  <c r="A342" i="42"/>
  <c r="F342" i="42" s="1"/>
  <c r="B343" i="42"/>
  <c r="A346" i="42"/>
  <c r="F346" i="42" s="1"/>
  <c r="B348" i="42"/>
  <c r="B347" i="42"/>
  <c r="D348" i="42"/>
  <c r="D331" i="43"/>
  <c r="B346" i="42"/>
  <c r="B354" i="42" s="1" a="1"/>
  <c r="D344" i="42"/>
  <c r="D345" i="42"/>
  <c r="D328" i="43"/>
  <c r="Q328" i="43" a="1"/>
  <c r="R334" i="43" s="1"/>
  <c r="C341" i="42" a="1"/>
  <c r="C330" i="43"/>
  <c r="C333" i="43"/>
  <c r="C334" i="43"/>
  <c r="C331" i="43"/>
  <c r="C332" i="43"/>
  <c r="C328" i="43"/>
  <c r="C329" i="43"/>
  <c r="C336" i="43"/>
  <c r="F341" i="42"/>
  <c r="D342" i="42" l="1"/>
  <c r="D347" i="42"/>
  <c r="D354" i="42" s="1" a="1"/>
  <c r="D349" i="42"/>
  <c r="D341" i="43" a="1"/>
  <c r="D344" i="43" s="1"/>
  <c r="B351" i="42"/>
  <c r="R328" i="43"/>
  <c r="R330" i="43"/>
  <c r="Q336" i="43"/>
  <c r="R335" i="43"/>
  <c r="Q332" i="43"/>
  <c r="R333" i="43"/>
  <c r="Q329" i="43"/>
  <c r="C348" i="42"/>
  <c r="G348" i="42" s="1"/>
  <c r="J348" i="42" s="1"/>
  <c r="C346" i="42"/>
  <c r="G346" i="42" s="1"/>
  <c r="J346" i="42" s="1"/>
  <c r="C347" i="42"/>
  <c r="G347" i="42" s="1"/>
  <c r="C345" i="42"/>
  <c r="G345" i="42" s="1"/>
  <c r="J345" i="42" s="1"/>
  <c r="C342" i="42"/>
  <c r="G342" i="42" s="1"/>
  <c r="C344" i="42"/>
  <c r="G344" i="42" s="1"/>
  <c r="C341" i="42"/>
  <c r="G341" i="42" s="1"/>
  <c r="C349" i="42"/>
  <c r="G349" i="42" s="1"/>
  <c r="C343" i="42"/>
  <c r="G343" i="42" s="1"/>
  <c r="Q330" i="43"/>
  <c r="R336" i="43"/>
  <c r="R331" i="43"/>
  <c r="Q328" i="43"/>
  <c r="R329" i="43"/>
  <c r="Q334" i="43"/>
  <c r="Q335" i="43"/>
  <c r="Q333" i="43"/>
  <c r="Q331" i="43"/>
  <c r="R332" i="43"/>
  <c r="C341" i="43" a="1"/>
  <c r="C347" i="43" s="1"/>
  <c r="G347" i="43" s="1"/>
  <c r="D341" i="43"/>
  <c r="D348" i="43"/>
  <c r="D343" i="43"/>
  <c r="D342" i="43"/>
  <c r="D346" i="43"/>
  <c r="D347" i="43"/>
  <c r="D345" i="43"/>
  <c r="D349" i="43"/>
  <c r="J341" i="42"/>
  <c r="I341" i="42"/>
  <c r="B361" i="42"/>
  <c r="B357" i="42"/>
  <c r="B360" i="42"/>
  <c r="B356" i="42"/>
  <c r="B359" i="42"/>
  <c r="B355" i="42"/>
  <c r="B362" i="42"/>
  <c r="B354" i="42"/>
  <c r="B358" i="42"/>
  <c r="D360" i="42" l="1"/>
  <c r="G360" i="42" s="1"/>
  <c r="D358" i="42"/>
  <c r="G358" i="42" s="1"/>
  <c r="D362" i="42"/>
  <c r="G362" i="42" s="1"/>
  <c r="D359" i="42"/>
  <c r="G359" i="42" s="1"/>
  <c r="D357" i="42"/>
  <c r="G357" i="42" s="1"/>
  <c r="D354" i="42"/>
  <c r="G354" i="42" s="1"/>
  <c r="D355" i="42"/>
  <c r="G355" i="42" s="1"/>
  <c r="D356" i="42"/>
  <c r="G356" i="42" s="1"/>
  <c r="D361" i="42"/>
  <c r="G361" i="42" s="1"/>
  <c r="B341" i="43" a="1"/>
  <c r="A341" i="43" a="1"/>
  <c r="A347" i="43" s="1"/>
  <c r="F347" i="43" s="1"/>
  <c r="J347" i="42"/>
  <c r="I347" i="42"/>
  <c r="J343" i="42"/>
  <c r="I343" i="42"/>
  <c r="I346" i="42"/>
  <c r="J349" i="42"/>
  <c r="I349" i="42"/>
  <c r="J350" i="42"/>
  <c r="I348" i="42"/>
  <c r="J344" i="42"/>
  <c r="I344" i="42"/>
  <c r="I345" i="42"/>
  <c r="I342" i="42"/>
  <c r="J342" i="42"/>
  <c r="C341" i="43"/>
  <c r="G341" i="43" s="1"/>
  <c r="C343" i="43"/>
  <c r="G343" i="43" s="1"/>
  <c r="C344" i="43"/>
  <c r="G344" i="43" s="1"/>
  <c r="C349" i="43"/>
  <c r="G349" i="43" s="1"/>
  <c r="C346" i="43"/>
  <c r="G346" i="43" s="1"/>
  <c r="C348" i="43"/>
  <c r="G348" i="43" s="1"/>
  <c r="C345" i="43"/>
  <c r="G345" i="43" s="1"/>
  <c r="C342" i="43"/>
  <c r="G342" i="43" s="1"/>
  <c r="A341" i="43"/>
  <c r="A343" i="43"/>
  <c r="F343" i="43" s="1"/>
  <c r="A348" i="43"/>
  <c r="F348" i="43" s="1"/>
  <c r="A344" i="43"/>
  <c r="F344" i="43" s="1"/>
  <c r="A346" i="43"/>
  <c r="F346" i="43" s="1"/>
  <c r="A349" i="43"/>
  <c r="F349" i="43" s="1"/>
  <c r="A342" i="43"/>
  <c r="F342" i="43" s="1"/>
  <c r="A345" i="43"/>
  <c r="F345" i="43" s="1"/>
  <c r="B345" i="43"/>
  <c r="B347" i="43"/>
  <c r="B341" i="43"/>
  <c r="B343" i="43"/>
  <c r="B348" i="43"/>
  <c r="B346" i="43"/>
  <c r="B349" i="43"/>
  <c r="B344" i="43"/>
  <c r="B342" i="43"/>
  <c r="D354" i="43" a="1"/>
  <c r="D359" i="43" s="1"/>
  <c r="G359" i="43" s="1"/>
  <c r="L341" i="42"/>
  <c r="K341" i="42"/>
  <c r="B367" i="42" a="1"/>
  <c r="K342" i="42" l="1"/>
  <c r="L342" i="42"/>
  <c r="L346" i="42"/>
  <c r="K346" i="42"/>
  <c r="L349" i="42"/>
  <c r="K349" i="42"/>
  <c r="L345" i="42"/>
  <c r="K345" i="42"/>
  <c r="K343" i="42"/>
  <c r="L343" i="42"/>
  <c r="I350" i="42"/>
  <c r="L344" i="42"/>
  <c r="K344" i="42"/>
  <c r="L347" i="42"/>
  <c r="K347" i="42"/>
  <c r="L350" i="42"/>
  <c r="O341" i="42" s="1"/>
  <c r="L348" i="42"/>
  <c r="K348" i="42"/>
  <c r="B354" i="43" a="1"/>
  <c r="I342" i="43"/>
  <c r="J342" i="43"/>
  <c r="I348" i="43"/>
  <c r="J348" i="43"/>
  <c r="I349" i="43"/>
  <c r="J349" i="43"/>
  <c r="I343" i="43"/>
  <c r="J343" i="43"/>
  <c r="I346" i="43"/>
  <c r="J346" i="43"/>
  <c r="F341" i="43"/>
  <c r="B351" i="43"/>
  <c r="J345" i="43"/>
  <c r="I345" i="43"/>
  <c r="J344" i="43"/>
  <c r="I344" i="43"/>
  <c r="I347" i="43"/>
  <c r="J347" i="43"/>
  <c r="D357" i="43"/>
  <c r="G357" i="43" s="1"/>
  <c r="D355" i="43"/>
  <c r="G355" i="43" s="1"/>
  <c r="D358" i="43"/>
  <c r="G358" i="43" s="1"/>
  <c r="D361" i="43"/>
  <c r="G361" i="43" s="1"/>
  <c r="D356" i="43"/>
  <c r="G356" i="43" s="1"/>
  <c r="D354" i="43"/>
  <c r="G354" i="43" s="1"/>
  <c r="D360" i="43"/>
  <c r="G360" i="43" s="1"/>
  <c r="D362" i="43"/>
  <c r="G362" i="43" s="1"/>
  <c r="B375" i="42"/>
  <c r="F375" i="42" s="1"/>
  <c r="B371" i="42"/>
  <c r="F371" i="42" s="1"/>
  <c r="B367" i="42"/>
  <c r="F367" i="42" s="1"/>
  <c r="B374" i="42"/>
  <c r="F374" i="42" s="1"/>
  <c r="B370" i="42"/>
  <c r="F370" i="42" s="1"/>
  <c r="B373" i="42"/>
  <c r="F373" i="42" s="1"/>
  <c r="B369" i="42"/>
  <c r="F369" i="42" s="1"/>
  <c r="B368" i="42"/>
  <c r="F368" i="42" s="1"/>
  <c r="B372" i="42"/>
  <c r="F372" i="42" s="1"/>
  <c r="K350" i="42" l="1"/>
  <c r="O342" i="42"/>
  <c r="L346" i="43"/>
  <c r="L342" i="43"/>
  <c r="L343" i="43"/>
  <c r="I341" i="43"/>
  <c r="J341" i="43"/>
  <c r="K343" i="43"/>
  <c r="K348" i="43"/>
  <c r="L348" i="43"/>
  <c r="K345" i="43"/>
  <c r="L345" i="43"/>
  <c r="K347" i="43"/>
  <c r="L347" i="43"/>
  <c r="K346" i="43"/>
  <c r="K349" i="43"/>
  <c r="L349" i="43"/>
  <c r="K342" i="43"/>
  <c r="K344" i="43"/>
  <c r="L344" i="43"/>
  <c r="B357" i="43"/>
  <c r="B355" i="43"/>
  <c r="B354" i="43"/>
  <c r="B360" i="43"/>
  <c r="B358" i="43"/>
  <c r="B356" i="43"/>
  <c r="B362" i="43"/>
  <c r="B361" i="43"/>
  <c r="B359" i="43"/>
  <c r="O343" i="42"/>
  <c r="N346" i="42" s="1"/>
  <c r="O345" i="42" s="1"/>
  <c r="B367" i="43" l="1" a="1"/>
  <c r="B368" i="43" s="1"/>
  <c r="F368" i="43" s="1"/>
  <c r="L341" i="43"/>
  <c r="L350" i="43" s="1"/>
  <c r="J350" i="43"/>
  <c r="K341" i="43"/>
  <c r="K350" i="43" s="1"/>
  <c r="I350" i="43"/>
  <c r="N345" i="42"/>
  <c r="O346" i="42" s="1"/>
  <c r="O342" i="43" l="1"/>
  <c r="O341" i="43"/>
  <c r="B367" i="43"/>
  <c r="F367" i="43" s="1"/>
  <c r="B369" i="43"/>
  <c r="F369" i="43" s="1"/>
  <c r="B370" i="43"/>
  <c r="F370" i="43" s="1"/>
  <c r="B372" i="43"/>
  <c r="F372" i="43" s="1"/>
  <c r="B373" i="43"/>
  <c r="F373" i="43" s="1"/>
  <c r="B374" i="43"/>
  <c r="F374" i="43" s="1"/>
  <c r="B375" i="43"/>
  <c r="F375" i="43" s="1"/>
  <c r="B371" i="43"/>
  <c r="F371" i="43" s="1"/>
  <c r="Q341" i="42" a="1"/>
  <c r="R345" i="42" s="1"/>
  <c r="O343" i="43" l="1"/>
  <c r="N345" i="43" s="1"/>
  <c r="O346" i="43" s="1"/>
  <c r="Q346" i="42"/>
  <c r="R341" i="42"/>
  <c r="R342" i="42"/>
  <c r="R347" i="42"/>
  <c r="R346" i="42"/>
  <c r="Q341" i="42"/>
  <c r="Q348" i="42"/>
  <c r="Q345" i="42"/>
  <c r="R349" i="42"/>
  <c r="Q342" i="42"/>
  <c r="R344" i="42"/>
  <c r="Q349" i="42"/>
  <c r="Q343" i="42"/>
  <c r="R343" i="42"/>
  <c r="Q344" i="42"/>
  <c r="R348" i="42"/>
  <c r="Q347" i="42"/>
  <c r="N346" i="43" l="1"/>
  <c r="O345" i="43" s="1"/>
  <c r="Q341" i="43" s="1" a="1"/>
  <c r="A354" i="42" a="1"/>
  <c r="A362" i="42" s="1"/>
  <c r="F362" i="42" s="1"/>
  <c r="C354" i="42" a="1"/>
  <c r="C358" i="42" s="1"/>
  <c r="Q343" i="43" l="1"/>
  <c r="R347" i="43"/>
  <c r="Q344" i="43"/>
  <c r="Q347" i="43"/>
  <c r="Q341" i="43"/>
  <c r="R342" i="43"/>
  <c r="R343" i="43"/>
  <c r="R344" i="43"/>
  <c r="R349" i="43"/>
  <c r="Q349" i="43"/>
  <c r="R345" i="43"/>
  <c r="Q346" i="43"/>
  <c r="R341" i="43"/>
  <c r="Q342" i="43"/>
  <c r="Q345" i="43"/>
  <c r="Q348" i="43"/>
  <c r="R348" i="43"/>
  <c r="R346" i="43"/>
  <c r="A361" i="42"/>
  <c r="F361" i="42" s="1"/>
  <c r="J361" i="42" s="1"/>
  <c r="A355" i="42"/>
  <c r="F355" i="42" s="1"/>
  <c r="I355" i="42" s="1"/>
  <c r="A360" i="42"/>
  <c r="F360" i="42" s="1"/>
  <c r="J360" i="42" s="1"/>
  <c r="A354" i="42"/>
  <c r="F354" i="42" s="1"/>
  <c r="A359" i="42"/>
  <c r="F359" i="42" s="1"/>
  <c r="J359" i="42" s="1"/>
  <c r="A356" i="42"/>
  <c r="F356" i="42" s="1"/>
  <c r="I356" i="42" s="1"/>
  <c r="A358" i="42"/>
  <c r="F358" i="42" s="1"/>
  <c r="J358" i="42" s="1"/>
  <c r="A357" i="42"/>
  <c r="F357" i="42" s="1"/>
  <c r="I357" i="42" s="1"/>
  <c r="C361" i="42"/>
  <c r="C355" i="42"/>
  <c r="C356" i="42"/>
  <c r="C354" i="42"/>
  <c r="C359" i="42"/>
  <c r="C357" i="42"/>
  <c r="C362" i="42"/>
  <c r="C360" i="42"/>
  <c r="J362" i="42"/>
  <c r="I362" i="42"/>
  <c r="C354" i="43" l="1" a="1"/>
  <c r="C362" i="43" s="1"/>
  <c r="A354" i="43" a="1"/>
  <c r="A355" i="43" s="1"/>
  <c r="F355" i="43" s="1"/>
  <c r="I361" i="42"/>
  <c r="L361" i="42" s="1"/>
  <c r="J356" i="42"/>
  <c r="K356" i="42" s="1"/>
  <c r="I360" i="42"/>
  <c r="K360" i="42" s="1"/>
  <c r="J355" i="42"/>
  <c r="L355" i="42" s="1"/>
  <c r="B364" i="42"/>
  <c r="I358" i="42"/>
  <c r="K358" i="42" s="1"/>
  <c r="J357" i="42"/>
  <c r="L357" i="42" s="1"/>
  <c r="C367" i="42" a="1"/>
  <c r="C369" i="42" s="1"/>
  <c r="G369" i="42" s="1"/>
  <c r="I359" i="42"/>
  <c r="L359" i="42" s="1"/>
  <c r="I354" i="42"/>
  <c r="J354" i="42"/>
  <c r="K362" i="42"/>
  <c r="L362" i="42"/>
  <c r="C361" i="43" l="1"/>
  <c r="C360" i="43"/>
  <c r="A362" i="43"/>
  <c r="F362" i="43" s="1"/>
  <c r="J362" i="43" s="1"/>
  <c r="C354" i="43"/>
  <c r="A354" i="43"/>
  <c r="F354" i="43" s="1"/>
  <c r="C358" i="43"/>
  <c r="C357" i="43"/>
  <c r="C359" i="43"/>
  <c r="A358" i="43"/>
  <c r="F358" i="43" s="1"/>
  <c r="I358" i="43" s="1"/>
  <c r="C355" i="43"/>
  <c r="C356" i="43"/>
  <c r="A357" i="43"/>
  <c r="F357" i="43" s="1"/>
  <c r="J357" i="43" s="1"/>
  <c r="A359" i="43"/>
  <c r="F359" i="43" s="1"/>
  <c r="I359" i="43" s="1"/>
  <c r="A356" i="43"/>
  <c r="F356" i="43" s="1"/>
  <c r="J356" i="43" s="1"/>
  <c r="A360" i="43"/>
  <c r="F360" i="43" s="1"/>
  <c r="J360" i="43" s="1"/>
  <c r="A361" i="43"/>
  <c r="F361" i="43" s="1"/>
  <c r="J361" i="43" s="1"/>
  <c r="I355" i="43"/>
  <c r="J355" i="43"/>
  <c r="K359" i="42"/>
  <c r="K361" i="42"/>
  <c r="L356" i="42"/>
  <c r="K355" i="42"/>
  <c r="L360" i="42"/>
  <c r="L358" i="42"/>
  <c r="C373" i="42"/>
  <c r="G373" i="42" s="1"/>
  <c r="I373" i="42" s="1"/>
  <c r="C370" i="42"/>
  <c r="G370" i="42" s="1"/>
  <c r="J370" i="42" s="1"/>
  <c r="C368" i="42"/>
  <c r="G368" i="42" s="1"/>
  <c r="J368" i="42" s="1"/>
  <c r="C374" i="42"/>
  <c r="G374" i="42" s="1"/>
  <c r="I374" i="42" s="1"/>
  <c r="C375" i="42"/>
  <c r="G375" i="42" s="1"/>
  <c r="I375" i="42" s="1"/>
  <c r="C367" i="42"/>
  <c r="G367" i="42" s="1"/>
  <c r="I367" i="42" s="1"/>
  <c r="C372" i="42"/>
  <c r="G372" i="42" s="1"/>
  <c r="J372" i="42" s="1"/>
  <c r="C371" i="42"/>
  <c r="G371" i="42" s="1"/>
  <c r="I371" i="42" s="1"/>
  <c r="J363" i="42"/>
  <c r="K357" i="42"/>
  <c r="L354" i="42"/>
  <c r="I363" i="42"/>
  <c r="K354" i="42"/>
  <c r="I369" i="42"/>
  <c r="J369" i="42"/>
  <c r="I362" i="43" l="1"/>
  <c r="K362" i="43" s="1"/>
  <c r="J359" i="43"/>
  <c r="L359" i="43" s="1"/>
  <c r="C367" i="43" a="1"/>
  <c r="C375" i="43" s="1"/>
  <c r="G375" i="43" s="1"/>
  <c r="J358" i="43"/>
  <c r="L358" i="43" s="1"/>
  <c r="I360" i="43"/>
  <c r="K360" i="43" s="1"/>
  <c r="I357" i="43"/>
  <c r="L357" i="43" s="1"/>
  <c r="I356" i="43"/>
  <c r="L356" i="43" s="1"/>
  <c r="I361" i="43"/>
  <c r="K361" i="43" s="1"/>
  <c r="B364" i="43"/>
  <c r="K355" i="43"/>
  <c r="I354" i="43"/>
  <c r="J354" i="43"/>
  <c r="L355" i="43"/>
  <c r="L362" i="43"/>
  <c r="L363" i="42"/>
  <c r="O354" i="42" s="1"/>
  <c r="J373" i="42"/>
  <c r="L373" i="42" s="1"/>
  <c r="J375" i="42"/>
  <c r="L375" i="42" s="1"/>
  <c r="I370" i="42"/>
  <c r="K370" i="42" s="1"/>
  <c r="I368" i="42"/>
  <c r="K368" i="42" s="1"/>
  <c r="J374" i="42"/>
  <c r="L374" i="42" s="1"/>
  <c r="I372" i="42"/>
  <c r="L372" i="42" s="1"/>
  <c r="J367" i="42"/>
  <c r="J371" i="42"/>
  <c r="L371" i="42" s="1"/>
  <c r="K363" i="42"/>
  <c r="O355" i="42" s="1"/>
  <c r="L369" i="42"/>
  <c r="K369" i="42"/>
  <c r="L360" i="43" l="1"/>
  <c r="K359" i="43"/>
  <c r="K358" i="43"/>
  <c r="K356" i="43"/>
  <c r="C372" i="43"/>
  <c r="G372" i="43" s="1"/>
  <c r="I372" i="43" s="1"/>
  <c r="C373" i="43"/>
  <c r="G373" i="43" s="1"/>
  <c r="I373" i="43" s="1"/>
  <c r="C368" i="43"/>
  <c r="G368" i="43" s="1"/>
  <c r="I368" i="43" s="1"/>
  <c r="C374" i="43"/>
  <c r="G374" i="43" s="1"/>
  <c r="I374" i="43" s="1"/>
  <c r="C367" i="43"/>
  <c r="G367" i="43" s="1"/>
  <c r="I367" i="43" s="1"/>
  <c r="C369" i="43"/>
  <c r="G369" i="43" s="1"/>
  <c r="I369" i="43" s="1"/>
  <c r="K357" i="43"/>
  <c r="C370" i="43"/>
  <c r="G370" i="43" s="1"/>
  <c r="J370" i="43" s="1"/>
  <c r="C371" i="43"/>
  <c r="G371" i="43" s="1"/>
  <c r="J371" i="43" s="1"/>
  <c r="L361" i="43"/>
  <c r="J363" i="43"/>
  <c r="K354" i="43"/>
  <c r="L354" i="43"/>
  <c r="I363" i="43"/>
  <c r="J375" i="43"/>
  <c r="I375" i="43"/>
  <c r="K375" i="42"/>
  <c r="K373" i="42"/>
  <c r="K371" i="42"/>
  <c r="L370" i="42"/>
  <c r="L368" i="42"/>
  <c r="K374" i="42"/>
  <c r="J376" i="42"/>
  <c r="K367" i="42"/>
  <c r="L367" i="42"/>
  <c r="K372" i="42"/>
  <c r="I376" i="42"/>
  <c r="O356" i="42"/>
  <c r="N359" i="42" s="1"/>
  <c r="O358" i="42" s="1"/>
  <c r="J372" i="43" l="1"/>
  <c r="K372" i="43" s="1"/>
  <c r="J374" i="43"/>
  <c r="K374" i="43" s="1"/>
  <c r="I370" i="43"/>
  <c r="L370" i="43" s="1"/>
  <c r="J373" i="43"/>
  <c r="L373" i="43" s="1"/>
  <c r="J368" i="43"/>
  <c r="L368" i="43" s="1"/>
  <c r="J369" i="43"/>
  <c r="L369" i="43" s="1"/>
  <c r="J367" i="43"/>
  <c r="K367" i="43" s="1"/>
  <c r="I371" i="43"/>
  <c r="L371" i="43" s="1"/>
  <c r="K363" i="43"/>
  <c r="O355" i="43" s="1"/>
  <c r="L363" i="43"/>
  <c r="O354" i="43" s="1"/>
  <c r="K375" i="43"/>
  <c r="L375" i="43"/>
  <c r="L376" i="42"/>
  <c r="K376" i="42"/>
  <c r="N358" i="42"/>
  <c r="O359" i="42" s="1"/>
  <c r="Q354" i="42" s="1" a="1"/>
  <c r="L372" i="43" l="1"/>
  <c r="K373" i="43"/>
  <c r="K370" i="43"/>
  <c r="L374" i="43"/>
  <c r="K368" i="43"/>
  <c r="O356" i="43"/>
  <c r="N358" i="43" s="1"/>
  <c r="O359" i="43" s="1"/>
  <c r="K369" i="43"/>
  <c r="J376" i="43"/>
  <c r="L367" i="43"/>
  <c r="K371" i="43"/>
  <c r="I376" i="43"/>
  <c r="Q361" i="42"/>
  <c r="Q359" i="42"/>
  <c r="Q357" i="42"/>
  <c r="Q355" i="42"/>
  <c r="R362" i="42"/>
  <c r="R360" i="42"/>
  <c r="R358" i="42"/>
  <c r="R356" i="42"/>
  <c r="R354" i="42"/>
  <c r="Q362" i="42"/>
  <c r="Q360" i="42"/>
  <c r="Q358" i="42"/>
  <c r="Q356" i="42"/>
  <c r="Q354" i="42"/>
  <c r="R355" i="42"/>
  <c r="R359" i="42"/>
  <c r="R361" i="42"/>
  <c r="R357" i="42"/>
  <c r="L376" i="43" l="1"/>
  <c r="N359" i="43"/>
  <c r="O358" i="43" s="1"/>
  <c r="Q354" i="43" s="1" a="1"/>
  <c r="K376" i="43"/>
  <c r="D367" i="42" a="1"/>
  <c r="D374" i="42" s="1"/>
  <c r="A367" i="42" a="1"/>
  <c r="R356" i="43" l="1"/>
  <c r="R358" i="43"/>
  <c r="R361" i="43"/>
  <c r="Q362" i="43"/>
  <c r="Q354" i="43"/>
  <c r="Q357" i="43"/>
  <c r="R357" i="43"/>
  <c r="Q361" i="43"/>
  <c r="R362" i="43"/>
  <c r="Q359" i="43"/>
  <c r="R359" i="43"/>
  <c r="Q358" i="43"/>
  <c r="Q355" i="43"/>
  <c r="Q360" i="43"/>
  <c r="R355" i="43"/>
  <c r="R360" i="43"/>
  <c r="R354" i="43"/>
  <c r="Q356" i="43"/>
  <c r="D372" i="42"/>
  <c r="D368" i="42"/>
  <c r="D370" i="42"/>
  <c r="D367" i="42"/>
  <c r="D369" i="42"/>
  <c r="D371" i="42"/>
  <c r="D373" i="42"/>
  <c r="D375" i="42"/>
  <c r="A373" i="42"/>
  <c r="A369" i="42"/>
  <c r="A372" i="42"/>
  <c r="A368" i="42"/>
  <c r="A375" i="42"/>
  <c r="A371" i="42"/>
  <c r="A367" i="42"/>
  <c r="A370" i="42"/>
  <c r="A374" i="42"/>
  <c r="D367" i="43" l="1" a="1"/>
  <c r="D373" i="43" s="1"/>
  <c r="A367" i="43" a="1"/>
  <c r="A370" i="43" s="1"/>
  <c r="D380" i="42" a="1"/>
  <c r="D384" i="42" s="1"/>
  <c r="G384" i="42" s="1"/>
  <c r="B377" i="42"/>
  <c r="O367" i="42" s="1"/>
  <c r="A380" i="42" a="1"/>
  <c r="D370" i="43" l="1"/>
  <c r="D374" i="43"/>
  <c r="D372" i="43"/>
  <c r="D368" i="43"/>
  <c r="D369" i="43"/>
  <c r="D375" i="43"/>
  <c r="A375" i="43"/>
  <c r="D371" i="43"/>
  <c r="D367" i="43"/>
  <c r="A371" i="43"/>
  <c r="A369" i="43"/>
  <c r="A372" i="43"/>
  <c r="A367" i="43"/>
  <c r="A368" i="43"/>
  <c r="A374" i="43"/>
  <c r="A373" i="43"/>
  <c r="D383" i="42"/>
  <c r="G383" i="42" s="1"/>
  <c r="D388" i="42"/>
  <c r="G388" i="42" s="1"/>
  <c r="D387" i="42"/>
  <c r="G387" i="42" s="1"/>
  <c r="D381" i="42"/>
  <c r="G381" i="42" s="1"/>
  <c r="D380" i="42"/>
  <c r="G380" i="42" s="1"/>
  <c r="D382" i="42"/>
  <c r="G382" i="42" s="1"/>
  <c r="D385" i="42"/>
  <c r="G385" i="42" s="1"/>
  <c r="D386" i="42"/>
  <c r="G386" i="42" s="1"/>
  <c r="A387" i="42"/>
  <c r="A383" i="42"/>
  <c r="A386" i="42"/>
  <c r="A382" i="42"/>
  <c r="A385" i="42"/>
  <c r="A381" i="42"/>
  <c r="A384" i="42"/>
  <c r="A388" i="42"/>
  <c r="A380" i="42"/>
  <c r="O368" i="42"/>
  <c r="D380" i="43" l="1" a="1"/>
  <c r="D383" i="43" s="1"/>
  <c r="G383" i="43" s="1"/>
  <c r="B377" i="43"/>
  <c r="A380" i="43" a="1"/>
  <c r="A388" i="43" s="1"/>
  <c r="O369" i="42"/>
  <c r="B390" i="42"/>
  <c r="A393" i="42" a="1"/>
  <c r="O367" i="43" l="1"/>
  <c r="O368" i="43"/>
  <c r="D380" i="43"/>
  <c r="G380" i="43" s="1"/>
  <c r="D381" i="43"/>
  <c r="G381" i="43" s="1"/>
  <c r="A382" i="43"/>
  <c r="D386" i="43"/>
  <c r="G386" i="43" s="1"/>
  <c r="D388" i="43"/>
  <c r="G388" i="43" s="1"/>
  <c r="D387" i="43"/>
  <c r="G387" i="43" s="1"/>
  <c r="D382" i="43"/>
  <c r="G382" i="43" s="1"/>
  <c r="D385" i="43"/>
  <c r="G385" i="43" s="1"/>
  <c r="A380" i="43"/>
  <c r="D384" i="43"/>
  <c r="G384" i="43" s="1"/>
  <c r="A385" i="43"/>
  <c r="A384" i="43"/>
  <c r="A381" i="43"/>
  <c r="A387" i="43"/>
  <c r="A386" i="43"/>
  <c r="A383" i="43"/>
  <c r="N371" i="42"/>
  <c r="N372" i="42"/>
  <c r="O371" i="42" s="1"/>
  <c r="A401" i="42"/>
  <c r="A397" i="42"/>
  <c r="A393" i="42"/>
  <c r="A400" i="42"/>
  <c r="A396" i="42"/>
  <c r="A399" i="42"/>
  <c r="A395" i="42"/>
  <c r="A394" i="42"/>
  <c r="A398" i="42"/>
  <c r="O369" i="43" l="1"/>
  <c r="N372" i="43" s="1"/>
  <c r="O371" i="43" s="1"/>
  <c r="A393" i="43" a="1"/>
  <c r="A398" i="43" s="1"/>
  <c r="B390" i="43"/>
  <c r="B403" i="42"/>
  <c r="A406" i="42" a="1"/>
  <c r="O372" i="42"/>
  <c r="Q367" i="42" s="1" a="1"/>
  <c r="N371" i="43" l="1"/>
  <c r="O372" i="43" s="1"/>
  <c r="Q367" i="43" s="1" a="1"/>
  <c r="A395" i="43"/>
  <c r="A397" i="43"/>
  <c r="A394" i="43"/>
  <c r="A393" i="43"/>
  <c r="A396" i="43"/>
  <c r="A400" i="43"/>
  <c r="A401" i="43"/>
  <c r="A399" i="43"/>
  <c r="A411" i="42"/>
  <c r="F411" i="42" s="1"/>
  <c r="A407" i="42"/>
  <c r="F407" i="42" s="1"/>
  <c r="A414" i="42"/>
  <c r="F414" i="42" s="1"/>
  <c r="A410" i="42"/>
  <c r="F410" i="42" s="1"/>
  <c r="A406" i="42"/>
  <c r="A413" i="42"/>
  <c r="F413" i="42" s="1"/>
  <c r="A409" i="42"/>
  <c r="F409" i="42" s="1"/>
  <c r="A412" i="42"/>
  <c r="F412" i="42" s="1"/>
  <c r="A408" i="42"/>
  <c r="F408" i="42" s="1"/>
  <c r="R374" i="42"/>
  <c r="R372" i="42"/>
  <c r="R370" i="42"/>
  <c r="R368" i="42"/>
  <c r="Q374" i="42"/>
  <c r="Q372" i="42"/>
  <c r="Q370" i="42"/>
  <c r="Q368" i="42"/>
  <c r="R375" i="42"/>
  <c r="R373" i="42"/>
  <c r="R371" i="42"/>
  <c r="R369" i="42"/>
  <c r="R367" i="42"/>
  <c r="Q373" i="42"/>
  <c r="Q369" i="42"/>
  <c r="Q375" i="42"/>
  <c r="Q371" i="42"/>
  <c r="Q367" i="42"/>
  <c r="A406" i="43" l="1" a="1"/>
  <c r="A407" i="43" s="1"/>
  <c r="F407" i="43" s="1"/>
  <c r="B403" i="43"/>
  <c r="Q374" i="43"/>
  <c r="R374" i="43"/>
  <c r="R372" i="43"/>
  <c r="R370" i="43"/>
  <c r="Q373" i="43"/>
  <c r="Q372" i="43"/>
  <c r="R371" i="43"/>
  <c r="R369" i="43"/>
  <c r="Q371" i="43"/>
  <c r="R367" i="43"/>
  <c r="Q368" i="43"/>
  <c r="Q375" i="43"/>
  <c r="R375" i="43"/>
  <c r="R368" i="43"/>
  <c r="Q370" i="43"/>
  <c r="Q369" i="43"/>
  <c r="Q367" i="43"/>
  <c r="R373" i="43"/>
  <c r="C380" i="42" a="1"/>
  <c r="B380" i="42" a="1"/>
  <c r="B416" i="42"/>
  <c r="F406" i="42"/>
  <c r="A410" i="43" l="1"/>
  <c r="F410" i="43" s="1"/>
  <c r="A412" i="43"/>
  <c r="F412" i="43" s="1"/>
  <c r="A406" i="43"/>
  <c r="A414" i="43"/>
  <c r="F414" i="43" s="1"/>
  <c r="A413" i="43"/>
  <c r="F413" i="43" s="1"/>
  <c r="A409" i="43"/>
  <c r="F409" i="43" s="1"/>
  <c r="A411" i="43"/>
  <c r="F411" i="43" s="1"/>
  <c r="A408" i="43"/>
  <c r="F408" i="43" s="1"/>
  <c r="C380" i="43" a="1"/>
  <c r="B380" i="43" a="1"/>
  <c r="F406" i="43"/>
  <c r="B385" i="42"/>
  <c r="F385" i="42" s="1"/>
  <c r="B381" i="42"/>
  <c r="F381" i="42" s="1"/>
  <c r="B388" i="42"/>
  <c r="F388" i="42" s="1"/>
  <c r="B384" i="42"/>
  <c r="F384" i="42" s="1"/>
  <c r="B380" i="42"/>
  <c r="F380" i="42" s="1"/>
  <c r="B387" i="42"/>
  <c r="F387" i="42" s="1"/>
  <c r="B383" i="42"/>
  <c r="F383" i="42" s="1"/>
  <c r="B382" i="42"/>
  <c r="F382" i="42" s="1"/>
  <c r="B386" i="42"/>
  <c r="F386" i="42" s="1"/>
  <c r="C387" i="42"/>
  <c r="C383" i="42"/>
  <c r="C386" i="42"/>
  <c r="C382" i="42"/>
  <c r="C385" i="42"/>
  <c r="C381" i="42"/>
  <c r="C380" i="42"/>
  <c r="C388" i="42"/>
  <c r="C384" i="42"/>
  <c r="B416" i="43" l="1"/>
  <c r="C387" i="43"/>
  <c r="C388" i="43"/>
  <c r="C386" i="43"/>
  <c r="C382" i="43"/>
  <c r="C384" i="43"/>
  <c r="C383" i="43"/>
  <c r="C381" i="43"/>
  <c r="C385" i="43"/>
  <c r="C380" i="43"/>
  <c r="B385" i="43"/>
  <c r="F385" i="43" s="1"/>
  <c r="B380" i="43"/>
  <c r="F380" i="43" s="1"/>
  <c r="B386" i="43"/>
  <c r="F386" i="43" s="1"/>
  <c r="B381" i="43"/>
  <c r="F381" i="43" s="1"/>
  <c r="B383" i="43"/>
  <c r="F383" i="43" s="1"/>
  <c r="B388" i="43"/>
  <c r="F388" i="43" s="1"/>
  <c r="B382" i="43"/>
  <c r="F382" i="43" s="1"/>
  <c r="B384" i="43"/>
  <c r="F384" i="43" s="1"/>
  <c r="B387" i="43"/>
  <c r="F387" i="43" s="1"/>
  <c r="C393" i="42" a="1"/>
  <c r="C393" i="42" s="1"/>
  <c r="F393" i="42" s="1"/>
  <c r="J382" i="42"/>
  <c r="I382" i="42"/>
  <c r="I384" i="42"/>
  <c r="J384" i="42"/>
  <c r="J383" i="42"/>
  <c r="I383" i="42"/>
  <c r="I388" i="42"/>
  <c r="J388" i="42"/>
  <c r="J387" i="42"/>
  <c r="I387" i="42"/>
  <c r="I381" i="42"/>
  <c r="J381" i="42"/>
  <c r="I386" i="42"/>
  <c r="J386" i="42"/>
  <c r="J380" i="42"/>
  <c r="I380" i="42"/>
  <c r="I385" i="42"/>
  <c r="J385" i="42"/>
  <c r="C393" i="43" l="1" a="1"/>
  <c r="C393" i="43" s="1"/>
  <c r="F393" i="43" s="1"/>
  <c r="I384" i="43"/>
  <c r="J384" i="43"/>
  <c r="J381" i="43"/>
  <c r="I381" i="43"/>
  <c r="I382" i="43"/>
  <c r="J382" i="43"/>
  <c r="J386" i="43"/>
  <c r="I386" i="43"/>
  <c r="J388" i="43"/>
  <c r="I388" i="43"/>
  <c r="J380" i="43"/>
  <c r="I380" i="43"/>
  <c r="J387" i="43"/>
  <c r="I387" i="43"/>
  <c r="I383" i="43"/>
  <c r="J383" i="43"/>
  <c r="J385" i="43"/>
  <c r="I385" i="43"/>
  <c r="C398" i="42"/>
  <c r="F398" i="42" s="1"/>
  <c r="C397" i="42"/>
  <c r="F397" i="42" s="1"/>
  <c r="C401" i="42"/>
  <c r="F401" i="42" s="1"/>
  <c r="C399" i="42"/>
  <c r="F399" i="42" s="1"/>
  <c r="C396" i="42"/>
  <c r="F396" i="42" s="1"/>
  <c r="C394" i="42"/>
  <c r="F394" i="42" s="1"/>
  <c r="C400" i="42"/>
  <c r="F400" i="42" s="1"/>
  <c r="C395" i="42"/>
  <c r="F395" i="42" s="1"/>
  <c r="L381" i="42"/>
  <c r="K381" i="42"/>
  <c r="L384" i="42"/>
  <c r="K384" i="42"/>
  <c r="L385" i="42"/>
  <c r="K385" i="42"/>
  <c r="K387" i="42"/>
  <c r="L387" i="42"/>
  <c r="K383" i="42"/>
  <c r="L383" i="42"/>
  <c r="L382" i="42"/>
  <c r="K382" i="42"/>
  <c r="I389" i="42"/>
  <c r="K380" i="42"/>
  <c r="L380" i="42"/>
  <c r="L386" i="42"/>
  <c r="K386" i="42"/>
  <c r="L388" i="42"/>
  <c r="K388" i="42"/>
  <c r="J389" i="42"/>
  <c r="C400" i="43" l="1"/>
  <c r="F400" i="43" s="1"/>
  <c r="C395" i="43"/>
  <c r="F395" i="43" s="1"/>
  <c r="C397" i="43"/>
  <c r="F397" i="43" s="1"/>
  <c r="K383" i="43"/>
  <c r="C399" i="43"/>
  <c r="F399" i="43" s="1"/>
  <c r="C394" i="43"/>
  <c r="F394" i="43" s="1"/>
  <c r="L384" i="43"/>
  <c r="C398" i="43"/>
  <c r="F398" i="43" s="1"/>
  <c r="C401" i="43"/>
  <c r="F401" i="43" s="1"/>
  <c r="K382" i="43"/>
  <c r="C396" i="43"/>
  <c r="F396" i="43" s="1"/>
  <c r="K386" i="43"/>
  <c r="L386" i="43"/>
  <c r="L383" i="43"/>
  <c r="J389" i="43"/>
  <c r="L381" i="43"/>
  <c r="K381" i="43"/>
  <c r="L385" i="43"/>
  <c r="K385" i="43"/>
  <c r="K387" i="43"/>
  <c r="L387" i="43"/>
  <c r="L388" i="43"/>
  <c r="K388" i="43"/>
  <c r="L382" i="43"/>
  <c r="K384" i="43"/>
  <c r="K380" i="43"/>
  <c r="I389" i="43"/>
  <c r="L380" i="43"/>
  <c r="L389" i="42"/>
  <c r="O380" i="42" s="1"/>
  <c r="K389" i="42"/>
  <c r="O381" i="42" s="1"/>
  <c r="L389" i="43" l="1"/>
  <c r="O380" i="43" s="1"/>
  <c r="K389" i="43"/>
  <c r="O381" i="43" s="1"/>
  <c r="O382" i="42"/>
  <c r="N385" i="42" s="1"/>
  <c r="O384" i="42" s="1"/>
  <c r="O382" i="43" l="1"/>
  <c r="N384" i="42"/>
  <c r="O385" i="42" s="1"/>
  <c r="Q380" i="42" s="1" a="1"/>
  <c r="N385" i="43" l="1"/>
  <c r="O384" i="43" s="1"/>
  <c r="N384" i="43"/>
  <c r="O385" i="43" s="1"/>
  <c r="Q388" i="42"/>
  <c r="Q386" i="42"/>
  <c r="Q384" i="42"/>
  <c r="Q382" i="42"/>
  <c r="Q380" i="42"/>
  <c r="R387" i="42"/>
  <c r="R385" i="42"/>
  <c r="R383" i="42"/>
  <c r="R381" i="42"/>
  <c r="Q387" i="42"/>
  <c r="Q385" i="42"/>
  <c r="Q383" i="42"/>
  <c r="Q381" i="42"/>
  <c r="R382" i="42"/>
  <c r="R386" i="42"/>
  <c r="R380" i="42"/>
  <c r="R388" i="42"/>
  <c r="R384" i="42"/>
  <c r="Q380" i="43" l="1" a="1"/>
  <c r="R387" i="43" s="1"/>
  <c r="B393" i="42" a="1"/>
  <c r="B394" i="42" s="1"/>
  <c r="D393" i="42" a="1"/>
  <c r="Q388" i="43" l="1"/>
  <c r="R386" i="43"/>
  <c r="Q384" i="43"/>
  <c r="R384" i="43"/>
  <c r="Q383" i="43"/>
  <c r="Q381" i="43"/>
  <c r="R380" i="43"/>
  <c r="R383" i="43"/>
  <c r="R382" i="43"/>
  <c r="Q386" i="43"/>
  <c r="Q387" i="43"/>
  <c r="R388" i="43"/>
  <c r="R381" i="43"/>
  <c r="Q382" i="43"/>
  <c r="Q380" i="43"/>
  <c r="R385" i="43"/>
  <c r="Q385" i="43"/>
  <c r="B397" i="42"/>
  <c r="B399" i="42"/>
  <c r="B401" i="42"/>
  <c r="B396" i="42"/>
  <c r="B398" i="42"/>
  <c r="B393" i="42"/>
  <c r="B395" i="42"/>
  <c r="B400" i="42"/>
  <c r="D399" i="42"/>
  <c r="G399" i="42" s="1"/>
  <c r="D395" i="42"/>
  <c r="G395" i="42" s="1"/>
  <c r="D398" i="42"/>
  <c r="G398" i="42" s="1"/>
  <c r="D394" i="42"/>
  <c r="G394" i="42" s="1"/>
  <c r="D401" i="42"/>
  <c r="G401" i="42" s="1"/>
  <c r="D397" i="42"/>
  <c r="G397" i="42" s="1"/>
  <c r="D393" i="42"/>
  <c r="G393" i="42" s="1"/>
  <c r="D396" i="42"/>
  <c r="G396" i="42" s="1"/>
  <c r="D400" i="42"/>
  <c r="G400" i="42" s="1"/>
  <c r="B393" i="43" l="1" a="1"/>
  <c r="B401" i="43" s="1"/>
  <c r="D393" i="43" a="1"/>
  <c r="D400" i="43" s="1"/>
  <c r="G400" i="43" s="1"/>
  <c r="I400" i="43" s="1"/>
  <c r="B406" i="42" a="1"/>
  <c r="B409" i="42" s="1"/>
  <c r="G409" i="42" s="1"/>
  <c r="I396" i="42"/>
  <c r="J396" i="42"/>
  <c r="J394" i="42"/>
  <c r="I394" i="42"/>
  <c r="I393" i="42"/>
  <c r="J393" i="42"/>
  <c r="J398" i="42"/>
  <c r="I398" i="42"/>
  <c r="J397" i="42"/>
  <c r="I397" i="42"/>
  <c r="J395" i="42"/>
  <c r="I395" i="42"/>
  <c r="I400" i="42"/>
  <c r="J400" i="42"/>
  <c r="J401" i="42"/>
  <c r="I401" i="42"/>
  <c r="J399" i="42"/>
  <c r="I399" i="42"/>
  <c r="B394" i="43" l="1"/>
  <c r="B396" i="43"/>
  <c r="B393" i="43"/>
  <c r="B395" i="43"/>
  <c r="B400" i="43"/>
  <c r="B397" i="43"/>
  <c r="B399" i="43"/>
  <c r="B398" i="43"/>
  <c r="J400" i="43"/>
  <c r="K400" i="43" s="1"/>
  <c r="D398" i="43"/>
  <c r="G398" i="43" s="1"/>
  <c r="J398" i="43" s="1"/>
  <c r="D394" i="43"/>
  <c r="G394" i="43" s="1"/>
  <c r="J394" i="43" s="1"/>
  <c r="D399" i="43"/>
  <c r="G399" i="43" s="1"/>
  <c r="D397" i="43"/>
  <c r="G397" i="43" s="1"/>
  <c r="I397" i="43" s="1"/>
  <c r="D395" i="43"/>
  <c r="G395" i="43" s="1"/>
  <c r="J395" i="43" s="1"/>
  <c r="D401" i="43"/>
  <c r="G401" i="43" s="1"/>
  <c r="J401" i="43" s="1"/>
  <c r="D396" i="43"/>
  <c r="G396" i="43" s="1"/>
  <c r="D393" i="43"/>
  <c r="G393" i="43" s="1"/>
  <c r="J393" i="43" s="1"/>
  <c r="B413" i="42"/>
  <c r="G413" i="42" s="1"/>
  <c r="J413" i="42" s="1"/>
  <c r="B411" i="42"/>
  <c r="G411" i="42" s="1"/>
  <c r="J411" i="42" s="1"/>
  <c r="B406" i="42"/>
  <c r="G406" i="42" s="1"/>
  <c r="J406" i="42" s="1"/>
  <c r="B414" i="42"/>
  <c r="G414" i="42" s="1"/>
  <c r="J414" i="42" s="1"/>
  <c r="B408" i="42"/>
  <c r="G408" i="42" s="1"/>
  <c r="I408" i="42" s="1"/>
  <c r="B410" i="42"/>
  <c r="G410" i="42" s="1"/>
  <c r="J410" i="42" s="1"/>
  <c r="B412" i="42"/>
  <c r="G412" i="42" s="1"/>
  <c r="J412" i="42" s="1"/>
  <c r="B407" i="42"/>
  <c r="G407" i="42" s="1"/>
  <c r="J407" i="42" s="1"/>
  <c r="L401" i="42"/>
  <c r="K401" i="42"/>
  <c r="K395" i="42"/>
  <c r="L395" i="42"/>
  <c r="L394" i="42"/>
  <c r="K394" i="42"/>
  <c r="L399" i="42"/>
  <c r="K399" i="42"/>
  <c r="L397" i="42"/>
  <c r="K397" i="42"/>
  <c r="J402" i="42"/>
  <c r="I409" i="42"/>
  <c r="J409" i="42"/>
  <c r="L398" i="42"/>
  <c r="K398" i="42"/>
  <c r="L400" i="42"/>
  <c r="K400" i="42"/>
  <c r="L393" i="42"/>
  <c r="I402" i="42"/>
  <c r="K393" i="42"/>
  <c r="L396" i="42"/>
  <c r="K396" i="42"/>
  <c r="B406" i="43" l="1" a="1"/>
  <c r="B413" i="43" s="1"/>
  <c r="G413" i="43" s="1"/>
  <c r="I398" i="43"/>
  <c r="L398" i="43" s="1"/>
  <c r="L400" i="43"/>
  <c r="J397" i="43"/>
  <c r="K397" i="43" s="1"/>
  <c r="I395" i="43"/>
  <c r="L395" i="43" s="1"/>
  <c r="I394" i="43"/>
  <c r="L394" i="43" s="1"/>
  <c r="J399" i="43"/>
  <c r="I399" i="43"/>
  <c r="I396" i="43"/>
  <c r="J396" i="43"/>
  <c r="I401" i="43"/>
  <c r="L401" i="43" s="1"/>
  <c r="I393" i="43"/>
  <c r="B409" i="43"/>
  <c r="G409" i="43" s="1"/>
  <c r="B412" i="43"/>
  <c r="G412" i="43" s="1"/>
  <c r="B408" i="43"/>
  <c r="G408" i="43" s="1"/>
  <c r="B407" i="43"/>
  <c r="G407" i="43" s="1"/>
  <c r="I413" i="42"/>
  <c r="L413" i="42" s="1"/>
  <c r="I406" i="42"/>
  <c r="L406" i="42" s="1"/>
  <c r="I411" i="42"/>
  <c r="K411" i="42" s="1"/>
  <c r="J408" i="42"/>
  <c r="L408" i="42" s="1"/>
  <c r="I414" i="42"/>
  <c r="L414" i="42" s="1"/>
  <c r="I412" i="42"/>
  <c r="K412" i="42" s="1"/>
  <c r="I407" i="42"/>
  <c r="K407" i="42" s="1"/>
  <c r="I410" i="42"/>
  <c r="K410" i="42" s="1"/>
  <c r="K402" i="42"/>
  <c r="O394" i="42" s="1"/>
  <c r="L402" i="42"/>
  <c r="O393" i="42" s="1"/>
  <c r="L409" i="42"/>
  <c r="K409" i="42"/>
  <c r="B411" i="43" l="1"/>
  <c r="G411" i="43" s="1"/>
  <c r="B410" i="43"/>
  <c r="G410" i="43" s="1"/>
  <c r="J410" i="43" s="1"/>
  <c r="B406" i="43"/>
  <c r="G406" i="43" s="1"/>
  <c r="I406" i="43" s="1"/>
  <c r="B414" i="43"/>
  <c r="G414" i="43" s="1"/>
  <c r="I414" i="43" s="1"/>
  <c r="K398" i="43"/>
  <c r="J402" i="43"/>
  <c r="L397" i="43"/>
  <c r="K394" i="43"/>
  <c r="K395" i="43"/>
  <c r="L399" i="43"/>
  <c r="K399" i="43"/>
  <c r="K401" i="43"/>
  <c r="K396" i="43"/>
  <c r="L396" i="43"/>
  <c r="K393" i="43"/>
  <c r="I402" i="43"/>
  <c r="L393" i="43"/>
  <c r="K414" i="42"/>
  <c r="I412" i="43"/>
  <c r="J412" i="43"/>
  <c r="I413" i="43"/>
  <c r="J413" i="43"/>
  <c r="J409" i="43"/>
  <c r="I409" i="43"/>
  <c r="I410" i="43"/>
  <c r="I407" i="43"/>
  <c r="J407" i="43"/>
  <c r="I411" i="43"/>
  <c r="J411" i="43"/>
  <c r="J408" i="43"/>
  <c r="I408" i="43"/>
  <c r="K413" i="42"/>
  <c r="K406" i="42"/>
  <c r="J415" i="42"/>
  <c r="K408" i="42"/>
  <c r="L411" i="42"/>
  <c r="L407" i="42"/>
  <c r="I415" i="42"/>
  <c r="L412" i="42"/>
  <c r="L410" i="42"/>
  <c r="O395" i="42"/>
  <c r="N398" i="42" s="1"/>
  <c r="O397" i="42" s="1"/>
  <c r="J406" i="43" l="1"/>
  <c r="J414" i="43"/>
  <c r="K414" i="43" s="1"/>
  <c r="L402" i="43"/>
  <c r="O393" i="43" s="1"/>
  <c r="K402" i="43"/>
  <c r="O394" i="43" s="1"/>
  <c r="L412" i="43"/>
  <c r="K409" i="43"/>
  <c r="L409" i="43"/>
  <c r="K411" i="43"/>
  <c r="L411" i="43"/>
  <c r="K413" i="43"/>
  <c r="L413" i="43"/>
  <c r="I415" i="43"/>
  <c r="L406" i="43"/>
  <c r="K407" i="43"/>
  <c r="L407" i="43"/>
  <c r="K412" i="43"/>
  <c r="K406" i="43"/>
  <c r="J415" i="43"/>
  <c r="K408" i="43"/>
  <c r="L408" i="43"/>
  <c r="K410" i="43"/>
  <c r="L410" i="43"/>
  <c r="K415" i="42"/>
  <c r="O407" i="42" s="1"/>
  <c r="L415" i="42"/>
  <c r="O406" i="42" s="1"/>
  <c r="N397" i="42"/>
  <c r="O398" i="42" s="1"/>
  <c r="L414" i="43" l="1"/>
  <c r="O395" i="43"/>
  <c r="K415" i="43"/>
  <c r="O407" i="43" s="1"/>
  <c r="L415" i="43"/>
  <c r="O406" i="43" s="1"/>
  <c r="Q393" i="42" a="1"/>
  <c r="R397" i="42" s="1"/>
  <c r="O408" i="42"/>
  <c r="N410" i="42" s="1"/>
  <c r="O411" i="42" s="1"/>
  <c r="O408" i="43" l="1"/>
  <c r="N410" i="43" s="1"/>
  <c r="O411" i="43" s="1"/>
  <c r="N397" i="43"/>
  <c r="O398" i="43" s="1"/>
  <c r="N398" i="43"/>
  <c r="O397" i="43" s="1"/>
  <c r="Q401" i="42"/>
  <c r="Q396" i="42"/>
  <c r="Q393" i="42"/>
  <c r="R394" i="42"/>
  <c r="R399" i="42"/>
  <c r="Q400" i="42"/>
  <c r="R396" i="42"/>
  <c r="Q395" i="42"/>
  <c r="R393" i="42"/>
  <c r="R401" i="42"/>
  <c r="Q398" i="42"/>
  <c r="R398" i="42"/>
  <c r="Q397" i="42"/>
  <c r="R395" i="42"/>
  <c r="Q394" i="42"/>
  <c r="R400" i="42"/>
  <c r="Q399" i="42"/>
  <c r="N411" i="42"/>
  <c r="O410" i="42" s="1"/>
  <c r="Q406" i="42" s="1" a="1"/>
  <c r="Q409" i="42" s="1"/>
  <c r="N411" i="43" l="1"/>
  <c r="O410" i="43" s="1"/>
  <c r="Q393" i="43" a="1"/>
  <c r="R400" i="43" s="1"/>
  <c r="D406" i="42" a="1"/>
  <c r="D408" i="42" s="1"/>
  <c r="C406" i="42" a="1"/>
  <c r="C411" i="42" s="1"/>
  <c r="Q413" i="42"/>
  <c r="R409" i="42"/>
  <c r="Q406" i="42"/>
  <c r="R406" i="42"/>
  <c r="R412" i="42"/>
  <c r="R414" i="42"/>
  <c r="Q410" i="42"/>
  <c r="R411" i="42"/>
  <c r="Q414" i="42"/>
  <c r="Q407" i="42"/>
  <c r="R407" i="42"/>
  <c r="Q408" i="42"/>
  <c r="R408" i="42"/>
  <c r="Q411" i="42"/>
  <c r="R413" i="42"/>
  <c r="Q412" i="42"/>
  <c r="R410" i="42"/>
  <c r="Q395" i="43" l="1"/>
  <c r="R393" i="43"/>
  <c r="R398" i="43"/>
  <c r="R395" i="43"/>
  <c r="R401" i="43"/>
  <c r="Q399" i="43"/>
  <c r="R396" i="43"/>
  <c r="R397" i="43"/>
  <c r="Q401" i="43"/>
  <c r="Q394" i="43"/>
  <c r="Q400" i="43"/>
  <c r="Q398" i="43"/>
  <c r="Q393" i="43"/>
  <c r="Q396" i="43"/>
  <c r="Q397" i="43"/>
  <c r="R394" i="43"/>
  <c r="R399" i="43"/>
  <c r="Q406" i="43" a="1"/>
  <c r="D407" i="42"/>
  <c r="D412" i="42"/>
  <c r="D409" i="42"/>
  <c r="D406" i="42"/>
  <c r="C410" i="42"/>
  <c r="D410" i="42"/>
  <c r="D411" i="42"/>
  <c r="D413" i="42"/>
  <c r="D414" i="42"/>
  <c r="C413" i="42"/>
  <c r="C408" i="42"/>
  <c r="C414" i="42"/>
  <c r="C409" i="42"/>
  <c r="C407" i="42"/>
  <c r="C412" i="42"/>
  <c r="C406" i="42"/>
  <c r="B419" i="42" a="1"/>
  <c r="B423" i="42" s="1"/>
  <c r="A419" i="42" a="1"/>
  <c r="A421" i="42" s="1"/>
  <c r="F421" i="42" s="1"/>
  <c r="D406" i="43" l="1" a="1"/>
  <c r="D409" i="43" s="1"/>
  <c r="C406" i="43" a="1"/>
  <c r="C409" i="43" s="1"/>
  <c r="Q414" i="43"/>
  <c r="Q406" i="43"/>
  <c r="R408" i="43"/>
  <c r="R411" i="43"/>
  <c r="R413" i="43"/>
  <c r="Q410" i="43"/>
  <c r="R412" i="43"/>
  <c r="Q411" i="43"/>
  <c r="Q409" i="43"/>
  <c r="Q408" i="43"/>
  <c r="R410" i="43"/>
  <c r="Q407" i="43"/>
  <c r="R409" i="43"/>
  <c r="Q412" i="43"/>
  <c r="R414" i="43"/>
  <c r="R406" i="43"/>
  <c r="R407" i="43"/>
  <c r="Q413" i="43"/>
  <c r="D419" i="42" a="1"/>
  <c r="D423" i="42" s="1"/>
  <c r="C419" i="42" a="1"/>
  <c r="C421" i="42" s="1"/>
  <c r="G421" i="42" s="1"/>
  <c r="B420" i="42"/>
  <c r="B426" i="42"/>
  <c r="B424" i="42"/>
  <c r="B419" i="42"/>
  <c r="B421" i="42"/>
  <c r="B427" i="42"/>
  <c r="B422" i="42"/>
  <c r="A424" i="42"/>
  <c r="F424" i="42" s="1"/>
  <c r="B425" i="42"/>
  <c r="A419" i="42"/>
  <c r="F419" i="42" s="1"/>
  <c r="A422" i="42"/>
  <c r="F422" i="42" s="1"/>
  <c r="A427" i="42"/>
  <c r="F427" i="42" s="1"/>
  <c r="A425" i="42"/>
  <c r="F425" i="42" s="1"/>
  <c r="A426" i="42"/>
  <c r="F426" i="42" s="1"/>
  <c r="A420" i="42"/>
  <c r="F420" i="42" s="1"/>
  <c r="A423" i="42"/>
  <c r="F423" i="42" s="1"/>
  <c r="C412" i="43" l="1"/>
  <c r="C408" i="43"/>
  <c r="C406" i="43"/>
  <c r="C411" i="43"/>
  <c r="C413" i="43"/>
  <c r="C407" i="43"/>
  <c r="C410" i="43"/>
  <c r="D412" i="43"/>
  <c r="D407" i="43"/>
  <c r="D408" i="43"/>
  <c r="D413" i="43"/>
  <c r="D410" i="43"/>
  <c r="C414" i="43"/>
  <c r="D414" i="43"/>
  <c r="D411" i="43"/>
  <c r="D406" i="43"/>
  <c r="B419" i="43" a="1"/>
  <c r="B422" i="43" s="1"/>
  <c r="A419" i="43" a="1"/>
  <c r="D425" i="42"/>
  <c r="D426" i="42"/>
  <c r="D427" i="42"/>
  <c r="C419" i="42"/>
  <c r="G419" i="42" s="1"/>
  <c r="J419" i="42" s="1"/>
  <c r="C424" i="42"/>
  <c r="G424" i="42" s="1"/>
  <c r="J424" i="42" s="1"/>
  <c r="C425" i="42"/>
  <c r="G425" i="42" s="1"/>
  <c r="I425" i="42" s="1"/>
  <c r="D420" i="42"/>
  <c r="D422" i="42"/>
  <c r="D419" i="42"/>
  <c r="D421" i="42"/>
  <c r="D424" i="42"/>
  <c r="C422" i="42"/>
  <c r="G422" i="42" s="1"/>
  <c r="J422" i="42" s="1"/>
  <c r="C427" i="42"/>
  <c r="G427" i="42" s="1"/>
  <c r="J427" i="42" s="1"/>
  <c r="C426" i="42"/>
  <c r="G426" i="42" s="1"/>
  <c r="I426" i="42" s="1"/>
  <c r="C420" i="42"/>
  <c r="G420" i="42" s="1"/>
  <c r="J420" i="42" s="1"/>
  <c r="J421" i="42"/>
  <c r="I421" i="42"/>
  <c r="C423" i="42"/>
  <c r="G423" i="42" s="1"/>
  <c r="J423" i="42" s="1"/>
  <c r="B432" i="42" a="1"/>
  <c r="B437" i="42" s="1"/>
  <c r="B429" i="42"/>
  <c r="C419" i="43" l="1" a="1"/>
  <c r="C420" i="43" s="1"/>
  <c r="G420" i="43" s="1"/>
  <c r="D419" i="43" a="1"/>
  <c r="D427" i="43" s="1"/>
  <c r="B421" i="43"/>
  <c r="B426" i="43"/>
  <c r="J425" i="42"/>
  <c r="K425" i="42" s="1"/>
  <c r="B424" i="43"/>
  <c r="B425" i="43"/>
  <c r="B420" i="43"/>
  <c r="B427" i="43"/>
  <c r="B419" i="43"/>
  <c r="B423" i="43"/>
  <c r="A427" i="43"/>
  <c r="F427" i="43" s="1"/>
  <c r="A419" i="43"/>
  <c r="A425" i="43"/>
  <c r="F425" i="43" s="1"/>
  <c r="A422" i="43"/>
  <c r="F422" i="43" s="1"/>
  <c r="A424" i="43"/>
  <c r="F424" i="43" s="1"/>
  <c r="A426" i="43"/>
  <c r="F426" i="43" s="1"/>
  <c r="A421" i="43"/>
  <c r="F421" i="43" s="1"/>
  <c r="A420" i="43"/>
  <c r="F420" i="43" s="1"/>
  <c r="A423" i="43"/>
  <c r="F423" i="43" s="1"/>
  <c r="I424" i="42"/>
  <c r="K424" i="42" s="1"/>
  <c r="I419" i="42"/>
  <c r="K419" i="42" s="1"/>
  <c r="D432" i="42" a="1"/>
  <c r="D437" i="42" s="1"/>
  <c r="G437" i="42" s="1"/>
  <c r="I422" i="42"/>
  <c r="L422" i="42" s="1"/>
  <c r="I427" i="42"/>
  <c r="L427" i="42" s="1"/>
  <c r="L421" i="42"/>
  <c r="J426" i="42"/>
  <c r="K426" i="42" s="1"/>
  <c r="I420" i="42"/>
  <c r="L420" i="42" s="1"/>
  <c r="K421" i="42"/>
  <c r="I423" i="42"/>
  <c r="K423" i="42" s="1"/>
  <c r="B439" i="42"/>
  <c r="B436" i="42"/>
  <c r="B434" i="42"/>
  <c r="B440" i="42"/>
  <c r="B435" i="42"/>
  <c r="B433" i="42"/>
  <c r="B438" i="42"/>
  <c r="B432" i="42"/>
  <c r="C423" i="43" l="1"/>
  <c r="G423" i="43" s="1"/>
  <c r="J423" i="43" s="1"/>
  <c r="D423" i="43"/>
  <c r="D424" i="43"/>
  <c r="C422" i="43"/>
  <c r="G422" i="43" s="1"/>
  <c r="I422" i="43" s="1"/>
  <c r="D420" i="43"/>
  <c r="D422" i="43"/>
  <c r="C425" i="43"/>
  <c r="G425" i="43" s="1"/>
  <c r="J425" i="43" s="1"/>
  <c r="C419" i="43"/>
  <c r="G419" i="43" s="1"/>
  <c r="D425" i="43"/>
  <c r="C421" i="43"/>
  <c r="G421" i="43" s="1"/>
  <c r="I421" i="43" s="1"/>
  <c r="D421" i="43"/>
  <c r="C426" i="43"/>
  <c r="G426" i="43" s="1"/>
  <c r="I426" i="43" s="1"/>
  <c r="D426" i="43"/>
  <c r="C427" i="43"/>
  <c r="G427" i="43" s="1"/>
  <c r="J427" i="43" s="1"/>
  <c r="D419" i="43"/>
  <c r="C424" i="43"/>
  <c r="G424" i="43" s="1"/>
  <c r="J424" i="43" s="1"/>
  <c r="L425" i="42"/>
  <c r="B432" i="43" a="1"/>
  <c r="B437" i="43" s="1"/>
  <c r="L419" i="42"/>
  <c r="B429" i="43"/>
  <c r="F419" i="43"/>
  <c r="I420" i="43"/>
  <c r="J420" i="43"/>
  <c r="L424" i="42"/>
  <c r="D432" i="42"/>
  <c r="G432" i="42" s="1"/>
  <c r="D440" i="42"/>
  <c r="G440" i="42" s="1"/>
  <c r="D435" i="42"/>
  <c r="G435" i="42" s="1"/>
  <c r="D433" i="42"/>
  <c r="G433" i="42" s="1"/>
  <c r="D438" i="42"/>
  <c r="G438" i="42" s="1"/>
  <c r="D434" i="42"/>
  <c r="G434" i="42" s="1"/>
  <c r="D436" i="42"/>
  <c r="G436" i="42" s="1"/>
  <c r="D439" i="42"/>
  <c r="G439" i="42" s="1"/>
  <c r="K422" i="42"/>
  <c r="K427" i="42"/>
  <c r="J428" i="42"/>
  <c r="L426" i="42"/>
  <c r="K420" i="42"/>
  <c r="L423" i="42"/>
  <c r="I428" i="42"/>
  <c r="B445" i="42" a="1"/>
  <c r="B447" i="42" s="1"/>
  <c r="F447" i="42" s="1"/>
  <c r="I427" i="43" l="1"/>
  <c r="J422" i="43"/>
  <c r="K422" i="43" s="1"/>
  <c r="I423" i="43"/>
  <c r="L423" i="43" s="1"/>
  <c r="I425" i="43"/>
  <c r="K425" i="43" s="1"/>
  <c r="J426" i="43"/>
  <c r="K426" i="43" s="1"/>
  <c r="I424" i="43"/>
  <c r="L424" i="43" s="1"/>
  <c r="J421" i="43"/>
  <c r="K421" i="43" s="1"/>
  <c r="D432" i="43" a="1"/>
  <c r="D440" i="43" s="1"/>
  <c r="G440" i="43" s="1"/>
  <c r="B434" i="43"/>
  <c r="B440" i="43"/>
  <c r="B439" i="43"/>
  <c r="B433" i="43"/>
  <c r="B438" i="43"/>
  <c r="B436" i="43"/>
  <c r="B432" i="43"/>
  <c r="B435" i="43"/>
  <c r="J419" i="43"/>
  <c r="I419" i="43"/>
  <c r="K420" i="43"/>
  <c r="L420" i="43"/>
  <c r="L427" i="43"/>
  <c r="K427" i="43"/>
  <c r="K428" i="42"/>
  <c r="O420" i="42" s="1"/>
  <c r="L428" i="42"/>
  <c r="O419" i="42" s="1"/>
  <c r="B451" i="42"/>
  <c r="F451" i="42" s="1"/>
  <c r="B448" i="42"/>
  <c r="F448" i="42" s="1"/>
  <c r="B453" i="42"/>
  <c r="F453" i="42" s="1"/>
  <c r="B446" i="42"/>
  <c r="F446" i="42" s="1"/>
  <c r="B452" i="42"/>
  <c r="F452" i="42" s="1"/>
  <c r="B445" i="42"/>
  <c r="F445" i="42" s="1"/>
  <c r="B450" i="42"/>
  <c r="F450" i="42" s="1"/>
  <c r="B449" i="42"/>
  <c r="F449" i="42" s="1"/>
  <c r="J428" i="43" l="1"/>
  <c r="L422" i="43"/>
  <c r="L425" i="43"/>
  <c r="K423" i="43"/>
  <c r="K424" i="43"/>
  <c r="L426" i="43"/>
  <c r="L421" i="43"/>
  <c r="D434" i="43"/>
  <c r="G434" i="43" s="1"/>
  <c r="D439" i="43"/>
  <c r="G439" i="43" s="1"/>
  <c r="D433" i="43"/>
  <c r="G433" i="43" s="1"/>
  <c r="D437" i="43"/>
  <c r="G437" i="43" s="1"/>
  <c r="D436" i="43"/>
  <c r="G436" i="43" s="1"/>
  <c r="D432" i="43"/>
  <c r="G432" i="43" s="1"/>
  <c r="D438" i="43"/>
  <c r="G438" i="43" s="1"/>
  <c r="D435" i="43"/>
  <c r="G435" i="43" s="1"/>
  <c r="B445" i="43" a="1"/>
  <c r="B447" i="43" s="1"/>
  <c r="F447" i="43" s="1"/>
  <c r="L419" i="43"/>
  <c r="I428" i="43"/>
  <c r="K419" i="43"/>
  <c r="O421" i="42"/>
  <c r="N423" i="42" s="1"/>
  <c r="O424" i="42" s="1"/>
  <c r="K428" i="43" l="1"/>
  <c r="L428" i="43"/>
  <c r="O420" i="43"/>
  <c r="O419" i="43"/>
  <c r="B452" i="43"/>
  <c r="F452" i="43" s="1"/>
  <c r="B445" i="43"/>
  <c r="F445" i="43" s="1"/>
  <c r="B449" i="43"/>
  <c r="F449" i="43" s="1"/>
  <c r="B450" i="43"/>
  <c r="F450" i="43" s="1"/>
  <c r="B446" i="43"/>
  <c r="F446" i="43" s="1"/>
  <c r="B451" i="43"/>
  <c r="F451" i="43" s="1"/>
  <c r="B448" i="43"/>
  <c r="F448" i="43" s="1"/>
  <c r="B453" i="43"/>
  <c r="F453" i="43" s="1"/>
  <c r="N424" i="42"/>
  <c r="O423" i="42" s="1"/>
  <c r="Q419" i="42" s="1" a="1"/>
  <c r="R420" i="42" s="1"/>
  <c r="O421" i="43" l="1"/>
  <c r="N424" i="43" s="1"/>
  <c r="O423" i="43" s="1"/>
  <c r="Q421" i="42"/>
  <c r="R421" i="42"/>
  <c r="Q422" i="42"/>
  <c r="R422" i="42"/>
  <c r="Q423" i="42"/>
  <c r="R423" i="42"/>
  <c r="Q424" i="42"/>
  <c r="Q425" i="42"/>
  <c r="R424" i="42"/>
  <c r="Q420" i="42"/>
  <c r="Q426" i="42"/>
  <c r="Q427" i="42"/>
  <c r="R427" i="42"/>
  <c r="R426" i="42"/>
  <c r="R425" i="42"/>
  <c r="Q419" i="42"/>
  <c r="R419" i="42"/>
  <c r="N423" i="43" l="1"/>
  <c r="O424" i="43" s="1"/>
  <c r="A432" i="42" a="1"/>
  <c r="A439" i="42" s="1"/>
  <c r="F439" i="42" s="1"/>
  <c r="J439" i="42" s="1"/>
  <c r="C432" i="42" a="1"/>
  <c r="C435" i="42" s="1"/>
  <c r="Q419" i="43" l="1" a="1"/>
  <c r="R425" i="43" s="1"/>
  <c r="Q423" i="43"/>
  <c r="R427" i="43"/>
  <c r="R426" i="43"/>
  <c r="Q421" i="43"/>
  <c r="R423" i="43"/>
  <c r="C436" i="42"/>
  <c r="C437" i="42"/>
  <c r="A436" i="42"/>
  <c r="F436" i="42" s="1"/>
  <c r="J436" i="42" s="1"/>
  <c r="A432" i="42"/>
  <c r="F432" i="42" s="1"/>
  <c r="J432" i="42" s="1"/>
  <c r="A433" i="42"/>
  <c r="F433" i="42" s="1"/>
  <c r="J433" i="42" s="1"/>
  <c r="A435" i="42"/>
  <c r="F435" i="42" s="1"/>
  <c r="A438" i="42"/>
  <c r="F438" i="42" s="1"/>
  <c r="I438" i="42" s="1"/>
  <c r="C434" i="42"/>
  <c r="A440" i="42"/>
  <c r="F440" i="42" s="1"/>
  <c r="J440" i="42" s="1"/>
  <c r="A437" i="42"/>
  <c r="F437" i="42" s="1"/>
  <c r="J437" i="42" s="1"/>
  <c r="C432" i="42"/>
  <c r="C439" i="42"/>
  <c r="A434" i="42"/>
  <c r="F434" i="42" s="1"/>
  <c r="J434" i="42" s="1"/>
  <c r="C440" i="42"/>
  <c r="C438" i="42"/>
  <c r="C433" i="42"/>
  <c r="I439" i="42"/>
  <c r="K439" i="42" s="1"/>
  <c r="Q426" i="43" l="1"/>
  <c r="R424" i="43"/>
  <c r="R421" i="43"/>
  <c r="Q424" i="43"/>
  <c r="Q425" i="43"/>
  <c r="R419" i="43"/>
  <c r="R422" i="43"/>
  <c r="R420" i="43"/>
  <c r="Q420" i="43"/>
  <c r="Q427" i="43"/>
  <c r="Q419" i="43"/>
  <c r="A432" i="43" s="1" a="1"/>
  <c r="A436" i="43" s="1"/>
  <c r="F436" i="43" s="1"/>
  <c r="Q422" i="43"/>
  <c r="C432" i="43" a="1"/>
  <c r="C437" i="43" s="1"/>
  <c r="I436" i="42"/>
  <c r="L436" i="42" s="1"/>
  <c r="I440" i="42"/>
  <c r="L440" i="42" s="1"/>
  <c r="I433" i="42"/>
  <c r="L433" i="42" s="1"/>
  <c r="C445" i="42" a="1"/>
  <c r="C449" i="42" s="1"/>
  <c r="G449" i="42" s="1"/>
  <c r="I432" i="42"/>
  <c r="K432" i="42" s="1"/>
  <c r="J438" i="42"/>
  <c r="K438" i="42" s="1"/>
  <c r="I435" i="42"/>
  <c r="J435" i="42"/>
  <c r="I434" i="42"/>
  <c r="K434" i="42" s="1"/>
  <c r="B442" i="42"/>
  <c r="I437" i="42"/>
  <c r="L439" i="42"/>
  <c r="K436" i="42" l="1"/>
  <c r="A439" i="43"/>
  <c r="F439" i="43" s="1"/>
  <c r="J439" i="43" s="1"/>
  <c r="A434" i="43"/>
  <c r="F434" i="43" s="1"/>
  <c r="I434" i="43" s="1"/>
  <c r="C434" i="43"/>
  <c r="C435" i="43"/>
  <c r="C436" i="43"/>
  <c r="C438" i="43"/>
  <c r="A435" i="43"/>
  <c r="F435" i="43" s="1"/>
  <c r="I435" i="43" s="1"/>
  <c r="C433" i="43"/>
  <c r="C439" i="43"/>
  <c r="A440" i="43"/>
  <c r="F440" i="43" s="1"/>
  <c r="I440" i="43" s="1"/>
  <c r="A437" i="43"/>
  <c r="F437" i="43" s="1"/>
  <c r="I437" i="43" s="1"/>
  <c r="A433" i="43"/>
  <c r="F433" i="43" s="1"/>
  <c r="J433" i="43" s="1"/>
  <c r="A432" i="43"/>
  <c r="F432" i="43" s="1"/>
  <c r="A438" i="43"/>
  <c r="F438" i="43" s="1"/>
  <c r="J438" i="43" s="1"/>
  <c r="C440" i="43"/>
  <c r="C432" i="43"/>
  <c r="J436" i="43"/>
  <c r="I436" i="43"/>
  <c r="K433" i="42"/>
  <c r="K440" i="42"/>
  <c r="C453" i="42"/>
  <c r="G453" i="42" s="1"/>
  <c r="J453" i="42" s="1"/>
  <c r="C446" i="42"/>
  <c r="G446" i="42" s="1"/>
  <c r="J446" i="42" s="1"/>
  <c r="C448" i="42"/>
  <c r="G448" i="42" s="1"/>
  <c r="I448" i="42" s="1"/>
  <c r="C450" i="42"/>
  <c r="G450" i="42" s="1"/>
  <c r="I450" i="42" s="1"/>
  <c r="C452" i="42"/>
  <c r="G452" i="42" s="1"/>
  <c r="I452" i="42" s="1"/>
  <c r="C445" i="42"/>
  <c r="G445" i="42" s="1"/>
  <c r="I445" i="42" s="1"/>
  <c r="C447" i="42"/>
  <c r="G447" i="42" s="1"/>
  <c r="I447" i="42" s="1"/>
  <c r="C451" i="42"/>
  <c r="G451" i="42" s="1"/>
  <c r="J451" i="42" s="1"/>
  <c r="J441" i="42"/>
  <c r="L438" i="42"/>
  <c r="L432" i="42"/>
  <c r="L435" i="42"/>
  <c r="K435" i="42"/>
  <c r="L437" i="42"/>
  <c r="K437" i="42"/>
  <c r="I441" i="42"/>
  <c r="L434" i="42"/>
  <c r="J449" i="42"/>
  <c r="I449" i="42"/>
  <c r="I439" i="43" l="1"/>
  <c r="L439" i="43" s="1"/>
  <c r="J435" i="43"/>
  <c r="K435" i="43" s="1"/>
  <c r="J440" i="43"/>
  <c r="L440" i="43" s="1"/>
  <c r="J434" i="43"/>
  <c r="L434" i="43" s="1"/>
  <c r="J437" i="43"/>
  <c r="K437" i="43" s="1"/>
  <c r="I433" i="43"/>
  <c r="L433" i="43" s="1"/>
  <c r="C445" i="43" a="1"/>
  <c r="C452" i="43" s="1"/>
  <c r="G452" i="43" s="1"/>
  <c r="I438" i="43"/>
  <c r="K438" i="43" s="1"/>
  <c r="B442" i="43"/>
  <c r="L436" i="43"/>
  <c r="K436" i="43"/>
  <c r="I432" i="43"/>
  <c r="J432" i="43"/>
  <c r="J450" i="42"/>
  <c r="K450" i="42" s="1"/>
  <c r="I453" i="42"/>
  <c r="K453" i="42" s="1"/>
  <c r="J445" i="42"/>
  <c r="K445" i="42" s="1"/>
  <c r="I446" i="42"/>
  <c r="L446" i="42" s="1"/>
  <c r="J448" i="42"/>
  <c r="L448" i="42" s="1"/>
  <c r="I451" i="42"/>
  <c r="L451" i="42" s="1"/>
  <c r="J452" i="42"/>
  <c r="K452" i="42" s="1"/>
  <c r="K441" i="42"/>
  <c r="O433" i="42" s="1"/>
  <c r="J447" i="42"/>
  <c r="K447" i="42" s="1"/>
  <c r="L441" i="42"/>
  <c r="O432" i="42" s="1"/>
  <c r="L449" i="42"/>
  <c r="K449" i="42"/>
  <c r="J441" i="43" l="1"/>
  <c r="K440" i="43"/>
  <c r="L435" i="43"/>
  <c r="K434" i="43"/>
  <c r="L437" i="43"/>
  <c r="K439" i="43"/>
  <c r="K433" i="43"/>
  <c r="L438" i="43"/>
  <c r="C450" i="43"/>
  <c r="G450" i="43" s="1"/>
  <c r="I450" i="43" s="1"/>
  <c r="C445" i="43"/>
  <c r="G445" i="43" s="1"/>
  <c r="J445" i="43" s="1"/>
  <c r="C446" i="43"/>
  <c r="G446" i="43" s="1"/>
  <c r="J446" i="43" s="1"/>
  <c r="C448" i="43"/>
  <c r="G448" i="43" s="1"/>
  <c r="I448" i="43" s="1"/>
  <c r="C453" i="43"/>
  <c r="G453" i="43" s="1"/>
  <c r="I453" i="43" s="1"/>
  <c r="C451" i="43"/>
  <c r="G451" i="43" s="1"/>
  <c r="I451" i="43" s="1"/>
  <c r="C447" i="43"/>
  <c r="G447" i="43" s="1"/>
  <c r="J447" i="43" s="1"/>
  <c r="C449" i="43"/>
  <c r="G449" i="43" s="1"/>
  <c r="J449" i="43" s="1"/>
  <c r="L432" i="43"/>
  <c r="I441" i="43"/>
  <c r="K432" i="43"/>
  <c r="J452" i="43"/>
  <c r="I452" i="43"/>
  <c r="L450" i="42"/>
  <c r="L453" i="42"/>
  <c r="K446" i="42"/>
  <c r="L445" i="42"/>
  <c r="K448" i="42"/>
  <c r="J454" i="42"/>
  <c r="L452" i="42"/>
  <c r="I454" i="42"/>
  <c r="L447" i="42"/>
  <c r="K451" i="42"/>
  <c r="O434" i="42"/>
  <c r="N437" i="42" s="1"/>
  <c r="O436" i="42" s="1"/>
  <c r="K441" i="43" l="1"/>
  <c r="L441" i="43"/>
  <c r="J450" i="43"/>
  <c r="J448" i="43"/>
  <c r="L448" i="43" s="1"/>
  <c r="I445" i="43"/>
  <c r="K445" i="43" s="1"/>
  <c r="J451" i="43"/>
  <c r="J453" i="43"/>
  <c r="K453" i="43" s="1"/>
  <c r="I446" i="43"/>
  <c r="L446" i="43" s="1"/>
  <c r="I447" i="43"/>
  <c r="K447" i="43" s="1"/>
  <c r="O432" i="43"/>
  <c r="O433" i="43"/>
  <c r="I449" i="43"/>
  <c r="K452" i="43"/>
  <c r="L452" i="43"/>
  <c r="K450" i="43"/>
  <c r="L450" i="43"/>
  <c r="K454" i="42"/>
  <c r="L454" i="42"/>
  <c r="N436" i="42"/>
  <c r="O437" i="42" s="1"/>
  <c r="Q432" i="42" s="1" a="1"/>
  <c r="Q440" i="42" s="1"/>
  <c r="J454" i="43" l="1"/>
  <c r="L445" i="43"/>
  <c r="K448" i="43"/>
  <c r="L453" i="43"/>
  <c r="K451" i="43"/>
  <c r="L451" i="43"/>
  <c r="K446" i="43"/>
  <c r="L447" i="43"/>
  <c r="O434" i="43"/>
  <c r="N437" i="43" s="1"/>
  <c r="O436" i="43" s="1"/>
  <c r="I454" i="43"/>
  <c r="K449" i="43"/>
  <c r="L449" i="43"/>
  <c r="R440" i="42"/>
  <c r="R438" i="42"/>
  <c r="Q434" i="42"/>
  <c r="Q432" i="42"/>
  <c r="R435" i="42"/>
  <c r="Q438" i="42"/>
  <c r="Q436" i="42"/>
  <c r="Q435" i="42"/>
  <c r="R434" i="42"/>
  <c r="R433" i="42"/>
  <c r="R439" i="42"/>
  <c r="Q437" i="42"/>
  <c r="R437" i="42"/>
  <c r="Q433" i="42"/>
  <c r="Q439" i="42"/>
  <c r="R432" i="42"/>
  <c r="R436" i="42"/>
  <c r="K454" i="43" l="1"/>
  <c r="L454" i="43"/>
  <c r="N436" i="43"/>
  <c r="O437" i="43" s="1"/>
  <c r="D445" i="42" a="1"/>
  <c r="D447" i="42" s="1"/>
  <c r="A445" i="42" a="1"/>
  <c r="A447" i="42" s="1"/>
  <c r="Q432" i="43" l="1" a="1"/>
  <c r="Q433" i="43" s="1"/>
  <c r="D445" i="42"/>
  <c r="D446" i="42"/>
  <c r="D448" i="42"/>
  <c r="D450" i="42"/>
  <c r="D451" i="42"/>
  <c r="D449" i="42"/>
  <c r="D452" i="42"/>
  <c r="D453" i="42"/>
  <c r="A449" i="42"/>
  <c r="A452" i="42"/>
  <c r="A451" i="42"/>
  <c r="A450" i="42"/>
  <c r="A448" i="42"/>
  <c r="A445" i="42"/>
  <c r="A453" i="42"/>
  <c r="A446" i="42"/>
  <c r="Q436" i="43" l="1"/>
  <c r="R432" i="43"/>
  <c r="Q439" i="43"/>
  <c r="Q437" i="43"/>
  <c r="Q434" i="43"/>
  <c r="Q435" i="43"/>
  <c r="R435" i="43"/>
  <c r="Q440" i="43"/>
  <c r="R433" i="43"/>
  <c r="R438" i="43"/>
  <c r="Q432" i="43"/>
  <c r="R436" i="43"/>
  <c r="R440" i="43"/>
  <c r="R439" i="43"/>
  <c r="R437" i="43"/>
  <c r="R434" i="43"/>
  <c r="Q438" i="43"/>
  <c r="D458" i="42" a="1"/>
  <c r="D465" i="42" s="1"/>
  <c r="G465" i="42" s="1"/>
  <c r="B455" i="42"/>
  <c r="O445" i="42" s="1"/>
  <c r="A458" i="42" a="1"/>
  <c r="A459" i="42" s="1"/>
  <c r="A445" i="43" l="1" a="1"/>
  <c r="A450" i="43" s="1"/>
  <c r="D445" i="43" a="1"/>
  <c r="D461" i="42"/>
  <c r="G461" i="42" s="1"/>
  <c r="D459" i="42"/>
  <c r="G459" i="42" s="1"/>
  <c r="D460" i="42"/>
  <c r="G460" i="42" s="1"/>
  <c r="D464" i="42"/>
  <c r="G464" i="42" s="1"/>
  <c r="D462" i="42"/>
  <c r="G462" i="42" s="1"/>
  <c r="D463" i="42"/>
  <c r="G463" i="42" s="1"/>
  <c r="D466" i="42"/>
  <c r="G466" i="42" s="1"/>
  <c r="D458" i="42"/>
  <c r="G458" i="42" s="1"/>
  <c r="O446" i="42"/>
  <c r="O447" i="42" s="1"/>
  <c r="A458" i="42"/>
  <c r="A462" i="42"/>
  <c r="A463" i="42"/>
  <c r="A464" i="42"/>
  <c r="A465" i="42"/>
  <c r="A466" i="42"/>
  <c r="A461" i="42"/>
  <c r="A460" i="42"/>
  <c r="A451" i="43" l="1"/>
  <c r="A449" i="43"/>
  <c r="A452" i="43"/>
  <c r="A447" i="43"/>
  <c r="A446" i="43"/>
  <c r="A453" i="43"/>
  <c r="A448" i="43"/>
  <c r="A445" i="43"/>
  <c r="D453" i="43"/>
  <c r="D449" i="43"/>
  <c r="D447" i="43"/>
  <c r="D451" i="43"/>
  <c r="D452" i="43"/>
  <c r="D446" i="43"/>
  <c r="D448" i="43"/>
  <c r="D450" i="43"/>
  <c r="D445" i="43"/>
  <c r="A471" i="42" a="1"/>
  <c r="A476" i="42" s="1"/>
  <c r="N449" i="42"/>
  <c r="O450" i="42" s="1"/>
  <c r="N450" i="42"/>
  <c r="O449" i="42" s="1"/>
  <c r="B468" i="42"/>
  <c r="B455" i="43" l="1"/>
  <c r="A458" i="43" a="1"/>
  <c r="A463" i="43" s="1"/>
  <c r="D458" i="43" a="1"/>
  <c r="D463" i="43" s="1"/>
  <c r="G463" i="43" s="1"/>
  <c r="Q445" i="42" a="1"/>
  <c r="R449" i="42" s="1"/>
  <c r="A479" i="42"/>
  <c r="A471" i="42"/>
  <c r="A472" i="42"/>
  <c r="A475" i="42"/>
  <c r="A474" i="42"/>
  <c r="A477" i="42"/>
  <c r="A478" i="42"/>
  <c r="A473" i="42"/>
  <c r="O445" i="43" l="1"/>
  <c r="O446" i="43"/>
  <c r="D466" i="43"/>
  <c r="G466" i="43" s="1"/>
  <c r="A458" i="43"/>
  <c r="A466" i="43"/>
  <c r="D458" i="43"/>
  <c r="G458" i="43" s="1"/>
  <c r="A461" i="43"/>
  <c r="A462" i="43"/>
  <c r="D462" i="43"/>
  <c r="G462" i="43" s="1"/>
  <c r="A465" i="43"/>
  <c r="D459" i="43"/>
  <c r="G459" i="43" s="1"/>
  <c r="A460" i="43"/>
  <c r="A459" i="43"/>
  <c r="D460" i="43"/>
  <c r="G460" i="43" s="1"/>
  <c r="D461" i="43"/>
  <c r="G461" i="43" s="1"/>
  <c r="A464" i="43"/>
  <c r="D465" i="43"/>
  <c r="G465" i="43" s="1"/>
  <c r="D464" i="43"/>
  <c r="G464" i="43" s="1"/>
  <c r="R451" i="42"/>
  <c r="R445" i="42"/>
  <c r="R453" i="42"/>
  <c r="Q450" i="42"/>
  <c r="R447" i="42"/>
  <c r="Q445" i="42"/>
  <c r="R448" i="42"/>
  <c r="Q448" i="42"/>
  <c r="Q451" i="42"/>
  <c r="Q449" i="42"/>
  <c r="Q446" i="42"/>
  <c r="Q452" i="42"/>
  <c r="R446" i="42"/>
  <c r="R452" i="42"/>
  <c r="R450" i="42"/>
  <c r="Q453" i="42"/>
  <c r="Q447" i="42"/>
  <c r="B481" i="42"/>
  <c r="A484" i="42" a="1"/>
  <c r="A490" i="42" s="1"/>
  <c r="F490" i="42" s="1"/>
  <c r="O447" i="43" l="1"/>
  <c r="A471" i="43" a="1"/>
  <c r="A473" i="43" s="1"/>
  <c r="B468" i="43"/>
  <c r="B458" i="42" a="1"/>
  <c r="B459" i="42" s="1"/>
  <c r="F459" i="42" s="1"/>
  <c r="J459" i="42" s="1"/>
  <c r="C458" i="42" a="1"/>
  <c r="C463" i="42" s="1"/>
  <c r="A492" i="42"/>
  <c r="F492" i="42" s="1"/>
  <c r="A489" i="42"/>
  <c r="F489" i="42" s="1"/>
  <c r="A486" i="42"/>
  <c r="F486" i="42" s="1"/>
  <c r="A484" i="42"/>
  <c r="F484" i="42" s="1"/>
  <c r="A488" i="42"/>
  <c r="F488" i="42" s="1"/>
  <c r="A487" i="42"/>
  <c r="F487" i="42" s="1"/>
  <c r="A491" i="42"/>
  <c r="F491" i="42" s="1"/>
  <c r="A485" i="42"/>
  <c r="F485" i="42" s="1"/>
  <c r="A478" i="43" l="1"/>
  <c r="N449" i="43"/>
  <c r="O450" i="43" s="1"/>
  <c r="N450" i="43"/>
  <c r="O449" i="43" s="1"/>
  <c r="Q445" i="43" s="1" a="1"/>
  <c r="R451" i="43" s="1"/>
  <c r="A472" i="43"/>
  <c r="A471" i="43"/>
  <c r="A475" i="43"/>
  <c r="A474" i="43"/>
  <c r="A479" i="43"/>
  <c r="A477" i="43"/>
  <c r="A476" i="43"/>
  <c r="B465" i="42"/>
  <c r="F465" i="42" s="1"/>
  <c r="I465" i="42" s="1"/>
  <c r="B464" i="42"/>
  <c r="F464" i="42" s="1"/>
  <c r="I464" i="42" s="1"/>
  <c r="B458" i="42"/>
  <c r="F458" i="42" s="1"/>
  <c r="I458" i="42" s="1"/>
  <c r="I459" i="42"/>
  <c r="K459" i="42" s="1"/>
  <c r="B462" i="42"/>
  <c r="F462" i="42" s="1"/>
  <c r="J462" i="42" s="1"/>
  <c r="B463" i="42"/>
  <c r="F463" i="42" s="1"/>
  <c r="J463" i="42" s="1"/>
  <c r="B466" i="42"/>
  <c r="F466" i="42" s="1"/>
  <c r="I466" i="42" s="1"/>
  <c r="B461" i="42"/>
  <c r="F461" i="42" s="1"/>
  <c r="J461" i="42" s="1"/>
  <c r="B460" i="42"/>
  <c r="F460" i="42" s="1"/>
  <c r="I460" i="42" s="1"/>
  <c r="C465" i="42"/>
  <c r="C466" i="42"/>
  <c r="C461" i="42"/>
  <c r="C458" i="42"/>
  <c r="C464" i="42"/>
  <c r="C459" i="42"/>
  <c r="C462" i="42"/>
  <c r="C460" i="42"/>
  <c r="B494" i="42"/>
  <c r="B481" i="43" l="1"/>
  <c r="A484" i="43" a="1"/>
  <c r="A492" i="43" s="1"/>
  <c r="F492" i="43" s="1"/>
  <c r="J464" i="42"/>
  <c r="L464" i="42" s="1"/>
  <c r="J465" i="42"/>
  <c r="L465" i="42" s="1"/>
  <c r="I463" i="42"/>
  <c r="K463" i="42" s="1"/>
  <c r="R449" i="43"/>
  <c r="R445" i="43"/>
  <c r="R452" i="43"/>
  <c r="R448" i="43"/>
  <c r="Q451" i="43"/>
  <c r="Q452" i="43"/>
  <c r="Q448" i="43"/>
  <c r="R453" i="43"/>
  <c r="Q450" i="43"/>
  <c r="R450" i="43"/>
  <c r="Q447" i="43"/>
  <c r="Q445" i="43"/>
  <c r="R447" i="43"/>
  <c r="Q446" i="43"/>
  <c r="R446" i="43"/>
  <c r="Q453" i="43"/>
  <c r="Q449" i="43"/>
  <c r="L459" i="42"/>
  <c r="I461" i="42"/>
  <c r="L461" i="42" s="1"/>
  <c r="J458" i="42"/>
  <c r="L458" i="42" s="1"/>
  <c r="I462" i="42"/>
  <c r="K462" i="42" s="1"/>
  <c r="J466" i="42"/>
  <c r="K466" i="42" s="1"/>
  <c r="J460" i="42"/>
  <c r="K460" i="42" s="1"/>
  <c r="C471" i="42" a="1"/>
  <c r="C473" i="42" s="1"/>
  <c r="F473" i="42" s="1"/>
  <c r="A484" i="43" l="1"/>
  <c r="F484" i="43" s="1"/>
  <c r="A490" i="43"/>
  <c r="F490" i="43" s="1"/>
  <c r="A488" i="43"/>
  <c r="F488" i="43" s="1"/>
  <c r="A489" i="43"/>
  <c r="F489" i="43" s="1"/>
  <c r="A485" i="43"/>
  <c r="F485" i="43" s="1"/>
  <c r="A486" i="43"/>
  <c r="F486" i="43" s="1"/>
  <c r="A487" i="43"/>
  <c r="F487" i="43" s="1"/>
  <c r="A491" i="43"/>
  <c r="F491" i="43" s="1"/>
  <c r="K464" i="42"/>
  <c r="L463" i="42"/>
  <c r="K465" i="42"/>
  <c r="C458" i="43" a="1"/>
  <c r="C462" i="43" s="1"/>
  <c r="B458" i="43" a="1"/>
  <c r="B460" i="43" s="1"/>
  <c r="F460" i="43" s="1"/>
  <c r="K461" i="42"/>
  <c r="I467" i="42"/>
  <c r="L462" i="42"/>
  <c r="L460" i="42"/>
  <c r="K458" i="42"/>
  <c r="J467" i="42"/>
  <c r="L466" i="42"/>
  <c r="C475" i="42"/>
  <c r="F475" i="42" s="1"/>
  <c r="C476" i="42"/>
  <c r="F476" i="42" s="1"/>
  <c r="C479" i="42"/>
  <c r="F479" i="42" s="1"/>
  <c r="C472" i="42"/>
  <c r="F472" i="42" s="1"/>
  <c r="C474" i="42"/>
  <c r="F474" i="42" s="1"/>
  <c r="C478" i="42"/>
  <c r="F478" i="42" s="1"/>
  <c r="C477" i="42"/>
  <c r="F477" i="42" s="1"/>
  <c r="C471" i="42"/>
  <c r="F471" i="42" s="1"/>
  <c r="B494" i="43" l="1"/>
  <c r="C461" i="43"/>
  <c r="C466" i="43"/>
  <c r="K467" i="42"/>
  <c r="O459" i="42" s="1"/>
  <c r="C459" i="43"/>
  <c r="C464" i="43"/>
  <c r="C465" i="43"/>
  <c r="C463" i="43"/>
  <c r="B462" i="43"/>
  <c r="F462" i="43" s="1"/>
  <c r="I462" i="43" s="1"/>
  <c r="C460" i="43"/>
  <c r="B465" i="43"/>
  <c r="F465" i="43" s="1"/>
  <c r="I465" i="43" s="1"/>
  <c r="B459" i="43"/>
  <c r="F459" i="43" s="1"/>
  <c r="J459" i="43" s="1"/>
  <c r="C458" i="43"/>
  <c r="B461" i="43"/>
  <c r="F461" i="43" s="1"/>
  <c r="J461" i="43" s="1"/>
  <c r="B458" i="43"/>
  <c r="F458" i="43" s="1"/>
  <c r="J458" i="43" s="1"/>
  <c r="B464" i="43"/>
  <c r="F464" i="43" s="1"/>
  <c r="I464" i="43" s="1"/>
  <c r="B466" i="43"/>
  <c r="F466" i="43" s="1"/>
  <c r="I466" i="43" s="1"/>
  <c r="B463" i="43"/>
  <c r="F463" i="43" s="1"/>
  <c r="I463" i="43" s="1"/>
  <c r="J460" i="43"/>
  <c r="I460" i="43"/>
  <c r="L467" i="42"/>
  <c r="O458" i="42" s="1"/>
  <c r="I461" i="43" l="1"/>
  <c r="K461" i="43" s="1"/>
  <c r="J465" i="43"/>
  <c r="K465" i="43" s="1"/>
  <c r="I459" i="43"/>
  <c r="L459" i="43" s="1"/>
  <c r="C471" i="43" a="1"/>
  <c r="C475" i="43" s="1"/>
  <c r="F475" i="43" s="1"/>
  <c r="J463" i="43"/>
  <c r="K463" i="43" s="1"/>
  <c r="J464" i="43"/>
  <c r="K464" i="43" s="1"/>
  <c r="J462" i="43"/>
  <c r="L462" i="43" s="1"/>
  <c r="I458" i="43"/>
  <c r="L458" i="43" s="1"/>
  <c r="J466" i="43"/>
  <c r="L466" i="43" s="1"/>
  <c r="K460" i="43"/>
  <c r="L460" i="43"/>
  <c r="O460" i="42"/>
  <c r="N463" i="42" s="1"/>
  <c r="O462" i="42" s="1"/>
  <c r="L461" i="43" l="1"/>
  <c r="K459" i="43"/>
  <c r="L465" i="43"/>
  <c r="K466" i="43"/>
  <c r="L463" i="43"/>
  <c r="L464" i="43"/>
  <c r="C476" i="43"/>
  <c r="F476" i="43" s="1"/>
  <c r="C473" i="43"/>
  <c r="F473" i="43" s="1"/>
  <c r="C478" i="43"/>
  <c r="F478" i="43" s="1"/>
  <c r="C474" i="43"/>
  <c r="F474" i="43" s="1"/>
  <c r="C472" i="43"/>
  <c r="F472" i="43" s="1"/>
  <c r="C471" i="43"/>
  <c r="F471" i="43" s="1"/>
  <c r="C477" i="43"/>
  <c r="F477" i="43" s="1"/>
  <c r="K462" i="43"/>
  <c r="C479" i="43"/>
  <c r="F479" i="43" s="1"/>
  <c r="K458" i="43"/>
  <c r="J467" i="43"/>
  <c r="I467" i="43"/>
  <c r="N462" i="42"/>
  <c r="O463" i="42" s="1"/>
  <c r="Q458" i="42" s="1" a="1"/>
  <c r="Q459" i="42" s="1"/>
  <c r="L467" i="43" l="1"/>
  <c r="O458" i="43" s="1"/>
  <c r="K467" i="43"/>
  <c r="O459" i="43" s="1"/>
  <c r="Q462" i="42"/>
  <c r="R458" i="42"/>
  <c r="R464" i="42"/>
  <c r="R462" i="42"/>
  <c r="R459" i="42"/>
  <c r="Q460" i="42"/>
  <c r="Q458" i="42"/>
  <c r="R461" i="42"/>
  <c r="Q465" i="42"/>
  <c r="R465" i="42"/>
  <c r="R463" i="42"/>
  <c r="Q466" i="42"/>
  <c r="R460" i="42"/>
  <c r="R466" i="42"/>
  <c r="Q463" i="42"/>
  <c r="Q461" i="42"/>
  <c r="Q464" i="42"/>
  <c r="O460" i="43" l="1"/>
  <c r="N462" i="43" s="1"/>
  <c r="O463" i="43" s="1"/>
  <c r="B471" i="42" a="1"/>
  <c r="B478" i="42" s="1"/>
  <c r="D471" i="42" a="1"/>
  <c r="D475" i="42" s="1"/>
  <c r="G475" i="42" s="1"/>
  <c r="J475" i="42" s="1"/>
  <c r="N463" i="43" l="1"/>
  <c r="O462" i="43" s="1"/>
  <c r="Q458" i="43" s="1" a="1"/>
  <c r="Q466" i="43" s="1"/>
  <c r="D474" i="42"/>
  <c r="G474" i="42" s="1"/>
  <c r="J474" i="42" s="1"/>
  <c r="B479" i="42"/>
  <c r="B474" i="42"/>
  <c r="D471" i="42"/>
  <c r="G471" i="42" s="1"/>
  <c r="J471" i="42" s="1"/>
  <c r="B476" i="42"/>
  <c r="D473" i="42"/>
  <c r="G473" i="42" s="1"/>
  <c r="J473" i="42" s="1"/>
  <c r="I475" i="42"/>
  <c r="L475" i="42" s="1"/>
  <c r="D472" i="42"/>
  <c r="G472" i="42" s="1"/>
  <c r="I472" i="42" s="1"/>
  <c r="B477" i="42"/>
  <c r="B471" i="42"/>
  <c r="D477" i="42"/>
  <c r="G477" i="42" s="1"/>
  <c r="J477" i="42" s="1"/>
  <c r="D479" i="42"/>
  <c r="G479" i="42" s="1"/>
  <c r="J479" i="42" s="1"/>
  <c r="B475" i="42"/>
  <c r="D478" i="42"/>
  <c r="G478" i="42" s="1"/>
  <c r="J478" i="42" s="1"/>
  <c r="D476" i="42"/>
  <c r="G476" i="42" s="1"/>
  <c r="I476" i="42" s="1"/>
  <c r="B472" i="42"/>
  <c r="B473" i="42"/>
  <c r="R464" i="43" l="1"/>
  <c r="Q464" i="43"/>
  <c r="R463" i="43"/>
  <c r="Q461" i="43"/>
  <c r="Q460" i="43"/>
  <c r="R461" i="43"/>
  <c r="R462" i="43"/>
  <c r="R458" i="43"/>
  <c r="Q459" i="43"/>
  <c r="R465" i="43"/>
  <c r="R460" i="43"/>
  <c r="Q462" i="43"/>
  <c r="Q465" i="43"/>
  <c r="R466" i="43"/>
  <c r="R459" i="43"/>
  <c r="Q463" i="43"/>
  <c r="Q458" i="43"/>
  <c r="I474" i="42"/>
  <c r="K474" i="42" s="1"/>
  <c r="K475" i="42"/>
  <c r="I478" i="42"/>
  <c r="L478" i="42" s="1"/>
  <c r="I477" i="42"/>
  <c r="L477" i="42" s="1"/>
  <c r="J476" i="42"/>
  <c r="K476" i="42" s="1"/>
  <c r="B484" i="42" a="1"/>
  <c r="B489" i="42" s="1"/>
  <c r="G489" i="42" s="1"/>
  <c r="J489" i="42" s="1"/>
  <c r="I471" i="42"/>
  <c r="K471" i="42" s="1"/>
  <c r="I479" i="42"/>
  <c r="L479" i="42" s="1"/>
  <c r="I473" i="42"/>
  <c r="K473" i="42" s="1"/>
  <c r="J472" i="42"/>
  <c r="K472" i="42" s="1"/>
  <c r="D471" i="43" l="1" a="1"/>
  <c r="D475" i="43" s="1"/>
  <c r="G475" i="43" s="1"/>
  <c r="I475" i="43" s="1"/>
  <c r="B471" i="43" a="1"/>
  <c r="B475" i="43" s="1"/>
  <c r="L474" i="42"/>
  <c r="K477" i="42"/>
  <c r="B491" i="42"/>
  <c r="G491" i="42" s="1"/>
  <c r="J491" i="42" s="1"/>
  <c r="L472" i="42"/>
  <c r="B490" i="42"/>
  <c r="G490" i="42" s="1"/>
  <c r="J490" i="42" s="1"/>
  <c r="B492" i="42"/>
  <c r="G492" i="42" s="1"/>
  <c r="J492" i="42" s="1"/>
  <c r="K479" i="42"/>
  <c r="I489" i="42"/>
  <c r="L489" i="42" s="1"/>
  <c r="B484" i="42"/>
  <c r="G484" i="42" s="1"/>
  <c r="I484" i="42" s="1"/>
  <c r="B486" i="42"/>
  <c r="G486" i="42" s="1"/>
  <c r="J486" i="42" s="1"/>
  <c r="B487" i="42"/>
  <c r="G487" i="42" s="1"/>
  <c r="I487" i="42" s="1"/>
  <c r="B488" i="42"/>
  <c r="G488" i="42" s="1"/>
  <c r="I488" i="42" s="1"/>
  <c r="B485" i="42"/>
  <c r="G485" i="42" s="1"/>
  <c r="K478" i="42"/>
  <c r="L476" i="42"/>
  <c r="I480" i="42"/>
  <c r="J480" i="42"/>
  <c r="L471" i="42"/>
  <c r="L473" i="42"/>
  <c r="B479" i="43" l="1"/>
  <c r="B477" i="43"/>
  <c r="B474" i="43"/>
  <c r="B476" i="43"/>
  <c r="B472" i="43"/>
  <c r="B471" i="43"/>
  <c r="D477" i="43"/>
  <c r="G477" i="43" s="1"/>
  <c r="J477" i="43" s="1"/>
  <c r="J475" i="43"/>
  <c r="K475" i="43" s="1"/>
  <c r="D474" i="43"/>
  <c r="G474" i="43" s="1"/>
  <c r="J474" i="43" s="1"/>
  <c r="D472" i="43"/>
  <c r="G472" i="43" s="1"/>
  <c r="I472" i="43" s="1"/>
  <c r="D471" i="43"/>
  <c r="G471" i="43" s="1"/>
  <c r="J471" i="43" s="1"/>
  <c r="D479" i="43"/>
  <c r="G479" i="43" s="1"/>
  <c r="J479" i="43" s="1"/>
  <c r="D478" i="43"/>
  <c r="G478" i="43" s="1"/>
  <c r="I478" i="43" s="1"/>
  <c r="D473" i="43"/>
  <c r="G473" i="43" s="1"/>
  <c r="J473" i="43" s="1"/>
  <c r="D476" i="43"/>
  <c r="G476" i="43" s="1"/>
  <c r="J476" i="43" s="1"/>
  <c r="B473" i="43"/>
  <c r="B478" i="43"/>
  <c r="I491" i="42"/>
  <c r="K491" i="42" s="1"/>
  <c r="J488" i="42"/>
  <c r="L488" i="42" s="1"/>
  <c r="I486" i="42"/>
  <c r="K486" i="42" s="1"/>
  <c r="I492" i="42"/>
  <c r="K492" i="42" s="1"/>
  <c r="J484" i="42"/>
  <c r="K484" i="42" s="1"/>
  <c r="I490" i="42"/>
  <c r="K490" i="42" s="1"/>
  <c r="L480" i="42"/>
  <c r="O471" i="42" s="1"/>
  <c r="K480" i="42"/>
  <c r="O472" i="42" s="1"/>
  <c r="K489" i="42"/>
  <c r="J487" i="42"/>
  <c r="L487" i="42" s="1"/>
  <c r="I485" i="42"/>
  <c r="J485" i="42"/>
  <c r="J472" i="43" l="1"/>
  <c r="L472" i="43" s="1"/>
  <c r="I473" i="43"/>
  <c r="K473" i="43" s="1"/>
  <c r="I479" i="43"/>
  <c r="K479" i="43" s="1"/>
  <c r="L475" i="43"/>
  <c r="I471" i="43"/>
  <c r="L471" i="43" s="1"/>
  <c r="I476" i="43"/>
  <c r="L476" i="43" s="1"/>
  <c r="J478" i="43"/>
  <c r="L478" i="43" s="1"/>
  <c r="L491" i="42"/>
  <c r="I477" i="43"/>
  <c r="L477" i="43" s="1"/>
  <c r="I474" i="43"/>
  <c r="K474" i="43" s="1"/>
  <c r="B484" i="43" a="1"/>
  <c r="B485" i="43" s="1"/>
  <c r="G485" i="43" s="1"/>
  <c r="K488" i="42"/>
  <c r="L490" i="42"/>
  <c r="L492" i="42"/>
  <c r="L486" i="42"/>
  <c r="J493" i="42"/>
  <c r="O473" i="42"/>
  <c r="N475" i="42" s="1"/>
  <c r="O476" i="42" s="1"/>
  <c r="L484" i="42"/>
  <c r="I493" i="42"/>
  <c r="K485" i="42"/>
  <c r="K487" i="42"/>
  <c r="L485" i="42"/>
  <c r="K472" i="43" l="1"/>
  <c r="L479" i="43"/>
  <c r="L473" i="43"/>
  <c r="K471" i="43"/>
  <c r="J480" i="43"/>
  <c r="K476" i="43"/>
  <c r="K477" i="43"/>
  <c r="K478" i="43"/>
  <c r="L474" i="43"/>
  <c r="B490" i="43"/>
  <c r="G490" i="43" s="1"/>
  <c r="I490" i="43" s="1"/>
  <c r="I480" i="43"/>
  <c r="B492" i="43"/>
  <c r="G492" i="43" s="1"/>
  <c r="I492" i="43" s="1"/>
  <c r="B489" i="43"/>
  <c r="G489" i="43" s="1"/>
  <c r="J489" i="43" s="1"/>
  <c r="B488" i="43"/>
  <c r="G488" i="43" s="1"/>
  <c r="B486" i="43"/>
  <c r="G486" i="43" s="1"/>
  <c r="I486" i="43" s="1"/>
  <c r="B491" i="43"/>
  <c r="G491" i="43" s="1"/>
  <c r="B484" i="43"/>
  <c r="G484" i="43" s="1"/>
  <c r="B487" i="43"/>
  <c r="G487" i="43" s="1"/>
  <c r="J487" i="43" s="1"/>
  <c r="J485" i="43"/>
  <c r="I485" i="43"/>
  <c r="L493" i="42"/>
  <c r="O484" i="42" s="1"/>
  <c r="N476" i="42"/>
  <c r="O475" i="42" s="1"/>
  <c r="Q471" i="42" s="1" a="1"/>
  <c r="R474" i="42" s="1"/>
  <c r="K493" i="42"/>
  <c r="O485" i="42" s="1"/>
  <c r="L480" i="43" l="1"/>
  <c r="I489" i="43"/>
  <c r="K489" i="43" s="1"/>
  <c r="L485" i="43"/>
  <c r="K480" i="43"/>
  <c r="O472" i="43" s="1"/>
  <c r="O471" i="43"/>
  <c r="J486" i="43"/>
  <c r="L486" i="43" s="1"/>
  <c r="L489" i="43"/>
  <c r="J490" i="43"/>
  <c r="I487" i="43"/>
  <c r="J492" i="43"/>
  <c r="L492" i="43" s="1"/>
  <c r="J491" i="43"/>
  <c r="I491" i="43"/>
  <c r="I488" i="43"/>
  <c r="J488" i="43"/>
  <c r="I484" i="43"/>
  <c r="J484" i="43"/>
  <c r="K485" i="43"/>
  <c r="O486" i="42"/>
  <c r="N489" i="42" s="1"/>
  <c r="O488" i="42" s="1"/>
  <c r="Q473" i="42"/>
  <c r="Q479" i="42"/>
  <c r="R477" i="42"/>
  <c r="Q476" i="42"/>
  <c r="R476" i="42"/>
  <c r="Q475" i="42"/>
  <c r="R471" i="42"/>
  <c r="R479" i="42"/>
  <c r="Q478" i="42"/>
  <c r="R478" i="42"/>
  <c r="Q477" i="42"/>
  <c r="R473" i="42"/>
  <c r="Q472" i="42"/>
  <c r="R472" i="42"/>
  <c r="Q471" i="42"/>
  <c r="R475" i="42"/>
  <c r="Q474" i="42"/>
  <c r="O473" i="43" l="1"/>
  <c r="N476" i="43" s="1"/>
  <c r="O475" i="43" s="1"/>
  <c r="K486" i="43"/>
  <c r="L487" i="43"/>
  <c r="K487" i="43"/>
  <c r="K490" i="43"/>
  <c r="L490" i="43"/>
  <c r="K488" i="43"/>
  <c r="N488" i="42"/>
  <c r="O489" i="42" s="1"/>
  <c r="Q484" i="42" s="1" a="1"/>
  <c r="Q490" i="42" s="1"/>
  <c r="K492" i="43"/>
  <c r="L488" i="43"/>
  <c r="L484" i="43"/>
  <c r="J493" i="43"/>
  <c r="K491" i="43"/>
  <c r="L491" i="43"/>
  <c r="K484" i="43"/>
  <c r="I493" i="43"/>
  <c r="D484" i="42" a="1"/>
  <c r="D485" i="42" s="1"/>
  <c r="C484" i="42" a="1"/>
  <c r="C491" i="42" s="1"/>
  <c r="N475" i="43" l="1"/>
  <c r="O476" i="43" s="1"/>
  <c r="R490" i="42"/>
  <c r="Q486" i="42"/>
  <c r="R491" i="42"/>
  <c r="Q488" i="42"/>
  <c r="R485" i="42"/>
  <c r="Q484" i="42"/>
  <c r="Q492" i="42"/>
  <c r="Q491" i="42"/>
  <c r="R487" i="42"/>
  <c r="R486" i="42"/>
  <c r="R484" i="42"/>
  <c r="Q487" i="42"/>
  <c r="R488" i="42"/>
  <c r="Q485" i="42"/>
  <c r="R492" i="42"/>
  <c r="R489" i="42"/>
  <c r="Q489" i="42"/>
  <c r="K493" i="43"/>
  <c r="O485" i="43" s="1"/>
  <c r="L493" i="43"/>
  <c r="O484" i="43" s="1"/>
  <c r="D491" i="42"/>
  <c r="D488" i="42"/>
  <c r="D484" i="42"/>
  <c r="D492" i="42"/>
  <c r="C488" i="42"/>
  <c r="C485" i="42"/>
  <c r="C486" i="42"/>
  <c r="D489" i="42"/>
  <c r="D487" i="42"/>
  <c r="C484" i="42"/>
  <c r="C487" i="42"/>
  <c r="D486" i="42"/>
  <c r="D490" i="42"/>
  <c r="C490" i="42"/>
  <c r="C492" i="42"/>
  <c r="C489" i="42"/>
  <c r="Q471" i="43" l="1" a="1"/>
  <c r="R473" i="43" s="1"/>
  <c r="O486" i="43"/>
  <c r="N488" i="43" s="1"/>
  <c r="O489" i="43" s="1"/>
  <c r="A497" i="42" a="1"/>
  <c r="A505" i="42" s="1"/>
  <c r="F505" i="42" s="1"/>
  <c r="B497" i="42" a="1"/>
  <c r="B498" i="42" s="1"/>
  <c r="D497" i="42" a="1"/>
  <c r="D498" i="42" s="1"/>
  <c r="C497" i="42" a="1"/>
  <c r="C504" i="42" s="1"/>
  <c r="G504" i="42" s="1"/>
  <c r="Q472" i="43" l="1"/>
  <c r="Q474" i="43"/>
  <c r="R476" i="43"/>
  <c r="Q473" i="43"/>
  <c r="Q476" i="43"/>
  <c r="Q475" i="43"/>
  <c r="R474" i="43"/>
  <c r="R479" i="43"/>
  <c r="Q471" i="43"/>
  <c r="R475" i="43"/>
  <c r="R471" i="43"/>
  <c r="Q479" i="43"/>
  <c r="R477" i="43"/>
  <c r="R472" i="43"/>
  <c r="Q477" i="43"/>
  <c r="Q478" i="43"/>
  <c r="R478" i="43"/>
  <c r="N489" i="43"/>
  <c r="O488" i="43" s="1"/>
  <c r="A501" i="42"/>
  <c r="F501" i="42" s="1"/>
  <c r="C484" i="43" a="1"/>
  <c r="C491" i="43" s="1"/>
  <c r="A498" i="42"/>
  <c r="F498" i="42" s="1"/>
  <c r="A499" i="42"/>
  <c r="F499" i="42" s="1"/>
  <c r="A502" i="42"/>
  <c r="F502" i="42" s="1"/>
  <c r="A504" i="42"/>
  <c r="F504" i="42" s="1"/>
  <c r="J504" i="42" s="1"/>
  <c r="A503" i="42"/>
  <c r="F503" i="42" s="1"/>
  <c r="Q484" i="43" a="1"/>
  <c r="Q487" i="43" s="1"/>
  <c r="A497" i="42"/>
  <c r="F497" i="42" s="1"/>
  <c r="A500" i="42"/>
  <c r="F500" i="42" s="1"/>
  <c r="D484" i="43" a="1"/>
  <c r="D487" i="43" s="1"/>
  <c r="B505" i="42"/>
  <c r="B500" i="42"/>
  <c r="B503" i="42"/>
  <c r="B502" i="42"/>
  <c r="B499" i="42"/>
  <c r="B497" i="42"/>
  <c r="B504" i="42"/>
  <c r="B501" i="42"/>
  <c r="D497" i="42"/>
  <c r="D499" i="42"/>
  <c r="D505" i="42"/>
  <c r="D504" i="42"/>
  <c r="D501" i="42"/>
  <c r="D500" i="42"/>
  <c r="C502" i="42"/>
  <c r="G502" i="42" s="1"/>
  <c r="D502" i="42"/>
  <c r="D503" i="42"/>
  <c r="C498" i="42"/>
  <c r="G498" i="42" s="1"/>
  <c r="C497" i="42"/>
  <c r="G497" i="42" s="1"/>
  <c r="C500" i="42"/>
  <c r="G500" i="42" s="1"/>
  <c r="C501" i="42"/>
  <c r="G501" i="42" s="1"/>
  <c r="C499" i="42"/>
  <c r="G499" i="42" s="1"/>
  <c r="C505" i="42"/>
  <c r="G505" i="42" s="1"/>
  <c r="J505" i="42" s="1"/>
  <c r="C503" i="42"/>
  <c r="G503" i="42" s="1"/>
  <c r="J498" i="42" l="1"/>
  <c r="I501" i="42"/>
  <c r="C484" i="43"/>
  <c r="J499" i="42"/>
  <c r="C487" i="43"/>
  <c r="C486" i="43"/>
  <c r="C492" i="43"/>
  <c r="I504" i="42"/>
  <c r="K504" i="42" s="1"/>
  <c r="C489" i="43"/>
  <c r="C485" i="43"/>
  <c r="C488" i="43"/>
  <c r="C490" i="43"/>
  <c r="I502" i="42"/>
  <c r="R488" i="43"/>
  <c r="Q491" i="43"/>
  <c r="R489" i="43"/>
  <c r="R484" i="43"/>
  <c r="R492" i="43"/>
  <c r="R485" i="43"/>
  <c r="Q490" i="43"/>
  <c r="Q488" i="43"/>
  <c r="Q486" i="43"/>
  <c r="Q484" i="43"/>
  <c r="Q485" i="43"/>
  <c r="R487" i="43"/>
  <c r="R491" i="43"/>
  <c r="R490" i="43"/>
  <c r="Q489" i="43"/>
  <c r="D486" i="43"/>
  <c r="D484" i="43"/>
  <c r="J503" i="42"/>
  <c r="D488" i="43"/>
  <c r="D492" i="43"/>
  <c r="D490" i="43"/>
  <c r="D485" i="43"/>
  <c r="D489" i="43"/>
  <c r="R486" i="43"/>
  <c r="B507" i="42"/>
  <c r="I500" i="42"/>
  <c r="Q492" i="43"/>
  <c r="D491" i="43"/>
  <c r="B510" i="42" a="1"/>
  <c r="B515" i="42" s="1"/>
  <c r="J500" i="42"/>
  <c r="J497" i="42"/>
  <c r="J502" i="42"/>
  <c r="I497" i="42"/>
  <c r="J501" i="42"/>
  <c r="K501" i="42" s="1"/>
  <c r="D510" i="42" a="1"/>
  <c r="D517" i="42" s="1"/>
  <c r="G517" i="42" s="1"/>
  <c r="I503" i="42"/>
  <c r="I498" i="42"/>
  <c r="L498" i="42" s="1"/>
  <c r="I505" i="42"/>
  <c r="L505" i="42" s="1"/>
  <c r="I499" i="42"/>
  <c r="L499" i="42" s="1"/>
  <c r="A497" i="43" l="1" a="1"/>
  <c r="A499" i="43" s="1"/>
  <c r="F499" i="43" s="1"/>
  <c r="L504" i="42"/>
  <c r="C497" i="43" a="1"/>
  <c r="C501" i="43" s="1"/>
  <c r="G501" i="43" s="1"/>
  <c r="B497" i="43" a="1"/>
  <c r="B500" i="43" s="1"/>
  <c r="L502" i="42"/>
  <c r="L503" i="42"/>
  <c r="D497" i="43" a="1"/>
  <c r="D500" i="43" s="1"/>
  <c r="L500" i="42"/>
  <c r="B511" i="42"/>
  <c r="B510" i="42"/>
  <c r="B514" i="42"/>
  <c r="B517" i="42"/>
  <c r="B516" i="42"/>
  <c r="B512" i="42"/>
  <c r="B518" i="42"/>
  <c r="B513" i="42"/>
  <c r="K502" i="42"/>
  <c r="K497" i="42"/>
  <c r="J506" i="42"/>
  <c r="K503" i="42"/>
  <c r="K500" i="42"/>
  <c r="K498" i="42"/>
  <c r="D512" i="42"/>
  <c r="G512" i="42" s="1"/>
  <c r="D514" i="42"/>
  <c r="G514" i="42" s="1"/>
  <c r="D516" i="42"/>
  <c r="G516" i="42" s="1"/>
  <c r="L501" i="42"/>
  <c r="D515" i="42"/>
  <c r="G515" i="42" s="1"/>
  <c r="L497" i="42"/>
  <c r="D510" i="42"/>
  <c r="G510" i="42" s="1"/>
  <c r="D511" i="42"/>
  <c r="G511" i="42" s="1"/>
  <c r="D518" i="42"/>
  <c r="G518" i="42" s="1"/>
  <c r="D513" i="42"/>
  <c r="G513" i="42" s="1"/>
  <c r="K505" i="42"/>
  <c r="I506" i="42"/>
  <c r="K499" i="42"/>
  <c r="A503" i="43" l="1"/>
  <c r="F503" i="43" s="1"/>
  <c r="A504" i="43"/>
  <c r="F504" i="43" s="1"/>
  <c r="A500" i="43"/>
  <c r="F500" i="43" s="1"/>
  <c r="A501" i="43"/>
  <c r="F501" i="43" s="1"/>
  <c r="I501" i="43" s="1"/>
  <c r="A498" i="43"/>
  <c r="F498" i="43" s="1"/>
  <c r="C504" i="43"/>
  <c r="G504" i="43" s="1"/>
  <c r="A505" i="43"/>
  <c r="F505" i="43" s="1"/>
  <c r="A497" i="43"/>
  <c r="F497" i="43" s="1"/>
  <c r="A502" i="43"/>
  <c r="F502" i="43" s="1"/>
  <c r="C502" i="43"/>
  <c r="G502" i="43" s="1"/>
  <c r="B498" i="43"/>
  <c r="C505" i="43"/>
  <c r="G505" i="43" s="1"/>
  <c r="B503" i="43"/>
  <c r="C498" i="43"/>
  <c r="G498" i="43" s="1"/>
  <c r="B502" i="43"/>
  <c r="B505" i="43"/>
  <c r="C500" i="43"/>
  <c r="G500" i="43" s="1"/>
  <c r="B499" i="43"/>
  <c r="C499" i="43"/>
  <c r="G499" i="43" s="1"/>
  <c r="J499" i="43" s="1"/>
  <c r="B501" i="43"/>
  <c r="C497" i="43"/>
  <c r="G497" i="43" s="1"/>
  <c r="C503" i="43"/>
  <c r="G503" i="43" s="1"/>
  <c r="I503" i="43" s="1"/>
  <c r="B497" i="43"/>
  <c r="B504" i="43"/>
  <c r="D503" i="43"/>
  <c r="D499" i="43"/>
  <c r="D497" i="43"/>
  <c r="D502" i="43"/>
  <c r="D498" i="43"/>
  <c r="D504" i="43"/>
  <c r="D501" i="43"/>
  <c r="D505" i="43"/>
  <c r="B523" i="42" a="1"/>
  <c r="B531" i="42" s="1"/>
  <c r="F531" i="42" s="1"/>
  <c r="L506" i="42"/>
  <c r="O497" i="42" s="1"/>
  <c r="K506" i="42"/>
  <c r="O498" i="42" s="1"/>
  <c r="J502" i="43" l="1"/>
  <c r="I505" i="43"/>
  <c r="J498" i="43"/>
  <c r="J504" i="43"/>
  <c r="I500" i="43"/>
  <c r="I504" i="43"/>
  <c r="J501" i="43"/>
  <c r="L501" i="43" s="1"/>
  <c r="I502" i="43"/>
  <c r="K502" i="43" s="1"/>
  <c r="J500" i="43"/>
  <c r="L500" i="43" s="1"/>
  <c r="J503" i="43"/>
  <c r="L503" i="43" s="1"/>
  <c r="I498" i="43"/>
  <c r="K498" i="43" s="1"/>
  <c r="J505" i="43"/>
  <c r="L505" i="43" s="1"/>
  <c r="B507" i="43"/>
  <c r="J497" i="43"/>
  <c r="I497" i="43"/>
  <c r="K497" i="43" s="1"/>
  <c r="B510" i="43" a="1"/>
  <c r="B510" i="43" s="1"/>
  <c r="I499" i="43"/>
  <c r="K499" i="43" s="1"/>
  <c r="D510" i="43" a="1"/>
  <c r="D516" i="43" s="1"/>
  <c r="G516" i="43" s="1"/>
  <c r="B529" i="42"/>
  <c r="F529" i="42" s="1"/>
  <c r="B524" i="42"/>
  <c r="F524" i="42" s="1"/>
  <c r="B530" i="42"/>
  <c r="F530" i="42" s="1"/>
  <c r="B527" i="42"/>
  <c r="F527" i="42" s="1"/>
  <c r="B526" i="42"/>
  <c r="F526" i="42" s="1"/>
  <c r="B528" i="42"/>
  <c r="F528" i="42" s="1"/>
  <c r="B523" i="42"/>
  <c r="F523" i="42" s="1"/>
  <c r="B525" i="42"/>
  <c r="F525" i="42" s="1"/>
  <c r="O499" i="42"/>
  <c r="N501" i="42" s="1"/>
  <c r="O502" i="42" s="1"/>
  <c r="J506" i="43" l="1"/>
  <c r="L504" i="43"/>
  <c r="K504" i="43"/>
  <c r="L502" i="43"/>
  <c r="I506" i="43"/>
  <c r="K503" i="43"/>
  <c r="K501" i="43"/>
  <c r="L498" i="43"/>
  <c r="K500" i="43"/>
  <c r="L497" i="43"/>
  <c r="K505" i="43"/>
  <c r="B512" i="43"/>
  <c r="B518" i="43"/>
  <c r="L499" i="43"/>
  <c r="B517" i="43"/>
  <c r="B516" i="43"/>
  <c r="B515" i="43"/>
  <c r="B511" i="43"/>
  <c r="B514" i="43"/>
  <c r="B513" i="43"/>
  <c r="D511" i="43"/>
  <c r="G511" i="43" s="1"/>
  <c r="D513" i="43"/>
  <c r="G513" i="43" s="1"/>
  <c r="D512" i="43"/>
  <c r="G512" i="43" s="1"/>
  <c r="D518" i="43"/>
  <c r="G518" i="43" s="1"/>
  <c r="D510" i="43"/>
  <c r="G510" i="43" s="1"/>
  <c r="D517" i="43"/>
  <c r="G517" i="43" s="1"/>
  <c r="D515" i="43"/>
  <c r="G515" i="43" s="1"/>
  <c r="D514" i="43"/>
  <c r="G514" i="43" s="1"/>
  <c r="N502" i="42"/>
  <c r="O501" i="42" s="1"/>
  <c r="Q497" i="42" s="1" a="1"/>
  <c r="R503" i="42" s="1"/>
  <c r="K506" i="43" l="1"/>
  <c r="O498" i="43"/>
  <c r="L506" i="43"/>
  <c r="O497" i="43" s="1"/>
  <c r="O499" i="43" s="1"/>
  <c r="N501" i="43" s="1"/>
  <c r="O502" i="43" s="1"/>
  <c r="B523" i="43" a="1"/>
  <c r="B525" i="43" s="1"/>
  <c r="F525" i="43" s="1"/>
  <c r="Q500" i="42"/>
  <c r="R504" i="42"/>
  <c r="Q503" i="42"/>
  <c r="R501" i="42"/>
  <c r="Q504" i="42"/>
  <c r="R500" i="42"/>
  <c r="Q499" i="42"/>
  <c r="R497" i="42"/>
  <c r="R505" i="42"/>
  <c r="Q498" i="42"/>
  <c r="R502" i="42"/>
  <c r="Q501" i="42"/>
  <c r="R499" i="42"/>
  <c r="Q502" i="42"/>
  <c r="R498" i="42"/>
  <c r="Q497" i="42"/>
  <c r="Q505" i="42"/>
  <c r="B531" i="43" l="1"/>
  <c r="F531" i="43" s="1"/>
  <c r="B529" i="43"/>
  <c r="F529" i="43" s="1"/>
  <c r="B524" i="43"/>
  <c r="F524" i="43" s="1"/>
  <c r="B528" i="43"/>
  <c r="F528" i="43" s="1"/>
  <c r="B527" i="43"/>
  <c r="F527" i="43" s="1"/>
  <c r="B526" i="43"/>
  <c r="F526" i="43" s="1"/>
  <c r="B530" i="43"/>
  <c r="F530" i="43" s="1"/>
  <c r="B523" i="43"/>
  <c r="F523" i="43" s="1"/>
  <c r="N502" i="43"/>
  <c r="O501" i="43" s="1"/>
  <c r="Q497" i="43" s="1" a="1"/>
  <c r="R498" i="43" s="1"/>
  <c r="C510" i="42" a="1"/>
  <c r="C514" i="42" s="1"/>
  <c r="A510" i="42" a="1"/>
  <c r="A515" i="42" s="1"/>
  <c r="F515" i="42" s="1"/>
  <c r="A510" i="42" l="1"/>
  <c r="F510" i="42" s="1"/>
  <c r="A514" i="42"/>
  <c r="F514" i="42" s="1"/>
  <c r="J514" i="42" s="1"/>
  <c r="A516" i="42"/>
  <c r="F516" i="42" s="1"/>
  <c r="I516" i="42" s="1"/>
  <c r="C516" i="42"/>
  <c r="A512" i="42"/>
  <c r="F512" i="42" s="1"/>
  <c r="J512" i="42" s="1"/>
  <c r="C510" i="42"/>
  <c r="A513" i="42"/>
  <c r="F513" i="42" s="1"/>
  <c r="J513" i="42" s="1"/>
  <c r="A518" i="42"/>
  <c r="F518" i="42" s="1"/>
  <c r="J518" i="42" s="1"/>
  <c r="C511" i="42"/>
  <c r="A517" i="42"/>
  <c r="F517" i="42" s="1"/>
  <c r="J517" i="42" s="1"/>
  <c r="A511" i="42"/>
  <c r="F511" i="42" s="1"/>
  <c r="J511" i="42" s="1"/>
  <c r="C518" i="42"/>
  <c r="C512" i="42"/>
  <c r="C513" i="42"/>
  <c r="C515" i="42"/>
  <c r="C517" i="42"/>
  <c r="R501" i="43"/>
  <c r="Q501" i="43"/>
  <c r="R500" i="43"/>
  <c r="R503" i="43"/>
  <c r="Q498" i="43"/>
  <c r="Q504" i="43"/>
  <c r="Q502" i="43"/>
  <c r="Q497" i="43"/>
  <c r="Q505" i="43"/>
  <c r="R504" i="43"/>
  <c r="R499" i="43"/>
  <c r="R505" i="43"/>
  <c r="Q503" i="43"/>
  <c r="R502" i="43"/>
  <c r="Q500" i="43"/>
  <c r="R497" i="43"/>
  <c r="Q499" i="43"/>
  <c r="J515" i="42"/>
  <c r="I515" i="42"/>
  <c r="I514" i="42" l="1"/>
  <c r="K514" i="42" s="1"/>
  <c r="I517" i="42"/>
  <c r="L517" i="42" s="1"/>
  <c r="J516" i="42"/>
  <c r="K516" i="42" s="1"/>
  <c r="I511" i="42"/>
  <c r="L511" i="42" s="1"/>
  <c r="I518" i="42"/>
  <c r="L518" i="42" s="1"/>
  <c r="I512" i="42"/>
  <c r="K512" i="42" s="1"/>
  <c r="I513" i="42"/>
  <c r="K513" i="42" s="1"/>
  <c r="B520" i="42"/>
  <c r="C523" i="42" a="1"/>
  <c r="C528" i="42" s="1"/>
  <c r="G528" i="42" s="1"/>
  <c r="J528" i="42" s="1"/>
  <c r="C510" i="43" a="1"/>
  <c r="C515" i="43" s="1"/>
  <c r="A510" i="43" a="1"/>
  <c r="A516" i="43" s="1"/>
  <c r="I510" i="42"/>
  <c r="J510" i="42"/>
  <c r="K515" i="42"/>
  <c r="L515" i="42"/>
  <c r="L514" i="42" l="1"/>
  <c r="K511" i="42"/>
  <c r="K517" i="42"/>
  <c r="K518" i="42"/>
  <c r="L513" i="42"/>
  <c r="L512" i="42"/>
  <c r="L516" i="42"/>
  <c r="J519" i="42"/>
  <c r="C531" i="42"/>
  <c r="G531" i="42" s="1"/>
  <c r="I531" i="42" s="1"/>
  <c r="I528" i="42"/>
  <c r="K528" i="42" s="1"/>
  <c r="C525" i="42"/>
  <c r="G525" i="42" s="1"/>
  <c r="J525" i="42" s="1"/>
  <c r="C526" i="42"/>
  <c r="G526" i="42" s="1"/>
  <c r="I526" i="42" s="1"/>
  <c r="C529" i="42"/>
  <c r="G529" i="42" s="1"/>
  <c r="J529" i="42" s="1"/>
  <c r="C530" i="42"/>
  <c r="G530" i="42" s="1"/>
  <c r="J530" i="42" s="1"/>
  <c r="C527" i="42"/>
  <c r="G527" i="42" s="1"/>
  <c r="J527" i="42" s="1"/>
  <c r="C523" i="42"/>
  <c r="G523" i="42" s="1"/>
  <c r="J523" i="42" s="1"/>
  <c r="C524" i="42"/>
  <c r="G524" i="42" s="1"/>
  <c r="J524" i="42" s="1"/>
  <c r="C510" i="43"/>
  <c r="A517" i="43"/>
  <c r="F517" i="43" s="1"/>
  <c r="J517" i="43" s="1"/>
  <c r="C514" i="43"/>
  <c r="A514" i="43"/>
  <c r="F514" i="43" s="1"/>
  <c r="I514" i="43" s="1"/>
  <c r="A513" i="43"/>
  <c r="F513" i="43" s="1"/>
  <c r="I513" i="43" s="1"/>
  <c r="C512" i="43"/>
  <c r="A518" i="43"/>
  <c r="F518" i="43" s="1"/>
  <c r="I518" i="43" s="1"/>
  <c r="C513" i="43"/>
  <c r="C511" i="43"/>
  <c r="C516" i="43"/>
  <c r="A515" i="43"/>
  <c r="F515" i="43" s="1"/>
  <c r="J515" i="43" s="1"/>
  <c r="A512" i="43"/>
  <c r="F512" i="43" s="1"/>
  <c r="I512" i="43" s="1"/>
  <c r="C518" i="43"/>
  <c r="A511" i="43"/>
  <c r="F511" i="43" s="1"/>
  <c r="I511" i="43" s="1"/>
  <c r="A510" i="43"/>
  <c r="C517" i="43"/>
  <c r="F516" i="43"/>
  <c r="I516" i="43" s="1"/>
  <c r="L510" i="42"/>
  <c r="I519" i="42"/>
  <c r="K510" i="42"/>
  <c r="K519" i="42" l="1"/>
  <c r="O511" i="42" s="1"/>
  <c r="J526" i="42"/>
  <c r="K526" i="42" s="1"/>
  <c r="I524" i="42"/>
  <c r="L524" i="42" s="1"/>
  <c r="L519" i="42"/>
  <c r="O510" i="42" s="1"/>
  <c r="I530" i="42"/>
  <c r="K530" i="42" s="1"/>
  <c r="L528" i="42"/>
  <c r="I529" i="42"/>
  <c r="L529" i="42" s="1"/>
  <c r="J531" i="42"/>
  <c r="L531" i="42" s="1"/>
  <c r="I525" i="42"/>
  <c r="L525" i="42" s="1"/>
  <c r="I527" i="42"/>
  <c r="L527" i="42" s="1"/>
  <c r="I523" i="42"/>
  <c r="K523" i="42" s="1"/>
  <c r="J518" i="43"/>
  <c r="K518" i="43" s="1"/>
  <c r="B520" i="43"/>
  <c r="F510" i="43"/>
  <c r="J510" i="43" s="1"/>
  <c r="C523" i="43" a="1"/>
  <c r="C528" i="43" s="1"/>
  <c r="G528" i="43" s="1"/>
  <c r="J528" i="43" s="1"/>
  <c r="J512" i="43"/>
  <c r="K512" i="43" s="1"/>
  <c r="J514" i="43"/>
  <c r="K514" i="43" s="1"/>
  <c r="J516" i="43"/>
  <c r="L516" i="43" s="1"/>
  <c r="J513" i="43"/>
  <c r="L513" i="43" s="1"/>
  <c r="J511" i="43"/>
  <c r="L511" i="43" s="1"/>
  <c r="I515" i="43"/>
  <c r="L515" i="43" s="1"/>
  <c r="I517" i="43"/>
  <c r="L517" i="43" s="1"/>
  <c r="L526" i="42" l="1"/>
  <c r="K524" i="42"/>
  <c r="K529" i="42"/>
  <c r="L530" i="42"/>
  <c r="I510" i="43"/>
  <c r="I519" i="43" s="1"/>
  <c r="K531" i="42"/>
  <c r="K525" i="42"/>
  <c r="J532" i="42"/>
  <c r="I532" i="42"/>
  <c r="L523" i="42"/>
  <c r="K527" i="42"/>
  <c r="L518" i="43"/>
  <c r="C523" i="43"/>
  <c r="G523" i="43" s="1"/>
  <c r="J523" i="43" s="1"/>
  <c r="C530" i="43"/>
  <c r="G530" i="43" s="1"/>
  <c r="J530" i="43" s="1"/>
  <c r="C529" i="43"/>
  <c r="G529" i="43" s="1"/>
  <c r="I529" i="43" s="1"/>
  <c r="C527" i="43"/>
  <c r="G527" i="43" s="1"/>
  <c r="I527" i="43" s="1"/>
  <c r="C525" i="43"/>
  <c r="G525" i="43" s="1"/>
  <c r="I525" i="43" s="1"/>
  <c r="C524" i="43"/>
  <c r="G524" i="43" s="1"/>
  <c r="I524" i="43" s="1"/>
  <c r="C531" i="43"/>
  <c r="G531" i="43" s="1"/>
  <c r="I531" i="43" s="1"/>
  <c r="L512" i="43"/>
  <c r="C526" i="43"/>
  <c r="G526" i="43" s="1"/>
  <c r="I526" i="43" s="1"/>
  <c r="L514" i="43"/>
  <c r="I528" i="43"/>
  <c r="L528" i="43" s="1"/>
  <c r="K517" i="43"/>
  <c r="K513" i="43"/>
  <c r="K516" i="43"/>
  <c r="K511" i="43"/>
  <c r="J519" i="43"/>
  <c r="K515" i="43"/>
  <c r="O512" i="42"/>
  <c r="N514" i="42" s="1"/>
  <c r="K510" i="43" l="1"/>
  <c r="K519" i="43" s="1"/>
  <c r="O511" i="43" s="1"/>
  <c r="L532" i="42"/>
  <c r="L510" i="43"/>
  <c r="L519" i="43" s="1"/>
  <c r="O510" i="43" s="1"/>
  <c r="K532" i="42"/>
  <c r="I523" i="43"/>
  <c r="K523" i="43" s="1"/>
  <c r="J524" i="43"/>
  <c r="K524" i="43" s="1"/>
  <c r="K528" i="43"/>
  <c r="I530" i="43"/>
  <c r="L530" i="43" s="1"/>
  <c r="J526" i="43"/>
  <c r="K526" i="43" s="1"/>
  <c r="J529" i="43"/>
  <c r="K529" i="43" s="1"/>
  <c r="J527" i="43"/>
  <c r="J525" i="43"/>
  <c r="L525" i="43" s="1"/>
  <c r="J531" i="43"/>
  <c r="K531" i="43" s="1"/>
  <c r="N515" i="42"/>
  <c r="O514" i="42" s="1"/>
  <c r="O515" i="42"/>
  <c r="O512" i="43" l="1"/>
  <c r="N514" i="43" s="1"/>
  <c r="O515" i="43" s="1"/>
  <c r="L523" i="43"/>
  <c r="L524" i="43"/>
  <c r="L529" i="43"/>
  <c r="J532" i="43"/>
  <c r="I532" i="43"/>
  <c r="K530" i="43"/>
  <c r="K525" i="43"/>
  <c r="L526" i="43"/>
  <c r="L527" i="43"/>
  <c r="K527" i="43"/>
  <c r="Q510" i="42" a="1"/>
  <c r="Q511" i="42" s="1"/>
  <c r="L531" i="43"/>
  <c r="N515" i="43" l="1"/>
  <c r="O514" i="43" s="1"/>
  <c r="K532" i="43"/>
  <c r="L532" i="43"/>
  <c r="R511" i="42"/>
  <c r="Q516" i="42"/>
  <c r="R514" i="42"/>
  <c r="Q513" i="42"/>
  <c r="R513" i="42"/>
  <c r="Q510" i="42"/>
  <c r="Q518" i="42"/>
  <c r="R516" i="42"/>
  <c r="Q515" i="42"/>
  <c r="R515" i="42"/>
  <c r="Q512" i="42"/>
  <c r="R510" i="42"/>
  <c r="R518" i="42"/>
  <c r="Q517" i="42"/>
  <c r="R517" i="42"/>
  <c r="Q514" i="42"/>
  <c r="R512" i="42"/>
  <c r="A523" i="42" l="1" a="1"/>
  <c r="A528" i="42" s="1"/>
  <c r="D523" i="42" a="1"/>
  <c r="D530" i="42" s="1"/>
  <c r="Q510" i="43" a="1"/>
  <c r="A527" i="42" l="1"/>
  <c r="A525" i="42"/>
  <c r="A526" i="42"/>
  <c r="A531" i="42"/>
  <c r="A529" i="42"/>
  <c r="A530" i="42"/>
  <c r="A524" i="42"/>
  <c r="A523" i="42"/>
  <c r="D523" i="42"/>
  <c r="D525" i="42"/>
  <c r="D529" i="42"/>
  <c r="D527" i="42"/>
  <c r="D524" i="42"/>
  <c r="D526" i="42"/>
  <c r="D531" i="42"/>
  <c r="D528" i="42"/>
  <c r="Q518" i="43"/>
  <c r="Q516" i="43"/>
  <c r="Q514" i="43"/>
  <c r="Q512" i="43"/>
  <c r="Q510" i="43"/>
  <c r="R518" i="43"/>
  <c r="R516" i="43"/>
  <c r="R514" i="43"/>
  <c r="R512" i="43"/>
  <c r="R510" i="43"/>
  <c r="Q515" i="43"/>
  <c r="Q511" i="43"/>
  <c r="R515" i="43"/>
  <c r="R511" i="43"/>
  <c r="Q517" i="43"/>
  <c r="R517" i="43"/>
  <c r="R513" i="43"/>
  <c r="Q513" i="43"/>
  <c r="D523" i="43" l="1" a="1"/>
  <c r="D530" i="43" s="1"/>
  <c r="A523" i="43" a="1"/>
  <c r="B533" i="42"/>
  <c r="O523" i="42" s="1"/>
  <c r="A536" i="42" a="1"/>
  <c r="A540" i="42" s="1"/>
  <c r="D536" i="42" a="1"/>
  <c r="D542" i="42" s="1"/>
  <c r="G542" i="42" s="1"/>
  <c r="D531" i="43" l="1"/>
  <c r="D527" i="43"/>
  <c r="D523" i="43"/>
  <c r="D525" i="43"/>
  <c r="D528" i="43"/>
  <c r="D529" i="43"/>
  <c r="D524" i="43"/>
  <c r="D526" i="43"/>
  <c r="A528" i="43"/>
  <c r="A524" i="43"/>
  <c r="A529" i="43"/>
  <c r="A523" i="43"/>
  <c r="A531" i="43"/>
  <c r="A525" i="43"/>
  <c r="A530" i="43"/>
  <c r="A527" i="43"/>
  <c r="A526" i="43"/>
  <c r="O524" i="42"/>
  <c r="O525" i="42" s="1"/>
  <c r="N528" i="42" s="1"/>
  <c r="O527" i="42" s="1"/>
  <c r="A537" i="42"/>
  <c r="A536" i="42"/>
  <c r="A541" i="42"/>
  <c r="A538" i="42"/>
  <c r="A539" i="42"/>
  <c r="A543" i="42"/>
  <c r="A544" i="42"/>
  <c r="A542" i="42"/>
  <c r="D537" i="42"/>
  <c r="G537" i="42" s="1"/>
  <c r="D536" i="42"/>
  <c r="G536" i="42" s="1"/>
  <c r="D539" i="42"/>
  <c r="G539" i="42" s="1"/>
  <c r="D543" i="42"/>
  <c r="G543" i="42" s="1"/>
  <c r="D544" i="42"/>
  <c r="G544" i="42" s="1"/>
  <c r="D541" i="42"/>
  <c r="G541" i="42" s="1"/>
  <c r="D540" i="42"/>
  <c r="G540" i="42" s="1"/>
  <c r="D538" i="42"/>
  <c r="G538" i="42" s="1"/>
  <c r="D536" i="43" l="1" a="1"/>
  <c r="D542" i="43" s="1"/>
  <c r="G542" i="43" s="1"/>
  <c r="A536" i="43" a="1"/>
  <c r="B533" i="43"/>
  <c r="A549" i="42" a="1"/>
  <c r="A553" i="42" s="1"/>
  <c r="B546" i="42"/>
  <c r="N527" i="42"/>
  <c r="O528" i="42" s="1"/>
  <c r="Q523" i="42" s="1" a="1"/>
  <c r="O523" i="43" l="1"/>
  <c r="O524" i="43"/>
  <c r="D544" i="43"/>
  <c r="G544" i="43" s="1"/>
  <c r="D537" i="43"/>
  <c r="G537" i="43" s="1"/>
  <c r="D541" i="43"/>
  <c r="G541" i="43" s="1"/>
  <c r="D536" i="43"/>
  <c r="G536" i="43" s="1"/>
  <c r="D539" i="43"/>
  <c r="G539" i="43" s="1"/>
  <c r="D540" i="43"/>
  <c r="G540" i="43" s="1"/>
  <c r="D538" i="43"/>
  <c r="G538" i="43" s="1"/>
  <c r="D543" i="43"/>
  <c r="G543" i="43" s="1"/>
  <c r="A543" i="43"/>
  <c r="A539" i="43"/>
  <c r="A544" i="43"/>
  <c r="A540" i="43"/>
  <c r="A536" i="43"/>
  <c r="A537" i="43"/>
  <c r="A542" i="43"/>
  <c r="A541" i="43"/>
  <c r="A538" i="43"/>
  <c r="A557" i="42"/>
  <c r="A552" i="42"/>
  <c r="A556" i="42"/>
  <c r="A550" i="42"/>
  <c r="A551" i="42"/>
  <c r="A549" i="42"/>
  <c r="A554" i="42"/>
  <c r="A555" i="42"/>
  <c r="R530" i="42"/>
  <c r="R528" i="42"/>
  <c r="R526" i="42"/>
  <c r="R524" i="42"/>
  <c r="Q530" i="42"/>
  <c r="Q528" i="42"/>
  <c r="Q526" i="42"/>
  <c r="Q524" i="42"/>
  <c r="R531" i="42"/>
  <c r="R529" i="42"/>
  <c r="R527" i="42"/>
  <c r="R525" i="42"/>
  <c r="R523" i="42"/>
  <c r="Q529" i="42"/>
  <c r="Q527" i="42"/>
  <c r="Q525" i="42"/>
  <c r="Q531" i="42"/>
  <c r="Q523" i="42"/>
  <c r="O525" i="43" l="1"/>
  <c r="B546" i="43"/>
  <c r="A549" i="43" a="1"/>
  <c r="A562" i="42" a="1"/>
  <c r="A563" i="42" s="1"/>
  <c r="F563" i="42" s="1"/>
  <c r="B559" i="42"/>
  <c r="B536" i="42" a="1"/>
  <c r="C536" i="42" a="1"/>
  <c r="N528" i="43" l="1"/>
  <c r="O527" i="43" s="1"/>
  <c r="N527" i="43"/>
  <c r="O528" i="43" s="1"/>
  <c r="A555" i="43"/>
  <c r="A551" i="43"/>
  <c r="A556" i="43"/>
  <c r="A552" i="43"/>
  <c r="A557" i="43"/>
  <c r="A549" i="43"/>
  <c r="A554" i="43"/>
  <c r="A553" i="43"/>
  <c r="A550" i="43"/>
  <c r="A562" i="42"/>
  <c r="F562" i="42" s="1"/>
  <c r="A567" i="42"/>
  <c r="F567" i="42" s="1"/>
  <c r="A566" i="42"/>
  <c r="F566" i="42" s="1"/>
  <c r="A564" i="42"/>
  <c r="F564" i="42" s="1"/>
  <c r="A565" i="42"/>
  <c r="F565" i="42" s="1"/>
  <c r="A570" i="42"/>
  <c r="F570" i="42" s="1"/>
  <c r="A568" i="42"/>
  <c r="F568" i="42" s="1"/>
  <c r="A569" i="42"/>
  <c r="F569" i="42" s="1"/>
  <c r="C544" i="42"/>
  <c r="C540" i="42"/>
  <c r="C536" i="42"/>
  <c r="C542" i="42"/>
  <c r="C538" i="42"/>
  <c r="C539" i="42"/>
  <c r="C537" i="42"/>
  <c r="C543" i="42"/>
  <c r="C541" i="42"/>
  <c r="B542" i="42"/>
  <c r="F542" i="42" s="1"/>
  <c r="B538" i="42"/>
  <c r="F538" i="42" s="1"/>
  <c r="B544" i="42"/>
  <c r="F544" i="42" s="1"/>
  <c r="B540" i="42"/>
  <c r="F540" i="42" s="1"/>
  <c r="B536" i="42"/>
  <c r="F536" i="42" s="1"/>
  <c r="B541" i="42"/>
  <c r="F541" i="42" s="1"/>
  <c r="B539" i="42"/>
  <c r="F539" i="42" s="1"/>
  <c r="B537" i="42"/>
  <c r="F537" i="42" s="1"/>
  <c r="B543" i="42"/>
  <c r="F543" i="42" s="1"/>
  <c r="B559" i="43" l="1"/>
  <c r="A562" i="43" a="1"/>
  <c r="B572" i="42"/>
  <c r="Q523" i="43" a="1"/>
  <c r="J539" i="42"/>
  <c r="I539" i="42"/>
  <c r="C549" i="42" a="1"/>
  <c r="J543" i="42"/>
  <c r="I543" i="42"/>
  <c r="J536" i="42"/>
  <c r="I536" i="42"/>
  <c r="J542" i="42"/>
  <c r="I542" i="42"/>
  <c r="J544" i="42"/>
  <c r="I544" i="42"/>
  <c r="J541" i="42"/>
  <c r="I541" i="42"/>
  <c r="J538" i="42"/>
  <c r="I538" i="42"/>
  <c r="J537" i="42"/>
  <c r="I537" i="42"/>
  <c r="J540" i="42"/>
  <c r="I540" i="42"/>
  <c r="A567" i="43" l="1"/>
  <c r="F567" i="43" s="1"/>
  <c r="A563" i="43"/>
  <c r="F563" i="43" s="1"/>
  <c r="A568" i="43"/>
  <c r="F568" i="43" s="1"/>
  <c r="A564" i="43"/>
  <c r="F564" i="43" s="1"/>
  <c r="A569" i="43"/>
  <c r="F569" i="43" s="1"/>
  <c r="A562" i="43"/>
  <c r="A570" i="43"/>
  <c r="F570" i="43" s="1"/>
  <c r="A566" i="43"/>
  <c r="F566" i="43" s="1"/>
  <c r="A565" i="43"/>
  <c r="F565" i="43" s="1"/>
  <c r="R531" i="43"/>
  <c r="R529" i="43"/>
  <c r="R527" i="43"/>
  <c r="R525" i="43"/>
  <c r="R523" i="43"/>
  <c r="Q530" i="43"/>
  <c r="Q528" i="43"/>
  <c r="Q526" i="43"/>
  <c r="Q524" i="43"/>
  <c r="Q531" i="43"/>
  <c r="Q527" i="43"/>
  <c r="Q523" i="43"/>
  <c r="R528" i="43"/>
  <c r="R524" i="43"/>
  <c r="Q529" i="43"/>
  <c r="R530" i="43"/>
  <c r="R526" i="43"/>
  <c r="Q525" i="43"/>
  <c r="K538" i="42"/>
  <c r="L538" i="42"/>
  <c r="L536" i="42"/>
  <c r="I545" i="42"/>
  <c r="K536" i="42"/>
  <c r="J545" i="42"/>
  <c r="C554" i="42"/>
  <c r="F554" i="42" s="1"/>
  <c r="C550" i="42"/>
  <c r="F550" i="42" s="1"/>
  <c r="C557" i="42"/>
  <c r="F557" i="42" s="1"/>
  <c r="C553" i="42"/>
  <c r="F553" i="42" s="1"/>
  <c r="C549" i="42"/>
  <c r="F549" i="42" s="1"/>
  <c r="C556" i="42"/>
  <c r="F556" i="42" s="1"/>
  <c r="C552" i="42"/>
  <c r="F552" i="42" s="1"/>
  <c r="C551" i="42"/>
  <c r="F551" i="42" s="1"/>
  <c r="C555" i="42"/>
  <c r="F555" i="42" s="1"/>
  <c r="L541" i="42"/>
  <c r="K541" i="42"/>
  <c r="L542" i="42"/>
  <c r="K542" i="42"/>
  <c r="L539" i="42"/>
  <c r="K539" i="42"/>
  <c r="L544" i="42"/>
  <c r="K544" i="42"/>
  <c r="L540" i="42"/>
  <c r="K540" i="42"/>
  <c r="L537" i="42"/>
  <c r="K537" i="42"/>
  <c r="L543" i="42"/>
  <c r="K543" i="42"/>
  <c r="C536" i="43" l="1" a="1"/>
  <c r="B572" i="43"/>
  <c r="B536" i="43" a="1"/>
  <c r="F562" i="43"/>
  <c r="L545" i="42"/>
  <c r="O536" i="42" s="1"/>
  <c r="K545" i="42"/>
  <c r="O537" i="42" s="1"/>
  <c r="B541" i="43" l="1"/>
  <c r="F541" i="43" s="1"/>
  <c r="B537" i="43"/>
  <c r="F537" i="43" s="1"/>
  <c r="B542" i="43"/>
  <c r="F542" i="43" s="1"/>
  <c r="B538" i="43"/>
  <c r="B543" i="43"/>
  <c r="F543" i="43" s="1"/>
  <c r="B544" i="43"/>
  <c r="F544" i="43" s="1"/>
  <c r="B540" i="43"/>
  <c r="F540" i="43" s="1"/>
  <c r="B539" i="43"/>
  <c r="F539" i="43" s="1"/>
  <c r="B536" i="43"/>
  <c r="F536" i="43" s="1"/>
  <c r="C543" i="43"/>
  <c r="C539" i="43"/>
  <c r="C544" i="43"/>
  <c r="C540" i="43"/>
  <c r="C536" i="43"/>
  <c r="C541" i="43"/>
  <c r="C542" i="43"/>
  <c r="C538" i="43"/>
  <c r="C537" i="43"/>
  <c r="O538" i="42"/>
  <c r="N541" i="42" s="1"/>
  <c r="O540" i="42" s="1"/>
  <c r="F538" i="43"/>
  <c r="C549" i="43" l="1" a="1"/>
  <c r="N540" i="42"/>
  <c r="O541" i="42" s="1"/>
  <c r="Q536" i="42" s="1" a="1"/>
  <c r="J539" i="43"/>
  <c r="I539" i="43"/>
  <c r="J544" i="43"/>
  <c r="I544" i="43"/>
  <c r="J537" i="43"/>
  <c r="I537" i="43"/>
  <c r="J538" i="43"/>
  <c r="I538" i="43"/>
  <c r="I536" i="43"/>
  <c r="J536" i="43"/>
  <c r="J541" i="43"/>
  <c r="I541" i="43"/>
  <c r="I543" i="43"/>
  <c r="J543" i="43"/>
  <c r="J540" i="43"/>
  <c r="I540" i="43"/>
  <c r="J542" i="43"/>
  <c r="I542" i="43"/>
  <c r="C555" i="43" l="1"/>
  <c r="F555" i="43" s="1"/>
  <c r="C551" i="43"/>
  <c r="F551" i="43" s="1"/>
  <c r="C556" i="43"/>
  <c r="F556" i="43" s="1"/>
  <c r="C552" i="43"/>
  <c r="F552" i="43" s="1"/>
  <c r="C553" i="43"/>
  <c r="F553" i="43" s="1"/>
  <c r="C549" i="43"/>
  <c r="F549" i="43" s="1"/>
  <c r="C557" i="43"/>
  <c r="F557" i="43" s="1"/>
  <c r="C554" i="43"/>
  <c r="F554" i="43" s="1"/>
  <c r="C550" i="43"/>
  <c r="F550" i="43" s="1"/>
  <c r="J545" i="43"/>
  <c r="K542" i="43"/>
  <c r="L542" i="43"/>
  <c r="L544" i="43"/>
  <c r="K544" i="43"/>
  <c r="L543" i="43"/>
  <c r="K543" i="43"/>
  <c r="K537" i="43"/>
  <c r="L537" i="43"/>
  <c r="L539" i="43"/>
  <c r="K539" i="43"/>
  <c r="K538" i="43"/>
  <c r="L538" i="43"/>
  <c r="L536" i="43"/>
  <c r="I545" i="43"/>
  <c r="K536" i="43"/>
  <c r="K540" i="43"/>
  <c r="L540" i="43"/>
  <c r="L541" i="43"/>
  <c r="K541" i="43"/>
  <c r="R544" i="42"/>
  <c r="R542" i="42"/>
  <c r="R540" i="42"/>
  <c r="R538" i="42"/>
  <c r="R536" i="42"/>
  <c r="Q544" i="42"/>
  <c r="Q542" i="42"/>
  <c r="Q540" i="42"/>
  <c r="Q538" i="42"/>
  <c r="Q536" i="42"/>
  <c r="R543" i="42"/>
  <c r="R541" i="42"/>
  <c r="R539" i="42"/>
  <c r="R537" i="42"/>
  <c r="Q541" i="42"/>
  <c r="Q539" i="42"/>
  <c r="Q537" i="42"/>
  <c r="Q543" i="42"/>
  <c r="K545" i="43" l="1"/>
  <c r="O537" i="43" s="1"/>
  <c r="L545" i="43"/>
  <c r="O536" i="43" s="1"/>
  <c r="B549" i="42" a="1"/>
  <c r="D549" i="42" a="1"/>
  <c r="O538" i="43" l="1"/>
  <c r="N541" i="43" s="1"/>
  <c r="O540" i="43" s="1"/>
  <c r="D556" i="42"/>
  <c r="G556" i="42" s="1"/>
  <c r="D552" i="42"/>
  <c r="G552" i="42" s="1"/>
  <c r="D555" i="42"/>
  <c r="G555" i="42" s="1"/>
  <c r="D551" i="42"/>
  <c r="G551" i="42" s="1"/>
  <c r="D554" i="42"/>
  <c r="G554" i="42" s="1"/>
  <c r="D550" i="42"/>
  <c r="G550" i="42" s="1"/>
  <c r="D557" i="42"/>
  <c r="G557" i="42" s="1"/>
  <c r="D553" i="42"/>
  <c r="G553" i="42" s="1"/>
  <c r="D549" i="42"/>
  <c r="G549" i="42" s="1"/>
  <c r="B556" i="42"/>
  <c r="B552" i="42"/>
  <c r="B555" i="42"/>
  <c r="B551" i="42"/>
  <c r="B554" i="42"/>
  <c r="B550" i="42"/>
  <c r="B557" i="42"/>
  <c r="B553" i="42"/>
  <c r="B549" i="42"/>
  <c r="N540" i="43" l="1"/>
  <c r="O541" i="43" s="1"/>
  <c r="J551" i="42"/>
  <c r="I551" i="42"/>
  <c r="J555" i="42"/>
  <c r="I555" i="42"/>
  <c r="B562" i="42" a="1"/>
  <c r="I550" i="42"/>
  <c r="J550" i="42"/>
  <c r="J552" i="42"/>
  <c r="I552" i="42"/>
  <c r="I553" i="42"/>
  <c r="J553" i="42"/>
  <c r="J557" i="42"/>
  <c r="I557" i="42"/>
  <c r="J549" i="42"/>
  <c r="I549" i="42"/>
  <c r="I554" i="42"/>
  <c r="J554" i="42"/>
  <c r="I556" i="42"/>
  <c r="J556" i="42"/>
  <c r="Q536" i="43" l="1" a="1"/>
  <c r="K554" i="42"/>
  <c r="L554" i="42"/>
  <c r="K555" i="42"/>
  <c r="L555" i="42"/>
  <c r="L549" i="42"/>
  <c r="I558" i="42"/>
  <c r="K549" i="42"/>
  <c r="L556" i="42"/>
  <c r="K556" i="42"/>
  <c r="J558" i="42"/>
  <c r="K553" i="42"/>
  <c r="L553" i="42"/>
  <c r="K550" i="42"/>
  <c r="L550" i="42"/>
  <c r="L551" i="42"/>
  <c r="K551" i="42"/>
  <c r="K557" i="42"/>
  <c r="L557" i="42"/>
  <c r="L552" i="42"/>
  <c r="K552" i="42"/>
  <c r="B570" i="42"/>
  <c r="G570" i="42" s="1"/>
  <c r="B566" i="42"/>
  <c r="G566" i="42" s="1"/>
  <c r="B562" i="42"/>
  <c r="G562" i="42" s="1"/>
  <c r="B569" i="42"/>
  <c r="G569" i="42" s="1"/>
  <c r="B565" i="42"/>
  <c r="G565" i="42" s="1"/>
  <c r="B568" i="42"/>
  <c r="G568" i="42" s="1"/>
  <c r="B564" i="42"/>
  <c r="G564" i="42" s="1"/>
  <c r="B567" i="42"/>
  <c r="G567" i="42" s="1"/>
  <c r="B563" i="42"/>
  <c r="G563" i="42" s="1"/>
  <c r="R544" i="43" l="1"/>
  <c r="R542" i="43"/>
  <c r="R540" i="43"/>
  <c r="R538" i="43"/>
  <c r="R536" i="43"/>
  <c r="Q543" i="43"/>
  <c r="Q540" i="43"/>
  <c r="R537" i="43"/>
  <c r="R543" i="43"/>
  <c r="Q541" i="43"/>
  <c r="Q538" i="43"/>
  <c r="R539" i="43"/>
  <c r="R541" i="43"/>
  <c r="Q536" i="43"/>
  <c r="Q539" i="43"/>
  <c r="Q542" i="43"/>
  <c r="Q537" i="43"/>
  <c r="Q544" i="43"/>
  <c r="J569" i="42"/>
  <c r="I569" i="42"/>
  <c r="I564" i="42"/>
  <c r="J564" i="42"/>
  <c r="J562" i="42"/>
  <c r="I562" i="42"/>
  <c r="K558" i="42"/>
  <c r="O550" i="42" s="1"/>
  <c r="I568" i="42"/>
  <c r="J568" i="42"/>
  <c r="I566" i="42"/>
  <c r="J566" i="42"/>
  <c r="I567" i="42"/>
  <c r="J567" i="42"/>
  <c r="J563" i="42"/>
  <c r="I563" i="42"/>
  <c r="J565" i="42"/>
  <c r="I565" i="42"/>
  <c r="J570" i="42"/>
  <c r="I570" i="42"/>
  <c r="L558" i="42"/>
  <c r="O549" i="42" s="1"/>
  <c r="B549" i="43" l="1" a="1"/>
  <c r="D549" i="43" a="1"/>
  <c r="O551" i="42"/>
  <c r="N553" i="42" s="1"/>
  <c r="L567" i="42"/>
  <c r="K567" i="42"/>
  <c r="L563" i="42"/>
  <c r="K563" i="42"/>
  <c r="L564" i="42"/>
  <c r="K564" i="42"/>
  <c r="L566" i="42"/>
  <c r="K566" i="42"/>
  <c r="L562" i="42"/>
  <c r="K562" i="42"/>
  <c r="I571" i="42"/>
  <c r="L569" i="42"/>
  <c r="K569" i="42"/>
  <c r="L568" i="42"/>
  <c r="K568" i="42"/>
  <c r="L570" i="42"/>
  <c r="K570" i="42"/>
  <c r="L565" i="42"/>
  <c r="K565" i="42"/>
  <c r="J571" i="42"/>
  <c r="D557" i="43" l="1"/>
  <c r="G557" i="43" s="1"/>
  <c r="D553" i="43"/>
  <c r="G553" i="43" s="1"/>
  <c r="D549" i="43"/>
  <c r="G549" i="43" s="1"/>
  <c r="D554" i="43"/>
  <c r="G554" i="43" s="1"/>
  <c r="D550" i="43"/>
  <c r="G550" i="43" s="1"/>
  <c r="D551" i="43"/>
  <c r="G551" i="43" s="1"/>
  <c r="D556" i="43"/>
  <c r="G556" i="43" s="1"/>
  <c r="D555" i="43"/>
  <c r="G555" i="43" s="1"/>
  <c r="D552" i="43"/>
  <c r="G552" i="43" s="1"/>
  <c r="B557" i="43"/>
  <c r="B553" i="43"/>
  <c r="B549" i="43"/>
  <c r="B554" i="43"/>
  <c r="B550" i="43"/>
  <c r="B555" i="43"/>
  <c r="B556" i="43"/>
  <c r="B552" i="43"/>
  <c r="B551" i="43"/>
  <c r="N554" i="42"/>
  <c r="O553" i="42" s="1"/>
  <c r="O554" i="42"/>
  <c r="K571" i="42"/>
  <c r="O563" i="42" s="1"/>
  <c r="L571" i="42"/>
  <c r="O562" i="42" s="1"/>
  <c r="B562" i="43" l="1" a="1"/>
  <c r="Q549" i="42" a="1"/>
  <c r="Q556" i="42" s="1"/>
  <c r="O564" i="42"/>
  <c r="N567" i="42" s="1"/>
  <c r="O566" i="42" s="1"/>
  <c r="J554" i="43"/>
  <c r="I554" i="43"/>
  <c r="I550" i="43"/>
  <c r="J550" i="43"/>
  <c r="I552" i="43"/>
  <c r="J552" i="43"/>
  <c r="I555" i="43"/>
  <c r="J555" i="43"/>
  <c r="I553" i="43"/>
  <c r="J553" i="43"/>
  <c r="J557" i="43"/>
  <c r="I557" i="43"/>
  <c r="I551" i="43"/>
  <c r="J551" i="43"/>
  <c r="I549" i="43"/>
  <c r="J549" i="43"/>
  <c r="I556" i="43"/>
  <c r="J556" i="43"/>
  <c r="B569" i="43" l="1"/>
  <c r="G569" i="43" s="1"/>
  <c r="I569" i="43" s="1"/>
  <c r="B565" i="43"/>
  <c r="G565" i="43" s="1"/>
  <c r="J565" i="43" s="1"/>
  <c r="B570" i="43"/>
  <c r="G570" i="43" s="1"/>
  <c r="B566" i="43"/>
  <c r="G566" i="43" s="1"/>
  <c r="I566" i="43" s="1"/>
  <c r="B562" i="43"/>
  <c r="G562" i="43" s="1"/>
  <c r="J562" i="43" s="1"/>
  <c r="B567" i="43"/>
  <c r="G567" i="43" s="1"/>
  <c r="J567" i="43" s="1"/>
  <c r="B563" i="43"/>
  <c r="G563" i="43" s="1"/>
  <c r="I563" i="43" s="1"/>
  <c r="B568" i="43"/>
  <c r="G568" i="43" s="1"/>
  <c r="I568" i="43" s="1"/>
  <c r="B564" i="43"/>
  <c r="G564" i="43" s="1"/>
  <c r="I564" i="43" s="1"/>
  <c r="R550" i="42"/>
  <c r="Q553" i="42"/>
  <c r="R551" i="42"/>
  <c r="Q550" i="42"/>
  <c r="R552" i="42"/>
  <c r="Q555" i="42"/>
  <c r="Q552" i="42"/>
  <c r="R554" i="42"/>
  <c r="Q549" i="42"/>
  <c r="Q557" i="42"/>
  <c r="R555" i="42"/>
  <c r="Q554" i="42"/>
  <c r="R553" i="42"/>
  <c r="R556" i="42"/>
  <c r="Q551" i="42"/>
  <c r="R549" i="42"/>
  <c r="R557" i="42"/>
  <c r="N566" i="42"/>
  <c r="O567" i="42" s="1"/>
  <c r="Q562" i="42" s="1" a="1"/>
  <c r="K550" i="43"/>
  <c r="L550" i="43"/>
  <c r="K554" i="43"/>
  <c r="L554" i="43"/>
  <c r="L556" i="43"/>
  <c r="K556" i="43"/>
  <c r="L551" i="43"/>
  <c r="K551" i="43"/>
  <c r="K553" i="43"/>
  <c r="L553" i="43"/>
  <c r="K552" i="43"/>
  <c r="L552" i="43"/>
  <c r="I558" i="43"/>
  <c r="L549" i="43"/>
  <c r="K549" i="43"/>
  <c r="K555" i="43"/>
  <c r="L555" i="43"/>
  <c r="J558" i="43"/>
  <c r="L557" i="43"/>
  <c r="K557" i="43"/>
  <c r="J570" i="43" l="1"/>
  <c r="I570" i="43"/>
  <c r="J568" i="43"/>
  <c r="L568" i="43" s="1"/>
  <c r="J569" i="43"/>
  <c r="K569" i="43" s="1"/>
  <c r="D562" i="42" a="1"/>
  <c r="D570" i="42" s="1"/>
  <c r="C562" i="42" a="1"/>
  <c r="C564" i="42" s="1"/>
  <c r="I567" i="43"/>
  <c r="K567" i="43" s="1"/>
  <c r="J563" i="43"/>
  <c r="L563" i="43" s="1"/>
  <c r="J566" i="43"/>
  <c r="L566" i="43" s="1"/>
  <c r="J564" i="43"/>
  <c r="K564" i="43" s="1"/>
  <c r="I562" i="43"/>
  <c r="L562" i="43" s="1"/>
  <c r="I565" i="43"/>
  <c r="L565" i="43" s="1"/>
  <c r="L558" i="43"/>
  <c r="O549" i="43" s="1"/>
  <c r="K558" i="43"/>
  <c r="O550" i="43" s="1"/>
  <c r="R569" i="42"/>
  <c r="R567" i="42"/>
  <c r="R565" i="42"/>
  <c r="R563" i="42"/>
  <c r="Q569" i="42"/>
  <c r="Q567" i="42"/>
  <c r="Q565" i="42"/>
  <c r="Q563" i="42"/>
  <c r="R570" i="42"/>
  <c r="R568" i="42"/>
  <c r="R566" i="42"/>
  <c r="R564" i="42"/>
  <c r="R562" i="42"/>
  <c r="Q570" i="42"/>
  <c r="Q562" i="42"/>
  <c r="Q568" i="42"/>
  <c r="Q566" i="42"/>
  <c r="Q564" i="42"/>
  <c r="O551" i="43" l="1"/>
  <c r="L570" i="43"/>
  <c r="K570" i="43"/>
  <c r="L569" i="43"/>
  <c r="K568" i="43"/>
  <c r="L567" i="43"/>
  <c r="D563" i="42"/>
  <c r="D569" i="42"/>
  <c r="C568" i="42"/>
  <c r="C563" i="42"/>
  <c r="D564" i="42"/>
  <c r="D562" i="42"/>
  <c r="D568" i="42"/>
  <c r="D566" i="42"/>
  <c r="D567" i="42"/>
  <c r="D565" i="42"/>
  <c r="C565" i="42"/>
  <c r="C566" i="42"/>
  <c r="C567" i="42"/>
  <c r="C569" i="42"/>
  <c r="C570" i="42"/>
  <c r="C562" i="42"/>
  <c r="K563" i="43"/>
  <c r="J571" i="43"/>
  <c r="I571" i="43"/>
  <c r="K566" i="43"/>
  <c r="L564" i="43"/>
  <c r="K562" i="43"/>
  <c r="K565" i="43"/>
  <c r="A575" i="42" a="1"/>
  <c r="B575" i="42" a="1"/>
  <c r="N553" i="43" l="1"/>
  <c r="O554" i="43" s="1"/>
  <c r="N554" i="43"/>
  <c r="O553" i="43" s="1"/>
  <c r="L571" i="43"/>
  <c r="O562" i="43" s="1"/>
  <c r="D575" i="42" a="1"/>
  <c r="D582" i="42" s="1"/>
  <c r="C575" i="42" a="1"/>
  <c r="C581" i="42" s="1"/>
  <c r="G581" i="42" s="1"/>
  <c r="K571" i="43"/>
  <c r="O563" i="43" s="1"/>
  <c r="Q549" i="43" a="1"/>
  <c r="B580" i="42"/>
  <c r="B576" i="42"/>
  <c r="B583" i="42"/>
  <c r="B579" i="42"/>
  <c r="B575" i="42"/>
  <c r="B582" i="42"/>
  <c r="B578" i="42"/>
  <c r="B581" i="42"/>
  <c r="B577" i="42"/>
  <c r="A582" i="42"/>
  <c r="F582" i="42" s="1"/>
  <c r="A578" i="42"/>
  <c r="F578" i="42" s="1"/>
  <c r="A581" i="42"/>
  <c r="F581" i="42" s="1"/>
  <c r="A577" i="42"/>
  <c r="F577" i="42" s="1"/>
  <c r="A580" i="42"/>
  <c r="F580" i="42" s="1"/>
  <c r="A576" i="42"/>
  <c r="F576" i="42" s="1"/>
  <c r="A583" i="42"/>
  <c r="F583" i="42" s="1"/>
  <c r="A579" i="42"/>
  <c r="F579" i="42" s="1"/>
  <c r="A575" i="42"/>
  <c r="O564" i="43" l="1"/>
  <c r="N566" i="43" s="1"/>
  <c r="O567" i="43" s="1"/>
  <c r="D577" i="42"/>
  <c r="D580" i="42"/>
  <c r="D581" i="42"/>
  <c r="D575" i="42"/>
  <c r="D579" i="42"/>
  <c r="D583" i="42"/>
  <c r="D578" i="42"/>
  <c r="D576" i="42"/>
  <c r="C577" i="42"/>
  <c r="G577" i="42" s="1"/>
  <c r="I577" i="42" s="1"/>
  <c r="C583" i="42"/>
  <c r="G583" i="42" s="1"/>
  <c r="I583" i="42" s="1"/>
  <c r="C575" i="42"/>
  <c r="G575" i="42" s="1"/>
  <c r="C579" i="42"/>
  <c r="G579" i="42" s="1"/>
  <c r="J579" i="42" s="1"/>
  <c r="C576" i="42"/>
  <c r="G576" i="42" s="1"/>
  <c r="I576" i="42" s="1"/>
  <c r="C580" i="42"/>
  <c r="G580" i="42" s="1"/>
  <c r="I580" i="42" s="1"/>
  <c r="C578" i="42"/>
  <c r="G578" i="42" s="1"/>
  <c r="I578" i="42" s="1"/>
  <c r="C582" i="42"/>
  <c r="G582" i="42" s="1"/>
  <c r="I582" i="42" s="1"/>
  <c r="Q556" i="43"/>
  <c r="Q554" i="43"/>
  <c r="Q552" i="43"/>
  <c r="Q550" i="43"/>
  <c r="R555" i="43"/>
  <c r="Q553" i="43"/>
  <c r="R550" i="43"/>
  <c r="R556" i="43"/>
  <c r="R553" i="43"/>
  <c r="Q551" i="43"/>
  <c r="Q555" i="43"/>
  <c r="R549" i="43"/>
  <c r="Q557" i="43"/>
  <c r="R551" i="43"/>
  <c r="R557" i="43"/>
  <c r="Q549" i="43"/>
  <c r="R554" i="43"/>
  <c r="R552" i="43"/>
  <c r="B585" i="42"/>
  <c r="F575" i="42"/>
  <c r="I581" i="42"/>
  <c r="J581" i="42"/>
  <c r="B588" i="42" a="1"/>
  <c r="N567" i="43" l="1"/>
  <c r="O566" i="43" s="1"/>
  <c r="Q562" i="43" s="1" a="1"/>
  <c r="R568" i="43" s="1"/>
  <c r="C562" i="43" a="1"/>
  <c r="D562" i="43" a="1"/>
  <c r="D588" i="42" a="1"/>
  <c r="D594" i="42" s="1"/>
  <c r="G594" i="42" s="1"/>
  <c r="J577" i="42"/>
  <c r="K577" i="42" s="1"/>
  <c r="J582" i="42"/>
  <c r="L582" i="42" s="1"/>
  <c r="I579" i="42"/>
  <c r="K579" i="42" s="1"/>
  <c r="J578" i="42"/>
  <c r="K578" i="42" s="1"/>
  <c r="J576" i="42"/>
  <c r="K576" i="42" s="1"/>
  <c r="J580" i="42"/>
  <c r="K580" i="42" s="1"/>
  <c r="J583" i="42"/>
  <c r="L583" i="42" s="1"/>
  <c r="B594" i="42"/>
  <c r="B590" i="42"/>
  <c r="B593" i="42"/>
  <c r="B589" i="42"/>
  <c r="B596" i="42"/>
  <c r="B592" i="42"/>
  <c r="B588" i="42"/>
  <c r="B595" i="42"/>
  <c r="B591" i="42"/>
  <c r="J575" i="42"/>
  <c r="I575" i="42"/>
  <c r="L581" i="42"/>
  <c r="K581" i="42"/>
  <c r="L577" i="42" l="1"/>
  <c r="D588" i="42"/>
  <c r="G588" i="42" s="1"/>
  <c r="Q568" i="43"/>
  <c r="R565" i="43"/>
  <c r="Q564" i="43"/>
  <c r="R564" i="43"/>
  <c r="D569" i="43"/>
  <c r="D565" i="43"/>
  <c r="D570" i="43"/>
  <c r="D566" i="43"/>
  <c r="D562" i="43"/>
  <c r="D563" i="43"/>
  <c r="D564" i="43"/>
  <c r="D568" i="43"/>
  <c r="D567" i="43"/>
  <c r="Q563" i="43"/>
  <c r="R567" i="43"/>
  <c r="Q569" i="43"/>
  <c r="R562" i="43"/>
  <c r="R570" i="43"/>
  <c r="Q565" i="43"/>
  <c r="R563" i="43"/>
  <c r="Q567" i="43"/>
  <c r="R566" i="43"/>
  <c r="Q570" i="43"/>
  <c r="Q562" i="43"/>
  <c r="Q566" i="43"/>
  <c r="R569" i="43"/>
  <c r="C567" i="43"/>
  <c r="C563" i="43"/>
  <c r="C568" i="43"/>
  <c r="C564" i="43"/>
  <c r="C565" i="43"/>
  <c r="C562" i="43"/>
  <c r="C570" i="43"/>
  <c r="C569" i="43"/>
  <c r="C566" i="43"/>
  <c r="D589" i="42"/>
  <c r="G589" i="42" s="1"/>
  <c r="D593" i="42"/>
  <c r="G593" i="42" s="1"/>
  <c r="D595" i="42"/>
  <c r="G595" i="42" s="1"/>
  <c r="D592" i="42"/>
  <c r="G592" i="42" s="1"/>
  <c r="D590" i="42"/>
  <c r="G590" i="42" s="1"/>
  <c r="D591" i="42"/>
  <c r="G591" i="42" s="1"/>
  <c r="D596" i="42"/>
  <c r="G596" i="42" s="1"/>
  <c r="K582" i="42"/>
  <c r="L576" i="42"/>
  <c r="L579" i="42"/>
  <c r="L578" i="42"/>
  <c r="L580" i="42"/>
  <c r="K583" i="42"/>
  <c r="J584" i="42"/>
  <c r="B601" i="42" a="1"/>
  <c r="I584" i="42"/>
  <c r="K575" i="42"/>
  <c r="L575" i="42"/>
  <c r="B575" i="43" l="1" a="1"/>
  <c r="B581" i="43" s="1"/>
  <c r="C575" i="43" a="1"/>
  <c r="A575" i="43" a="1"/>
  <c r="D575" i="43" a="1"/>
  <c r="K584" i="42"/>
  <c r="O576" i="42" s="1"/>
  <c r="L584" i="42"/>
  <c r="O575" i="42" s="1"/>
  <c r="B608" i="42"/>
  <c r="F608" i="42" s="1"/>
  <c r="B604" i="42"/>
  <c r="F604" i="42" s="1"/>
  <c r="B607" i="42"/>
  <c r="F607" i="42" s="1"/>
  <c r="B603" i="42"/>
  <c r="F603" i="42" s="1"/>
  <c r="B606" i="42"/>
  <c r="F606" i="42" s="1"/>
  <c r="B602" i="42"/>
  <c r="F602" i="42" s="1"/>
  <c r="B609" i="42"/>
  <c r="F609" i="42" s="1"/>
  <c r="B605" i="42"/>
  <c r="F605" i="42" s="1"/>
  <c r="B601" i="42"/>
  <c r="F601" i="42" s="1"/>
  <c r="B575" i="43" l="1"/>
  <c r="B576" i="43"/>
  <c r="B578" i="43"/>
  <c r="B583" i="43"/>
  <c r="B582" i="43"/>
  <c r="B577" i="43"/>
  <c r="B580" i="43"/>
  <c r="B579" i="43"/>
  <c r="A583" i="43"/>
  <c r="F583" i="43" s="1"/>
  <c r="A579" i="43"/>
  <c r="F579" i="43" s="1"/>
  <c r="A575" i="43"/>
  <c r="A580" i="43"/>
  <c r="F580" i="43" s="1"/>
  <c r="A576" i="43"/>
  <c r="F576" i="43" s="1"/>
  <c r="A581" i="43"/>
  <c r="F581" i="43" s="1"/>
  <c r="A577" i="43"/>
  <c r="F577" i="43" s="1"/>
  <c r="A582" i="43"/>
  <c r="F582" i="43" s="1"/>
  <c r="A578" i="43"/>
  <c r="F578" i="43" s="1"/>
  <c r="D581" i="43"/>
  <c r="D577" i="43"/>
  <c r="D582" i="43"/>
  <c r="D578" i="43"/>
  <c r="D583" i="43"/>
  <c r="D575" i="43"/>
  <c r="D579" i="43"/>
  <c r="D576" i="43"/>
  <c r="D580" i="43"/>
  <c r="C583" i="43"/>
  <c r="G583" i="43" s="1"/>
  <c r="C579" i="43"/>
  <c r="C575" i="43"/>
  <c r="C580" i="43"/>
  <c r="G580" i="43" s="1"/>
  <c r="C576" i="43"/>
  <c r="G576" i="43" s="1"/>
  <c r="C577" i="43"/>
  <c r="G577" i="43" s="1"/>
  <c r="C578" i="43"/>
  <c r="G578" i="43" s="1"/>
  <c r="C582" i="43"/>
  <c r="G582" i="43" s="1"/>
  <c r="C581" i="43"/>
  <c r="G581" i="43" s="1"/>
  <c r="G579" i="43"/>
  <c r="G575" i="43"/>
  <c r="O577" i="42"/>
  <c r="B588" i="43" l="1" a="1"/>
  <c r="B593" i="43" s="1"/>
  <c r="I579" i="43"/>
  <c r="I576" i="43"/>
  <c r="J583" i="43"/>
  <c r="I578" i="43"/>
  <c r="J582" i="43"/>
  <c r="D588" i="43" a="1"/>
  <c r="D594" i="43" s="1"/>
  <c r="J580" i="43"/>
  <c r="B585" i="43"/>
  <c r="I577" i="43"/>
  <c r="F575" i="43"/>
  <c r="I575" i="43" s="1"/>
  <c r="J581" i="43"/>
  <c r="I580" i="43"/>
  <c r="J578" i="43"/>
  <c r="I581" i="43"/>
  <c r="J579" i="43"/>
  <c r="I583" i="43"/>
  <c r="J577" i="43"/>
  <c r="J576" i="43"/>
  <c r="I582" i="43"/>
  <c r="N580" i="42"/>
  <c r="O579" i="42" s="1"/>
  <c r="N579" i="42"/>
  <c r="B590" i="43" l="1"/>
  <c r="K576" i="43"/>
  <c r="K579" i="43"/>
  <c r="B596" i="43"/>
  <c r="B588" i="43"/>
  <c r="B594" i="43"/>
  <c r="B592" i="43"/>
  <c r="B589" i="43"/>
  <c r="B595" i="43"/>
  <c r="B591" i="43"/>
  <c r="K581" i="43"/>
  <c r="D590" i="43"/>
  <c r="G590" i="43" s="1"/>
  <c r="L580" i="43"/>
  <c r="L578" i="43"/>
  <c r="K583" i="43"/>
  <c r="D596" i="43"/>
  <c r="G596" i="43" s="1"/>
  <c r="D592" i="43"/>
  <c r="G592" i="43" s="1"/>
  <c r="D589" i="43"/>
  <c r="G589" i="43" s="1"/>
  <c r="K577" i="43"/>
  <c r="D588" i="43"/>
  <c r="G588" i="43" s="1"/>
  <c r="D595" i="43"/>
  <c r="G595" i="43" s="1"/>
  <c r="D593" i="43"/>
  <c r="G593" i="43" s="1"/>
  <c r="D591" i="43"/>
  <c r="G591" i="43" s="1"/>
  <c r="J575" i="43"/>
  <c r="J584" i="43" s="1"/>
  <c r="L583" i="43"/>
  <c r="L581" i="43"/>
  <c r="L579" i="43"/>
  <c r="K580" i="43"/>
  <c r="L577" i="43"/>
  <c r="K578" i="43"/>
  <c r="L582" i="43"/>
  <c r="K582" i="43"/>
  <c r="L576" i="43"/>
  <c r="G594" i="43"/>
  <c r="I584" i="43"/>
  <c r="O580" i="42"/>
  <c r="Q575" i="42" s="1" a="1"/>
  <c r="B601" i="43" l="1" a="1"/>
  <c r="B606" i="43" s="1"/>
  <c r="F606" i="43" s="1"/>
  <c r="K575" i="43"/>
  <c r="K584" i="43" s="1"/>
  <c r="O576" i="43" s="1"/>
  <c r="L575" i="43"/>
  <c r="L584" i="43" s="1"/>
  <c r="O575" i="43" s="1"/>
  <c r="Q583" i="42"/>
  <c r="Q581" i="42"/>
  <c r="Q579" i="42"/>
  <c r="Q577" i="42"/>
  <c r="Q575" i="42"/>
  <c r="R582" i="42"/>
  <c r="R580" i="42"/>
  <c r="R578" i="42"/>
  <c r="R576" i="42"/>
  <c r="Q582" i="42"/>
  <c r="Q580" i="42"/>
  <c r="Q578" i="42"/>
  <c r="Q576" i="42"/>
  <c r="R579" i="42"/>
  <c r="R577" i="42"/>
  <c r="R583" i="42"/>
  <c r="R575" i="42"/>
  <c r="R581" i="42"/>
  <c r="O577" i="43" l="1"/>
  <c r="N580" i="43" s="1"/>
  <c r="O579" i="43" s="1"/>
  <c r="B603" i="43"/>
  <c r="F603" i="43" s="1"/>
  <c r="B604" i="43"/>
  <c r="F604" i="43" s="1"/>
  <c r="B601" i="43"/>
  <c r="F601" i="43" s="1"/>
  <c r="B609" i="43"/>
  <c r="F609" i="43" s="1"/>
  <c r="B602" i="43"/>
  <c r="F602" i="43" s="1"/>
  <c r="B605" i="43"/>
  <c r="F605" i="43" s="1"/>
  <c r="B608" i="43"/>
  <c r="F608" i="43" s="1"/>
  <c r="B607" i="43"/>
  <c r="F607" i="43" s="1"/>
  <c r="C588" i="42" a="1"/>
  <c r="A588" i="42" a="1"/>
  <c r="N579" i="43" l="1"/>
  <c r="O580" i="43" s="1"/>
  <c r="Q575" i="43" a="1"/>
  <c r="C596" i="42"/>
  <c r="C592" i="42"/>
  <c r="C588" i="42"/>
  <c r="C595" i="42"/>
  <c r="C591" i="42"/>
  <c r="C594" i="42"/>
  <c r="C590" i="42"/>
  <c r="C589" i="42"/>
  <c r="C593" i="42"/>
  <c r="A596" i="42"/>
  <c r="F596" i="42" s="1"/>
  <c r="A592" i="42"/>
  <c r="F592" i="42" s="1"/>
  <c r="A588" i="42"/>
  <c r="A595" i="42"/>
  <c r="F595" i="42" s="1"/>
  <c r="A591" i="42"/>
  <c r="F591" i="42" s="1"/>
  <c r="A594" i="42"/>
  <c r="F594" i="42" s="1"/>
  <c r="A590" i="42"/>
  <c r="F590" i="42" s="1"/>
  <c r="A593" i="42"/>
  <c r="F593" i="42" s="1"/>
  <c r="A589" i="42"/>
  <c r="F589" i="42" s="1"/>
  <c r="Q582" i="43" l="1"/>
  <c r="Q580" i="43"/>
  <c r="Q578" i="43"/>
  <c r="Q576" i="43"/>
  <c r="R582" i="43"/>
  <c r="R579" i="43"/>
  <c r="Q577" i="43"/>
  <c r="R581" i="43"/>
  <c r="Q579" i="43"/>
  <c r="R576" i="43"/>
  <c r="Q581" i="43"/>
  <c r="R575" i="43"/>
  <c r="Q583" i="43"/>
  <c r="R577" i="43"/>
  <c r="R583" i="43"/>
  <c r="Q575" i="43"/>
  <c r="R580" i="43"/>
  <c r="R578" i="43"/>
  <c r="J590" i="42"/>
  <c r="I590" i="42"/>
  <c r="B598" i="42"/>
  <c r="F588" i="42"/>
  <c r="J594" i="42"/>
  <c r="I594" i="42"/>
  <c r="J592" i="42"/>
  <c r="I592" i="42"/>
  <c r="C601" i="42" a="1"/>
  <c r="J589" i="42"/>
  <c r="I589" i="42"/>
  <c r="J591" i="42"/>
  <c r="I591" i="42"/>
  <c r="J596" i="42"/>
  <c r="I596" i="42"/>
  <c r="J593" i="42"/>
  <c r="I593" i="42"/>
  <c r="J595" i="42"/>
  <c r="I595" i="42"/>
  <c r="A588" i="43" l="1" a="1"/>
  <c r="A596" i="43" s="1"/>
  <c r="C588" i="43" a="1"/>
  <c r="C596" i="43" s="1"/>
  <c r="L592" i="42"/>
  <c r="K592" i="42"/>
  <c r="J588" i="42"/>
  <c r="J597" i="42" s="1"/>
  <c r="I588" i="42"/>
  <c r="L595" i="42"/>
  <c r="K595" i="42"/>
  <c r="L596" i="42"/>
  <c r="K596" i="42"/>
  <c r="L589" i="42"/>
  <c r="K589" i="42"/>
  <c r="L594" i="42"/>
  <c r="K594" i="42"/>
  <c r="K590" i="42"/>
  <c r="L590" i="42"/>
  <c r="L593" i="42"/>
  <c r="K593" i="42"/>
  <c r="L591" i="42"/>
  <c r="K591" i="42"/>
  <c r="C606" i="42"/>
  <c r="G606" i="42" s="1"/>
  <c r="C602" i="42"/>
  <c r="G602" i="42" s="1"/>
  <c r="C609" i="42"/>
  <c r="G609" i="42" s="1"/>
  <c r="C605" i="42"/>
  <c r="G605" i="42" s="1"/>
  <c r="C601" i="42"/>
  <c r="G601" i="42" s="1"/>
  <c r="C608" i="42"/>
  <c r="G608" i="42" s="1"/>
  <c r="C604" i="42"/>
  <c r="G604" i="42" s="1"/>
  <c r="C607" i="42"/>
  <c r="G607" i="42" s="1"/>
  <c r="C603" i="42"/>
  <c r="G603" i="42" s="1"/>
  <c r="A592" i="43" l="1"/>
  <c r="C592" i="43"/>
  <c r="A594" i="43"/>
  <c r="F594" i="43" s="1"/>
  <c r="J594" i="43" s="1"/>
  <c r="A595" i="43"/>
  <c r="F595" i="43" s="1"/>
  <c r="I595" i="43" s="1"/>
  <c r="A589" i="43"/>
  <c r="F589" i="43" s="1"/>
  <c r="J589" i="43" s="1"/>
  <c r="A588" i="43"/>
  <c r="F588" i="43" s="1"/>
  <c r="A593" i="43"/>
  <c r="F593" i="43" s="1"/>
  <c r="J593" i="43" s="1"/>
  <c r="C590" i="43"/>
  <c r="A590" i="43"/>
  <c r="F590" i="43" s="1"/>
  <c r="J590" i="43" s="1"/>
  <c r="A591" i="43"/>
  <c r="F591" i="43" s="1"/>
  <c r="I591" i="43" s="1"/>
  <c r="C589" i="43"/>
  <c r="C591" i="43"/>
  <c r="C594" i="43"/>
  <c r="C588" i="43"/>
  <c r="C595" i="43"/>
  <c r="C593" i="43"/>
  <c r="F592" i="43"/>
  <c r="I592" i="43" s="1"/>
  <c r="F596" i="43"/>
  <c r="I596" i="43" s="1"/>
  <c r="I601" i="42"/>
  <c r="J601" i="42"/>
  <c r="J607" i="42"/>
  <c r="I607" i="42"/>
  <c r="I605" i="42"/>
  <c r="J605" i="42"/>
  <c r="J603" i="42"/>
  <c r="I603" i="42"/>
  <c r="I606" i="42"/>
  <c r="J606" i="42"/>
  <c r="I604" i="42"/>
  <c r="J604" i="42"/>
  <c r="I609" i="42"/>
  <c r="J609" i="42"/>
  <c r="J608" i="42"/>
  <c r="I608" i="42"/>
  <c r="J602" i="42"/>
  <c r="I602" i="42"/>
  <c r="L588" i="42"/>
  <c r="L597" i="42" s="1"/>
  <c r="I597" i="42"/>
  <c r="K588" i="42"/>
  <c r="K597" i="42" s="1"/>
  <c r="O588" i="42" l="1"/>
  <c r="J595" i="43"/>
  <c r="L595" i="43" s="1"/>
  <c r="C601" i="43" a="1"/>
  <c r="C607" i="43" s="1"/>
  <c r="J591" i="43"/>
  <c r="L591" i="43" s="1"/>
  <c r="B598" i="43"/>
  <c r="J592" i="43"/>
  <c r="K592" i="43" s="1"/>
  <c r="I590" i="43"/>
  <c r="L590" i="43" s="1"/>
  <c r="I593" i="43"/>
  <c r="L593" i="43" s="1"/>
  <c r="J596" i="43"/>
  <c r="L596" i="43" s="1"/>
  <c r="I589" i="43"/>
  <c r="K589" i="43" s="1"/>
  <c r="I594" i="43"/>
  <c r="L594" i="43" s="1"/>
  <c r="J588" i="43"/>
  <c r="I588" i="43"/>
  <c r="L608" i="42"/>
  <c r="K608" i="42"/>
  <c r="L603" i="42"/>
  <c r="K603" i="42"/>
  <c r="K607" i="42"/>
  <c r="L607" i="42"/>
  <c r="L604" i="42"/>
  <c r="K604" i="42"/>
  <c r="K602" i="42"/>
  <c r="L602" i="42"/>
  <c r="J610" i="42"/>
  <c r="O589" i="42"/>
  <c r="K609" i="42"/>
  <c r="L609" i="42"/>
  <c r="K606" i="42"/>
  <c r="L606" i="42"/>
  <c r="K605" i="42"/>
  <c r="L605" i="42"/>
  <c r="L601" i="42"/>
  <c r="I610" i="42"/>
  <c r="K601" i="42"/>
  <c r="K595" i="43" l="1"/>
  <c r="C605" i="43"/>
  <c r="C601" i="43"/>
  <c r="G601" i="43" s="1"/>
  <c r="C608" i="43"/>
  <c r="G608" i="43" s="1"/>
  <c r="C602" i="43"/>
  <c r="G602" i="43" s="1"/>
  <c r="C604" i="43"/>
  <c r="G604" i="43" s="1"/>
  <c r="C606" i="43"/>
  <c r="G606" i="43" s="1"/>
  <c r="C603" i="43"/>
  <c r="G603" i="43" s="1"/>
  <c r="K591" i="43"/>
  <c r="C609" i="43"/>
  <c r="G609" i="43" s="1"/>
  <c r="L592" i="43"/>
  <c r="K590" i="43"/>
  <c r="J597" i="43"/>
  <c r="K596" i="43"/>
  <c r="L589" i="43"/>
  <c r="K593" i="43"/>
  <c r="K594" i="43"/>
  <c r="K610" i="42"/>
  <c r="I597" i="43"/>
  <c r="L588" i="43"/>
  <c r="K588" i="43"/>
  <c r="G605" i="43"/>
  <c r="G607" i="43"/>
  <c r="L610" i="42"/>
  <c r="O590" i="42"/>
  <c r="L597" i="43" l="1"/>
  <c r="O588" i="43" s="1"/>
  <c r="K597" i="43"/>
  <c r="O589" i="43" s="1"/>
  <c r="I602" i="43"/>
  <c r="J602" i="43"/>
  <c r="I606" i="43"/>
  <c r="J606" i="43"/>
  <c r="J607" i="43"/>
  <c r="I607" i="43"/>
  <c r="J605" i="43"/>
  <c r="I605" i="43"/>
  <c r="J608" i="43"/>
  <c r="I608" i="43"/>
  <c r="J603" i="43"/>
  <c r="I603" i="43"/>
  <c r="I601" i="43"/>
  <c r="J601" i="43"/>
  <c r="J609" i="43"/>
  <c r="I609" i="43"/>
  <c r="J604" i="43"/>
  <c r="I604" i="43"/>
  <c r="N593" i="42"/>
  <c r="O592" i="42" s="1"/>
  <c r="N592" i="42"/>
  <c r="O590" i="43" l="1"/>
  <c r="L606" i="43"/>
  <c r="K606" i="43"/>
  <c r="J610" i="43"/>
  <c r="K608" i="43"/>
  <c r="L608" i="43"/>
  <c r="K607" i="43"/>
  <c r="L607" i="43"/>
  <c r="L603" i="43"/>
  <c r="K603" i="43"/>
  <c r="K605" i="43"/>
  <c r="L605" i="43"/>
  <c r="K604" i="43"/>
  <c r="L604" i="43"/>
  <c r="K609" i="43"/>
  <c r="L609" i="43"/>
  <c r="I610" i="43"/>
  <c r="K601" i="43"/>
  <c r="L601" i="43"/>
  <c r="L602" i="43"/>
  <c r="K602" i="43"/>
  <c r="O593" i="42"/>
  <c r="Q588" i="42" s="1" a="1"/>
  <c r="N593" i="43" l="1"/>
  <c r="O592" i="43" s="1"/>
  <c r="N592" i="43"/>
  <c r="O593" i="43" s="1"/>
  <c r="K610" i="43"/>
  <c r="L610" i="43"/>
  <c r="R596" i="42"/>
  <c r="R594" i="42"/>
  <c r="R592" i="42"/>
  <c r="R590" i="42"/>
  <c r="R588" i="42"/>
  <c r="Q596" i="42"/>
  <c r="Q594" i="42"/>
  <c r="Q592" i="42"/>
  <c r="Q590" i="42"/>
  <c r="Q588" i="42"/>
  <c r="R595" i="42"/>
  <c r="R593" i="42"/>
  <c r="R591" i="42"/>
  <c r="R589" i="42"/>
  <c r="Q591" i="42"/>
  <c r="Q589" i="42"/>
  <c r="Q595" i="42"/>
  <c r="Q593" i="42"/>
  <c r="Q588" i="43" l="1" a="1"/>
  <c r="R595" i="43" s="1"/>
  <c r="A601" i="42" a="1"/>
  <c r="D601" i="42" a="1"/>
  <c r="Q588" i="43" l="1"/>
  <c r="R594" i="43"/>
  <c r="Q591" i="43"/>
  <c r="Q590" i="43"/>
  <c r="Q594" i="43"/>
  <c r="R596" i="43"/>
  <c r="R589" i="43"/>
  <c r="R590" i="43"/>
  <c r="Q589" i="43"/>
  <c r="R591" i="43"/>
  <c r="Q596" i="43"/>
  <c r="R592" i="43"/>
  <c r="R593" i="43"/>
  <c r="R588" i="43"/>
  <c r="Q593" i="43"/>
  <c r="Q592" i="43"/>
  <c r="Q595" i="43"/>
  <c r="D608" i="42"/>
  <c r="D604" i="42"/>
  <c r="D607" i="42"/>
  <c r="D603" i="42"/>
  <c r="D606" i="42"/>
  <c r="D602" i="42"/>
  <c r="D605" i="42"/>
  <c r="D601" i="42"/>
  <c r="D609" i="42"/>
  <c r="A606" i="42"/>
  <c r="A602" i="42"/>
  <c r="A609" i="42"/>
  <c r="A605" i="42"/>
  <c r="A601" i="42"/>
  <c r="A608" i="42"/>
  <c r="A604" i="42"/>
  <c r="A603" i="42"/>
  <c r="A607" i="42"/>
  <c r="A601" i="43" l="1" a="1"/>
  <c r="D601" i="43" a="1"/>
  <c r="D614" i="42" a="1"/>
  <c r="D614" i="42" s="1"/>
  <c r="G614" i="42" s="1"/>
  <c r="B611" i="42"/>
  <c r="O601" i="42" s="1"/>
  <c r="A614" i="42" a="1"/>
  <c r="A607" i="43" l="1"/>
  <c r="A603" i="43"/>
  <c r="A608" i="43"/>
  <c r="A604" i="43"/>
  <c r="A605" i="43"/>
  <c r="A606" i="43"/>
  <c r="A602" i="43"/>
  <c r="A601" i="43"/>
  <c r="A609" i="43"/>
  <c r="D609" i="43"/>
  <c r="D605" i="43"/>
  <c r="D601" i="43"/>
  <c r="D606" i="43"/>
  <c r="D602" i="43"/>
  <c r="D607" i="43"/>
  <c r="D608" i="43"/>
  <c r="D604" i="43"/>
  <c r="D603" i="43"/>
  <c r="D620" i="42"/>
  <c r="G620" i="42" s="1"/>
  <c r="D618" i="42"/>
  <c r="G618" i="42" s="1"/>
  <c r="D615" i="42"/>
  <c r="G615" i="42" s="1"/>
  <c r="D617" i="42"/>
  <c r="G617" i="42" s="1"/>
  <c r="D622" i="42"/>
  <c r="G622" i="42" s="1"/>
  <c r="D619" i="42"/>
  <c r="G619" i="42" s="1"/>
  <c r="D621" i="42"/>
  <c r="G621" i="42" s="1"/>
  <c r="D616" i="42"/>
  <c r="G616" i="42" s="1"/>
  <c r="A620" i="42"/>
  <c r="A616" i="42"/>
  <c r="A619" i="42"/>
  <c r="A615" i="42"/>
  <c r="A622" i="42"/>
  <c r="A618" i="42"/>
  <c r="A614" i="42"/>
  <c r="A621" i="42"/>
  <c r="A617" i="42"/>
  <c r="O602" i="42"/>
  <c r="D614" i="43" l="1" a="1"/>
  <c r="D620" i="43" s="1"/>
  <c r="G620" i="43" s="1"/>
  <c r="B611" i="43"/>
  <c r="A614" i="43" a="1"/>
  <c r="O603" i="42"/>
  <c r="N606" i="42" s="1"/>
  <c r="O605" i="42" s="1"/>
  <c r="B624" i="42"/>
  <c r="A627" i="42" a="1"/>
  <c r="O602" i="43" l="1"/>
  <c r="O601" i="43"/>
  <c r="D614" i="43"/>
  <c r="G614" i="43" s="1"/>
  <c r="D615" i="43"/>
  <c r="G615" i="43" s="1"/>
  <c r="D618" i="43"/>
  <c r="G618" i="43" s="1"/>
  <c r="D616" i="43"/>
  <c r="G616" i="43" s="1"/>
  <c r="D622" i="43"/>
  <c r="G622" i="43" s="1"/>
  <c r="D621" i="43"/>
  <c r="G621" i="43" s="1"/>
  <c r="D619" i="43"/>
  <c r="G619" i="43" s="1"/>
  <c r="D617" i="43"/>
  <c r="G617" i="43" s="1"/>
  <c r="A619" i="43"/>
  <c r="A615" i="43"/>
  <c r="A620" i="43"/>
  <c r="A616" i="43"/>
  <c r="A617" i="43"/>
  <c r="A621" i="43"/>
  <c r="A618" i="43"/>
  <c r="A614" i="43"/>
  <c r="A622" i="43"/>
  <c r="N605" i="42"/>
  <c r="O606" i="42" s="1"/>
  <c r="A634" i="42"/>
  <c r="A630" i="42"/>
  <c r="A633" i="42"/>
  <c r="A629" i="42"/>
  <c r="A632" i="42"/>
  <c r="A628" i="42"/>
  <c r="A631" i="42"/>
  <c r="A627" i="42"/>
  <c r="A635" i="42"/>
  <c r="O603" i="43" l="1"/>
  <c r="N605" i="43" s="1"/>
  <c r="O606" i="43" s="1"/>
  <c r="B624" i="43"/>
  <c r="A627" i="43" a="1"/>
  <c r="Q601" i="42" a="1"/>
  <c r="Q606" i="42" s="1"/>
  <c r="A640" i="42" a="1"/>
  <c r="B637" i="42"/>
  <c r="N606" i="43" l="1"/>
  <c r="O605" i="43" s="1"/>
  <c r="Q601" i="43" s="1" a="1"/>
  <c r="A633" i="43"/>
  <c r="A629" i="43"/>
  <c r="A632" i="43"/>
  <c r="A627" i="43"/>
  <c r="A634" i="43"/>
  <c r="A628" i="43"/>
  <c r="A630" i="43"/>
  <c r="A635" i="43"/>
  <c r="A631" i="43"/>
  <c r="R606" i="42"/>
  <c r="Q603" i="42"/>
  <c r="R601" i="42"/>
  <c r="R609" i="42"/>
  <c r="Q608" i="42"/>
  <c r="R608" i="42"/>
  <c r="Q605" i="42"/>
  <c r="R603" i="42"/>
  <c r="Q602" i="42"/>
  <c r="R602" i="42"/>
  <c r="Q607" i="42"/>
  <c r="R605" i="42"/>
  <c r="Q604" i="42"/>
  <c r="R604" i="42"/>
  <c r="Q601" i="42"/>
  <c r="Q609" i="42"/>
  <c r="R607" i="42"/>
  <c r="A646" i="42"/>
  <c r="F646" i="42" s="1"/>
  <c r="A642" i="42"/>
  <c r="F642" i="42" s="1"/>
  <c r="A644" i="42"/>
  <c r="F644" i="42" s="1"/>
  <c r="A648" i="42"/>
  <c r="F648" i="42" s="1"/>
  <c r="A643" i="42"/>
  <c r="F643" i="42" s="1"/>
  <c r="A647" i="42"/>
  <c r="F647" i="42" s="1"/>
  <c r="A641" i="42"/>
  <c r="F641" i="42" s="1"/>
  <c r="A640" i="42"/>
  <c r="A645" i="42"/>
  <c r="F645" i="42" s="1"/>
  <c r="B637" i="43" l="1"/>
  <c r="A640" i="43" a="1"/>
  <c r="B614" i="42" a="1"/>
  <c r="B621" i="42" s="1"/>
  <c r="F621" i="42" s="1"/>
  <c r="I621" i="42" s="1"/>
  <c r="C614" i="42" a="1"/>
  <c r="C618" i="42" s="1"/>
  <c r="Q609" i="43"/>
  <c r="Q607" i="43"/>
  <c r="Q605" i="43"/>
  <c r="Q603" i="43"/>
  <c r="Q601" i="43"/>
  <c r="R608" i="43"/>
  <c r="Q606" i="43"/>
  <c r="R603" i="43"/>
  <c r="Q608" i="43"/>
  <c r="R605" i="43"/>
  <c r="R602" i="43"/>
  <c r="R607" i="43"/>
  <c r="Q602" i="43"/>
  <c r="R609" i="43"/>
  <c r="Q604" i="43"/>
  <c r="R601" i="43"/>
  <c r="R606" i="43"/>
  <c r="R604" i="43"/>
  <c r="B650" i="42"/>
  <c r="F640" i="42"/>
  <c r="C614" i="43" l="1" a="1"/>
  <c r="C614" i="43" s="1"/>
  <c r="A645" i="43"/>
  <c r="F645" i="43" s="1"/>
  <c r="A641" i="43"/>
  <c r="F641" i="43" s="1"/>
  <c r="A647" i="43"/>
  <c r="F647" i="43" s="1"/>
  <c r="A642" i="43"/>
  <c r="F642" i="43" s="1"/>
  <c r="A648" i="43"/>
  <c r="F648" i="43" s="1"/>
  <c r="A643" i="43"/>
  <c r="F643" i="43" s="1"/>
  <c r="A644" i="43"/>
  <c r="F644" i="43" s="1"/>
  <c r="A646" i="43"/>
  <c r="F646" i="43" s="1"/>
  <c r="A640" i="43"/>
  <c r="F640" i="43" s="1"/>
  <c r="B614" i="43" a="1"/>
  <c r="J621" i="42"/>
  <c r="K621" i="42" s="1"/>
  <c r="C614" i="42"/>
  <c r="C615" i="42"/>
  <c r="C621" i="42"/>
  <c r="C619" i="42"/>
  <c r="C616" i="42"/>
  <c r="C617" i="42"/>
  <c r="C622" i="42"/>
  <c r="C620" i="42"/>
  <c r="B617" i="42"/>
  <c r="F617" i="42" s="1"/>
  <c r="J617" i="42" s="1"/>
  <c r="B614" i="42"/>
  <c r="F614" i="42" s="1"/>
  <c r="I614" i="42" s="1"/>
  <c r="B619" i="42"/>
  <c r="F619" i="42" s="1"/>
  <c r="J619" i="42" s="1"/>
  <c r="B616" i="42"/>
  <c r="F616" i="42" s="1"/>
  <c r="I616" i="42" s="1"/>
  <c r="B615" i="42"/>
  <c r="F615" i="42" s="1"/>
  <c r="J615" i="42" s="1"/>
  <c r="B618" i="42"/>
  <c r="F618" i="42" s="1"/>
  <c r="J618" i="42" s="1"/>
  <c r="B622" i="42"/>
  <c r="F622" i="42" s="1"/>
  <c r="I622" i="42" s="1"/>
  <c r="B620" i="42"/>
  <c r="F620" i="42" s="1"/>
  <c r="J620" i="42" s="1"/>
  <c r="C619" i="43" l="1"/>
  <c r="C616" i="43"/>
  <c r="C615" i="43"/>
  <c r="C617" i="43"/>
  <c r="C618" i="43"/>
  <c r="C620" i="43"/>
  <c r="C621" i="43"/>
  <c r="C622" i="43"/>
  <c r="B619" i="43"/>
  <c r="F619" i="43" s="1"/>
  <c r="B615" i="43"/>
  <c r="F615" i="43" s="1"/>
  <c r="B618" i="43"/>
  <c r="F618" i="43" s="1"/>
  <c r="B620" i="43"/>
  <c r="F620" i="43" s="1"/>
  <c r="B614" i="43"/>
  <c r="F614" i="43" s="1"/>
  <c r="B616" i="43"/>
  <c r="F616" i="43" s="1"/>
  <c r="B622" i="43"/>
  <c r="F622" i="43" s="1"/>
  <c r="B621" i="43"/>
  <c r="F621" i="43" s="1"/>
  <c r="B617" i="43"/>
  <c r="F617" i="43" s="1"/>
  <c r="B650" i="43"/>
  <c r="L621" i="42"/>
  <c r="C627" i="42" a="1"/>
  <c r="C629" i="42" s="1"/>
  <c r="F629" i="42" s="1"/>
  <c r="I619" i="42"/>
  <c r="L619" i="42" s="1"/>
  <c r="I618" i="42"/>
  <c r="K618" i="42" s="1"/>
  <c r="I615" i="42"/>
  <c r="L615" i="42" s="1"/>
  <c r="J614" i="42"/>
  <c r="K614" i="42" s="1"/>
  <c r="I617" i="42"/>
  <c r="I620" i="42"/>
  <c r="K620" i="42" s="1"/>
  <c r="J622" i="42"/>
  <c r="L622" i="42" s="1"/>
  <c r="J616" i="42"/>
  <c r="K616" i="42" s="1"/>
  <c r="K619" i="42" l="1"/>
  <c r="C627" i="43" a="1"/>
  <c r="C633" i="43" s="1"/>
  <c r="C633" i="42"/>
  <c r="F633" i="42" s="1"/>
  <c r="C630" i="42"/>
  <c r="F630" i="42" s="1"/>
  <c r="C627" i="42"/>
  <c r="F627" i="42" s="1"/>
  <c r="C628" i="42"/>
  <c r="F628" i="42" s="1"/>
  <c r="C631" i="42"/>
  <c r="F631" i="42" s="1"/>
  <c r="C632" i="42"/>
  <c r="F632" i="42" s="1"/>
  <c r="C634" i="42"/>
  <c r="F634" i="42" s="1"/>
  <c r="C635" i="42"/>
  <c r="F635" i="42" s="1"/>
  <c r="L618" i="42"/>
  <c r="K615" i="42"/>
  <c r="L614" i="42"/>
  <c r="I623" i="42"/>
  <c r="K622" i="42"/>
  <c r="L620" i="42"/>
  <c r="L616" i="42"/>
  <c r="J623" i="42"/>
  <c r="K617" i="42"/>
  <c r="L617" i="42"/>
  <c r="I621" i="43"/>
  <c r="J621" i="43"/>
  <c r="J617" i="43"/>
  <c r="I617" i="43"/>
  <c r="I622" i="43"/>
  <c r="J622" i="43"/>
  <c r="I619" i="43"/>
  <c r="J619" i="43"/>
  <c r="J616" i="43"/>
  <c r="I616" i="43"/>
  <c r="I618" i="43"/>
  <c r="J618" i="43"/>
  <c r="I620" i="43"/>
  <c r="J620" i="43"/>
  <c r="I615" i="43"/>
  <c r="J615" i="43"/>
  <c r="J614" i="43"/>
  <c r="I614" i="43"/>
  <c r="C630" i="43" l="1"/>
  <c r="C628" i="43"/>
  <c r="F628" i="43" s="1"/>
  <c r="C627" i="43"/>
  <c r="F627" i="43" s="1"/>
  <c r="C634" i="43"/>
  <c r="F634" i="43" s="1"/>
  <c r="C631" i="43"/>
  <c r="F631" i="43" s="1"/>
  <c r="C629" i="43"/>
  <c r="F629" i="43" s="1"/>
  <c r="C632" i="43"/>
  <c r="F632" i="43" s="1"/>
  <c r="C635" i="43"/>
  <c r="F635" i="43" s="1"/>
  <c r="K623" i="42"/>
  <c r="O615" i="42" s="1"/>
  <c r="L623" i="42"/>
  <c r="O614" i="42" s="1"/>
  <c r="F633" i="43"/>
  <c r="F630" i="43"/>
  <c r="I623" i="43"/>
  <c r="K614" i="43"/>
  <c r="L614" i="43"/>
  <c r="K622" i="43"/>
  <c r="L622" i="43"/>
  <c r="J623" i="43"/>
  <c r="K615" i="43"/>
  <c r="L615" i="43"/>
  <c r="L618" i="43"/>
  <c r="K618" i="43"/>
  <c r="K616" i="43"/>
  <c r="L616" i="43"/>
  <c r="L620" i="43"/>
  <c r="K620" i="43"/>
  <c r="K617" i="43"/>
  <c r="L617" i="43"/>
  <c r="L619" i="43"/>
  <c r="K619" i="43"/>
  <c r="K621" i="43"/>
  <c r="L621" i="43"/>
  <c r="O616" i="42" l="1"/>
  <c r="N619" i="42" s="1"/>
  <c r="O618" i="42" s="1"/>
  <c r="L623" i="43"/>
  <c r="O614" i="43" s="1"/>
  <c r="K623" i="43"/>
  <c r="O615" i="43" s="1"/>
  <c r="O616" i="43" l="1"/>
  <c r="N618" i="42"/>
  <c r="O619" i="42" s="1"/>
  <c r="Q614" i="42" s="1" a="1"/>
  <c r="R615" i="42" s="1"/>
  <c r="N618" i="43" l="1"/>
  <c r="O619" i="43" s="1"/>
  <c r="N619" i="43"/>
  <c r="O618" i="43" s="1"/>
  <c r="Q614" i="43" s="1" a="1"/>
  <c r="Q614" i="42"/>
  <c r="Q622" i="42"/>
  <c r="Q615" i="42"/>
  <c r="Q617" i="42"/>
  <c r="R616" i="42"/>
  <c r="Q621" i="42"/>
  <c r="R621" i="42"/>
  <c r="R619" i="42"/>
  <c r="Q616" i="42"/>
  <c r="R622" i="42"/>
  <c r="Q619" i="42"/>
  <c r="R618" i="42"/>
  <c r="R617" i="42"/>
  <c r="Q620" i="42"/>
  <c r="R614" i="42"/>
  <c r="R620" i="42"/>
  <c r="Q618" i="42"/>
  <c r="B627" i="42" l="1" a="1"/>
  <c r="B631" i="42" s="1"/>
  <c r="D627" i="42" a="1"/>
  <c r="Q622" i="43"/>
  <c r="Q620" i="43"/>
  <c r="Q618" i="43"/>
  <c r="Q616" i="43"/>
  <c r="Q614" i="43"/>
  <c r="R622" i="43"/>
  <c r="R620" i="43"/>
  <c r="R618" i="43"/>
  <c r="R616" i="43"/>
  <c r="R614" i="43"/>
  <c r="Q621" i="43"/>
  <c r="Q617" i="43"/>
  <c r="R619" i="43"/>
  <c r="R615" i="43"/>
  <c r="R617" i="43"/>
  <c r="Q619" i="43"/>
  <c r="R621" i="43"/>
  <c r="Q615" i="43"/>
  <c r="D627" i="43" l="1" a="1"/>
  <c r="B627" i="43" a="1"/>
  <c r="B635" i="42"/>
  <c r="B627" i="42"/>
  <c r="B629" i="42"/>
  <c r="B632" i="42"/>
  <c r="B634" i="42"/>
  <c r="B628" i="42"/>
  <c r="B630" i="42"/>
  <c r="B633" i="42"/>
  <c r="D628" i="42"/>
  <c r="G628" i="42" s="1"/>
  <c r="D632" i="42"/>
  <c r="G632" i="42" s="1"/>
  <c r="D631" i="42"/>
  <c r="G631" i="42" s="1"/>
  <c r="D630" i="42"/>
  <c r="G630" i="42" s="1"/>
  <c r="D634" i="42"/>
  <c r="G634" i="42" s="1"/>
  <c r="D629" i="42"/>
  <c r="G629" i="42" s="1"/>
  <c r="D635" i="42"/>
  <c r="G635" i="42" s="1"/>
  <c r="D627" i="42"/>
  <c r="G627" i="42" s="1"/>
  <c r="D633" i="42"/>
  <c r="G633" i="42" s="1"/>
  <c r="B635" i="43" l="1"/>
  <c r="B631" i="43"/>
  <c r="B627" i="43"/>
  <c r="B633" i="43"/>
  <c r="B628" i="43"/>
  <c r="B634" i="43"/>
  <c r="B629" i="43"/>
  <c r="B630" i="43"/>
  <c r="B632" i="43"/>
  <c r="D635" i="43"/>
  <c r="G635" i="43" s="1"/>
  <c r="D631" i="43"/>
  <c r="G631" i="43" s="1"/>
  <c r="D627" i="43"/>
  <c r="G627" i="43" s="1"/>
  <c r="D634" i="43"/>
  <c r="G634" i="43" s="1"/>
  <c r="D629" i="43"/>
  <c r="G629" i="43" s="1"/>
  <c r="D630" i="43"/>
  <c r="G630" i="43" s="1"/>
  <c r="D632" i="43"/>
  <c r="G632" i="43" s="1"/>
  <c r="D633" i="43"/>
  <c r="G633" i="43" s="1"/>
  <c r="D628" i="43"/>
  <c r="G628" i="43" s="1"/>
  <c r="B640" i="42" a="1"/>
  <c r="B648" i="42" s="1"/>
  <c r="G648" i="42" s="1"/>
  <c r="I648" i="42" s="1"/>
  <c r="I633" i="42"/>
  <c r="J633" i="42"/>
  <c r="I634" i="42"/>
  <c r="J634" i="42"/>
  <c r="J628" i="42"/>
  <c r="I628" i="42"/>
  <c r="I627" i="42"/>
  <c r="J627" i="42"/>
  <c r="I630" i="42"/>
  <c r="J630" i="42"/>
  <c r="J635" i="42"/>
  <c r="I635" i="42"/>
  <c r="I631" i="42"/>
  <c r="J631" i="42"/>
  <c r="J629" i="42"/>
  <c r="I629" i="42"/>
  <c r="I632" i="42"/>
  <c r="J632" i="42"/>
  <c r="B640" i="43" l="1" a="1"/>
  <c r="B646" i="43" s="1"/>
  <c r="B644" i="42"/>
  <c r="G644" i="42" s="1"/>
  <c r="J644" i="42" s="1"/>
  <c r="B643" i="42"/>
  <c r="G643" i="42" s="1"/>
  <c r="I643" i="42" s="1"/>
  <c r="B642" i="42"/>
  <c r="G642" i="42" s="1"/>
  <c r="I642" i="42" s="1"/>
  <c r="B640" i="42"/>
  <c r="G640" i="42" s="1"/>
  <c r="J640" i="42" s="1"/>
  <c r="B647" i="42"/>
  <c r="G647" i="42" s="1"/>
  <c r="I647" i="42" s="1"/>
  <c r="B645" i="42"/>
  <c r="G645" i="42" s="1"/>
  <c r="J645" i="42" s="1"/>
  <c r="B641" i="42"/>
  <c r="G641" i="42" s="1"/>
  <c r="J641" i="42" s="1"/>
  <c r="B646" i="42"/>
  <c r="G646" i="42" s="1"/>
  <c r="J646" i="42" s="1"/>
  <c r="J648" i="42"/>
  <c r="L648" i="42" s="1"/>
  <c r="K634" i="42"/>
  <c r="K632" i="42"/>
  <c r="L630" i="42"/>
  <c r="K633" i="42"/>
  <c r="L631" i="42"/>
  <c r="K631" i="42"/>
  <c r="K629" i="42"/>
  <c r="L629" i="42"/>
  <c r="K635" i="42"/>
  <c r="L635" i="42"/>
  <c r="K627" i="42"/>
  <c r="J636" i="42"/>
  <c r="L627" i="42"/>
  <c r="I636" i="42"/>
  <c r="L634" i="42"/>
  <c r="L632" i="42"/>
  <c r="K630" i="42"/>
  <c r="L628" i="42"/>
  <c r="K628" i="42"/>
  <c r="L633" i="42"/>
  <c r="J634" i="43"/>
  <c r="I634" i="43"/>
  <c r="J631" i="43"/>
  <c r="I631" i="43"/>
  <c r="J629" i="43"/>
  <c r="I629" i="43"/>
  <c r="I627" i="43"/>
  <c r="J627" i="43"/>
  <c r="J632" i="43"/>
  <c r="I632" i="43"/>
  <c r="J633" i="43"/>
  <c r="I633" i="43"/>
  <c r="I628" i="43"/>
  <c r="J628" i="43"/>
  <c r="J635" i="43"/>
  <c r="I635" i="43"/>
  <c r="I630" i="43"/>
  <c r="J630" i="43"/>
  <c r="J642" i="42" l="1"/>
  <c r="L642" i="42" s="1"/>
  <c r="B645" i="43"/>
  <c r="G645" i="43" s="1"/>
  <c r="B648" i="43"/>
  <c r="G648" i="43" s="1"/>
  <c r="B642" i="43"/>
  <c r="G642" i="43" s="1"/>
  <c r="B640" i="43"/>
  <c r="G640" i="43" s="1"/>
  <c r="B643" i="43"/>
  <c r="G643" i="43" s="1"/>
  <c r="I644" i="42"/>
  <c r="L644" i="42" s="1"/>
  <c r="B641" i="43"/>
  <c r="G641" i="43" s="1"/>
  <c r="B644" i="43"/>
  <c r="G644" i="43" s="1"/>
  <c r="B647" i="43"/>
  <c r="G647" i="43" s="1"/>
  <c r="J643" i="42"/>
  <c r="L643" i="42" s="1"/>
  <c r="I640" i="42"/>
  <c r="L640" i="42" s="1"/>
  <c r="J647" i="42"/>
  <c r="L647" i="42" s="1"/>
  <c r="I645" i="42"/>
  <c r="L645" i="42" s="1"/>
  <c r="I646" i="42"/>
  <c r="K646" i="42" s="1"/>
  <c r="I641" i="42"/>
  <c r="K648" i="42"/>
  <c r="L636" i="42"/>
  <c r="O627" i="42" s="1"/>
  <c r="K636" i="42"/>
  <c r="O628" i="42" s="1"/>
  <c r="G646" i="43"/>
  <c r="L627" i="43"/>
  <c r="K627" i="43"/>
  <c r="I636" i="43"/>
  <c r="L630" i="43"/>
  <c r="K630" i="43"/>
  <c r="K629" i="43"/>
  <c r="L629" i="43"/>
  <c r="K633" i="43"/>
  <c r="L633" i="43"/>
  <c r="J636" i="43"/>
  <c r="K631" i="43"/>
  <c r="L631" i="43"/>
  <c r="K632" i="43"/>
  <c r="L632" i="43"/>
  <c r="L634" i="43"/>
  <c r="K634" i="43"/>
  <c r="K635" i="43"/>
  <c r="L635" i="43"/>
  <c r="K628" i="43"/>
  <c r="L628" i="43"/>
  <c r="K642" i="42" l="1"/>
  <c r="K643" i="42"/>
  <c r="K644" i="42"/>
  <c r="L646" i="42"/>
  <c r="K647" i="42"/>
  <c r="J649" i="42"/>
  <c r="K645" i="42"/>
  <c r="K640" i="42"/>
  <c r="L641" i="42"/>
  <c r="K641" i="42"/>
  <c r="I649" i="42"/>
  <c r="O629" i="42"/>
  <c r="N631" i="42" s="1"/>
  <c r="O632" i="42" s="1"/>
  <c r="K636" i="43"/>
  <c r="O628" i="43" s="1"/>
  <c r="J648" i="43"/>
  <c r="I648" i="43"/>
  <c r="I646" i="43"/>
  <c r="J646" i="43"/>
  <c r="I642" i="43"/>
  <c r="J642" i="43"/>
  <c r="J644" i="43"/>
  <c r="I644" i="43"/>
  <c r="J645" i="43"/>
  <c r="I645" i="43"/>
  <c r="L636" i="43"/>
  <c r="O627" i="43" s="1"/>
  <c r="J643" i="43"/>
  <c r="I643" i="43"/>
  <c r="I641" i="43"/>
  <c r="J641" i="43"/>
  <c r="J640" i="43"/>
  <c r="I640" i="43"/>
  <c r="J647" i="43"/>
  <c r="I647" i="43"/>
  <c r="O629" i="43" l="1"/>
  <c r="N632" i="43" s="1"/>
  <c r="O631" i="43" s="1"/>
  <c r="L649" i="42"/>
  <c r="O640" i="42" s="1"/>
  <c r="K649" i="42"/>
  <c r="O641" i="42" s="1"/>
  <c r="N632" i="42"/>
  <c r="O631" i="42" s="1"/>
  <c r="Q627" i="42" s="1" a="1"/>
  <c r="Q631" i="42" s="1"/>
  <c r="J649" i="43"/>
  <c r="K644" i="43"/>
  <c r="L644" i="43"/>
  <c r="K646" i="43"/>
  <c r="L646" i="43"/>
  <c r="K641" i="43"/>
  <c r="L641" i="43"/>
  <c r="K645" i="43"/>
  <c r="L645" i="43"/>
  <c r="K648" i="43"/>
  <c r="L648" i="43"/>
  <c r="L647" i="43"/>
  <c r="K647" i="43"/>
  <c r="I649" i="43"/>
  <c r="L640" i="43"/>
  <c r="K640" i="43"/>
  <c r="K643" i="43"/>
  <c r="L643" i="43"/>
  <c r="L642" i="43"/>
  <c r="K642" i="43"/>
  <c r="N631" i="43" l="1"/>
  <c r="O632" i="43" s="1"/>
  <c r="O642" i="42"/>
  <c r="N644" i="42" s="1"/>
  <c r="O645" i="42" s="1"/>
  <c r="Q632" i="42"/>
  <c r="R629" i="42"/>
  <c r="R635" i="42"/>
  <c r="Q627" i="42"/>
  <c r="Q630" i="42"/>
  <c r="Q628" i="42"/>
  <c r="R633" i="42"/>
  <c r="R631" i="42"/>
  <c r="Q635" i="42"/>
  <c r="Q633" i="42"/>
  <c r="Q629" i="42"/>
  <c r="Q634" i="42"/>
  <c r="R632" i="42"/>
  <c r="R634" i="42"/>
  <c r="R630" i="42"/>
  <c r="R628" i="42"/>
  <c r="R627" i="42"/>
  <c r="L649" i="43"/>
  <c r="O640" i="43" s="1"/>
  <c r="Q627" i="43" a="1"/>
  <c r="K649" i="43"/>
  <c r="O641" i="43" s="1"/>
  <c r="O642" i="43" l="1"/>
  <c r="N645" i="43" s="1"/>
  <c r="O644" i="43" s="1"/>
  <c r="N645" i="42"/>
  <c r="O644" i="42" s="1"/>
  <c r="Q640" i="42" s="1" a="1"/>
  <c r="Q641" i="42" s="1"/>
  <c r="D640" i="42" a="1"/>
  <c r="D646" i="42" s="1"/>
  <c r="C640" i="42" a="1"/>
  <c r="C645" i="42" s="1"/>
  <c r="R635" i="43"/>
  <c r="R633" i="43"/>
  <c r="R631" i="43"/>
  <c r="R629" i="43"/>
  <c r="R627" i="43"/>
  <c r="Q634" i="43"/>
  <c r="Q632" i="43"/>
  <c r="Q630" i="43"/>
  <c r="Q628" i="43"/>
  <c r="Q633" i="43"/>
  <c r="Q629" i="43"/>
  <c r="R632" i="43"/>
  <c r="R628" i="43"/>
  <c r="Q635" i="43"/>
  <c r="Q627" i="43"/>
  <c r="R630" i="43"/>
  <c r="Q631" i="43"/>
  <c r="R634" i="43"/>
  <c r="N644" i="43" l="1"/>
  <c r="O645" i="43" s="1"/>
  <c r="Q648" i="42"/>
  <c r="R643" i="42"/>
  <c r="R646" i="42"/>
  <c r="Q643" i="42"/>
  <c r="C640" i="43" a="1"/>
  <c r="C643" i="43" s="1"/>
  <c r="R641" i="42"/>
  <c r="R645" i="42"/>
  <c r="R642" i="42"/>
  <c r="R647" i="42"/>
  <c r="R644" i="42"/>
  <c r="Q645" i="42"/>
  <c r="R648" i="42"/>
  <c r="Q646" i="42"/>
  <c r="Q642" i="42"/>
  <c r="R640" i="42"/>
  <c r="Q647" i="42"/>
  <c r="Q640" i="42"/>
  <c r="Q644" i="42"/>
  <c r="D640" i="43" a="1"/>
  <c r="C641" i="42"/>
  <c r="D644" i="42"/>
  <c r="C647" i="42"/>
  <c r="D641" i="42"/>
  <c r="D647" i="42"/>
  <c r="D640" i="42"/>
  <c r="D645" i="42"/>
  <c r="C648" i="42"/>
  <c r="D642" i="42"/>
  <c r="C643" i="42"/>
  <c r="C646" i="42"/>
  <c r="D648" i="42"/>
  <c r="D643" i="42"/>
  <c r="C640" i="42"/>
  <c r="C644" i="42"/>
  <c r="C642" i="42"/>
  <c r="A653" i="42" l="1" a="1"/>
  <c r="A655" i="42" s="1"/>
  <c r="F655" i="42" s="1"/>
  <c r="B653" i="42" a="1"/>
  <c r="B657" i="42" s="1"/>
  <c r="C642" i="43"/>
  <c r="C648" i="43"/>
  <c r="C646" i="43"/>
  <c r="C641" i="43"/>
  <c r="C647" i="43"/>
  <c r="C645" i="43"/>
  <c r="C644" i="43"/>
  <c r="C640" i="43"/>
  <c r="D647" i="43"/>
  <c r="D643" i="43"/>
  <c r="D644" i="43"/>
  <c r="D645" i="43"/>
  <c r="D640" i="43"/>
  <c r="D646" i="43"/>
  <c r="D648" i="43"/>
  <c r="D642" i="43"/>
  <c r="D641" i="43"/>
  <c r="C653" i="42" a="1"/>
  <c r="C653" i="42" s="1"/>
  <c r="G653" i="42" s="1"/>
  <c r="D653" i="42" a="1"/>
  <c r="D654" i="42" s="1"/>
  <c r="Q640" i="43" a="1"/>
  <c r="A658" i="42" l="1"/>
  <c r="F658" i="42" s="1"/>
  <c r="A654" i="42"/>
  <c r="F654" i="42" s="1"/>
  <c r="A660" i="42"/>
  <c r="F660" i="42" s="1"/>
  <c r="B658" i="42"/>
  <c r="B653" i="42"/>
  <c r="A653" i="42"/>
  <c r="F653" i="42" s="1"/>
  <c r="I653" i="42" s="1"/>
  <c r="B659" i="42"/>
  <c r="A657" i="42"/>
  <c r="F657" i="42" s="1"/>
  <c r="A659" i="42"/>
  <c r="F659" i="42" s="1"/>
  <c r="A661" i="42"/>
  <c r="F661" i="42" s="1"/>
  <c r="A656" i="42"/>
  <c r="F656" i="42" s="1"/>
  <c r="B655" i="42"/>
  <c r="B654" i="42"/>
  <c r="B661" i="42"/>
  <c r="B656" i="42"/>
  <c r="B660" i="42"/>
  <c r="C653" i="43" a="1"/>
  <c r="C661" i="43" s="1"/>
  <c r="D653" i="43" a="1"/>
  <c r="C654" i="42"/>
  <c r="G654" i="42" s="1"/>
  <c r="C656" i="42"/>
  <c r="G656" i="42" s="1"/>
  <c r="C657" i="42"/>
  <c r="G657" i="42" s="1"/>
  <c r="C660" i="42"/>
  <c r="G660" i="42" s="1"/>
  <c r="D660" i="42"/>
  <c r="C661" i="42"/>
  <c r="G661" i="42" s="1"/>
  <c r="C659" i="42"/>
  <c r="G659" i="42" s="1"/>
  <c r="D657" i="42"/>
  <c r="C655" i="42"/>
  <c r="G655" i="42" s="1"/>
  <c r="I655" i="42" s="1"/>
  <c r="C658" i="42"/>
  <c r="G658" i="42" s="1"/>
  <c r="D655" i="42"/>
  <c r="D656" i="42"/>
  <c r="D658" i="42"/>
  <c r="D661" i="42"/>
  <c r="D653" i="42"/>
  <c r="D659" i="42"/>
  <c r="Q647" i="43"/>
  <c r="Q645" i="43"/>
  <c r="Q643" i="43"/>
  <c r="Q641" i="43"/>
  <c r="R647" i="43"/>
  <c r="R645" i="43"/>
  <c r="R643" i="43"/>
  <c r="R641" i="43"/>
  <c r="R648" i="43"/>
  <c r="R644" i="43"/>
  <c r="R640" i="43"/>
  <c r="Q648" i="43"/>
  <c r="Q644" i="43"/>
  <c r="Q640" i="43"/>
  <c r="R646" i="43"/>
  <c r="Q642" i="43"/>
  <c r="R642" i="43"/>
  <c r="Q646" i="43"/>
  <c r="I659" i="42" l="1"/>
  <c r="I658" i="42"/>
  <c r="J657" i="42"/>
  <c r="I660" i="42"/>
  <c r="J653" i="42"/>
  <c r="L653" i="42" s="1"/>
  <c r="B663" i="42"/>
  <c r="B666" i="42" a="1"/>
  <c r="B668" i="42" s="1"/>
  <c r="J661" i="42"/>
  <c r="J656" i="42"/>
  <c r="C654" i="43"/>
  <c r="G654" i="43" s="1"/>
  <c r="C660" i="43"/>
  <c r="G660" i="43" s="1"/>
  <c r="C658" i="43"/>
  <c r="G658" i="43" s="1"/>
  <c r="C657" i="43"/>
  <c r="G657" i="43" s="1"/>
  <c r="C656" i="43"/>
  <c r="G656" i="43" s="1"/>
  <c r="C653" i="43"/>
  <c r="G653" i="43" s="1"/>
  <c r="C655" i="43"/>
  <c r="G655" i="43" s="1"/>
  <c r="C659" i="43"/>
  <c r="G659" i="43" s="1"/>
  <c r="A653" i="43" a="1"/>
  <c r="B653" i="43" a="1"/>
  <c r="D659" i="43"/>
  <c r="D655" i="43"/>
  <c r="D658" i="43"/>
  <c r="D653" i="43"/>
  <c r="D660" i="43"/>
  <c r="D654" i="43"/>
  <c r="D661" i="43"/>
  <c r="D657" i="43"/>
  <c r="D656" i="43"/>
  <c r="J655" i="42"/>
  <c r="K655" i="42" s="1"/>
  <c r="J658" i="42"/>
  <c r="L658" i="42" s="1"/>
  <c r="J660" i="42"/>
  <c r="I661" i="42"/>
  <c r="I657" i="42"/>
  <c r="I656" i="42"/>
  <c r="J654" i="42"/>
  <c r="I654" i="42"/>
  <c r="J659" i="42"/>
  <c r="D666" i="42" a="1"/>
  <c r="D672" i="42" s="1"/>
  <c r="G672" i="42" s="1"/>
  <c r="G661" i="43"/>
  <c r="L659" i="42" l="1"/>
  <c r="K657" i="42"/>
  <c r="K653" i="42"/>
  <c r="K660" i="42"/>
  <c r="B669" i="42"/>
  <c r="B671" i="42"/>
  <c r="B667" i="42"/>
  <c r="L661" i="42"/>
  <c r="K656" i="42"/>
  <c r="B670" i="42"/>
  <c r="B666" i="42"/>
  <c r="B672" i="42"/>
  <c r="B673" i="42"/>
  <c r="B674" i="42"/>
  <c r="D666" i="43" a="1"/>
  <c r="B659" i="43"/>
  <c r="B655" i="43"/>
  <c r="B657" i="43"/>
  <c r="B658" i="43"/>
  <c r="B653" i="43"/>
  <c r="B660" i="43"/>
  <c r="B654" i="43"/>
  <c r="B661" i="43"/>
  <c r="B656" i="43"/>
  <c r="A661" i="43"/>
  <c r="F661" i="43" s="1"/>
  <c r="A657" i="43"/>
  <c r="F657" i="43" s="1"/>
  <c r="A653" i="43"/>
  <c r="A656" i="43"/>
  <c r="F656" i="43" s="1"/>
  <c r="A658" i="43"/>
  <c r="F658" i="43" s="1"/>
  <c r="A659" i="43"/>
  <c r="F659" i="43" s="1"/>
  <c r="A660" i="43"/>
  <c r="F660" i="43" s="1"/>
  <c r="A655" i="43"/>
  <c r="F655" i="43" s="1"/>
  <c r="A654" i="43"/>
  <c r="F654" i="43" s="1"/>
  <c r="L660" i="42"/>
  <c r="K658" i="42"/>
  <c r="L657" i="42"/>
  <c r="L656" i="42"/>
  <c r="L655" i="42"/>
  <c r="J662" i="42"/>
  <c r="K661" i="42"/>
  <c r="D673" i="42"/>
  <c r="G673" i="42" s="1"/>
  <c r="K659" i="42"/>
  <c r="L654" i="42"/>
  <c r="K654" i="42"/>
  <c r="I662" i="42"/>
  <c r="D666" i="42"/>
  <c r="G666" i="42" s="1"/>
  <c r="D668" i="42"/>
  <c r="G668" i="42" s="1"/>
  <c r="D674" i="42"/>
  <c r="G674" i="42" s="1"/>
  <c r="D669" i="42"/>
  <c r="G669" i="42" s="1"/>
  <c r="D671" i="42"/>
  <c r="G671" i="42" s="1"/>
  <c r="D667" i="42"/>
  <c r="G667" i="42" s="1"/>
  <c r="D670" i="42"/>
  <c r="G670" i="42" s="1"/>
  <c r="B679" i="42" l="1" a="1"/>
  <c r="B686" i="42" s="1"/>
  <c r="F686" i="42" s="1"/>
  <c r="B666" i="43" a="1"/>
  <c r="B663" i="43"/>
  <c r="D671" i="43"/>
  <c r="G671" i="43" s="1"/>
  <c r="D667" i="43"/>
  <c r="G667" i="43" s="1"/>
  <c r="D673" i="43"/>
  <c r="G673" i="43" s="1"/>
  <c r="D668" i="43"/>
  <c r="G668" i="43" s="1"/>
  <c r="D674" i="43"/>
  <c r="G674" i="43" s="1"/>
  <c r="D669" i="43"/>
  <c r="G669" i="43" s="1"/>
  <c r="D666" i="43"/>
  <c r="G666" i="43" s="1"/>
  <c r="D672" i="43"/>
  <c r="G672" i="43" s="1"/>
  <c r="D670" i="43"/>
  <c r="G670" i="43" s="1"/>
  <c r="L662" i="42"/>
  <c r="O653" i="42" s="1"/>
  <c r="K662" i="42"/>
  <c r="O654" i="42" s="1"/>
  <c r="I654" i="43"/>
  <c r="J654" i="43"/>
  <c r="J656" i="43"/>
  <c r="I656" i="43"/>
  <c r="I658" i="43"/>
  <c r="J658" i="43"/>
  <c r="J660" i="43"/>
  <c r="I660" i="43"/>
  <c r="F653" i="43"/>
  <c r="I655" i="43"/>
  <c r="J655" i="43"/>
  <c r="I657" i="43"/>
  <c r="J657" i="43"/>
  <c r="I661" i="43"/>
  <c r="J661" i="43"/>
  <c r="I659" i="43"/>
  <c r="J659" i="43"/>
  <c r="B682" i="42" l="1"/>
  <c r="F682" i="42" s="1"/>
  <c r="B680" i="42"/>
  <c r="F680" i="42" s="1"/>
  <c r="B679" i="42"/>
  <c r="F679" i="42" s="1"/>
  <c r="B685" i="42"/>
  <c r="F685" i="42" s="1"/>
  <c r="B683" i="42"/>
  <c r="F683" i="42" s="1"/>
  <c r="B681" i="42"/>
  <c r="F681" i="42" s="1"/>
  <c r="B687" i="42"/>
  <c r="F687" i="42" s="1"/>
  <c r="B684" i="42"/>
  <c r="F684" i="42" s="1"/>
  <c r="B671" i="43"/>
  <c r="B667" i="43"/>
  <c r="B672" i="43"/>
  <c r="B666" i="43"/>
  <c r="B673" i="43"/>
  <c r="B668" i="43"/>
  <c r="B674" i="43"/>
  <c r="B670" i="43"/>
  <c r="B669" i="43"/>
  <c r="O655" i="42"/>
  <c r="N658" i="42" s="1"/>
  <c r="O657" i="42" s="1"/>
  <c r="L655" i="43"/>
  <c r="K655" i="43"/>
  <c r="K660" i="43"/>
  <c r="L660" i="43"/>
  <c r="K656" i="43"/>
  <c r="L656" i="43"/>
  <c r="L659" i="43"/>
  <c r="K659" i="43"/>
  <c r="L657" i="43"/>
  <c r="K657" i="43"/>
  <c r="J653" i="43"/>
  <c r="J662" i="43" s="1"/>
  <c r="I653" i="43"/>
  <c r="L661" i="43"/>
  <c r="K661" i="43"/>
  <c r="L658" i="43"/>
  <c r="K658" i="43"/>
  <c r="L654" i="43"/>
  <c r="K654" i="43"/>
  <c r="B679" i="43" l="1" a="1"/>
  <c r="N657" i="42"/>
  <c r="O658" i="42" s="1"/>
  <c r="Q653" i="42" s="1" a="1"/>
  <c r="Q655" i="42" s="1"/>
  <c r="I662" i="43"/>
  <c r="K653" i="43"/>
  <c r="K662" i="43" s="1"/>
  <c r="L653" i="43"/>
  <c r="L662" i="43" s="1"/>
  <c r="O653" i="43" l="1"/>
  <c r="O654" i="43"/>
  <c r="B687" i="43"/>
  <c r="F687" i="43" s="1"/>
  <c r="B683" i="43"/>
  <c r="F683" i="43" s="1"/>
  <c r="B679" i="43"/>
  <c r="F679" i="43" s="1"/>
  <c r="B686" i="43"/>
  <c r="F686" i="43" s="1"/>
  <c r="B681" i="43"/>
  <c r="F681" i="43" s="1"/>
  <c r="B682" i="43"/>
  <c r="F682" i="43" s="1"/>
  <c r="B680" i="43"/>
  <c r="F680" i="43" s="1"/>
  <c r="B685" i="43"/>
  <c r="F685" i="43" s="1"/>
  <c r="B684" i="43"/>
  <c r="F684" i="43" s="1"/>
  <c r="Q656" i="42"/>
  <c r="R656" i="42"/>
  <c r="R661" i="42"/>
  <c r="R655" i="42"/>
  <c r="Q658" i="42"/>
  <c r="R658" i="42"/>
  <c r="Q657" i="42"/>
  <c r="R659" i="42"/>
  <c r="R657" i="42"/>
  <c r="Q660" i="42"/>
  <c r="R660" i="42"/>
  <c r="Q659" i="42"/>
  <c r="R653" i="42"/>
  <c r="Q654" i="42"/>
  <c r="R654" i="42"/>
  <c r="Q653" i="42"/>
  <c r="Q661" i="42"/>
  <c r="O655" i="43" l="1"/>
  <c r="N657" i="43" s="1"/>
  <c r="O658" i="43" s="1"/>
  <c r="C666" i="42" a="1"/>
  <c r="C674" i="42" s="1"/>
  <c r="A666" i="42" a="1"/>
  <c r="A670" i="42" s="1"/>
  <c r="F670" i="42" s="1"/>
  <c r="N658" i="43" l="1"/>
  <c r="O657" i="43" s="1"/>
  <c r="C670" i="42"/>
  <c r="C668" i="42"/>
  <c r="C672" i="42"/>
  <c r="C667" i="42"/>
  <c r="C669" i="42"/>
  <c r="C666" i="42"/>
  <c r="C671" i="42"/>
  <c r="C673" i="42"/>
  <c r="A668" i="42"/>
  <c r="F668" i="42" s="1"/>
  <c r="J668" i="42" s="1"/>
  <c r="A669" i="42"/>
  <c r="F669" i="42" s="1"/>
  <c r="J669" i="42" s="1"/>
  <c r="A667" i="42"/>
  <c r="F667" i="42" s="1"/>
  <c r="I667" i="42" s="1"/>
  <c r="A673" i="42"/>
  <c r="F673" i="42" s="1"/>
  <c r="J673" i="42" s="1"/>
  <c r="A671" i="42"/>
  <c r="F671" i="42" s="1"/>
  <c r="J671" i="42" s="1"/>
  <c r="A666" i="42"/>
  <c r="F666" i="42" s="1"/>
  <c r="A674" i="42"/>
  <c r="F674" i="42" s="1"/>
  <c r="J674" i="42" s="1"/>
  <c r="A672" i="42"/>
  <c r="F672" i="42" s="1"/>
  <c r="I672" i="42" s="1"/>
  <c r="Q653" i="43" a="1"/>
  <c r="R654" i="43" s="1"/>
  <c r="J670" i="42"/>
  <c r="I670" i="42"/>
  <c r="I668" i="42" l="1"/>
  <c r="L668" i="42" s="1"/>
  <c r="C679" i="42" a="1"/>
  <c r="C684" i="42" s="1"/>
  <c r="G684" i="42" s="1"/>
  <c r="J684" i="42" s="1"/>
  <c r="I671" i="42"/>
  <c r="K671" i="42" s="1"/>
  <c r="I674" i="42"/>
  <c r="K674" i="42" s="1"/>
  <c r="J667" i="42"/>
  <c r="K667" i="42" s="1"/>
  <c r="I669" i="42"/>
  <c r="K669" i="42" s="1"/>
  <c r="I673" i="42"/>
  <c r="L673" i="42" s="1"/>
  <c r="J672" i="42"/>
  <c r="K672" i="42" s="1"/>
  <c r="B676" i="42"/>
  <c r="Q654" i="43"/>
  <c r="Q658" i="43"/>
  <c r="R661" i="43"/>
  <c r="Q657" i="43"/>
  <c r="Q656" i="43"/>
  <c r="Q659" i="43"/>
  <c r="R657" i="43"/>
  <c r="R656" i="43"/>
  <c r="R658" i="43"/>
  <c r="R655" i="43"/>
  <c r="Q660" i="43"/>
  <c r="Q653" i="43"/>
  <c r="Q661" i="43"/>
  <c r="R660" i="43"/>
  <c r="R659" i="43"/>
  <c r="R653" i="43"/>
  <c r="Q655" i="43"/>
  <c r="L670" i="42"/>
  <c r="K670" i="42"/>
  <c r="J666" i="42"/>
  <c r="I666" i="42"/>
  <c r="K668" i="42" l="1"/>
  <c r="C686" i="42"/>
  <c r="G686" i="42" s="1"/>
  <c r="J686" i="42" s="1"/>
  <c r="C679" i="42"/>
  <c r="G679" i="42" s="1"/>
  <c r="J679" i="42" s="1"/>
  <c r="C680" i="42"/>
  <c r="G680" i="42" s="1"/>
  <c r="I680" i="42" s="1"/>
  <c r="C687" i="42"/>
  <c r="G687" i="42" s="1"/>
  <c r="I687" i="42" s="1"/>
  <c r="I684" i="42"/>
  <c r="K684" i="42" s="1"/>
  <c r="C681" i="42"/>
  <c r="G681" i="42" s="1"/>
  <c r="J681" i="42" s="1"/>
  <c r="L674" i="42"/>
  <c r="C683" i="42"/>
  <c r="G683" i="42" s="1"/>
  <c r="J683" i="42" s="1"/>
  <c r="C685" i="42"/>
  <c r="G685" i="42" s="1"/>
  <c r="I685" i="42" s="1"/>
  <c r="C682" i="42"/>
  <c r="G682" i="42" s="1"/>
  <c r="I682" i="42" s="1"/>
  <c r="L671" i="42"/>
  <c r="L667" i="42"/>
  <c r="L672" i="42"/>
  <c r="J675" i="42"/>
  <c r="L669" i="42"/>
  <c r="K673" i="42"/>
  <c r="A666" i="43" a="1"/>
  <c r="C666" i="43" a="1"/>
  <c r="L666" i="42"/>
  <c r="I675" i="42"/>
  <c r="K666" i="42"/>
  <c r="J687" i="42" l="1"/>
  <c r="K687" i="42" s="1"/>
  <c r="I679" i="42"/>
  <c r="K679" i="42" s="1"/>
  <c r="L684" i="42"/>
  <c r="I681" i="42"/>
  <c r="K681" i="42" s="1"/>
  <c r="I686" i="42"/>
  <c r="K686" i="42" s="1"/>
  <c r="J680" i="42"/>
  <c r="K680" i="42" s="1"/>
  <c r="I683" i="42"/>
  <c r="K683" i="42" s="1"/>
  <c r="J682" i="42"/>
  <c r="K682" i="42" s="1"/>
  <c r="J685" i="42"/>
  <c r="L685" i="42" s="1"/>
  <c r="K675" i="42"/>
  <c r="O667" i="42" s="1"/>
  <c r="L675" i="42"/>
  <c r="O666" i="42" s="1"/>
  <c r="C673" i="43"/>
  <c r="C669" i="43"/>
  <c r="C672" i="43"/>
  <c r="C667" i="43"/>
  <c r="C674" i="43"/>
  <c r="C668" i="43"/>
  <c r="C666" i="43"/>
  <c r="C671" i="43"/>
  <c r="C670" i="43"/>
  <c r="A673" i="43"/>
  <c r="F673" i="43" s="1"/>
  <c r="J673" i="43" s="1"/>
  <c r="A669" i="43"/>
  <c r="F669" i="43" s="1"/>
  <c r="I669" i="43" s="1"/>
  <c r="A671" i="43"/>
  <c r="F671" i="43" s="1"/>
  <c r="J671" i="43" s="1"/>
  <c r="A666" i="43"/>
  <c r="F666" i="43" s="1"/>
  <c r="A672" i="43"/>
  <c r="F672" i="43" s="1"/>
  <c r="J672" i="43" s="1"/>
  <c r="A667" i="43"/>
  <c r="F667" i="43" s="1"/>
  <c r="I667" i="43" s="1"/>
  <c r="A674" i="43"/>
  <c r="F674" i="43" s="1"/>
  <c r="J674" i="43" s="1"/>
  <c r="A670" i="43"/>
  <c r="F670" i="43" s="1"/>
  <c r="J670" i="43" s="1"/>
  <c r="A668" i="43"/>
  <c r="F668" i="43" s="1"/>
  <c r="L680" i="42" l="1"/>
  <c r="L679" i="42"/>
  <c r="L687" i="42"/>
  <c r="K685" i="42"/>
  <c r="K688" i="42" s="1"/>
  <c r="L681" i="42"/>
  <c r="L686" i="42"/>
  <c r="L683" i="42"/>
  <c r="I688" i="42"/>
  <c r="J688" i="42"/>
  <c r="L682" i="42"/>
  <c r="I670" i="43"/>
  <c r="L670" i="43" s="1"/>
  <c r="I674" i="43"/>
  <c r="K674" i="43" s="1"/>
  <c r="J668" i="43"/>
  <c r="I668" i="43"/>
  <c r="I671" i="43"/>
  <c r="K671" i="43" s="1"/>
  <c r="C679" i="43" a="1"/>
  <c r="I672" i="43"/>
  <c r="L672" i="43" s="1"/>
  <c r="B676" i="43"/>
  <c r="O668" i="42"/>
  <c r="N671" i="42" s="1"/>
  <c r="O670" i="42" s="1"/>
  <c r="J669" i="43"/>
  <c r="L669" i="43" s="1"/>
  <c r="J667" i="43"/>
  <c r="K667" i="43" s="1"/>
  <c r="I673" i="43"/>
  <c r="K673" i="43" s="1"/>
  <c r="I666" i="43"/>
  <c r="J666" i="43"/>
  <c r="L688" i="42" l="1"/>
  <c r="K670" i="43"/>
  <c r="L674" i="43"/>
  <c r="K672" i="43"/>
  <c r="L668" i="43"/>
  <c r="L671" i="43"/>
  <c r="K668" i="43"/>
  <c r="N670" i="42"/>
  <c r="O671" i="42" s="1"/>
  <c r="K669" i="43"/>
  <c r="C685" i="43"/>
  <c r="G685" i="43" s="1"/>
  <c r="J685" i="43" s="1"/>
  <c r="C681" i="43"/>
  <c r="G681" i="43" s="1"/>
  <c r="I681" i="43" s="1"/>
  <c r="C687" i="43"/>
  <c r="G687" i="43" s="1"/>
  <c r="I687" i="43" s="1"/>
  <c r="C682" i="43"/>
  <c r="G682" i="43" s="1"/>
  <c r="I682" i="43" s="1"/>
  <c r="C683" i="43"/>
  <c r="G683" i="43" s="1"/>
  <c r="I683" i="43" s="1"/>
  <c r="C680" i="43"/>
  <c r="G680" i="43" s="1"/>
  <c r="I680" i="43" s="1"/>
  <c r="C679" i="43"/>
  <c r="G679" i="43" s="1"/>
  <c r="J679" i="43" s="1"/>
  <c r="C686" i="43"/>
  <c r="G686" i="43" s="1"/>
  <c r="I686" i="43" s="1"/>
  <c r="C684" i="43"/>
  <c r="G684" i="43" s="1"/>
  <c r="J684" i="43" s="1"/>
  <c r="L667" i="43"/>
  <c r="L673" i="43"/>
  <c r="J675" i="43"/>
  <c r="I675" i="43"/>
  <c r="K666" i="43"/>
  <c r="L666" i="43"/>
  <c r="Q666" i="42" l="1" a="1"/>
  <c r="R674" i="42" s="1"/>
  <c r="I679" i="43"/>
  <c r="L679" i="43" s="1"/>
  <c r="K675" i="43"/>
  <c r="O667" i="43" s="1"/>
  <c r="L675" i="43"/>
  <c r="O666" i="43" s="1"/>
  <c r="I685" i="43"/>
  <c r="K685" i="43" s="1"/>
  <c r="J682" i="43"/>
  <c r="K682" i="43" s="1"/>
  <c r="J680" i="43"/>
  <c r="L680" i="43" s="1"/>
  <c r="J683" i="43"/>
  <c r="K683" i="43" s="1"/>
  <c r="J687" i="43"/>
  <c r="K687" i="43" s="1"/>
  <c r="J686" i="43"/>
  <c r="K686" i="43" s="1"/>
  <c r="I684" i="43"/>
  <c r="K684" i="43" s="1"/>
  <c r="J681" i="43"/>
  <c r="L681" i="43" s="1"/>
  <c r="O668" i="43" l="1"/>
  <c r="K679" i="43"/>
  <c r="Q667" i="42"/>
  <c r="R669" i="42"/>
  <c r="Q671" i="42"/>
  <c r="Q673" i="42"/>
  <c r="R673" i="42"/>
  <c r="K680" i="43"/>
  <c r="Q666" i="42"/>
  <c r="Q669" i="42"/>
  <c r="Q668" i="42"/>
  <c r="R667" i="42"/>
  <c r="Q670" i="42"/>
  <c r="L682" i="43"/>
  <c r="R666" i="42"/>
  <c r="R672" i="42"/>
  <c r="Q672" i="42"/>
  <c r="R671" i="42"/>
  <c r="Q674" i="42"/>
  <c r="R670" i="42"/>
  <c r="R668" i="42"/>
  <c r="L686" i="43"/>
  <c r="I688" i="43"/>
  <c r="J688" i="43"/>
  <c r="L685" i="43"/>
  <c r="K681" i="43"/>
  <c r="L683" i="43"/>
  <c r="L687" i="43"/>
  <c r="L684" i="43"/>
  <c r="N670" i="43" l="1"/>
  <c r="O671" i="43" s="1"/>
  <c r="N671" i="43"/>
  <c r="O670" i="43" s="1"/>
  <c r="D679" i="42" a="1"/>
  <c r="D685" i="42" s="1"/>
  <c r="A679" i="42" a="1"/>
  <c r="A684" i="42" s="1"/>
  <c r="K688" i="43"/>
  <c r="L688" i="43"/>
  <c r="D680" i="42" l="1"/>
  <c r="A683" i="42"/>
  <c r="A686" i="42"/>
  <c r="D683" i="42"/>
  <c r="D686" i="42"/>
  <c r="D684" i="42"/>
  <c r="A679" i="42"/>
  <c r="D681" i="42"/>
  <c r="D687" i="42"/>
  <c r="A682" i="42"/>
  <c r="A685" i="42"/>
  <c r="D679" i="42"/>
  <c r="D682" i="42"/>
  <c r="A681" i="42"/>
  <c r="A680" i="42"/>
  <c r="A687" i="42"/>
  <c r="Q666" i="43" a="1"/>
  <c r="Q670" i="43" s="1"/>
  <c r="D692" i="42" l="1" a="1"/>
  <c r="D700" i="42" s="1"/>
  <c r="G700" i="42" s="1"/>
  <c r="A692" i="42" a="1"/>
  <c r="A698" i="42" s="1"/>
  <c r="B689" i="42"/>
  <c r="Q672" i="43"/>
  <c r="Q673" i="43"/>
  <c r="R666" i="43"/>
  <c r="R668" i="43"/>
  <c r="R673" i="43"/>
  <c r="R667" i="43"/>
  <c r="Q666" i="43"/>
  <c r="Q674" i="43"/>
  <c r="R669" i="43"/>
  <c r="R674" i="43"/>
  <c r="R671" i="43"/>
  <c r="Q667" i="43"/>
  <c r="R670" i="43"/>
  <c r="Q668" i="43"/>
  <c r="Q669" i="43"/>
  <c r="Q671" i="43"/>
  <c r="R672" i="43"/>
  <c r="O680" i="42" l="1"/>
  <c r="O679" i="42"/>
  <c r="D698" i="42"/>
  <c r="G698" i="42" s="1"/>
  <c r="D693" i="42"/>
  <c r="G693" i="42" s="1"/>
  <c r="D696" i="42"/>
  <c r="G696" i="42" s="1"/>
  <c r="D695" i="42"/>
  <c r="G695" i="42" s="1"/>
  <c r="D697" i="42"/>
  <c r="G697" i="42" s="1"/>
  <c r="D692" i="42"/>
  <c r="G692" i="42" s="1"/>
  <c r="D694" i="42"/>
  <c r="G694" i="42" s="1"/>
  <c r="D699" i="42"/>
  <c r="G699" i="42" s="1"/>
  <c r="A696" i="42"/>
  <c r="A694" i="42"/>
  <c r="A700" i="42"/>
  <c r="A692" i="42"/>
  <c r="A693" i="42"/>
  <c r="A697" i="42"/>
  <c r="A695" i="42"/>
  <c r="A699" i="42"/>
  <c r="A679" i="43" a="1"/>
  <c r="A686" i="43" s="1"/>
  <c r="D679" i="43" a="1"/>
  <c r="D687" i="43" s="1"/>
  <c r="O681" i="42" l="1"/>
  <c r="N683" i="42" s="1"/>
  <c r="O684" i="42" s="1"/>
  <c r="A705" i="42" a="1"/>
  <c r="A712" i="42" s="1"/>
  <c r="B702" i="42"/>
  <c r="A681" i="43"/>
  <c r="A679" i="43"/>
  <c r="A680" i="43"/>
  <c r="A684" i="43"/>
  <c r="D679" i="43"/>
  <c r="A682" i="43"/>
  <c r="A683" i="43"/>
  <c r="A687" i="43"/>
  <c r="A685" i="43"/>
  <c r="D684" i="43"/>
  <c r="D682" i="43"/>
  <c r="D685" i="43"/>
  <c r="D686" i="43"/>
  <c r="D681" i="43"/>
  <c r="D683" i="43"/>
  <c r="D680" i="43"/>
  <c r="N684" i="42" l="1"/>
  <c r="O683" i="42" s="1"/>
  <c r="Q679" i="42" s="1" a="1"/>
  <c r="Q680" i="42" s="1"/>
  <c r="A707" i="42"/>
  <c r="A706" i="42"/>
  <c r="A709" i="42"/>
  <c r="A713" i="42"/>
  <c r="A705" i="42"/>
  <c r="A708" i="42"/>
  <c r="A710" i="42"/>
  <c r="A711" i="42"/>
  <c r="B689" i="43"/>
  <c r="A692" i="43" a="1"/>
  <c r="A696" i="43" s="1"/>
  <c r="D692" i="43" a="1"/>
  <c r="D695" i="43" s="1"/>
  <c r="G695" i="43" s="1"/>
  <c r="O680" i="43" l="1"/>
  <c r="O679" i="43"/>
  <c r="R680" i="42"/>
  <c r="R682" i="42"/>
  <c r="Q679" i="42"/>
  <c r="Q687" i="42"/>
  <c r="R685" i="42"/>
  <c r="Q684" i="42"/>
  <c r="Q685" i="42"/>
  <c r="R683" i="42"/>
  <c r="Q682" i="42"/>
  <c r="R684" i="42"/>
  <c r="Q681" i="42"/>
  <c r="R679" i="42"/>
  <c r="R687" i="42"/>
  <c r="Q686" i="42"/>
  <c r="R686" i="42"/>
  <c r="Q683" i="42"/>
  <c r="R681" i="42"/>
  <c r="A692" i="43"/>
  <c r="A718" i="42" a="1"/>
  <c r="A726" i="42" s="1"/>
  <c r="F726" i="42" s="1"/>
  <c r="B715" i="42"/>
  <c r="A699" i="43"/>
  <c r="A697" i="43"/>
  <c r="A694" i="43"/>
  <c r="A693" i="43"/>
  <c r="A700" i="43"/>
  <c r="A698" i="43"/>
  <c r="A695" i="43"/>
  <c r="D692" i="43"/>
  <c r="G692" i="43" s="1"/>
  <c r="D699" i="43"/>
  <c r="G699" i="43" s="1"/>
  <c r="D700" i="43"/>
  <c r="G700" i="43" s="1"/>
  <c r="D694" i="43"/>
  <c r="G694" i="43" s="1"/>
  <c r="D693" i="43"/>
  <c r="G693" i="43" s="1"/>
  <c r="D697" i="43"/>
  <c r="G697" i="43" s="1"/>
  <c r="D698" i="43"/>
  <c r="G698" i="43" s="1"/>
  <c r="D696" i="43"/>
  <c r="G696" i="43" s="1"/>
  <c r="O681" i="43" l="1"/>
  <c r="N684" i="43" s="1"/>
  <c r="O683" i="43" s="1"/>
  <c r="B692" i="42" a="1"/>
  <c r="B692" i="42" s="1"/>
  <c r="F692" i="42" s="1"/>
  <c r="C692" i="42" a="1"/>
  <c r="C697" i="42" s="1"/>
  <c r="A725" i="42"/>
  <c r="F725" i="42" s="1"/>
  <c r="A724" i="42"/>
  <c r="F724" i="42" s="1"/>
  <c r="A719" i="42"/>
  <c r="F719" i="42" s="1"/>
  <c r="A721" i="42"/>
  <c r="F721" i="42" s="1"/>
  <c r="A718" i="42"/>
  <c r="F718" i="42" s="1"/>
  <c r="A723" i="42"/>
  <c r="F723" i="42" s="1"/>
  <c r="A720" i="42"/>
  <c r="F720" i="42" s="1"/>
  <c r="A722" i="42"/>
  <c r="F722" i="42" s="1"/>
  <c r="A705" i="43" a="1"/>
  <c r="A712" i="43" s="1"/>
  <c r="B702" i="43"/>
  <c r="N683" i="43" l="1"/>
  <c r="O684" i="43" s="1"/>
  <c r="B696" i="42"/>
  <c r="F696" i="42" s="1"/>
  <c r="J696" i="42" s="1"/>
  <c r="B698" i="42"/>
  <c r="F698" i="42" s="1"/>
  <c r="J698" i="42" s="1"/>
  <c r="B697" i="42"/>
  <c r="F697" i="42" s="1"/>
  <c r="I697" i="42" s="1"/>
  <c r="B695" i="42"/>
  <c r="F695" i="42" s="1"/>
  <c r="J695" i="42" s="1"/>
  <c r="B700" i="42"/>
  <c r="F700" i="42" s="1"/>
  <c r="J700" i="42" s="1"/>
  <c r="B693" i="42"/>
  <c r="F693" i="42" s="1"/>
  <c r="J693" i="42" s="1"/>
  <c r="B699" i="42"/>
  <c r="F699" i="42" s="1"/>
  <c r="J699" i="42" s="1"/>
  <c r="C699" i="42"/>
  <c r="B694" i="42"/>
  <c r="F694" i="42" s="1"/>
  <c r="J694" i="42" s="1"/>
  <c r="C693" i="42"/>
  <c r="C695" i="42"/>
  <c r="C698" i="42"/>
  <c r="C700" i="42"/>
  <c r="C696" i="42"/>
  <c r="C694" i="42"/>
  <c r="C692" i="42"/>
  <c r="B728" i="42"/>
  <c r="A706" i="43"/>
  <c r="A705" i="43"/>
  <c r="A709" i="43"/>
  <c r="A711" i="43"/>
  <c r="A710" i="43"/>
  <c r="A713" i="43"/>
  <c r="A707" i="43"/>
  <c r="A708" i="43"/>
  <c r="Q679" i="43" a="1"/>
  <c r="J692" i="42"/>
  <c r="I692" i="42"/>
  <c r="I696" i="42"/>
  <c r="I698" i="42" l="1"/>
  <c r="K698" i="42" s="1"/>
  <c r="I694" i="42"/>
  <c r="K694" i="42" s="1"/>
  <c r="I695" i="42"/>
  <c r="K695" i="42" s="1"/>
  <c r="I700" i="42"/>
  <c r="L700" i="42" s="1"/>
  <c r="I699" i="42"/>
  <c r="K699" i="42" s="1"/>
  <c r="J697" i="42"/>
  <c r="J701" i="42" s="1"/>
  <c r="I693" i="42"/>
  <c r="L693" i="42" s="1"/>
  <c r="C705" i="42" a="1"/>
  <c r="C708" i="42" s="1"/>
  <c r="F708" i="42" s="1"/>
  <c r="A718" i="43" a="1"/>
  <c r="A721" i="43" s="1"/>
  <c r="F721" i="43" s="1"/>
  <c r="B715" i="43"/>
  <c r="R687" i="43"/>
  <c r="R685" i="43"/>
  <c r="R683" i="43"/>
  <c r="R681" i="43"/>
  <c r="R679" i="43"/>
  <c r="Q686" i="43"/>
  <c r="Q684" i="43"/>
  <c r="Q682" i="43"/>
  <c r="Q680" i="43"/>
  <c r="Q687" i="43"/>
  <c r="Q683" i="43"/>
  <c r="Q679" i="43"/>
  <c r="R686" i="43"/>
  <c r="R682" i="43"/>
  <c r="R680" i="43"/>
  <c r="Q681" i="43"/>
  <c r="Q685" i="43"/>
  <c r="R684" i="43"/>
  <c r="L696" i="42"/>
  <c r="K696" i="42"/>
  <c r="L692" i="42"/>
  <c r="K692" i="42"/>
  <c r="L695" i="42" l="1"/>
  <c r="L694" i="42"/>
  <c r="L698" i="42"/>
  <c r="C712" i="42"/>
  <c r="F712" i="42" s="1"/>
  <c r="L699" i="42"/>
  <c r="K700" i="42"/>
  <c r="C705" i="42"/>
  <c r="F705" i="42" s="1"/>
  <c r="C713" i="42"/>
  <c r="F713" i="42" s="1"/>
  <c r="C710" i="42"/>
  <c r="F710" i="42" s="1"/>
  <c r="L697" i="42"/>
  <c r="I701" i="42"/>
  <c r="C709" i="42"/>
  <c r="F709" i="42" s="1"/>
  <c r="C707" i="42"/>
  <c r="F707" i="42" s="1"/>
  <c r="K697" i="42"/>
  <c r="K693" i="42"/>
  <c r="C711" i="42"/>
  <c r="F711" i="42" s="1"/>
  <c r="C706" i="42"/>
  <c r="F706" i="42" s="1"/>
  <c r="A718" i="43"/>
  <c r="F718" i="43" s="1"/>
  <c r="A719" i="43"/>
  <c r="F719" i="43" s="1"/>
  <c r="A725" i="43"/>
  <c r="F725" i="43" s="1"/>
  <c r="A724" i="43"/>
  <c r="F724" i="43" s="1"/>
  <c r="A726" i="43"/>
  <c r="F726" i="43" s="1"/>
  <c r="A722" i="43"/>
  <c r="F722" i="43" s="1"/>
  <c r="A720" i="43"/>
  <c r="F720" i="43" s="1"/>
  <c r="A723" i="43"/>
  <c r="F723" i="43" s="1"/>
  <c r="C692" i="43" a="1"/>
  <c r="B692" i="43" a="1"/>
  <c r="L701" i="42" l="1"/>
  <c r="O692" i="42" s="1"/>
  <c r="K701" i="42"/>
  <c r="O693" i="42" s="1"/>
  <c r="B728" i="43"/>
  <c r="B698" i="43"/>
  <c r="F698" i="43" s="1"/>
  <c r="B694" i="43"/>
  <c r="F694" i="43" s="1"/>
  <c r="B699" i="43"/>
  <c r="B695" i="43"/>
  <c r="F695" i="43" s="1"/>
  <c r="B693" i="43"/>
  <c r="F693" i="43" s="1"/>
  <c r="B696" i="43"/>
  <c r="F696" i="43" s="1"/>
  <c r="B692" i="43"/>
  <c r="F692" i="43" s="1"/>
  <c r="B700" i="43"/>
  <c r="F700" i="43" s="1"/>
  <c r="B697" i="43"/>
  <c r="F697" i="43" s="1"/>
  <c r="C700" i="43"/>
  <c r="C696" i="43"/>
  <c r="C692" i="43"/>
  <c r="C697" i="43"/>
  <c r="C693" i="43"/>
  <c r="C699" i="43"/>
  <c r="C694" i="43"/>
  <c r="C698" i="43"/>
  <c r="C695" i="43"/>
  <c r="F699" i="43"/>
  <c r="O694" i="42" l="1"/>
  <c r="N697" i="42" s="1"/>
  <c r="O696" i="42" s="1"/>
  <c r="C705" i="43" a="1"/>
  <c r="C712" i="43" s="1"/>
  <c r="I698" i="43"/>
  <c r="J698" i="43"/>
  <c r="I692" i="43"/>
  <c r="J692" i="43"/>
  <c r="I699" i="43"/>
  <c r="J699" i="43"/>
  <c r="I697" i="43"/>
  <c r="J697" i="43"/>
  <c r="I696" i="43"/>
  <c r="J696" i="43"/>
  <c r="J693" i="43"/>
  <c r="I693" i="43"/>
  <c r="J700" i="43"/>
  <c r="I700" i="43"/>
  <c r="I694" i="43"/>
  <c r="J694" i="43"/>
  <c r="I695" i="43"/>
  <c r="J695" i="43"/>
  <c r="N696" i="42" l="1"/>
  <c r="O697" i="42" s="1"/>
  <c r="Q692" i="42" s="1" a="1"/>
  <c r="R699" i="42" s="1"/>
  <c r="C711" i="43"/>
  <c r="F711" i="43" s="1"/>
  <c r="C706" i="43"/>
  <c r="F706" i="43" s="1"/>
  <c r="C713" i="43"/>
  <c r="F713" i="43" s="1"/>
  <c r="C707" i="43"/>
  <c r="F707" i="43" s="1"/>
  <c r="C708" i="43"/>
  <c r="F708" i="43" s="1"/>
  <c r="C705" i="43"/>
  <c r="F705" i="43" s="1"/>
  <c r="C710" i="43"/>
  <c r="F710" i="43" s="1"/>
  <c r="C709" i="43"/>
  <c r="F709" i="43" s="1"/>
  <c r="L694" i="43"/>
  <c r="K694" i="43"/>
  <c r="J701" i="43"/>
  <c r="K698" i="43"/>
  <c r="L698" i="43"/>
  <c r="K700" i="43"/>
  <c r="L700" i="43"/>
  <c r="F712" i="43"/>
  <c r="K697" i="43"/>
  <c r="L697" i="43"/>
  <c r="L695" i="43"/>
  <c r="K695" i="43"/>
  <c r="L692" i="43"/>
  <c r="K692" i="43"/>
  <c r="I701" i="43"/>
  <c r="K693" i="43"/>
  <c r="L693" i="43"/>
  <c r="K696" i="43"/>
  <c r="L696" i="43"/>
  <c r="K699" i="43"/>
  <c r="L699" i="43"/>
  <c r="R693" i="42" l="1"/>
  <c r="Q698" i="42"/>
  <c r="Q693" i="42"/>
  <c r="R695" i="42"/>
  <c r="R697" i="42"/>
  <c r="Q696" i="42"/>
  <c r="R698" i="42"/>
  <c r="Q692" i="42"/>
  <c r="R694" i="42"/>
  <c r="Q695" i="42"/>
  <c r="Q694" i="42"/>
  <c r="R696" i="42"/>
  <c r="Q697" i="42"/>
  <c r="Q700" i="42"/>
  <c r="R692" i="42"/>
  <c r="R700" i="42"/>
  <c r="Q699" i="42"/>
  <c r="K701" i="43"/>
  <c r="O693" i="43" s="1"/>
  <c r="L701" i="43"/>
  <c r="O692" i="43" s="1"/>
  <c r="O694" i="43" l="1"/>
  <c r="N697" i="43" s="1"/>
  <c r="O696" i="43" s="1"/>
  <c r="D705" i="42" a="1"/>
  <c r="D709" i="42" s="1"/>
  <c r="G709" i="42" s="1"/>
  <c r="B705" i="42" a="1"/>
  <c r="B713" i="42" s="1"/>
  <c r="N696" i="43" l="1"/>
  <c r="O697" i="43" s="1"/>
  <c r="B705" i="42"/>
  <c r="B709" i="42"/>
  <c r="D708" i="42"/>
  <c r="G708" i="42" s="1"/>
  <c r="I708" i="42" s="1"/>
  <c r="B707" i="42"/>
  <c r="D705" i="42"/>
  <c r="G705" i="42" s="1"/>
  <c r="I705" i="42" s="1"/>
  <c r="B710" i="42"/>
  <c r="D713" i="42"/>
  <c r="G713" i="42" s="1"/>
  <c r="J713" i="42" s="1"/>
  <c r="B712" i="42"/>
  <c r="D707" i="42"/>
  <c r="G707" i="42" s="1"/>
  <c r="I707" i="42" s="1"/>
  <c r="D706" i="42"/>
  <c r="G706" i="42" s="1"/>
  <c r="J706" i="42" s="1"/>
  <c r="B711" i="42"/>
  <c r="B706" i="42"/>
  <c r="D712" i="42"/>
  <c r="G712" i="42" s="1"/>
  <c r="I712" i="42" s="1"/>
  <c r="D710" i="42"/>
  <c r="G710" i="42" s="1"/>
  <c r="I710" i="42" s="1"/>
  <c r="B708" i="42"/>
  <c r="D711" i="42"/>
  <c r="G711" i="42" s="1"/>
  <c r="J711" i="42" s="1"/>
  <c r="J709" i="42"/>
  <c r="I709" i="42"/>
  <c r="J710" i="42" l="1"/>
  <c r="L710" i="42" s="1"/>
  <c r="I706" i="42"/>
  <c r="L706" i="42" s="1"/>
  <c r="J708" i="42"/>
  <c r="L708" i="42" s="1"/>
  <c r="I711" i="42"/>
  <c r="L711" i="42" s="1"/>
  <c r="B718" i="42" a="1"/>
  <c r="B723" i="42" s="1"/>
  <c r="G723" i="42" s="1"/>
  <c r="J707" i="42"/>
  <c r="K707" i="42" s="1"/>
  <c r="J705" i="42"/>
  <c r="K705" i="42" s="1"/>
  <c r="I713" i="42"/>
  <c r="J712" i="42"/>
  <c r="L712" i="42" s="1"/>
  <c r="Q692" i="43" a="1"/>
  <c r="Q693" i="43" s="1"/>
  <c r="L709" i="42"/>
  <c r="K709" i="42"/>
  <c r="K706" i="42" l="1"/>
  <c r="K708" i="42"/>
  <c r="K710" i="42"/>
  <c r="I714" i="42"/>
  <c r="K711" i="42"/>
  <c r="L707" i="42"/>
  <c r="K712" i="42"/>
  <c r="L713" i="42"/>
  <c r="B721" i="42"/>
  <c r="G721" i="42" s="1"/>
  <c r="I721" i="42" s="1"/>
  <c r="B724" i="42"/>
  <c r="G724" i="42" s="1"/>
  <c r="I724" i="42" s="1"/>
  <c r="B718" i="42"/>
  <c r="G718" i="42" s="1"/>
  <c r="J718" i="42" s="1"/>
  <c r="B720" i="42"/>
  <c r="G720" i="42" s="1"/>
  <c r="J720" i="42" s="1"/>
  <c r="B726" i="42"/>
  <c r="G726" i="42" s="1"/>
  <c r="I726" i="42" s="1"/>
  <c r="B722" i="42"/>
  <c r="G722" i="42" s="1"/>
  <c r="J722" i="42" s="1"/>
  <c r="B725" i="42"/>
  <c r="G725" i="42" s="1"/>
  <c r="J725" i="42" s="1"/>
  <c r="B719" i="42"/>
  <c r="G719" i="42" s="1"/>
  <c r="I719" i="42" s="1"/>
  <c r="K713" i="42"/>
  <c r="J714" i="42"/>
  <c r="L705" i="42"/>
  <c r="Q692" i="43"/>
  <c r="Q698" i="43"/>
  <c r="R695" i="43"/>
  <c r="Q695" i="43"/>
  <c r="Q700" i="43"/>
  <c r="R696" i="43"/>
  <c r="R694" i="43"/>
  <c r="R697" i="43"/>
  <c r="Q697" i="43"/>
  <c r="R700" i="43"/>
  <c r="Q696" i="43"/>
  <c r="R698" i="43"/>
  <c r="R699" i="43"/>
  <c r="Q699" i="43"/>
  <c r="R692" i="43"/>
  <c r="Q694" i="43"/>
  <c r="R693" i="43"/>
  <c r="J723" i="42"/>
  <c r="I723" i="42"/>
  <c r="J721" i="42" l="1"/>
  <c r="J724" i="42"/>
  <c r="K724" i="42" s="1"/>
  <c r="K714" i="42"/>
  <c r="O706" i="42" s="1"/>
  <c r="L714" i="42"/>
  <c r="O705" i="42" s="1"/>
  <c r="I722" i="42"/>
  <c r="K722" i="42" s="1"/>
  <c r="I718" i="42"/>
  <c r="L718" i="42" s="1"/>
  <c r="J719" i="42"/>
  <c r="L719" i="42" s="1"/>
  <c r="J726" i="42"/>
  <c r="L726" i="42" s="1"/>
  <c r="I725" i="42"/>
  <c r="I720" i="42"/>
  <c r="L720" i="42" s="1"/>
  <c r="B705" i="43" a="1"/>
  <c r="B707" i="43" s="1"/>
  <c r="D705" i="43" a="1"/>
  <c r="L721" i="42"/>
  <c r="K721" i="42"/>
  <c r="L723" i="42"/>
  <c r="K723" i="42"/>
  <c r="K719" i="42" l="1"/>
  <c r="L722" i="42"/>
  <c r="L724" i="42"/>
  <c r="K726" i="42"/>
  <c r="O707" i="42"/>
  <c r="N710" i="42" s="1"/>
  <c r="O709" i="42" s="1"/>
  <c r="K718" i="42"/>
  <c r="J727" i="42"/>
  <c r="I727" i="42"/>
  <c r="K720" i="42"/>
  <c r="K725" i="42"/>
  <c r="L725" i="42"/>
  <c r="B705" i="43"/>
  <c r="B710" i="43"/>
  <c r="B711" i="43"/>
  <c r="B713" i="43"/>
  <c r="B706" i="43"/>
  <c r="B712" i="43"/>
  <c r="B708" i="43"/>
  <c r="B709" i="43"/>
  <c r="D711" i="43"/>
  <c r="G711" i="43" s="1"/>
  <c r="J711" i="43" s="1"/>
  <c r="D708" i="43"/>
  <c r="G708" i="43" s="1"/>
  <c r="I708" i="43" s="1"/>
  <c r="D707" i="43"/>
  <c r="G707" i="43" s="1"/>
  <c r="I707" i="43" s="1"/>
  <c r="D705" i="43"/>
  <c r="G705" i="43" s="1"/>
  <c r="I705" i="43" s="1"/>
  <c r="D709" i="43"/>
  <c r="G709" i="43" s="1"/>
  <c r="I709" i="43" s="1"/>
  <c r="D710" i="43"/>
  <c r="G710" i="43" s="1"/>
  <c r="I710" i="43" s="1"/>
  <c r="D713" i="43"/>
  <c r="G713" i="43" s="1"/>
  <c r="D706" i="43"/>
  <c r="G706" i="43" s="1"/>
  <c r="I706" i="43" s="1"/>
  <c r="D712" i="43"/>
  <c r="G712" i="43" s="1"/>
  <c r="J712" i="43" s="1"/>
  <c r="L727" i="42" l="1"/>
  <c r="O718" i="42" s="1"/>
  <c r="N709" i="42"/>
  <c r="O710" i="42" s="1"/>
  <c r="Q705" i="42" s="1" a="1"/>
  <c r="K727" i="42"/>
  <c r="O719" i="42" s="1"/>
  <c r="J705" i="43"/>
  <c r="L705" i="43" s="1"/>
  <c r="J708" i="43"/>
  <c r="K708" i="43" s="1"/>
  <c r="J710" i="43"/>
  <c r="L710" i="43" s="1"/>
  <c r="I712" i="43"/>
  <c r="L712" i="43" s="1"/>
  <c r="I711" i="43"/>
  <c r="K711" i="43" s="1"/>
  <c r="J707" i="43"/>
  <c r="L707" i="43" s="1"/>
  <c r="J706" i="43"/>
  <c r="L706" i="43" s="1"/>
  <c r="B718" i="43" a="1"/>
  <c r="J713" i="43"/>
  <c r="I713" i="43"/>
  <c r="J709" i="43"/>
  <c r="K709" i="43" s="1"/>
  <c r="K705" i="43" l="1"/>
  <c r="L708" i="43"/>
  <c r="K712" i="43"/>
  <c r="O720" i="42"/>
  <c r="N722" i="42" s="1"/>
  <c r="O723" i="42" s="1"/>
  <c r="L711" i="43"/>
  <c r="L709" i="43"/>
  <c r="K710" i="43"/>
  <c r="K706" i="43"/>
  <c r="I714" i="43"/>
  <c r="K707" i="43"/>
  <c r="B723" i="43"/>
  <c r="G723" i="43" s="1"/>
  <c r="I723" i="43" s="1"/>
  <c r="B724" i="43"/>
  <c r="G724" i="43" s="1"/>
  <c r="J724" i="43" s="1"/>
  <c r="B726" i="43"/>
  <c r="G726" i="43" s="1"/>
  <c r="I726" i="43" s="1"/>
  <c r="B719" i="43"/>
  <c r="G719" i="43" s="1"/>
  <c r="I719" i="43" s="1"/>
  <c r="B721" i="43"/>
  <c r="G721" i="43" s="1"/>
  <c r="J721" i="43" s="1"/>
  <c r="B718" i="43"/>
  <c r="G718" i="43" s="1"/>
  <c r="J718" i="43" s="1"/>
  <c r="B722" i="43"/>
  <c r="G722" i="43" s="1"/>
  <c r="I722" i="43" s="1"/>
  <c r="B725" i="43"/>
  <c r="G725" i="43" s="1"/>
  <c r="J725" i="43" s="1"/>
  <c r="B720" i="43"/>
  <c r="G720" i="43" s="1"/>
  <c r="I720" i="43" s="1"/>
  <c r="J714" i="43"/>
  <c r="L713" i="43"/>
  <c r="K713" i="43"/>
  <c r="Q713" i="42"/>
  <c r="Q711" i="42"/>
  <c r="Q709" i="42"/>
  <c r="Q707" i="42"/>
  <c r="Q705" i="42"/>
  <c r="R712" i="42"/>
  <c r="R710" i="42"/>
  <c r="R708" i="42"/>
  <c r="R706" i="42"/>
  <c r="Q712" i="42"/>
  <c r="Q710" i="42"/>
  <c r="Q708" i="42"/>
  <c r="Q706" i="42"/>
  <c r="R707" i="42"/>
  <c r="R713" i="42"/>
  <c r="R705" i="42"/>
  <c r="R711" i="42"/>
  <c r="R709" i="42"/>
  <c r="I724" i="43" l="1"/>
  <c r="K724" i="43" s="1"/>
  <c r="N723" i="42"/>
  <c r="O722" i="42" s="1"/>
  <c r="I725" i="43"/>
  <c r="K725" i="43" s="1"/>
  <c r="J720" i="43"/>
  <c r="L720" i="43" s="1"/>
  <c r="I721" i="43"/>
  <c r="L714" i="43"/>
  <c r="O705" i="43" s="1"/>
  <c r="J726" i="43"/>
  <c r="L726" i="43" s="1"/>
  <c r="K714" i="43"/>
  <c r="O706" i="43" s="1"/>
  <c r="J722" i="43"/>
  <c r="L722" i="43" s="1"/>
  <c r="Q718" i="42" a="1"/>
  <c r="R722" i="42" s="1"/>
  <c r="I718" i="43"/>
  <c r="L718" i="43" s="1"/>
  <c r="J723" i="43"/>
  <c r="L723" i="43" s="1"/>
  <c r="J719" i="43"/>
  <c r="K719" i="43" s="1"/>
  <c r="D718" i="42" a="1"/>
  <c r="C718" i="42" a="1"/>
  <c r="L724" i="43" l="1"/>
  <c r="O707" i="43"/>
  <c r="L725" i="43"/>
  <c r="K718" i="43"/>
  <c r="K726" i="43"/>
  <c r="I727" i="43"/>
  <c r="K720" i="43"/>
  <c r="K723" i="43"/>
  <c r="L721" i="43"/>
  <c r="K721" i="43"/>
  <c r="K722" i="43"/>
  <c r="R721" i="42"/>
  <c r="R718" i="42"/>
  <c r="R719" i="42"/>
  <c r="Q721" i="42"/>
  <c r="Q723" i="42"/>
  <c r="Q718" i="42"/>
  <c r="R720" i="42"/>
  <c r="Q722" i="42"/>
  <c r="Q719" i="42"/>
  <c r="Q720" i="42"/>
  <c r="R724" i="42"/>
  <c r="J727" i="43"/>
  <c r="L719" i="43"/>
  <c r="Q725" i="42"/>
  <c r="R723" i="42"/>
  <c r="Q726" i="42"/>
  <c r="R726" i="42"/>
  <c r="R725" i="42"/>
  <c r="Q724" i="42"/>
  <c r="C726" i="42"/>
  <c r="C722" i="42"/>
  <c r="C718" i="42"/>
  <c r="C725" i="42"/>
  <c r="C721" i="42"/>
  <c r="C724" i="42"/>
  <c r="C720" i="42"/>
  <c r="C723" i="42"/>
  <c r="C719" i="42"/>
  <c r="D724" i="42"/>
  <c r="D720" i="42"/>
  <c r="D723" i="42"/>
  <c r="D719" i="42"/>
  <c r="D726" i="42"/>
  <c r="D722" i="42"/>
  <c r="D718" i="42"/>
  <c r="D721" i="42"/>
  <c r="D725" i="42"/>
  <c r="N709" i="43" l="1"/>
  <c r="O710" i="43" s="1"/>
  <c r="N710" i="43"/>
  <c r="O709" i="43" s="1"/>
  <c r="Q705" i="43" a="1"/>
  <c r="K727" i="43"/>
  <c r="O719" i="43" s="1"/>
  <c r="L727" i="43"/>
  <c r="O718" i="43" s="1"/>
  <c r="B731" i="42" a="1"/>
  <c r="B737" i="42" s="1"/>
  <c r="A731" i="42" a="1"/>
  <c r="A739" i="42" s="1"/>
  <c r="F739" i="42" s="1"/>
  <c r="D731" i="42" a="1"/>
  <c r="D738" i="42" s="1"/>
  <c r="C731" i="42" a="1"/>
  <c r="O720" i="43" l="1"/>
  <c r="A733" i="42"/>
  <c r="F733" i="42" s="1"/>
  <c r="R712" i="43"/>
  <c r="R710" i="43"/>
  <c r="R709" i="43"/>
  <c r="Q707" i="43"/>
  <c r="R706" i="43"/>
  <c r="R711" i="43"/>
  <c r="R705" i="43"/>
  <c r="Q711" i="43"/>
  <c r="R707" i="43"/>
  <c r="Q708" i="43"/>
  <c r="Q709" i="43"/>
  <c r="Q710" i="43"/>
  <c r="R708" i="43"/>
  <c r="R713" i="43"/>
  <c r="A731" i="42"/>
  <c r="F731" i="42" s="1"/>
  <c r="B731" i="42"/>
  <c r="B734" i="42"/>
  <c r="B736" i="42"/>
  <c r="B739" i="42"/>
  <c r="B733" i="42"/>
  <c r="Q712" i="43"/>
  <c r="Q706" i="43"/>
  <c r="Q705" i="43"/>
  <c r="Q713" i="43"/>
  <c r="B732" i="42"/>
  <c r="B738" i="42"/>
  <c r="A735" i="42"/>
  <c r="F735" i="42" s="1"/>
  <c r="B735" i="42"/>
  <c r="A737" i="42"/>
  <c r="F737" i="42" s="1"/>
  <c r="A732" i="42"/>
  <c r="F732" i="42" s="1"/>
  <c r="A738" i="42"/>
  <c r="F738" i="42" s="1"/>
  <c r="A736" i="42"/>
  <c r="F736" i="42" s="1"/>
  <c r="A734" i="42"/>
  <c r="F734" i="42" s="1"/>
  <c r="D735" i="42"/>
  <c r="D733" i="42"/>
  <c r="D731" i="42"/>
  <c r="D734" i="42"/>
  <c r="D732" i="42"/>
  <c r="D739" i="42"/>
  <c r="D737" i="42"/>
  <c r="D736" i="42"/>
  <c r="C736" i="42"/>
  <c r="G736" i="42" s="1"/>
  <c r="C732" i="42"/>
  <c r="G732" i="42" s="1"/>
  <c r="C739" i="42"/>
  <c r="G739" i="42" s="1"/>
  <c r="I739" i="42" s="1"/>
  <c r="C735" i="42"/>
  <c r="G735" i="42" s="1"/>
  <c r="C731" i="42"/>
  <c r="G731" i="42" s="1"/>
  <c r="C738" i="42"/>
  <c r="G738" i="42" s="1"/>
  <c r="C734" i="42"/>
  <c r="G734" i="42" s="1"/>
  <c r="C737" i="42"/>
  <c r="G737" i="42" s="1"/>
  <c r="C733" i="42"/>
  <c r="G733" i="42" s="1"/>
  <c r="N722" i="43" l="1"/>
  <c r="O723" i="43" s="1"/>
  <c r="N723" i="43"/>
  <c r="O722" i="43" s="1"/>
  <c r="J733" i="42"/>
  <c r="C718" i="43" a="1"/>
  <c r="C724" i="43" s="1"/>
  <c r="D718" i="43" a="1"/>
  <c r="D722" i="43" s="1"/>
  <c r="I738" i="42"/>
  <c r="B744" i="42" a="1"/>
  <c r="B751" i="42" s="1"/>
  <c r="I735" i="42"/>
  <c r="I734" i="42"/>
  <c r="J732" i="42"/>
  <c r="J737" i="42"/>
  <c r="B741" i="42"/>
  <c r="J736" i="42"/>
  <c r="D744" i="42" a="1"/>
  <c r="D744" i="42" s="1"/>
  <c r="G744" i="42" s="1"/>
  <c r="J738" i="42"/>
  <c r="J739" i="42"/>
  <c r="L739" i="42" s="1"/>
  <c r="J735" i="42"/>
  <c r="J734" i="42"/>
  <c r="I732" i="42"/>
  <c r="I736" i="42"/>
  <c r="I737" i="42"/>
  <c r="I731" i="42"/>
  <c r="J731" i="42"/>
  <c r="I733" i="42"/>
  <c r="Q718" i="43" l="1" a="1"/>
  <c r="Q725" i="43" s="1"/>
  <c r="C721" i="43"/>
  <c r="B752" i="42"/>
  <c r="C722" i="43"/>
  <c r="C725" i="43"/>
  <c r="B745" i="42"/>
  <c r="C718" i="43"/>
  <c r="C720" i="43"/>
  <c r="B750" i="42"/>
  <c r="C726" i="43"/>
  <c r="D720" i="43"/>
  <c r="D726" i="43"/>
  <c r="D725" i="43"/>
  <c r="D719" i="43"/>
  <c r="D723" i="43"/>
  <c r="L738" i="42"/>
  <c r="D724" i="43"/>
  <c r="D718" i="43"/>
  <c r="K734" i="42"/>
  <c r="C719" i="43"/>
  <c r="C723" i="43"/>
  <c r="D721" i="43"/>
  <c r="B747" i="42"/>
  <c r="B744" i="42"/>
  <c r="B749" i="42"/>
  <c r="B748" i="42"/>
  <c r="B746" i="42"/>
  <c r="L735" i="42"/>
  <c r="L732" i="42"/>
  <c r="L736" i="42"/>
  <c r="D749" i="42"/>
  <c r="G749" i="42" s="1"/>
  <c r="D748" i="42"/>
  <c r="G748" i="42" s="1"/>
  <c r="D746" i="42"/>
  <c r="G746" i="42" s="1"/>
  <c r="D752" i="42"/>
  <c r="G752" i="42" s="1"/>
  <c r="D745" i="42"/>
  <c r="G745" i="42" s="1"/>
  <c r="K736" i="42"/>
  <c r="L734" i="42"/>
  <c r="K738" i="42"/>
  <c r="D747" i="42"/>
  <c r="G747" i="42" s="1"/>
  <c r="D750" i="42"/>
  <c r="G750" i="42" s="1"/>
  <c r="K732" i="42"/>
  <c r="D751" i="42"/>
  <c r="G751" i="42" s="1"/>
  <c r="J740" i="42"/>
  <c r="K735" i="42"/>
  <c r="K739" i="42"/>
  <c r="L733" i="42"/>
  <c r="K733" i="42"/>
  <c r="L731" i="42"/>
  <c r="I740" i="42"/>
  <c r="K731" i="42"/>
  <c r="K737" i="42"/>
  <c r="L737" i="42"/>
  <c r="R723" i="43" l="1"/>
  <c r="Q723" i="43"/>
  <c r="Q722" i="43"/>
  <c r="Q719" i="43"/>
  <c r="Q720" i="43"/>
  <c r="R720" i="43"/>
  <c r="R725" i="43"/>
  <c r="R722" i="43"/>
  <c r="Q718" i="43"/>
  <c r="R726" i="43"/>
  <c r="Q726" i="43"/>
  <c r="R719" i="43"/>
  <c r="Q721" i="43"/>
  <c r="Q724" i="43"/>
  <c r="R718" i="43"/>
  <c r="B731" i="43" s="1" a="1"/>
  <c r="R721" i="43"/>
  <c r="R724" i="43"/>
  <c r="C731" i="43" a="1"/>
  <c r="C737" i="43" s="1"/>
  <c r="G737" i="43" s="1"/>
  <c r="D731" i="43" a="1"/>
  <c r="D739" i="43" s="1"/>
  <c r="B757" i="42" a="1"/>
  <c r="B757" i="42" s="1"/>
  <c r="F757" i="42" s="1"/>
  <c r="L740" i="42"/>
  <c r="O731" i="42" s="1"/>
  <c r="K740" i="42"/>
  <c r="O732" i="42" s="1"/>
  <c r="A731" i="43" l="1" a="1"/>
  <c r="A737" i="43" s="1"/>
  <c r="C736" i="43"/>
  <c r="G736" i="43" s="1"/>
  <c r="D738" i="43"/>
  <c r="C732" i="43"/>
  <c r="G732" i="43" s="1"/>
  <c r="C739" i="43"/>
  <c r="G739" i="43" s="1"/>
  <c r="C733" i="43"/>
  <c r="G733" i="43" s="1"/>
  <c r="C735" i="43"/>
  <c r="G735" i="43" s="1"/>
  <c r="C738" i="43"/>
  <c r="G738" i="43" s="1"/>
  <c r="C734" i="43"/>
  <c r="G734" i="43" s="1"/>
  <c r="D732" i="43"/>
  <c r="D733" i="43"/>
  <c r="D734" i="43"/>
  <c r="C731" i="43"/>
  <c r="G731" i="43" s="1"/>
  <c r="D731" i="43"/>
  <c r="D737" i="43"/>
  <c r="D735" i="43"/>
  <c r="B761" i="42"/>
  <c r="F761" i="42" s="1"/>
  <c r="B760" i="42"/>
  <c r="F760" i="42" s="1"/>
  <c r="B764" i="42"/>
  <c r="F764" i="42" s="1"/>
  <c r="B765" i="42"/>
  <c r="F765" i="42" s="1"/>
  <c r="B763" i="42"/>
  <c r="F763" i="42" s="1"/>
  <c r="B759" i="42"/>
  <c r="F759" i="42" s="1"/>
  <c r="D736" i="43"/>
  <c r="B758" i="42"/>
  <c r="F758" i="42" s="1"/>
  <c r="B762" i="42"/>
  <c r="F762" i="42" s="1"/>
  <c r="A733" i="43"/>
  <c r="F733" i="43" s="1"/>
  <c r="A734" i="43"/>
  <c r="F734" i="43" s="1"/>
  <c r="B738" i="43"/>
  <c r="B734" i="43"/>
  <c r="B739" i="43"/>
  <c r="B735" i="43"/>
  <c r="B731" i="43"/>
  <c r="B737" i="43"/>
  <c r="B732" i="43"/>
  <c r="B736" i="43"/>
  <c r="B733" i="43"/>
  <c r="F737" i="43"/>
  <c r="O733" i="42"/>
  <c r="A738" i="43" l="1"/>
  <c r="F738" i="43" s="1"/>
  <c r="I738" i="43" s="1"/>
  <c r="A736" i="43"/>
  <c r="F736" i="43" s="1"/>
  <c r="A739" i="43"/>
  <c r="F739" i="43" s="1"/>
  <c r="I739" i="43" s="1"/>
  <c r="A735" i="43"/>
  <c r="F735" i="43" s="1"/>
  <c r="I735" i="43" s="1"/>
  <c r="A731" i="43"/>
  <c r="F731" i="43" s="1"/>
  <c r="A732" i="43"/>
  <c r="F732" i="43" s="1"/>
  <c r="I732" i="43" s="1"/>
  <c r="D744" i="43" a="1"/>
  <c r="D748" i="43" s="1"/>
  <c r="G748" i="43" s="1"/>
  <c r="B744" i="43" a="1"/>
  <c r="I733" i="43"/>
  <c r="J733" i="43"/>
  <c r="I736" i="43"/>
  <c r="J736" i="43"/>
  <c r="J734" i="43"/>
  <c r="I734" i="43"/>
  <c r="I737" i="43"/>
  <c r="J737" i="43"/>
  <c r="N736" i="42"/>
  <c r="O735" i="42" s="1"/>
  <c r="N735" i="42"/>
  <c r="J738" i="43" l="1"/>
  <c r="L738" i="43" s="1"/>
  <c r="J735" i="43"/>
  <c r="J739" i="43"/>
  <c r="K739" i="43" s="1"/>
  <c r="J732" i="43"/>
  <c r="L732" i="43" s="1"/>
  <c r="B741" i="43"/>
  <c r="D745" i="43"/>
  <c r="G745" i="43" s="1"/>
  <c r="D749" i="43"/>
  <c r="G749" i="43" s="1"/>
  <c r="D747" i="43"/>
  <c r="G747" i="43" s="1"/>
  <c r="D752" i="43"/>
  <c r="G752" i="43" s="1"/>
  <c r="D746" i="43"/>
  <c r="G746" i="43" s="1"/>
  <c r="D744" i="43"/>
  <c r="G744" i="43" s="1"/>
  <c r="D751" i="43"/>
  <c r="G751" i="43" s="1"/>
  <c r="D750" i="43"/>
  <c r="G750" i="43" s="1"/>
  <c r="B750" i="43"/>
  <c r="B746" i="43"/>
  <c r="B751" i="43"/>
  <c r="B747" i="43"/>
  <c r="B749" i="43"/>
  <c r="B752" i="43"/>
  <c r="B744" i="43"/>
  <c r="B748" i="43"/>
  <c r="B745" i="43"/>
  <c r="K733" i="43"/>
  <c r="L733" i="43"/>
  <c r="K738" i="43"/>
  <c r="L737" i="43"/>
  <c r="K737" i="43"/>
  <c r="L736" i="43"/>
  <c r="K736" i="43"/>
  <c r="L735" i="43"/>
  <c r="K735" i="43"/>
  <c r="J731" i="43"/>
  <c r="J740" i="43" s="1"/>
  <c r="I731" i="43"/>
  <c r="L739" i="43"/>
  <c r="K734" i="43"/>
  <c r="L734" i="43"/>
  <c r="O736" i="42"/>
  <c r="Q731" i="42" s="1" a="1"/>
  <c r="K732" i="43" l="1"/>
  <c r="B757" i="43" a="1"/>
  <c r="I740" i="43"/>
  <c r="L731" i="43"/>
  <c r="L740" i="43" s="1"/>
  <c r="K731" i="43"/>
  <c r="K740" i="43" s="1"/>
  <c r="Q738" i="42"/>
  <c r="Q736" i="42"/>
  <c r="Q734" i="42"/>
  <c r="Q732" i="42"/>
  <c r="R739" i="42"/>
  <c r="R737" i="42"/>
  <c r="R735" i="42"/>
  <c r="R733" i="42"/>
  <c r="R731" i="42"/>
  <c r="Q739" i="42"/>
  <c r="Q737" i="42"/>
  <c r="Q735" i="42"/>
  <c r="Q733" i="42"/>
  <c r="Q731" i="42"/>
  <c r="R738" i="42"/>
  <c r="R736" i="42"/>
  <c r="R734" i="42"/>
  <c r="R732" i="42"/>
  <c r="O732" i="43" l="1"/>
  <c r="O731" i="43"/>
  <c r="O733" i="43" s="1"/>
  <c r="B763" i="43"/>
  <c r="F763" i="43" s="1"/>
  <c r="B759" i="43"/>
  <c r="F759" i="43" s="1"/>
  <c r="B761" i="43"/>
  <c r="F761" i="43" s="1"/>
  <c r="B762" i="43"/>
  <c r="F762" i="43" s="1"/>
  <c r="B757" i="43"/>
  <c r="F757" i="43" s="1"/>
  <c r="B760" i="43"/>
  <c r="F760" i="43" s="1"/>
  <c r="B764" i="43"/>
  <c r="F764" i="43" s="1"/>
  <c r="B765" i="43"/>
  <c r="F765" i="43" s="1"/>
  <c r="B758" i="43"/>
  <c r="F758" i="43" s="1"/>
  <c r="A744" i="42" a="1"/>
  <c r="C744" i="42" a="1"/>
  <c r="N736" i="43" l="1"/>
  <c r="O735" i="43" s="1"/>
  <c r="N735" i="43"/>
  <c r="O736" i="43" s="1"/>
  <c r="C750" i="42"/>
  <c r="C746" i="42"/>
  <c r="C749" i="42"/>
  <c r="C745" i="42"/>
  <c r="C752" i="42"/>
  <c r="C748" i="42"/>
  <c r="C744" i="42"/>
  <c r="C747" i="42"/>
  <c r="C751" i="42"/>
  <c r="A750" i="42"/>
  <c r="F750" i="42" s="1"/>
  <c r="A746" i="42"/>
  <c r="F746" i="42" s="1"/>
  <c r="A749" i="42"/>
  <c r="F749" i="42" s="1"/>
  <c r="A745" i="42"/>
  <c r="F745" i="42" s="1"/>
  <c r="A752" i="42"/>
  <c r="F752" i="42" s="1"/>
  <c r="A748" i="42"/>
  <c r="F748" i="42" s="1"/>
  <c r="A744" i="42"/>
  <c r="A751" i="42"/>
  <c r="F751" i="42" s="1"/>
  <c r="A747" i="42"/>
  <c r="F747" i="42" s="1"/>
  <c r="J748" i="42" l="1"/>
  <c r="I748" i="42"/>
  <c r="I746" i="42"/>
  <c r="J746" i="42"/>
  <c r="C757" i="42" a="1"/>
  <c r="F744" i="42"/>
  <c r="B754" i="42"/>
  <c r="J749" i="42"/>
  <c r="I749" i="42"/>
  <c r="J747" i="42"/>
  <c r="I747" i="42"/>
  <c r="J752" i="42"/>
  <c r="I752" i="42"/>
  <c r="J750" i="42"/>
  <c r="I750" i="42"/>
  <c r="J751" i="42"/>
  <c r="I751" i="42"/>
  <c r="J745" i="42"/>
  <c r="I745" i="42"/>
  <c r="Q731" i="43" l="1" a="1"/>
  <c r="R734" i="43" s="1"/>
  <c r="L745" i="42"/>
  <c r="K745" i="42"/>
  <c r="L750" i="42"/>
  <c r="K750" i="42"/>
  <c r="L747" i="42"/>
  <c r="K747" i="42"/>
  <c r="L746" i="42"/>
  <c r="K746" i="42"/>
  <c r="J744" i="42"/>
  <c r="J753" i="42" s="1"/>
  <c r="I744" i="42"/>
  <c r="L748" i="42"/>
  <c r="K748" i="42"/>
  <c r="L751" i="42"/>
  <c r="K751" i="42"/>
  <c r="L752" i="42"/>
  <c r="K752" i="42"/>
  <c r="L749" i="42"/>
  <c r="K749" i="42"/>
  <c r="C765" i="42"/>
  <c r="G765" i="42" s="1"/>
  <c r="C761" i="42"/>
  <c r="G761" i="42" s="1"/>
  <c r="C757" i="42"/>
  <c r="G757" i="42" s="1"/>
  <c r="C763" i="42"/>
  <c r="G763" i="42" s="1"/>
  <c r="C758" i="42"/>
  <c r="G758" i="42" s="1"/>
  <c r="C762" i="42"/>
  <c r="G762" i="42" s="1"/>
  <c r="C760" i="42"/>
  <c r="G760" i="42" s="1"/>
  <c r="C759" i="42"/>
  <c r="G759" i="42" s="1"/>
  <c r="C764" i="42"/>
  <c r="G764" i="42" s="1"/>
  <c r="R731" i="43" l="1"/>
  <c r="Q738" i="43"/>
  <c r="R737" i="43"/>
  <c r="R735" i="43"/>
  <c r="R733" i="43"/>
  <c r="R732" i="43"/>
  <c r="Q733" i="43"/>
  <c r="Q736" i="43"/>
  <c r="Q737" i="43"/>
  <c r="R736" i="43"/>
  <c r="Q739" i="43"/>
  <c r="Q731" i="43"/>
  <c r="Q735" i="43"/>
  <c r="R738" i="43"/>
  <c r="R739" i="43"/>
  <c r="Q734" i="43"/>
  <c r="Q732" i="43"/>
  <c r="J764" i="42"/>
  <c r="I764" i="42"/>
  <c r="I758" i="42"/>
  <c r="J758" i="42"/>
  <c r="J765" i="42"/>
  <c r="I765" i="42"/>
  <c r="J759" i="42"/>
  <c r="I759" i="42"/>
  <c r="I763" i="42"/>
  <c r="J763" i="42"/>
  <c r="L744" i="42"/>
  <c r="L753" i="42" s="1"/>
  <c r="I753" i="42"/>
  <c r="K744" i="42"/>
  <c r="K753" i="42" s="1"/>
  <c r="J760" i="42"/>
  <c r="I760" i="42"/>
  <c r="J757" i="42"/>
  <c r="I757" i="42"/>
  <c r="J762" i="42"/>
  <c r="I762" i="42"/>
  <c r="J761" i="42"/>
  <c r="I761" i="42"/>
  <c r="O744" i="42" l="1"/>
  <c r="C744" i="43" a="1"/>
  <c r="C744" i="43" s="1"/>
  <c r="A744" i="43" a="1"/>
  <c r="A752" i="43" s="1"/>
  <c r="F752" i="43" s="1"/>
  <c r="L762" i="42"/>
  <c r="K762" i="42"/>
  <c r="L760" i="42"/>
  <c r="K760" i="42"/>
  <c r="L758" i="42"/>
  <c r="K758" i="42"/>
  <c r="J766" i="42"/>
  <c r="K759" i="42"/>
  <c r="L759" i="42"/>
  <c r="L765" i="42"/>
  <c r="K765" i="42"/>
  <c r="L764" i="42"/>
  <c r="K764" i="42"/>
  <c r="L761" i="42"/>
  <c r="K761" i="42"/>
  <c r="L757" i="42"/>
  <c r="I766" i="42"/>
  <c r="K757" i="42"/>
  <c r="O745" i="42"/>
  <c r="L763" i="42"/>
  <c r="K763" i="42"/>
  <c r="C749" i="43" l="1"/>
  <c r="C752" i="43"/>
  <c r="C747" i="43"/>
  <c r="C748" i="43"/>
  <c r="A751" i="43"/>
  <c r="F751" i="43" s="1"/>
  <c r="J751" i="43" s="1"/>
  <c r="A749" i="43"/>
  <c r="F749" i="43" s="1"/>
  <c r="I749" i="43" s="1"/>
  <c r="C750" i="43"/>
  <c r="C745" i="43"/>
  <c r="A745" i="43"/>
  <c r="F745" i="43" s="1"/>
  <c r="J745" i="43" s="1"/>
  <c r="C746" i="43"/>
  <c r="C751" i="43"/>
  <c r="A750" i="43"/>
  <c r="F750" i="43" s="1"/>
  <c r="I750" i="43" s="1"/>
  <c r="A744" i="43"/>
  <c r="F744" i="43" s="1"/>
  <c r="A746" i="43"/>
  <c r="F746" i="43" s="1"/>
  <c r="A748" i="43"/>
  <c r="F748" i="43" s="1"/>
  <c r="I748" i="43" s="1"/>
  <c r="A747" i="43"/>
  <c r="F747" i="43" s="1"/>
  <c r="I747" i="43" s="1"/>
  <c r="I752" i="43"/>
  <c r="J752" i="43"/>
  <c r="K766" i="42"/>
  <c r="L766" i="42"/>
  <c r="O746" i="42"/>
  <c r="I751" i="43" l="1"/>
  <c r="L751" i="43" s="1"/>
  <c r="J750" i="43"/>
  <c r="L750" i="43" s="1"/>
  <c r="I745" i="43"/>
  <c r="L745" i="43" s="1"/>
  <c r="J749" i="43"/>
  <c r="K749" i="43" s="1"/>
  <c r="J747" i="43"/>
  <c r="K747" i="43" s="1"/>
  <c r="C757" i="43" a="1"/>
  <c r="C765" i="43" s="1"/>
  <c r="G765" i="43" s="1"/>
  <c r="J765" i="43" s="1"/>
  <c r="J746" i="43"/>
  <c r="I746" i="43"/>
  <c r="J748" i="43"/>
  <c r="L748" i="43" s="1"/>
  <c r="B754" i="43"/>
  <c r="L752" i="43"/>
  <c r="K752" i="43"/>
  <c r="I744" i="43"/>
  <c r="J744" i="43"/>
  <c r="N749" i="42"/>
  <c r="O748" i="42" s="1"/>
  <c r="N748" i="42"/>
  <c r="K751" i="43" l="1"/>
  <c r="K750" i="43"/>
  <c r="K745" i="43"/>
  <c r="L747" i="43"/>
  <c r="L749" i="43"/>
  <c r="K746" i="43"/>
  <c r="C758" i="43"/>
  <c r="G758" i="43" s="1"/>
  <c r="J758" i="43" s="1"/>
  <c r="C759" i="43"/>
  <c r="G759" i="43" s="1"/>
  <c r="I759" i="43" s="1"/>
  <c r="I765" i="43"/>
  <c r="L765" i="43" s="1"/>
  <c r="C764" i="43"/>
  <c r="G764" i="43" s="1"/>
  <c r="I764" i="43" s="1"/>
  <c r="C760" i="43"/>
  <c r="G760" i="43" s="1"/>
  <c r="J760" i="43" s="1"/>
  <c r="L746" i="43"/>
  <c r="C761" i="43"/>
  <c r="G761" i="43" s="1"/>
  <c r="J761" i="43" s="1"/>
  <c r="J753" i="43"/>
  <c r="K748" i="43"/>
  <c r="C763" i="43"/>
  <c r="G763" i="43" s="1"/>
  <c r="I763" i="43" s="1"/>
  <c r="C762" i="43"/>
  <c r="G762" i="43" s="1"/>
  <c r="I762" i="43" s="1"/>
  <c r="C757" i="43"/>
  <c r="G757" i="43" s="1"/>
  <c r="J757" i="43" s="1"/>
  <c r="I753" i="43"/>
  <c r="K744" i="43"/>
  <c r="L744" i="43"/>
  <c r="O749" i="42"/>
  <c r="Q744" i="42" s="1" a="1"/>
  <c r="J764" i="43" l="1"/>
  <c r="L764" i="43" s="1"/>
  <c r="J762" i="43"/>
  <c r="L762" i="43" s="1"/>
  <c r="I757" i="43"/>
  <c r="K757" i="43" s="1"/>
  <c r="I758" i="43"/>
  <c r="K758" i="43" s="1"/>
  <c r="I760" i="43"/>
  <c r="K760" i="43" s="1"/>
  <c r="J763" i="43"/>
  <c r="L763" i="43" s="1"/>
  <c r="J759" i="43"/>
  <c r="K759" i="43" s="1"/>
  <c r="L753" i="43"/>
  <c r="O744" i="43" s="1"/>
  <c r="K764" i="43"/>
  <c r="K765" i="43"/>
  <c r="I761" i="43"/>
  <c r="L761" i="43" s="1"/>
  <c r="K753" i="43"/>
  <c r="O745" i="43" s="1"/>
  <c r="K762" i="43"/>
  <c r="R751" i="42"/>
  <c r="R749" i="42"/>
  <c r="R747" i="42"/>
  <c r="R745" i="42"/>
  <c r="Q751" i="42"/>
  <c r="Q749" i="42"/>
  <c r="Q747" i="42"/>
  <c r="Q745" i="42"/>
  <c r="R752" i="42"/>
  <c r="R750" i="42"/>
  <c r="R748" i="42"/>
  <c r="R746" i="42"/>
  <c r="R744" i="42"/>
  <c r="Q748" i="42"/>
  <c r="Q746" i="42"/>
  <c r="Q752" i="42"/>
  <c r="Q744" i="42"/>
  <c r="Q750" i="42"/>
  <c r="O746" i="43" l="1"/>
  <c r="N749" i="43" s="1"/>
  <c r="O748" i="43" s="1"/>
  <c r="L757" i="43"/>
  <c r="J766" i="43"/>
  <c r="L758" i="43"/>
  <c r="L760" i="43"/>
  <c r="K763" i="43"/>
  <c r="I766" i="43"/>
  <c r="K761" i="43"/>
  <c r="L759" i="43"/>
  <c r="A757" i="42" a="1"/>
  <c r="A762" i="42" s="1"/>
  <c r="D757" i="42" a="1"/>
  <c r="D764" i="42" s="1"/>
  <c r="N748" i="43" l="1"/>
  <c r="O749" i="43" s="1"/>
  <c r="L766" i="43"/>
  <c r="K766" i="43"/>
  <c r="Q744" i="43" a="1"/>
  <c r="Q750" i="43" s="1"/>
  <c r="D763" i="42"/>
  <c r="D757" i="42"/>
  <c r="A760" i="42"/>
  <c r="D762" i="42"/>
  <c r="A763" i="42"/>
  <c r="A757" i="42"/>
  <c r="D760" i="42"/>
  <c r="D758" i="42"/>
  <c r="A759" i="42"/>
  <c r="A761" i="42"/>
  <c r="D761" i="42"/>
  <c r="D759" i="42"/>
  <c r="A764" i="42"/>
  <c r="A765" i="42"/>
  <c r="D765" i="42"/>
  <c r="A758" i="42"/>
  <c r="Q749" i="43" l="1"/>
  <c r="R746" i="43"/>
  <c r="R751" i="43"/>
  <c r="Q744" i="43"/>
  <c r="Q752" i="43"/>
  <c r="R745" i="43"/>
  <c r="Q751" i="43"/>
  <c r="Q745" i="43"/>
  <c r="Q746" i="43"/>
  <c r="Q747" i="43"/>
  <c r="R744" i="43"/>
  <c r="R747" i="43"/>
  <c r="Q748" i="43"/>
  <c r="R749" i="43"/>
  <c r="R752" i="43"/>
  <c r="R748" i="43"/>
  <c r="R750" i="43"/>
  <c r="D770" i="42" a="1"/>
  <c r="D777" i="42" s="1"/>
  <c r="G777" i="42" s="1"/>
  <c r="B767" i="42"/>
  <c r="A770" i="42" a="1"/>
  <c r="A778" i="42" s="1"/>
  <c r="O758" i="42" l="1"/>
  <c r="O757" i="42"/>
  <c r="A757" i="43" a="1"/>
  <c r="D757" i="43" a="1"/>
  <c r="D771" i="42"/>
  <c r="G771" i="42" s="1"/>
  <c r="D773" i="42"/>
  <c r="G773" i="42" s="1"/>
  <c r="D778" i="42"/>
  <c r="G778" i="42" s="1"/>
  <c r="D772" i="42"/>
  <c r="G772" i="42" s="1"/>
  <c r="D774" i="42"/>
  <c r="G774" i="42" s="1"/>
  <c r="D776" i="42"/>
  <c r="G776" i="42" s="1"/>
  <c r="D770" i="42"/>
  <c r="G770" i="42" s="1"/>
  <c r="D775" i="42"/>
  <c r="G775" i="42" s="1"/>
  <c r="A771" i="42"/>
  <c r="A770" i="42"/>
  <c r="A776" i="42"/>
  <c r="A775" i="42"/>
  <c r="A777" i="42"/>
  <c r="A772" i="42"/>
  <c r="A774" i="42"/>
  <c r="A773" i="42"/>
  <c r="O759" i="42" l="1"/>
  <c r="N762" i="42" s="1"/>
  <c r="O761" i="42" s="1"/>
  <c r="D763" i="43"/>
  <c r="D759" i="43"/>
  <c r="D762" i="43"/>
  <c r="D757" i="43"/>
  <c r="D764" i="43"/>
  <c r="D758" i="43"/>
  <c r="D761" i="43"/>
  <c r="D765" i="43"/>
  <c r="D760" i="43"/>
  <c r="A765" i="43"/>
  <c r="A761" i="43"/>
  <c r="A757" i="43"/>
  <c r="A760" i="43"/>
  <c r="A762" i="43"/>
  <c r="A759" i="43"/>
  <c r="A763" i="43"/>
  <c r="A758" i="43"/>
  <c r="A764" i="43"/>
  <c r="A783" i="42" a="1"/>
  <c r="A785" i="42" s="1"/>
  <c r="B780" i="42"/>
  <c r="N761" i="42" l="1"/>
  <c r="O762" i="42" s="1"/>
  <c r="Q757" i="42" s="1" a="1"/>
  <c r="D770" i="43" a="1"/>
  <c r="D775" i="43" s="1"/>
  <c r="G775" i="43" s="1"/>
  <c r="A770" i="43" a="1"/>
  <c r="B767" i="43"/>
  <c r="A784" i="42"/>
  <c r="A790" i="42"/>
  <c r="A791" i="42"/>
  <c r="A786" i="42"/>
  <c r="A789" i="42"/>
  <c r="A783" i="42"/>
  <c r="A788" i="42"/>
  <c r="A787" i="42"/>
  <c r="O758" i="43" l="1"/>
  <c r="O757" i="43"/>
  <c r="D774" i="43"/>
  <c r="G774" i="43" s="1"/>
  <c r="D772" i="43"/>
  <c r="G772" i="43" s="1"/>
  <c r="D776" i="43"/>
  <c r="G776" i="43" s="1"/>
  <c r="D777" i="43"/>
  <c r="G777" i="43" s="1"/>
  <c r="D773" i="43"/>
  <c r="G773" i="43" s="1"/>
  <c r="D771" i="43"/>
  <c r="G771" i="43" s="1"/>
  <c r="D770" i="43"/>
  <c r="G770" i="43" s="1"/>
  <c r="D778" i="43"/>
  <c r="G778" i="43" s="1"/>
  <c r="A777" i="43"/>
  <c r="A773" i="43"/>
  <c r="A775" i="43"/>
  <c r="A770" i="43"/>
  <c r="A776" i="43"/>
  <c r="A771" i="43"/>
  <c r="A774" i="43"/>
  <c r="A778" i="43"/>
  <c r="A772" i="43"/>
  <c r="B793" i="42"/>
  <c r="A796" i="42" a="1"/>
  <c r="A799" i="42" s="1"/>
  <c r="F799" i="42" s="1"/>
  <c r="R765" i="42"/>
  <c r="R763" i="42"/>
  <c r="R761" i="42"/>
  <c r="R759" i="42"/>
  <c r="R757" i="42"/>
  <c r="R764" i="42"/>
  <c r="R762" i="42"/>
  <c r="Q760" i="42"/>
  <c r="Q757" i="42"/>
  <c r="Q765" i="42"/>
  <c r="Q762" i="42"/>
  <c r="Q759" i="42"/>
  <c r="Q764" i="42"/>
  <c r="Q761" i="42"/>
  <c r="R758" i="42"/>
  <c r="Q763" i="42"/>
  <c r="R760" i="42"/>
  <c r="Q758" i="42"/>
  <c r="O759" i="43" l="1"/>
  <c r="N761" i="43" s="1"/>
  <c r="O762" i="43" s="1"/>
  <c r="B780" i="43"/>
  <c r="A783" i="43" a="1"/>
  <c r="A796" i="42"/>
  <c r="F796" i="42" s="1"/>
  <c r="A801" i="42"/>
  <c r="F801" i="42" s="1"/>
  <c r="A803" i="42"/>
  <c r="F803" i="42" s="1"/>
  <c r="A800" i="42"/>
  <c r="F800" i="42" s="1"/>
  <c r="A798" i="42"/>
  <c r="F798" i="42" s="1"/>
  <c r="A804" i="42"/>
  <c r="F804" i="42" s="1"/>
  <c r="A802" i="42"/>
  <c r="F802" i="42" s="1"/>
  <c r="A797" i="42"/>
  <c r="F797" i="42" s="1"/>
  <c r="B770" i="42" a="1"/>
  <c r="C770" i="42" a="1"/>
  <c r="N762" i="43" l="1"/>
  <c r="O761" i="43" s="1"/>
  <c r="A789" i="43"/>
  <c r="A785" i="43"/>
  <c r="A790" i="43"/>
  <c r="A784" i="43"/>
  <c r="A791" i="43"/>
  <c r="A786" i="43"/>
  <c r="A788" i="43"/>
  <c r="A787" i="43"/>
  <c r="A783" i="43"/>
  <c r="Q757" i="43" a="1"/>
  <c r="R763" i="43" s="1"/>
  <c r="B806" i="42"/>
  <c r="C775" i="42"/>
  <c r="C771" i="42"/>
  <c r="C778" i="42"/>
  <c r="C774" i="42"/>
  <c r="C770" i="42"/>
  <c r="C777" i="42"/>
  <c r="C773" i="42"/>
  <c r="C772" i="42"/>
  <c r="C776" i="42"/>
  <c r="B777" i="42"/>
  <c r="F777" i="42" s="1"/>
  <c r="B773" i="42"/>
  <c r="F773" i="42" s="1"/>
  <c r="B776" i="42"/>
  <c r="F776" i="42" s="1"/>
  <c r="B772" i="42"/>
  <c r="F772" i="42" s="1"/>
  <c r="B775" i="42"/>
  <c r="F775" i="42" s="1"/>
  <c r="B771" i="42"/>
  <c r="F771" i="42" s="1"/>
  <c r="B778" i="42"/>
  <c r="F778" i="42" s="1"/>
  <c r="B774" i="42"/>
  <c r="F774" i="42" s="1"/>
  <c r="B770" i="42"/>
  <c r="F770" i="42" s="1"/>
  <c r="B793" i="43" l="1"/>
  <c r="A796" i="43" a="1"/>
  <c r="Q758" i="43"/>
  <c r="Q757" i="43"/>
  <c r="Q761" i="43"/>
  <c r="R765" i="43"/>
  <c r="R762" i="43"/>
  <c r="Q762" i="43"/>
  <c r="R760" i="43"/>
  <c r="R757" i="43"/>
  <c r="Q759" i="43"/>
  <c r="Q760" i="43"/>
  <c r="R764" i="43"/>
  <c r="R759" i="43"/>
  <c r="Q763" i="43"/>
  <c r="Q765" i="43"/>
  <c r="R758" i="43"/>
  <c r="R761" i="43"/>
  <c r="Q764" i="43"/>
  <c r="C783" i="42" a="1"/>
  <c r="C789" i="42" s="1"/>
  <c r="F789" i="42" s="1"/>
  <c r="J774" i="42"/>
  <c r="I774" i="42"/>
  <c r="J772" i="42"/>
  <c r="I772" i="42"/>
  <c r="J778" i="42"/>
  <c r="I778" i="42"/>
  <c r="J776" i="42"/>
  <c r="I776" i="42"/>
  <c r="J771" i="42"/>
  <c r="I771" i="42"/>
  <c r="I773" i="42"/>
  <c r="J773" i="42"/>
  <c r="I770" i="42"/>
  <c r="J770" i="42"/>
  <c r="J775" i="42"/>
  <c r="I775" i="42"/>
  <c r="I777" i="42"/>
  <c r="J777" i="42"/>
  <c r="B770" i="43" l="1" a="1"/>
  <c r="B770" i="43" s="1"/>
  <c r="F770" i="43" s="1"/>
  <c r="C770" i="43" a="1"/>
  <c r="A802" i="43"/>
  <c r="F802" i="43" s="1"/>
  <c r="A798" i="43"/>
  <c r="F798" i="43" s="1"/>
  <c r="A801" i="43"/>
  <c r="F801" i="43" s="1"/>
  <c r="A797" i="43"/>
  <c r="F797" i="43" s="1"/>
  <c r="A804" i="43"/>
  <c r="F804" i="43" s="1"/>
  <c r="A796" i="43"/>
  <c r="F796" i="43" s="1"/>
  <c r="A799" i="43"/>
  <c r="F799" i="43" s="1"/>
  <c r="A803" i="43"/>
  <c r="F803" i="43" s="1"/>
  <c r="A800" i="43"/>
  <c r="F800" i="43" s="1"/>
  <c r="J779" i="42"/>
  <c r="C787" i="42"/>
  <c r="F787" i="42" s="1"/>
  <c r="C784" i="42"/>
  <c r="F784" i="42" s="1"/>
  <c r="C790" i="42"/>
  <c r="F790" i="42" s="1"/>
  <c r="C788" i="42"/>
  <c r="F788" i="42" s="1"/>
  <c r="C783" i="42"/>
  <c r="F783" i="42" s="1"/>
  <c r="C785" i="42"/>
  <c r="F785" i="42" s="1"/>
  <c r="C786" i="42"/>
  <c r="F786" i="42" s="1"/>
  <c r="C791" i="42"/>
  <c r="F791" i="42" s="1"/>
  <c r="L773" i="42"/>
  <c r="K773" i="42"/>
  <c r="K776" i="42"/>
  <c r="L776" i="42"/>
  <c r="L777" i="42"/>
  <c r="K777" i="42"/>
  <c r="K771" i="42"/>
  <c r="L771" i="42"/>
  <c r="L772" i="42"/>
  <c r="K772" i="42"/>
  <c r="K775" i="42"/>
  <c r="L775" i="42"/>
  <c r="L770" i="42"/>
  <c r="I779" i="42"/>
  <c r="K770" i="42"/>
  <c r="K778" i="42"/>
  <c r="L778" i="42"/>
  <c r="K774" i="42"/>
  <c r="L774" i="42"/>
  <c r="B772" i="43" l="1"/>
  <c r="F772" i="43" s="1"/>
  <c r="I772" i="43" s="1"/>
  <c r="B776" i="43"/>
  <c r="F776" i="43" s="1"/>
  <c r="J776" i="43" s="1"/>
  <c r="B771" i="43"/>
  <c r="F771" i="43" s="1"/>
  <c r="I771" i="43" s="1"/>
  <c r="B774" i="43"/>
  <c r="F774" i="43" s="1"/>
  <c r="I774" i="43" s="1"/>
  <c r="B773" i="43"/>
  <c r="F773" i="43" s="1"/>
  <c r="J773" i="43" s="1"/>
  <c r="B777" i="43"/>
  <c r="F777" i="43" s="1"/>
  <c r="I777" i="43" s="1"/>
  <c r="B775" i="43"/>
  <c r="F775" i="43" s="1"/>
  <c r="J775" i="43" s="1"/>
  <c r="B778" i="43"/>
  <c r="F778" i="43" s="1"/>
  <c r="I778" i="43" s="1"/>
  <c r="B806" i="43"/>
  <c r="C777" i="43"/>
  <c r="C773" i="43"/>
  <c r="C776" i="43"/>
  <c r="C771" i="43"/>
  <c r="C778" i="43"/>
  <c r="C772" i="43"/>
  <c r="C775" i="43"/>
  <c r="C774" i="43"/>
  <c r="C770" i="43"/>
  <c r="I770" i="43"/>
  <c r="J770" i="43"/>
  <c r="K779" i="42"/>
  <c r="O771" i="42" s="1"/>
  <c r="L779" i="42"/>
  <c r="O770" i="42" s="1"/>
  <c r="J771" i="43" l="1"/>
  <c r="L771" i="43" s="1"/>
  <c r="I776" i="43"/>
  <c r="K776" i="43" s="1"/>
  <c r="J772" i="43"/>
  <c r="K772" i="43" s="1"/>
  <c r="J774" i="43"/>
  <c r="K774" i="43" s="1"/>
  <c r="I773" i="43"/>
  <c r="K773" i="43" s="1"/>
  <c r="J777" i="43"/>
  <c r="L777" i="43" s="1"/>
  <c r="I775" i="43"/>
  <c r="K775" i="43" s="1"/>
  <c r="J778" i="43"/>
  <c r="C783" i="43" a="1"/>
  <c r="O772" i="42"/>
  <c r="N774" i="42" s="1"/>
  <c r="K770" i="43"/>
  <c r="L770" i="43"/>
  <c r="K771" i="43"/>
  <c r="L772" i="43" l="1"/>
  <c r="L774" i="43"/>
  <c r="L776" i="43"/>
  <c r="L773" i="43"/>
  <c r="I779" i="43"/>
  <c r="J779" i="43"/>
  <c r="L775" i="43"/>
  <c r="K777" i="43"/>
  <c r="K778" i="43"/>
  <c r="L778" i="43"/>
  <c r="C790" i="43"/>
  <c r="F790" i="43" s="1"/>
  <c r="C786" i="43"/>
  <c r="F786" i="43" s="1"/>
  <c r="C789" i="43"/>
  <c r="F789" i="43" s="1"/>
  <c r="C785" i="43"/>
  <c r="F785" i="43" s="1"/>
  <c r="C788" i="43"/>
  <c r="F788" i="43" s="1"/>
  <c r="C791" i="43"/>
  <c r="F791" i="43" s="1"/>
  <c r="C783" i="43"/>
  <c r="F783" i="43" s="1"/>
  <c r="C784" i="43"/>
  <c r="F784" i="43" s="1"/>
  <c r="C787" i="43"/>
  <c r="F787" i="43" s="1"/>
  <c r="N775" i="42"/>
  <c r="O774" i="42" s="1"/>
  <c r="O775" i="42"/>
  <c r="L779" i="43" l="1"/>
  <c r="O770" i="43" s="1"/>
  <c r="K779" i="43"/>
  <c r="O771" i="43" s="1"/>
  <c r="Q770" i="42" a="1"/>
  <c r="Q771" i="42" s="1"/>
  <c r="O772" i="43" l="1"/>
  <c r="Q773" i="42"/>
  <c r="R773" i="42"/>
  <c r="Q776" i="42"/>
  <c r="R774" i="42"/>
  <c r="R775" i="42"/>
  <c r="Q770" i="42"/>
  <c r="Q778" i="42"/>
  <c r="R776" i="42"/>
  <c r="Q775" i="42"/>
  <c r="R777" i="42"/>
  <c r="Q772" i="42"/>
  <c r="R770" i="42"/>
  <c r="R778" i="42"/>
  <c r="Q777" i="42"/>
  <c r="R771" i="42"/>
  <c r="Q774" i="42"/>
  <c r="R772" i="42"/>
  <c r="N774" i="43" l="1"/>
  <c r="O775" i="43" s="1"/>
  <c r="N775" i="43"/>
  <c r="O774" i="43" s="1"/>
  <c r="D783" i="42" a="1"/>
  <c r="D791" i="42" s="1"/>
  <c r="G791" i="42" s="1"/>
  <c r="B783" i="42" a="1"/>
  <c r="B783" i="42" s="1"/>
  <c r="Q770" i="43" l="1" a="1"/>
  <c r="Q777" i="43" s="1"/>
  <c r="D784" i="42"/>
  <c r="G784" i="42" s="1"/>
  <c r="I784" i="42" s="1"/>
  <c r="D785" i="42"/>
  <c r="G785" i="42" s="1"/>
  <c r="J785" i="42" s="1"/>
  <c r="D790" i="42"/>
  <c r="G790" i="42" s="1"/>
  <c r="J790" i="42" s="1"/>
  <c r="D783" i="42"/>
  <c r="G783" i="42" s="1"/>
  <c r="I783" i="42" s="1"/>
  <c r="D789" i="42"/>
  <c r="G789" i="42" s="1"/>
  <c r="J789" i="42" s="1"/>
  <c r="D787" i="42"/>
  <c r="G787" i="42" s="1"/>
  <c r="J787" i="42" s="1"/>
  <c r="D788" i="42"/>
  <c r="G788" i="42" s="1"/>
  <c r="J788" i="42" s="1"/>
  <c r="D786" i="42"/>
  <c r="G786" i="42" s="1"/>
  <c r="J786" i="42" s="1"/>
  <c r="B786" i="42"/>
  <c r="B784" i="42"/>
  <c r="B787" i="42"/>
  <c r="B790" i="42"/>
  <c r="B785" i="42"/>
  <c r="B789" i="42"/>
  <c r="B788" i="42"/>
  <c r="B791" i="42"/>
  <c r="I791" i="42"/>
  <c r="J791" i="42"/>
  <c r="R774" i="43" l="1"/>
  <c r="R771" i="43"/>
  <c r="R773" i="43"/>
  <c r="Q773" i="43"/>
  <c r="R775" i="43"/>
  <c r="Q771" i="43"/>
  <c r="Q772" i="43"/>
  <c r="Q774" i="43"/>
  <c r="Q775" i="43"/>
  <c r="Q778" i="43"/>
  <c r="R770" i="43"/>
  <c r="R772" i="43"/>
  <c r="Q776" i="43"/>
  <c r="R777" i="43"/>
  <c r="Q770" i="43"/>
  <c r="R776" i="43"/>
  <c r="R778" i="43"/>
  <c r="J784" i="42"/>
  <c r="L784" i="42" s="1"/>
  <c r="I785" i="42"/>
  <c r="L785" i="42" s="1"/>
  <c r="I790" i="42"/>
  <c r="L790" i="42" s="1"/>
  <c r="J783" i="42"/>
  <c r="L783" i="42" s="1"/>
  <c r="I789" i="42"/>
  <c r="L789" i="42" s="1"/>
  <c r="I786" i="42"/>
  <c r="L786" i="42" s="1"/>
  <c r="I788" i="42"/>
  <c r="L788" i="42" s="1"/>
  <c r="I787" i="42"/>
  <c r="L787" i="42" s="1"/>
  <c r="B796" i="42" a="1"/>
  <c r="B801" i="42" s="1"/>
  <c r="G801" i="42" s="1"/>
  <c r="J801" i="42" s="1"/>
  <c r="L791" i="42"/>
  <c r="K791" i="42"/>
  <c r="B783" i="43" l="1" a="1"/>
  <c r="B791" i="43" s="1"/>
  <c r="D783" i="43" a="1"/>
  <c r="D791" i="43" s="1"/>
  <c r="G791" i="43" s="1"/>
  <c r="I791" i="43" s="1"/>
  <c r="K784" i="42"/>
  <c r="K785" i="42"/>
  <c r="K790" i="42"/>
  <c r="K783" i="42"/>
  <c r="K789" i="42"/>
  <c r="J792" i="42"/>
  <c r="K787" i="42"/>
  <c r="K786" i="42"/>
  <c r="I792" i="42"/>
  <c r="K788" i="42"/>
  <c r="B797" i="42"/>
  <c r="G797" i="42" s="1"/>
  <c r="J797" i="42" s="1"/>
  <c r="I801" i="42"/>
  <c r="K801" i="42" s="1"/>
  <c r="B802" i="42"/>
  <c r="G802" i="42" s="1"/>
  <c r="J802" i="42" s="1"/>
  <c r="B796" i="42"/>
  <c r="G796" i="42" s="1"/>
  <c r="J796" i="42" s="1"/>
  <c r="B800" i="42"/>
  <c r="G800" i="42" s="1"/>
  <c r="I800" i="42" s="1"/>
  <c r="B798" i="42"/>
  <c r="G798" i="42" s="1"/>
  <c r="J798" i="42" s="1"/>
  <c r="B804" i="42"/>
  <c r="G804" i="42" s="1"/>
  <c r="I804" i="42" s="1"/>
  <c r="B799" i="42"/>
  <c r="G799" i="42" s="1"/>
  <c r="J799" i="42" s="1"/>
  <c r="B803" i="42"/>
  <c r="G803" i="42" s="1"/>
  <c r="J803" i="42" s="1"/>
  <c r="L792" i="42"/>
  <c r="O783" i="42" l="1"/>
  <c r="B783" i="43"/>
  <c r="D785" i="43"/>
  <c r="G785" i="43" s="1"/>
  <c r="I785" i="43" s="1"/>
  <c r="B787" i="43"/>
  <c r="B790" i="43"/>
  <c r="D787" i="43"/>
  <c r="G787" i="43" s="1"/>
  <c r="I787" i="43" s="1"/>
  <c r="B784" i="43"/>
  <c r="B789" i="43"/>
  <c r="D786" i="43"/>
  <c r="G786" i="43" s="1"/>
  <c r="I786" i="43" s="1"/>
  <c r="D784" i="43"/>
  <c r="G784" i="43" s="1"/>
  <c r="J784" i="43" s="1"/>
  <c r="B785" i="43"/>
  <c r="B786" i="43"/>
  <c r="D790" i="43"/>
  <c r="G790" i="43" s="1"/>
  <c r="I790" i="43" s="1"/>
  <c r="D783" i="43"/>
  <c r="G783" i="43" s="1"/>
  <c r="I783" i="43" s="1"/>
  <c r="D788" i="43"/>
  <c r="G788" i="43" s="1"/>
  <c r="J788" i="43" s="1"/>
  <c r="B788" i="43"/>
  <c r="D789" i="43"/>
  <c r="G789" i="43" s="1"/>
  <c r="J789" i="43" s="1"/>
  <c r="L801" i="42"/>
  <c r="K792" i="42"/>
  <c r="O784" i="42" s="1"/>
  <c r="I802" i="42"/>
  <c r="K802" i="42" s="1"/>
  <c r="I799" i="42"/>
  <c r="K799" i="42" s="1"/>
  <c r="I797" i="42"/>
  <c r="L797" i="42" s="1"/>
  <c r="J804" i="42"/>
  <c r="K804" i="42" s="1"/>
  <c r="J800" i="42"/>
  <c r="L800" i="42" s="1"/>
  <c r="I796" i="42"/>
  <c r="I803" i="42"/>
  <c r="L803" i="42" s="1"/>
  <c r="I798" i="42"/>
  <c r="K798" i="42" s="1"/>
  <c r="J791" i="43"/>
  <c r="K791" i="43" s="1"/>
  <c r="J790" i="43" l="1"/>
  <c r="K790" i="43" s="1"/>
  <c r="B796" i="43" a="1"/>
  <c r="B800" i="43" s="1"/>
  <c r="G800" i="43" s="1"/>
  <c r="J785" i="43"/>
  <c r="L785" i="43" s="1"/>
  <c r="I788" i="43"/>
  <c r="L788" i="43" s="1"/>
  <c r="J786" i="43"/>
  <c r="L786" i="43" s="1"/>
  <c r="J783" i="43"/>
  <c r="K783" i="43" s="1"/>
  <c r="I784" i="43"/>
  <c r="K784" i="43" s="1"/>
  <c r="J787" i="43"/>
  <c r="L787" i="43" s="1"/>
  <c r="I789" i="43"/>
  <c r="K789" i="43" s="1"/>
  <c r="O785" i="42"/>
  <c r="N787" i="42" s="1"/>
  <c r="O788" i="42" s="1"/>
  <c r="K800" i="42"/>
  <c r="L802" i="42"/>
  <c r="L799" i="42"/>
  <c r="K797" i="42"/>
  <c r="J805" i="42"/>
  <c r="L804" i="42"/>
  <c r="L798" i="42"/>
  <c r="I805" i="42"/>
  <c r="K796" i="42"/>
  <c r="K803" i="42"/>
  <c r="L796" i="42"/>
  <c r="L790" i="43"/>
  <c r="L791" i="43"/>
  <c r="L784" i="43" l="1"/>
  <c r="B801" i="43"/>
  <c r="G801" i="43" s="1"/>
  <c r="I801" i="43" s="1"/>
  <c r="K785" i="43"/>
  <c r="K788" i="43"/>
  <c r="L789" i="43"/>
  <c r="K786" i="43"/>
  <c r="B804" i="43"/>
  <c r="G804" i="43" s="1"/>
  <c r="J804" i="43" s="1"/>
  <c r="B798" i="43"/>
  <c r="G798" i="43" s="1"/>
  <c r="J798" i="43" s="1"/>
  <c r="B796" i="43"/>
  <c r="G796" i="43" s="1"/>
  <c r="J796" i="43" s="1"/>
  <c r="B802" i="43"/>
  <c r="G802" i="43" s="1"/>
  <c r="I802" i="43" s="1"/>
  <c r="B803" i="43"/>
  <c r="G803" i="43" s="1"/>
  <c r="I803" i="43" s="1"/>
  <c r="B797" i="43"/>
  <c r="G797" i="43" s="1"/>
  <c r="I797" i="43" s="1"/>
  <c r="B799" i="43"/>
  <c r="G799" i="43" s="1"/>
  <c r="J799" i="43" s="1"/>
  <c r="I792" i="43"/>
  <c r="J792" i="43"/>
  <c r="K787" i="43"/>
  <c r="L783" i="43"/>
  <c r="N788" i="42"/>
  <c r="O787" i="42" s="1"/>
  <c r="Q783" i="42" s="1" a="1"/>
  <c r="R786" i="42" s="1"/>
  <c r="L805" i="42"/>
  <c r="O796" i="42" s="1"/>
  <c r="K805" i="42"/>
  <c r="O797" i="42" s="1"/>
  <c r="I796" i="43"/>
  <c r="J800" i="43"/>
  <c r="I800" i="43"/>
  <c r="L792" i="43" l="1"/>
  <c r="O783" i="43" s="1"/>
  <c r="J801" i="43"/>
  <c r="K801" i="43" s="1"/>
  <c r="I799" i="43"/>
  <c r="L799" i="43" s="1"/>
  <c r="J802" i="43"/>
  <c r="L802" i="43" s="1"/>
  <c r="K792" i="43"/>
  <c r="O784" i="43" s="1"/>
  <c r="I798" i="43"/>
  <c r="K798" i="43" s="1"/>
  <c r="J803" i="43"/>
  <c r="K803" i="43" s="1"/>
  <c r="J797" i="43"/>
  <c r="L797" i="43" s="1"/>
  <c r="I804" i="43"/>
  <c r="L804" i="43" s="1"/>
  <c r="O798" i="42"/>
  <c r="N801" i="42" s="1"/>
  <c r="O800" i="42" s="1"/>
  <c r="Q788" i="42"/>
  <c r="R783" i="42"/>
  <c r="Q787" i="42"/>
  <c r="R789" i="42"/>
  <c r="R788" i="42"/>
  <c r="Q789" i="42"/>
  <c r="Q784" i="42"/>
  <c r="R790" i="42"/>
  <c r="Q785" i="42"/>
  <c r="R785" i="42"/>
  <c r="Q790" i="42"/>
  <c r="Q791" i="42"/>
  <c r="R791" i="42"/>
  <c r="R784" i="42"/>
  <c r="Q783" i="42"/>
  <c r="R787" i="42"/>
  <c r="Q786" i="42"/>
  <c r="L801" i="43"/>
  <c r="K800" i="43"/>
  <c r="L800" i="43"/>
  <c r="K796" i="43"/>
  <c r="L796" i="43"/>
  <c r="K799" i="43" l="1"/>
  <c r="L798" i="43"/>
  <c r="L803" i="43"/>
  <c r="L805" i="43" s="1"/>
  <c r="O785" i="43"/>
  <c r="K804" i="43"/>
  <c r="K802" i="43"/>
  <c r="J805" i="43"/>
  <c r="K797" i="43"/>
  <c r="I805" i="43"/>
  <c r="N800" i="42"/>
  <c r="O801" i="42" s="1"/>
  <c r="Q796" i="42" s="1" a="1"/>
  <c r="Q798" i="42" s="1"/>
  <c r="D796" i="42" a="1"/>
  <c r="D804" i="42" s="1"/>
  <c r="C796" i="42" a="1"/>
  <c r="C803" i="42" s="1"/>
  <c r="O796" i="43" l="1"/>
  <c r="K805" i="43"/>
  <c r="O797" i="43" s="1"/>
  <c r="N788" i="43"/>
  <c r="O787" i="43" s="1"/>
  <c r="N787" i="43"/>
  <c r="O788" i="43" s="1"/>
  <c r="Q800" i="42"/>
  <c r="R798" i="42"/>
  <c r="Q801" i="42"/>
  <c r="R801" i="42"/>
  <c r="R802" i="42"/>
  <c r="R800" i="42"/>
  <c r="Q803" i="42"/>
  <c r="R803" i="42"/>
  <c r="Q802" i="42"/>
  <c r="R796" i="42"/>
  <c r="Q797" i="42"/>
  <c r="R797" i="42"/>
  <c r="Q796" i="42"/>
  <c r="Q804" i="42"/>
  <c r="R804" i="42"/>
  <c r="Q799" i="42"/>
  <c r="R799" i="42"/>
  <c r="D798" i="42"/>
  <c r="D796" i="42"/>
  <c r="D800" i="42"/>
  <c r="D802" i="42"/>
  <c r="D797" i="42"/>
  <c r="D803" i="42"/>
  <c r="D801" i="42"/>
  <c r="D799" i="42"/>
  <c r="C798" i="42"/>
  <c r="C796" i="42"/>
  <c r="C802" i="42"/>
  <c r="C800" i="42"/>
  <c r="C799" i="42"/>
  <c r="C797" i="42"/>
  <c r="C804" i="42"/>
  <c r="C801" i="42"/>
  <c r="O798" i="43" l="1"/>
  <c r="Q783" i="43" a="1"/>
  <c r="R790" i="43" s="1"/>
  <c r="A809" i="42" a="1"/>
  <c r="A816" i="42" s="1"/>
  <c r="F816" i="42" s="1"/>
  <c r="B809" i="42" a="1"/>
  <c r="B815" i="42" s="1"/>
  <c r="D809" i="42" a="1"/>
  <c r="D815" i="42" s="1"/>
  <c r="C809" i="42" a="1"/>
  <c r="C817" i="42" s="1"/>
  <c r="G817" i="42" s="1"/>
  <c r="R785" i="43" l="1"/>
  <c r="Q784" i="43"/>
  <c r="R786" i="43"/>
  <c r="Q785" i="43"/>
  <c r="R783" i="43"/>
  <c r="Q789" i="43"/>
  <c r="R788" i="43"/>
  <c r="Q787" i="43"/>
  <c r="Q788" i="43"/>
  <c r="N801" i="43"/>
  <c r="O800" i="43" s="1"/>
  <c r="N800" i="43"/>
  <c r="O801" i="43" s="1"/>
  <c r="R791" i="43"/>
  <c r="R787" i="43"/>
  <c r="R789" i="43"/>
  <c r="R784" i="43"/>
  <c r="Q791" i="43"/>
  <c r="Q790" i="43"/>
  <c r="Q786" i="43"/>
  <c r="Q783" i="43"/>
  <c r="A812" i="42"/>
  <c r="F812" i="42" s="1"/>
  <c r="A815" i="42"/>
  <c r="F815" i="42" s="1"/>
  <c r="A811" i="42"/>
  <c r="F811" i="42" s="1"/>
  <c r="A810" i="42"/>
  <c r="F810" i="42" s="1"/>
  <c r="A809" i="42"/>
  <c r="F809" i="42" s="1"/>
  <c r="A814" i="42"/>
  <c r="F814" i="42" s="1"/>
  <c r="A817" i="42"/>
  <c r="F817" i="42" s="1"/>
  <c r="J817" i="42" s="1"/>
  <c r="B816" i="42"/>
  <c r="A813" i="42"/>
  <c r="F813" i="42" s="1"/>
  <c r="B813" i="42"/>
  <c r="B811" i="42"/>
  <c r="B809" i="42"/>
  <c r="D817" i="42"/>
  <c r="B810" i="42"/>
  <c r="B814" i="42"/>
  <c r="B817" i="42"/>
  <c r="B812" i="42"/>
  <c r="C809" i="42"/>
  <c r="G809" i="42" s="1"/>
  <c r="D810" i="42"/>
  <c r="D811" i="42"/>
  <c r="D816" i="42"/>
  <c r="C810" i="42"/>
  <c r="G810" i="42" s="1"/>
  <c r="D813" i="42"/>
  <c r="D812" i="42"/>
  <c r="D814" i="42"/>
  <c r="C815" i="42"/>
  <c r="G815" i="42" s="1"/>
  <c r="C814" i="42"/>
  <c r="G814" i="42" s="1"/>
  <c r="D809" i="42"/>
  <c r="C812" i="42"/>
  <c r="G812" i="42" s="1"/>
  <c r="C816" i="42"/>
  <c r="G816" i="42" s="1"/>
  <c r="J816" i="42" s="1"/>
  <c r="C813" i="42"/>
  <c r="G813" i="42" s="1"/>
  <c r="C811" i="42"/>
  <c r="G811" i="42" s="1"/>
  <c r="Q796" i="43" l="1" a="1"/>
  <c r="Q800" i="43" s="1"/>
  <c r="D796" i="43" a="1"/>
  <c r="D803" i="43" s="1"/>
  <c r="J812" i="42"/>
  <c r="C796" i="43" a="1"/>
  <c r="C797" i="43" s="1"/>
  <c r="I815" i="42"/>
  <c r="I811" i="42"/>
  <c r="J810" i="42"/>
  <c r="I814" i="42"/>
  <c r="I817" i="42"/>
  <c r="L817" i="42" s="1"/>
  <c r="B819" i="42"/>
  <c r="J813" i="42"/>
  <c r="D822" i="42" a="1"/>
  <c r="D823" i="42" s="1"/>
  <c r="G823" i="42" s="1"/>
  <c r="B822" i="42" a="1"/>
  <c r="B827" i="42" s="1"/>
  <c r="I810" i="42"/>
  <c r="I812" i="42"/>
  <c r="J815" i="42"/>
  <c r="J814" i="42"/>
  <c r="I816" i="42"/>
  <c r="K816" i="42" s="1"/>
  <c r="J811" i="42"/>
  <c r="I813" i="42"/>
  <c r="I809" i="42"/>
  <c r="J809" i="42"/>
  <c r="Q799" i="43" l="1"/>
  <c r="R799" i="43"/>
  <c r="Q802" i="43"/>
  <c r="Q803" i="43"/>
  <c r="R801" i="43"/>
  <c r="R798" i="43"/>
  <c r="R796" i="43"/>
  <c r="Q804" i="43"/>
  <c r="R802" i="43"/>
  <c r="Q798" i="43"/>
  <c r="Q801" i="43"/>
  <c r="Q796" i="43"/>
  <c r="R803" i="43"/>
  <c r="D801" i="43"/>
  <c r="D802" i="43"/>
  <c r="D800" i="43"/>
  <c r="D796" i="43"/>
  <c r="L812" i="42"/>
  <c r="D797" i="43"/>
  <c r="D798" i="43"/>
  <c r="D804" i="43"/>
  <c r="R804" i="43"/>
  <c r="R797" i="43"/>
  <c r="Q797" i="43"/>
  <c r="D799" i="43"/>
  <c r="R800" i="43"/>
  <c r="C804" i="43"/>
  <c r="C798" i="43"/>
  <c r="C802" i="43"/>
  <c r="C801" i="43"/>
  <c r="C803" i="43"/>
  <c r="C800" i="43"/>
  <c r="C796" i="43"/>
  <c r="C799" i="43"/>
  <c r="L815" i="42"/>
  <c r="K811" i="42"/>
  <c r="L813" i="42"/>
  <c r="L810" i="42"/>
  <c r="K817" i="42"/>
  <c r="L814" i="42"/>
  <c r="D827" i="42"/>
  <c r="G827" i="42" s="1"/>
  <c r="D830" i="42"/>
  <c r="G830" i="42" s="1"/>
  <c r="D824" i="42"/>
  <c r="G824" i="42" s="1"/>
  <c r="D825" i="42"/>
  <c r="G825" i="42" s="1"/>
  <c r="D822" i="42"/>
  <c r="G822" i="42" s="1"/>
  <c r="D828" i="42"/>
  <c r="G828" i="42" s="1"/>
  <c r="D826" i="42"/>
  <c r="G826" i="42" s="1"/>
  <c r="D829" i="42"/>
  <c r="G829" i="42" s="1"/>
  <c r="B825" i="42"/>
  <c r="K810" i="42"/>
  <c r="B822" i="42"/>
  <c r="B824" i="42"/>
  <c r="B823" i="42"/>
  <c r="B828" i="42"/>
  <c r="B829" i="42"/>
  <c r="K812" i="42"/>
  <c r="B830" i="42"/>
  <c r="B826" i="42"/>
  <c r="K814" i="42"/>
  <c r="K815" i="42"/>
  <c r="L816" i="42"/>
  <c r="L811" i="42"/>
  <c r="K813" i="42"/>
  <c r="J818" i="42"/>
  <c r="L809" i="42"/>
  <c r="K809" i="42"/>
  <c r="I818" i="42"/>
  <c r="A809" i="43" l="1" a="1"/>
  <c r="D809" i="43" a="1"/>
  <c r="D812" i="43" s="1"/>
  <c r="B809" i="43" a="1"/>
  <c r="B814" i="43" s="1"/>
  <c r="C809" i="43" a="1"/>
  <c r="C814" i="43" s="1"/>
  <c r="G814" i="43" s="1"/>
  <c r="A814" i="43"/>
  <c r="F814" i="43" s="1"/>
  <c r="A810" i="43"/>
  <c r="F810" i="43" s="1"/>
  <c r="A817" i="43"/>
  <c r="F817" i="43" s="1"/>
  <c r="A813" i="43"/>
  <c r="F813" i="43" s="1"/>
  <c r="A809" i="43"/>
  <c r="A816" i="43"/>
  <c r="F816" i="43" s="1"/>
  <c r="A811" i="43"/>
  <c r="F811" i="43" s="1"/>
  <c r="A812" i="43"/>
  <c r="F812" i="43" s="1"/>
  <c r="A815" i="43"/>
  <c r="F815" i="43" s="1"/>
  <c r="B835" i="42" a="1"/>
  <c r="B840" i="42" s="1"/>
  <c r="F840" i="42" s="1"/>
  <c r="L818" i="42"/>
  <c r="O809" i="42" s="1"/>
  <c r="K818" i="42"/>
  <c r="O810" i="42" s="1"/>
  <c r="D810" i="43" l="1"/>
  <c r="B817" i="43"/>
  <c r="B809" i="43"/>
  <c r="B811" i="43"/>
  <c r="D817" i="43"/>
  <c r="D811" i="43"/>
  <c r="B813" i="43"/>
  <c r="D815" i="43"/>
  <c r="D814" i="43"/>
  <c r="D813" i="43"/>
  <c r="B815" i="43"/>
  <c r="D809" i="43"/>
  <c r="D816" i="43"/>
  <c r="B812" i="43"/>
  <c r="B810" i="43"/>
  <c r="B816" i="43"/>
  <c r="C810" i="43"/>
  <c r="G810" i="43" s="1"/>
  <c r="J810" i="43" s="1"/>
  <c r="C812" i="43"/>
  <c r="G812" i="43" s="1"/>
  <c r="J812" i="43" s="1"/>
  <c r="C815" i="43"/>
  <c r="G815" i="43" s="1"/>
  <c r="J815" i="43" s="1"/>
  <c r="C817" i="43"/>
  <c r="G817" i="43" s="1"/>
  <c r="I817" i="43" s="1"/>
  <c r="C816" i="43"/>
  <c r="G816" i="43" s="1"/>
  <c r="I816" i="43" s="1"/>
  <c r="C809" i="43"/>
  <c r="G809" i="43" s="1"/>
  <c r="C811" i="43"/>
  <c r="G811" i="43" s="1"/>
  <c r="I811" i="43" s="1"/>
  <c r="C813" i="43"/>
  <c r="G813" i="43" s="1"/>
  <c r="I813" i="43" s="1"/>
  <c r="I814" i="43"/>
  <c r="J814" i="43"/>
  <c r="B819" i="43"/>
  <c r="F809" i="43"/>
  <c r="B835" i="42"/>
  <c r="F835" i="42" s="1"/>
  <c r="B838" i="42"/>
  <c r="F838" i="42" s="1"/>
  <c r="B841" i="42"/>
  <c r="F841" i="42" s="1"/>
  <c r="B842" i="42"/>
  <c r="F842" i="42" s="1"/>
  <c r="B839" i="42"/>
  <c r="F839" i="42" s="1"/>
  <c r="B836" i="42"/>
  <c r="F836" i="42" s="1"/>
  <c r="B837" i="42"/>
  <c r="F837" i="42" s="1"/>
  <c r="B843" i="42"/>
  <c r="F843" i="42" s="1"/>
  <c r="I810" i="43"/>
  <c r="O811" i="42"/>
  <c r="N814" i="42" s="1"/>
  <c r="O813" i="42" s="1"/>
  <c r="J809" i="43" l="1"/>
  <c r="I812" i="43"/>
  <c r="L812" i="43" s="1"/>
  <c r="D822" i="43" a="1"/>
  <c r="D826" i="43" s="1"/>
  <c r="G826" i="43" s="1"/>
  <c r="B822" i="43" a="1"/>
  <c r="B828" i="43" s="1"/>
  <c r="J813" i="43"/>
  <c r="L813" i="43" s="1"/>
  <c r="L810" i="43"/>
  <c r="I815" i="43"/>
  <c r="L815" i="43" s="1"/>
  <c r="J817" i="43"/>
  <c r="K817" i="43" s="1"/>
  <c r="J811" i="43"/>
  <c r="L811" i="43" s="1"/>
  <c r="J816" i="43"/>
  <c r="L816" i="43" s="1"/>
  <c r="I809" i="43"/>
  <c r="L809" i="43" s="1"/>
  <c r="K812" i="43"/>
  <c r="K814" i="43"/>
  <c r="L814" i="43"/>
  <c r="K810" i="43"/>
  <c r="N813" i="42"/>
  <c r="O814" i="42" s="1"/>
  <c r="Q809" i="42" s="1" a="1"/>
  <c r="D824" i="43" l="1"/>
  <c r="G824" i="43" s="1"/>
  <c r="D829" i="43"/>
  <c r="G829" i="43" s="1"/>
  <c r="D822" i="43"/>
  <c r="G822" i="43" s="1"/>
  <c r="D830" i="43"/>
  <c r="G830" i="43" s="1"/>
  <c r="D827" i="43"/>
  <c r="G827" i="43" s="1"/>
  <c r="B822" i="43"/>
  <c r="B824" i="43"/>
  <c r="B827" i="43"/>
  <c r="D828" i="43"/>
  <c r="G828" i="43" s="1"/>
  <c r="B829" i="43"/>
  <c r="B830" i="43"/>
  <c r="D825" i="43"/>
  <c r="G825" i="43" s="1"/>
  <c r="B823" i="43"/>
  <c r="B825" i="43"/>
  <c r="B826" i="43"/>
  <c r="D823" i="43"/>
  <c r="G823" i="43" s="1"/>
  <c r="K815" i="43"/>
  <c r="K813" i="43"/>
  <c r="J818" i="43"/>
  <c r="K811" i="43"/>
  <c r="L817" i="43"/>
  <c r="L818" i="43" s="1"/>
  <c r="K816" i="43"/>
  <c r="K809" i="43"/>
  <c r="I818" i="43"/>
  <c r="R816" i="42"/>
  <c r="R814" i="42"/>
  <c r="R812" i="42"/>
  <c r="R810" i="42"/>
  <c r="Q816" i="42"/>
  <c r="Q814" i="42"/>
  <c r="Q812" i="42"/>
  <c r="Q810" i="42"/>
  <c r="R817" i="42"/>
  <c r="R815" i="42"/>
  <c r="R813" i="42"/>
  <c r="R811" i="42"/>
  <c r="R809" i="42"/>
  <c r="Q811" i="42"/>
  <c r="Q817" i="42"/>
  <c r="Q809" i="42"/>
  <c r="Q815" i="42"/>
  <c r="Q813" i="42"/>
  <c r="B835" i="43" l="1" a="1"/>
  <c r="B840" i="43" s="1"/>
  <c r="F840" i="43" s="1"/>
  <c r="O809" i="43"/>
  <c r="K818" i="43"/>
  <c r="O810" i="43" s="1"/>
  <c r="A822" i="42" a="1"/>
  <c r="A829" i="42" s="1"/>
  <c r="F829" i="42" s="1"/>
  <c r="C822" i="42" a="1"/>
  <c r="B836" i="43" l="1"/>
  <c r="F836" i="43" s="1"/>
  <c r="B843" i="43"/>
  <c r="F843" i="43" s="1"/>
  <c r="B842" i="43"/>
  <c r="F842" i="43" s="1"/>
  <c r="B835" i="43"/>
  <c r="F835" i="43" s="1"/>
  <c r="B839" i="43"/>
  <c r="F839" i="43" s="1"/>
  <c r="B838" i="43"/>
  <c r="F838" i="43" s="1"/>
  <c r="B841" i="43"/>
  <c r="F841" i="43" s="1"/>
  <c r="B837" i="43"/>
  <c r="F837" i="43" s="1"/>
  <c r="O811" i="43"/>
  <c r="N813" i="43" s="1"/>
  <c r="O814" i="43" s="1"/>
  <c r="A823" i="42"/>
  <c r="F823" i="42" s="1"/>
  <c r="J823" i="42" s="1"/>
  <c r="A824" i="42"/>
  <c r="F824" i="42" s="1"/>
  <c r="J824" i="42" s="1"/>
  <c r="A822" i="42"/>
  <c r="F822" i="42" s="1"/>
  <c r="A828" i="42"/>
  <c r="F828" i="42" s="1"/>
  <c r="I828" i="42" s="1"/>
  <c r="A826" i="42"/>
  <c r="F826" i="42" s="1"/>
  <c r="I826" i="42" s="1"/>
  <c r="A830" i="42"/>
  <c r="F830" i="42" s="1"/>
  <c r="I830" i="42" s="1"/>
  <c r="A825" i="42"/>
  <c r="F825" i="42" s="1"/>
  <c r="J825" i="42" s="1"/>
  <c r="A827" i="42"/>
  <c r="F827" i="42" s="1"/>
  <c r="I827" i="42" s="1"/>
  <c r="C829" i="42"/>
  <c r="C825" i="42"/>
  <c r="C828" i="42"/>
  <c r="C824" i="42"/>
  <c r="C827" i="42"/>
  <c r="C823" i="42"/>
  <c r="C830" i="42"/>
  <c r="C826" i="42"/>
  <c r="C822" i="42"/>
  <c r="J829" i="42"/>
  <c r="I829" i="42"/>
  <c r="N814" i="43" l="1"/>
  <c r="O813" i="43" s="1"/>
  <c r="Q809" i="43" s="1" a="1"/>
  <c r="R816" i="43" s="1"/>
  <c r="I823" i="42"/>
  <c r="L823" i="42" s="1"/>
  <c r="I825" i="42"/>
  <c r="K825" i="42" s="1"/>
  <c r="J826" i="42"/>
  <c r="L826" i="42" s="1"/>
  <c r="J830" i="42"/>
  <c r="L830" i="42" s="1"/>
  <c r="I824" i="42"/>
  <c r="L824" i="42" s="1"/>
  <c r="J828" i="42"/>
  <c r="K828" i="42" s="1"/>
  <c r="B832" i="42"/>
  <c r="J827" i="42"/>
  <c r="L827" i="42" s="1"/>
  <c r="J822" i="42"/>
  <c r="I822" i="42"/>
  <c r="C835" i="42" a="1"/>
  <c r="K829" i="42"/>
  <c r="L829" i="42"/>
  <c r="K823" i="42" l="1"/>
  <c r="L825" i="42"/>
  <c r="K830" i="42"/>
  <c r="L828" i="42"/>
  <c r="J831" i="42"/>
  <c r="K826" i="42"/>
  <c r="K827" i="42"/>
  <c r="K824" i="42"/>
  <c r="R809" i="43"/>
  <c r="Q809" i="43"/>
  <c r="R812" i="43"/>
  <c r="R815" i="43"/>
  <c r="Q810" i="43"/>
  <c r="R811" i="43"/>
  <c r="Q812" i="43"/>
  <c r="R810" i="43"/>
  <c r="Q816" i="43"/>
  <c r="R817" i="43"/>
  <c r="Q811" i="43"/>
  <c r="Q814" i="43"/>
  <c r="R814" i="43"/>
  <c r="R813" i="43"/>
  <c r="Q813" i="43"/>
  <c r="Q815" i="43"/>
  <c r="Q817" i="43"/>
  <c r="C843" i="42"/>
  <c r="G843" i="42" s="1"/>
  <c r="C839" i="42"/>
  <c r="G839" i="42" s="1"/>
  <c r="C835" i="42"/>
  <c r="G835" i="42" s="1"/>
  <c r="C842" i="42"/>
  <c r="G842" i="42" s="1"/>
  <c r="C838" i="42"/>
  <c r="G838" i="42" s="1"/>
  <c r="C841" i="42"/>
  <c r="G841" i="42" s="1"/>
  <c r="C837" i="42"/>
  <c r="G837" i="42" s="1"/>
  <c r="C840" i="42"/>
  <c r="G840" i="42" s="1"/>
  <c r="C836" i="42"/>
  <c r="G836" i="42" s="1"/>
  <c r="I831" i="42"/>
  <c r="K822" i="42"/>
  <c r="L822" i="42"/>
  <c r="A822" i="43" l="1" a="1"/>
  <c r="A826" i="43" s="1"/>
  <c r="C822" i="43" a="1"/>
  <c r="L831" i="42"/>
  <c r="O822" i="42" s="1"/>
  <c r="K831" i="42"/>
  <c r="O823" i="42" s="1"/>
  <c r="I840" i="42"/>
  <c r="J840" i="42"/>
  <c r="I837" i="42"/>
  <c r="J837" i="42"/>
  <c r="J835" i="42"/>
  <c r="I835" i="42"/>
  <c r="I842" i="42"/>
  <c r="J842" i="42"/>
  <c r="I841" i="42"/>
  <c r="J841" i="42"/>
  <c r="I839" i="42"/>
  <c r="J839" i="42"/>
  <c r="J836" i="42"/>
  <c r="I836" i="42"/>
  <c r="J838" i="42"/>
  <c r="I838" i="42"/>
  <c r="J843" i="42"/>
  <c r="I843" i="42"/>
  <c r="A825" i="43" l="1"/>
  <c r="A824" i="43"/>
  <c r="A830" i="43"/>
  <c r="F830" i="43" s="1"/>
  <c r="I830" i="43" s="1"/>
  <c r="A827" i="43"/>
  <c r="F827" i="43" s="1"/>
  <c r="A829" i="43"/>
  <c r="A823" i="43"/>
  <c r="A822" i="43"/>
  <c r="F822" i="43" s="1"/>
  <c r="A828" i="43"/>
  <c r="F828" i="43" s="1"/>
  <c r="I828" i="43" s="1"/>
  <c r="C830" i="43"/>
  <c r="C826" i="43"/>
  <c r="C822" i="43"/>
  <c r="C825" i="43"/>
  <c r="C829" i="43"/>
  <c r="C824" i="43"/>
  <c r="C828" i="43"/>
  <c r="C823" i="43"/>
  <c r="C827" i="43"/>
  <c r="F824" i="43"/>
  <c r="I824" i="43" s="1"/>
  <c r="F825" i="43"/>
  <c r="I825" i="43" s="1"/>
  <c r="F826" i="43"/>
  <c r="J826" i="43" s="1"/>
  <c r="F829" i="43"/>
  <c r="J829" i="43" s="1"/>
  <c r="O824" i="42"/>
  <c r="N826" i="42" s="1"/>
  <c r="K843" i="42"/>
  <c r="L843" i="42"/>
  <c r="L837" i="42"/>
  <c r="K837" i="42"/>
  <c r="K841" i="42"/>
  <c r="L841" i="42"/>
  <c r="I844" i="42"/>
  <c r="L835" i="42"/>
  <c r="K835" i="42"/>
  <c r="K836" i="42"/>
  <c r="L836" i="42"/>
  <c r="L838" i="42"/>
  <c r="K838" i="42"/>
  <c r="J844" i="42"/>
  <c r="K839" i="42"/>
  <c r="L839" i="42"/>
  <c r="K842" i="42"/>
  <c r="L842" i="42"/>
  <c r="K840" i="42"/>
  <c r="L840" i="42"/>
  <c r="I827" i="43" l="1"/>
  <c r="J827" i="43"/>
  <c r="B832" i="43"/>
  <c r="F823" i="43"/>
  <c r="I823" i="43" s="1"/>
  <c r="C835" i="43" a="1"/>
  <c r="I826" i="43"/>
  <c r="L826" i="43" s="1"/>
  <c r="J824" i="43"/>
  <c r="K824" i="43" s="1"/>
  <c r="J830" i="43"/>
  <c r="K830" i="43" s="1"/>
  <c r="J825" i="43"/>
  <c r="K825" i="43" s="1"/>
  <c r="J828" i="43"/>
  <c r="L828" i="43" s="1"/>
  <c r="I829" i="43"/>
  <c r="K829" i="43" s="1"/>
  <c r="N827" i="42"/>
  <c r="O826" i="42" s="1"/>
  <c r="J822" i="43"/>
  <c r="I822" i="43"/>
  <c r="O827" i="42"/>
  <c r="K844" i="42"/>
  <c r="L844" i="42"/>
  <c r="K827" i="43" l="1"/>
  <c r="J823" i="43"/>
  <c r="K823" i="43" s="1"/>
  <c r="L827" i="43"/>
  <c r="K826" i="43"/>
  <c r="C842" i="43"/>
  <c r="G842" i="43" s="1"/>
  <c r="J842" i="43" s="1"/>
  <c r="C838" i="43"/>
  <c r="G838" i="43" s="1"/>
  <c r="I838" i="43" s="1"/>
  <c r="C840" i="43"/>
  <c r="G840" i="43" s="1"/>
  <c r="C835" i="43"/>
  <c r="G835" i="43" s="1"/>
  <c r="I835" i="43" s="1"/>
  <c r="C839" i="43"/>
  <c r="G839" i="43" s="1"/>
  <c r="J839" i="43" s="1"/>
  <c r="C843" i="43"/>
  <c r="G843" i="43" s="1"/>
  <c r="C836" i="43"/>
  <c r="G836" i="43" s="1"/>
  <c r="J836" i="43" s="1"/>
  <c r="C837" i="43"/>
  <c r="G837" i="43" s="1"/>
  <c r="C841" i="43"/>
  <c r="G841" i="43" s="1"/>
  <c r="J841" i="43" s="1"/>
  <c r="L830" i="43"/>
  <c r="Q822" i="42" a="1"/>
  <c r="R827" i="42" s="1"/>
  <c r="L824" i="43"/>
  <c r="L825" i="43"/>
  <c r="K828" i="43"/>
  <c r="L829" i="43"/>
  <c r="I831" i="43"/>
  <c r="K822" i="43"/>
  <c r="L822" i="43"/>
  <c r="L823" i="43" l="1"/>
  <c r="L831" i="43" s="1"/>
  <c r="J831" i="43"/>
  <c r="I841" i="43"/>
  <c r="K841" i="43" s="1"/>
  <c r="R824" i="42"/>
  <c r="R823" i="42"/>
  <c r="Q825" i="42"/>
  <c r="R829" i="42"/>
  <c r="R826" i="42"/>
  <c r="Q824" i="42"/>
  <c r="R822" i="42"/>
  <c r="Q827" i="42"/>
  <c r="Q826" i="42"/>
  <c r="Q823" i="42"/>
  <c r="R825" i="42"/>
  <c r="Q828" i="42"/>
  <c r="R830" i="42"/>
  <c r="R828" i="42"/>
  <c r="Q829" i="42"/>
  <c r="Q822" i="42"/>
  <c r="Q830" i="42"/>
  <c r="I839" i="43"/>
  <c r="L839" i="43" s="1"/>
  <c r="K831" i="43"/>
  <c r="O823" i="43" s="1"/>
  <c r="I836" i="43"/>
  <c r="K836" i="43" s="1"/>
  <c r="J835" i="43"/>
  <c r="J838" i="43"/>
  <c r="L838" i="43" s="1"/>
  <c r="I842" i="43"/>
  <c r="L842" i="43" s="1"/>
  <c r="I843" i="43"/>
  <c r="J843" i="43"/>
  <c r="J837" i="43"/>
  <c r="I837" i="43"/>
  <c r="J840" i="43"/>
  <c r="I840" i="43"/>
  <c r="O822" i="43" l="1"/>
  <c r="O824" i="43" s="1"/>
  <c r="L841" i="43"/>
  <c r="D835" i="42" a="1"/>
  <c r="D842" i="42" s="1"/>
  <c r="K839" i="43"/>
  <c r="A835" i="42" a="1"/>
  <c r="A842" i="42" s="1"/>
  <c r="J844" i="43"/>
  <c r="L836" i="43"/>
  <c r="L835" i="43"/>
  <c r="K835" i="43"/>
  <c r="K838" i="43"/>
  <c r="K842" i="43"/>
  <c r="K843" i="43"/>
  <c r="L843" i="43"/>
  <c r="I844" i="43"/>
  <c r="K837" i="43"/>
  <c r="L837" i="43"/>
  <c r="L840" i="43"/>
  <c r="K840" i="43"/>
  <c r="N826" i="43" l="1"/>
  <c r="O827" i="43" s="1"/>
  <c r="N827" i="43"/>
  <c r="O826" i="43" s="1"/>
  <c r="D843" i="42"/>
  <c r="D840" i="42"/>
  <c r="D835" i="42"/>
  <c r="D837" i="42"/>
  <c r="D839" i="42"/>
  <c r="D841" i="42"/>
  <c r="D838" i="42"/>
  <c r="D836" i="42"/>
  <c r="A839" i="42"/>
  <c r="A835" i="42"/>
  <c r="A837" i="42"/>
  <c r="A840" i="42"/>
  <c r="A841" i="42"/>
  <c r="A843" i="42"/>
  <c r="A836" i="42"/>
  <c r="A838" i="42"/>
  <c r="K844" i="43"/>
  <c r="L844" i="43"/>
  <c r="D848" i="42" l="1" a="1"/>
  <c r="D852" i="42" s="1"/>
  <c r="G852" i="42" s="1"/>
  <c r="B845" i="42"/>
  <c r="O835" i="42" s="1"/>
  <c r="Q822" i="43" a="1"/>
  <c r="Q826" i="43" s="1"/>
  <c r="A848" i="42" a="1"/>
  <c r="A856" i="42" s="1"/>
  <c r="O836" i="42" l="1"/>
  <c r="O837" i="42" s="1"/>
  <c r="D856" i="42"/>
  <c r="G856" i="42" s="1"/>
  <c r="D855" i="42"/>
  <c r="G855" i="42" s="1"/>
  <c r="D849" i="42"/>
  <c r="G849" i="42" s="1"/>
  <c r="D850" i="42"/>
  <c r="G850" i="42" s="1"/>
  <c r="D854" i="42"/>
  <c r="G854" i="42" s="1"/>
  <c r="D851" i="42"/>
  <c r="G851" i="42" s="1"/>
  <c r="D848" i="42"/>
  <c r="G848" i="42" s="1"/>
  <c r="D853" i="42"/>
  <c r="G853" i="42" s="1"/>
  <c r="Q823" i="43"/>
  <c r="Q829" i="43"/>
  <c r="A848" i="42"/>
  <c r="Q825" i="43"/>
  <c r="A854" i="42"/>
  <c r="Q824" i="43"/>
  <c r="A851" i="42"/>
  <c r="A853" i="42"/>
  <c r="A849" i="42"/>
  <c r="A852" i="42"/>
  <c r="Q827" i="43"/>
  <c r="R823" i="43"/>
  <c r="R828" i="43"/>
  <c r="R830" i="43"/>
  <c r="Q828" i="43"/>
  <c r="A855" i="42"/>
  <c r="A850" i="42"/>
  <c r="R826" i="43"/>
  <c r="R825" i="43"/>
  <c r="R822" i="43"/>
  <c r="Q822" i="43"/>
  <c r="Q830" i="43"/>
  <c r="R829" i="43"/>
  <c r="R824" i="43"/>
  <c r="R827" i="43"/>
  <c r="A835" i="43" l="1" a="1"/>
  <c r="D835" i="43" a="1"/>
  <c r="A861" i="42" a="1"/>
  <c r="A861" i="42" s="1"/>
  <c r="B858" i="42"/>
  <c r="N840" i="42"/>
  <c r="O839" i="42" s="1"/>
  <c r="N839" i="42"/>
  <c r="D840" i="43" l="1"/>
  <c r="D836" i="43"/>
  <c r="D841" i="43"/>
  <c r="D835" i="43"/>
  <c r="D839" i="43"/>
  <c r="D843" i="43"/>
  <c r="D837" i="43"/>
  <c r="D842" i="43"/>
  <c r="D838" i="43"/>
  <c r="A842" i="43"/>
  <c r="A838" i="43"/>
  <c r="A839" i="43"/>
  <c r="A843" i="43"/>
  <c r="A837" i="43"/>
  <c r="A841" i="43"/>
  <c r="A835" i="43"/>
  <c r="A836" i="43"/>
  <c r="A840" i="43"/>
  <c r="A863" i="42"/>
  <c r="A866" i="42"/>
  <c r="A869" i="42"/>
  <c r="A864" i="42"/>
  <c r="A867" i="42"/>
  <c r="A865" i="42"/>
  <c r="A868" i="42"/>
  <c r="A862" i="42"/>
  <c r="O840" i="42"/>
  <c r="Q835" i="42" s="1" a="1"/>
  <c r="D848" i="43" l="1" a="1"/>
  <c r="D854" i="43" s="1"/>
  <c r="G854" i="43" s="1"/>
  <c r="B845" i="43"/>
  <c r="A848" i="43" a="1"/>
  <c r="B871" i="42"/>
  <c r="A874" i="42" a="1"/>
  <c r="A876" i="42" s="1"/>
  <c r="F876" i="42" s="1"/>
  <c r="Q842" i="42"/>
  <c r="Q840" i="42"/>
  <c r="Q838" i="42"/>
  <c r="Q836" i="42"/>
  <c r="Q843" i="42"/>
  <c r="R840" i="42"/>
  <c r="R837" i="42"/>
  <c r="Q835" i="42"/>
  <c r="R842" i="42"/>
  <c r="R839" i="42"/>
  <c r="Q837" i="42"/>
  <c r="R841" i="42"/>
  <c r="Q839" i="42"/>
  <c r="R836" i="42"/>
  <c r="R843" i="42"/>
  <c r="Q841" i="42"/>
  <c r="R838" i="42"/>
  <c r="R835" i="42"/>
  <c r="O836" i="43" l="1"/>
  <c r="O835" i="43"/>
  <c r="D848" i="43"/>
  <c r="G848" i="43" s="1"/>
  <c r="D855" i="43"/>
  <c r="G855" i="43" s="1"/>
  <c r="D853" i="43"/>
  <c r="G853" i="43" s="1"/>
  <c r="D850" i="43"/>
  <c r="G850" i="43" s="1"/>
  <c r="D851" i="43"/>
  <c r="G851" i="43" s="1"/>
  <c r="D849" i="43"/>
  <c r="G849" i="43" s="1"/>
  <c r="D856" i="43"/>
  <c r="G856" i="43" s="1"/>
  <c r="D852" i="43"/>
  <c r="G852" i="43" s="1"/>
  <c r="A854" i="43"/>
  <c r="A850" i="43"/>
  <c r="A853" i="43"/>
  <c r="A848" i="43"/>
  <c r="A852" i="43"/>
  <c r="A856" i="43"/>
  <c r="A849" i="43"/>
  <c r="A851" i="43"/>
  <c r="A855" i="43"/>
  <c r="A875" i="42"/>
  <c r="F875" i="42" s="1"/>
  <c r="A878" i="42"/>
  <c r="F878" i="42" s="1"/>
  <c r="A882" i="42"/>
  <c r="F882" i="42" s="1"/>
  <c r="A877" i="42"/>
  <c r="F877" i="42" s="1"/>
  <c r="A879" i="42"/>
  <c r="F879" i="42" s="1"/>
  <c r="A880" i="42"/>
  <c r="F880" i="42" s="1"/>
  <c r="A881" i="42"/>
  <c r="F881" i="42" s="1"/>
  <c r="A874" i="42"/>
  <c r="B848" i="42" a="1"/>
  <c r="B848" i="42" s="1"/>
  <c r="F848" i="42" s="1"/>
  <c r="C848" i="42" a="1"/>
  <c r="O837" i="43" l="1"/>
  <c r="N840" i="43" s="1"/>
  <c r="O839" i="43" s="1"/>
  <c r="A861" i="43" a="1"/>
  <c r="B858" i="43"/>
  <c r="B884" i="42"/>
  <c r="F874" i="42"/>
  <c r="B855" i="42"/>
  <c r="F855" i="42" s="1"/>
  <c r="I855" i="42" s="1"/>
  <c r="B852" i="42"/>
  <c r="F852" i="42" s="1"/>
  <c r="J852" i="42" s="1"/>
  <c r="B854" i="42"/>
  <c r="F854" i="42" s="1"/>
  <c r="I854" i="42" s="1"/>
  <c r="B851" i="42"/>
  <c r="F851" i="42" s="1"/>
  <c r="J851" i="42" s="1"/>
  <c r="B856" i="42"/>
  <c r="F856" i="42" s="1"/>
  <c r="J856" i="42" s="1"/>
  <c r="B849" i="42"/>
  <c r="F849" i="42" s="1"/>
  <c r="J849" i="42" s="1"/>
  <c r="B853" i="42"/>
  <c r="F853" i="42" s="1"/>
  <c r="I853" i="42" s="1"/>
  <c r="B850" i="42"/>
  <c r="F850" i="42" s="1"/>
  <c r="I850" i="42" s="1"/>
  <c r="C854" i="42"/>
  <c r="C850" i="42"/>
  <c r="C853" i="42"/>
  <c r="C848" i="42"/>
  <c r="C852" i="42"/>
  <c r="C856" i="42"/>
  <c r="C851" i="42"/>
  <c r="C855" i="42"/>
  <c r="C849" i="42"/>
  <c r="J848" i="42"/>
  <c r="I848" i="42"/>
  <c r="N839" i="43" l="1"/>
  <c r="O840" i="43" s="1"/>
  <c r="A868" i="43"/>
  <c r="A864" i="43"/>
  <c r="A867" i="43"/>
  <c r="A862" i="43"/>
  <c r="A869" i="43"/>
  <c r="A861" i="43"/>
  <c r="A866" i="43"/>
  <c r="A865" i="43"/>
  <c r="A863" i="43"/>
  <c r="J855" i="42"/>
  <c r="L855" i="42" s="1"/>
  <c r="I852" i="42"/>
  <c r="K852" i="42" s="1"/>
  <c r="I856" i="42"/>
  <c r="L856" i="42" s="1"/>
  <c r="J854" i="42"/>
  <c r="K854" i="42" s="1"/>
  <c r="J853" i="42"/>
  <c r="L853" i="42" s="1"/>
  <c r="I849" i="42"/>
  <c r="L849" i="42" s="1"/>
  <c r="I851" i="42"/>
  <c r="K851" i="42" s="1"/>
  <c r="J850" i="42"/>
  <c r="L850" i="42" s="1"/>
  <c r="C861" i="42" a="1"/>
  <c r="L848" i="42"/>
  <c r="K848" i="42"/>
  <c r="Q835" i="43" l="1" a="1"/>
  <c r="R843" i="43" s="1"/>
  <c r="K855" i="42"/>
  <c r="B871" i="43"/>
  <c r="A874" i="43" a="1"/>
  <c r="L852" i="42"/>
  <c r="K856" i="42"/>
  <c r="L854" i="42"/>
  <c r="I857" i="42"/>
  <c r="J857" i="42"/>
  <c r="K853" i="42"/>
  <c r="K849" i="42"/>
  <c r="K850" i="42"/>
  <c r="L851" i="42"/>
  <c r="C868" i="42"/>
  <c r="F868" i="42" s="1"/>
  <c r="C864" i="42"/>
  <c r="F864" i="42" s="1"/>
  <c r="C867" i="42"/>
  <c r="F867" i="42" s="1"/>
  <c r="C862" i="42"/>
  <c r="F862" i="42" s="1"/>
  <c r="C866" i="42"/>
  <c r="F866" i="42" s="1"/>
  <c r="C861" i="42"/>
  <c r="F861" i="42" s="1"/>
  <c r="C865" i="42"/>
  <c r="F865" i="42" s="1"/>
  <c r="C863" i="42"/>
  <c r="F863" i="42" s="1"/>
  <c r="C869" i="42"/>
  <c r="F869" i="42" s="1"/>
  <c r="Q837" i="43" l="1"/>
  <c r="R838" i="43"/>
  <c r="R840" i="43"/>
  <c r="Q838" i="43"/>
  <c r="R837" i="43"/>
  <c r="R842" i="43"/>
  <c r="Q836" i="43"/>
  <c r="R839" i="43"/>
  <c r="R836" i="43"/>
  <c r="R841" i="43"/>
  <c r="Q839" i="43"/>
  <c r="Q841" i="43"/>
  <c r="Q843" i="43"/>
  <c r="Q840" i="43"/>
  <c r="Q842" i="43"/>
  <c r="Q835" i="43"/>
  <c r="R835" i="43"/>
  <c r="A880" i="43"/>
  <c r="F880" i="43" s="1"/>
  <c r="A876" i="43"/>
  <c r="F876" i="43" s="1"/>
  <c r="A882" i="43"/>
  <c r="F882" i="43" s="1"/>
  <c r="A877" i="43"/>
  <c r="F877" i="43" s="1"/>
  <c r="A875" i="43"/>
  <c r="F875" i="43" s="1"/>
  <c r="A881" i="43"/>
  <c r="F881" i="43" s="1"/>
  <c r="A874" i="43"/>
  <c r="A879" i="43"/>
  <c r="F879" i="43" s="1"/>
  <c r="A878" i="43"/>
  <c r="F878" i="43" s="1"/>
  <c r="L857" i="42"/>
  <c r="O848" i="42" s="1"/>
  <c r="K857" i="42"/>
  <c r="O849" i="42" s="1"/>
  <c r="C848" i="43" l="1" a="1"/>
  <c r="C856" i="43" s="1"/>
  <c r="B848" i="43" a="1"/>
  <c r="B850" i="43" s="1"/>
  <c r="F850" i="43" s="1"/>
  <c r="B884" i="43"/>
  <c r="F874" i="43"/>
  <c r="O850" i="42"/>
  <c r="N853" i="42" s="1"/>
  <c r="O852" i="42" s="1"/>
  <c r="C853" i="43" l="1"/>
  <c r="C849" i="43"/>
  <c r="C854" i="43"/>
  <c r="C850" i="43"/>
  <c r="C848" i="43"/>
  <c r="C855" i="43"/>
  <c r="C852" i="43"/>
  <c r="C851" i="43"/>
  <c r="C861" i="43" s="1" a="1"/>
  <c r="C868" i="43" s="1"/>
  <c r="B853" i="43"/>
  <c r="F853" i="43" s="1"/>
  <c r="I853" i="43" s="1"/>
  <c r="B854" i="43"/>
  <c r="F854" i="43" s="1"/>
  <c r="I854" i="43" s="1"/>
  <c r="B856" i="43"/>
  <c r="F856" i="43" s="1"/>
  <c r="J856" i="43" s="1"/>
  <c r="B855" i="43"/>
  <c r="F855" i="43" s="1"/>
  <c r="I855" i="43" s="1"/>
  <c r="B849" i="43"/>
  <c r="F849" i="43" s="1"/>
  <c r="I849" i="43" s="1"/>
  <c r="B848" i="43"/>
  <c r="F848" i="43" s="1"/>
  <c r="J848" i="43" s="1"/>
  <c r="B852" i="43"/>
  <c r="F852" i="43" s="1"/>
  <c r="I852" i="43" s="1"/>
  <c r="B851" i="43"/>
  <c r="F851" i="43" s="1"/>
  <c r="J851" i="43" s="1"/>
  <c r="N852" i="42"/>
  <c r="O853" i="42" s="1"/>
  <c r="Q848" i="42" s="1" a="1"/>
  <c r="R853" i="42" s="1"/>
  <c r="I850" i="43"/>
  <c r="J850" i="43"/>
  <c r="I856" i="43" l="1"/>
  <c r="K856" i="43" s="1"/>
  <c r="J854" i="43"/>
  <c r="I848" i="43"/>
  <c r="J849" i="43"/>
  <c r="K849" i="43" s="1"/>
  <c r="J853" i="43"/>
  <c r="L853" i="43" s="1"/>
  <c r="J852" i="43"/>
  <c r="L852" i="43" s="1"/>
  <c r="J855" i="43"/>
  <c r="L855" i="43" s="1"/>
  <c r="I851" i="43"/>
  <c r="L851" i="43" s="1"/>
  <c r="C865" i="43"/>
  <c r="F865" i="43" s="1"/>
  <c r="C864" i="43"/>
  <c r="F864" i="43" s="1"/>
  <c r="C861" i="43"/>
  <c r="F861" i="43" s="1"/>
  <c r="C869" i="43"/>
  <c r="F869" i="43" s="1"/>
  <c r="C867" i="43"/>
  <c r="F867" i="43" s="1"/>
  <c r="C863" i="43"/>
  <c r="F863" i="43" s="1"/>
  <c r="C866" i="43"/>
  <c r="F866" i="43" s="1"/>
  <c r="C862" i="43"/>
  <c r="F862" i="43" s="1"/>
  <c r="Q852" i="42"/>
  <c r="Q856" i="42"/>
  <c r="Q848" i="42"/>
  <c r="R856" i="42"/>
  <c r="Q855" i="42"/>
  <c r="R855" i="42"/>
  <c r="R848" i="42"/>
  <c r="R854" i="42"/>
  <c r="R849" i="42"/>
  <c r="Q851" i="42"/>
  <c r="Q850" i="42"/>
  <c r="R850" i="42"/>
  <c r="R851" i="42"/>
  <c r="Q854" i="42"/>
  <c r="Q849" i="42"/>
  <c r="R852" i="42"/>
  <c r="Q853" i="42"/>
  <c r="F868" i="43"/>
  <c r="L848" i="43"/>
  <c r="K854" i="43"/>
  <c r="L854" i="43"/>
  <c r="L850" i="43"/>
  <c r="K850" i="43"/>
  <c r="I857" i="43" l="1"/>
  <c r="J857" i="43"/>
  <c r="L849" i="43"/>
  <c r="K853" i="43"/>
  <c r="L856" i="43"/>
  <c r="K852" i="43"/>
  <c r="K855" i="43"/>
  <c r="K848" i="43"/>
  <c r="K857" i="43" s="1"/>
  <c r="O849" i="43" s="1"/>
  <c r="K851" i="43"/>
  <c r="B861" i="42" a="1"/>
  <c r="B867" i="42" s="1"/>
  <c r="D861" i="42" a="1"/>
  <c r="D868" i="42" s="1"/>
  <c r="G868" i="42" s="1"/>
  <c r="J868" i="42" s="1"/>
  <c r="L857" i="43" l="1"/>
  <c r="O848" i="43" s="1"/>
  <c r="O850" i="43" s="1"/>
  <c r="N853" i="43" s="1"/>
  <c r="O852" i="43" s="1"/>
  <c r="B864" i="42"/>
  <c r="B862" i="42"/>
  <c r="B863" i="42"/>
  <c r="B869" i="42"/>
  <c r="B861" i="42"/>
  <c r="B868" i="42"/>
  <c r="D869" i="42"/>
  <c r="G869" i="42" s="1"/>
  <c r="I869" i="42" s="1"/>
  <c r="D865" i="42"/>
  <c r="G865" i="42" s="1"/>
  <c r="I865" i="42" s="1"/>
  <c r="D863" i="42"/>
  <c r="G863" i="42" s="1"/>
  <c r="D866" i="42"/>
  <c r="G866" i="42" s="1"/>
  <c r="I866" i="42" s="1"/>
  <c r="D862" i="42"/>
  <c r="G862" i="42" s="1"/>
  <c r="J862" i="42" s="1"/>
  <c r="B866" i="42"/>
  <c r="B865" i="42"/>
  <c r="D864" i="42"/>
  <c r="G864" i="42" s="1"/>
  <c r="J864" i="42" s="1"/>
  <c r="D861" i="42"/>
  <c r="G861" i="42" s="1"/>
  <c r="D867" i="42"/>
  <c r="G867" i="42" s="1"/>
  <c r="I867" i="42" s="1"/>
  <c r="I868" i="42"/>
  <c r="L868" i="42" s="1"/>
  <c r="N852" i="43" l="1"/>
  <c r="O853" i="43" s="1"/>
  <c r="J866" i="42"/>
  <c r="K866" i="42" s="1"/>
  <c r="J865" i="42"/>
  <c r="L865" i="42" s="1"/>
  <c r="J869" i="42"/>
  <c r="K869" i="42" s="1"/>
  <c r="B874" i="42" a="1"/>
  <c r="B882" i="42" s="1"/>
  <c r="G882" i="42" s="1"/>
  <c r="I882" i="42" s="1"/>
  <c r="I864" i="42"/>
  <c r="L864" i="42" s="1"/>
  <c r="K868" i="42"/>
  <c r="J867" i="42"/>
  <c r="K867" i="42" s="1"/>
  <c r="I862" i="42"/>
  <c r="J863" i="42"/>
  <c r="I863" i="42"/>
  <c r="I861" i="42"/>
  <c r="J861" i="42"/>
  <c r="L866" i="42" l="1"/>
  <c r="L869" i="42"/>
  <c r="K865" i="42"/>
  <c r="L867" i="42"/>
  <c r="B878" i="42"/>
  <c r="G878" i="42" s="1"/>
  <c r="J878" i="42" s="1"/>
  <c r="K864" i="42"/>
  <c r="B875" i="42"/>
  <c r="G875" i="42" s="1"/>
  <c r="J875" i="42" s="1"/>
  <c r="J882" i="42"/>
  <c r="L882" i="42" s="1"/>
  <c r="I870" i="42"/>
  <c r="J870" i="42"/>
  <c r="B879" i="42"/>
  <c r="G879" i="42" s="1"/>
  <c r="J879" i="42" s="1"/>
  <c r="B874" i="42"/>
  <c r="G874" i="42" s="1"/>
  <c r="I874" i="42" s="1"/>
  <c r="B876" i="42"/>
  <c r="G876" i="42" s="1"/>
  <c r="I876" i="42" s="1"/>
  <c r="B880" i="42"/>
  <c r="G880" i="42" s="1"/>
  <c r="I880" i="42" s="1"/>
  <c r="B881" i="42"/>
  <c r="G881" i="42" s="1"/>
  <c r="J881" i="42" s="1"/>
  <c r="B877" i="42"/>
  <c r="G877" i="42" s="1"/>
  <c r="I877" i="42" s="1"/>
  <c r="K862" i="42"/>
  <c r="L862" i="42"/>
  <c r="L863" i="42"/>
  <c r="K863" i="42"/>
  <c r="L861" i="42"/>
  <c r="K861" i="42"/>
  <c r="Q848" i="43" a="1"/>
  <c r="Q853" i="43" s="1"/>
  <c r="I875" i="42" l="1"/>
  <c r="K875" i="42" s="1"/>
  <c r="I878" i="42"/>
  <c r="L878" i="42" s="1"/>
  <c r="J876" i="42"/>
  <c r="L876" i="42" s="1"/>
  <c r="I881" i="42"/>
  <c r="K881" i="42" s="1"/>
  <c r="J874" i="42"/>
  <c r="L874" i="42" s="1"/>
  <c r="I879" i="42"/>
  <c r="K879" i="42" s="1"/>
  <c r="K882" i="42"/>
  <c r="J880" i="42"/>
  <c r="L880" i="42" s="1"/>
  <c r="K870" i="42"/>
  <c r="O862" i="42" s="1"/>
  <c r="J877" i="42"/>
  <c r="L877" i="42" s="1"/>
  <c r="L870" i="42"/>
  <c r="O861" i="42" s="1"/>
  <c r="R848" i="43"/>
  <c r="Q849" i="43"/>
  <c r="R852" i="43"/>
  <c r="R856" i="43"/>
  <c r="Q855" i="43"/>
  <c r="Q850" i="43"/>
  <c r="Q848" i="43"/>
  <c r="R854" i="43"/>
  <c r="Q856" i="43"/>
  <c r="R855" i="43"/>
  <c r="R851" i="43"/>
  <c r="R850" i="43"/>
  <c r="Q851" i="43"/>
  <c r="Q852" i="43"/>
  <c r="R849" i="43"/>
  <c r="Q854" i="43"/>
  <c r="R853" i="43"/>
  <c r="L875" i="42" l="1"/>
  <c r="K878" i="42"/>
  <c r="L881" i="42"/>
  <c r="B861" i="43" a="1"/>
  <c r="B866" i="43" s="1"/>
  <c r="D861" i="43" a="1"/>
  <c r="K876" i="42"/>
  <c r="O863" i="42"/>
  <c r="N865" i="42" s="1"/>
  <c r="O866" i="42" s="1"/>
  <c r="K874" i="42"/>
  <c r="K880" i="42"/>
  <c r="L879" i="42"/>
  <c r="I883" i="42"/>
  <c r="K877" i="42"/>
  <c r="J883" i="42"/>
  <c r="L883" i="42" l="1"/>
  <c r="O874" i="42" s="1"/>
  <c r="B869" i="43"/>
  <c r="B863" i="43"/>
  <c r="B868" i="43"/>
  <c r="B861" i="43"/>
  <c r="B862" i="43"/>
  <c r="B864" i="43"/>
  <c r="B867" i="43"/>
  <c r="B865" i="43"/>
  <c r="D866" i="43"/>
  <c r="G866" i="43" s="1"/>
  <c r="I866" i="43" s="1"/>
  <c r="D862" i="43"/>
  <c r="G862" i="43" s="1"/>
  <c r="D869" i="43"/>
  <c r="G869" i="43" s="1"/>
  <c r="J869" i="43" s="1"/>
  <c r="D864" i="43"/>
  <c r="G864" i="43" s="1"/>
  <c r="I864" i="43" s="1"/>
  <c r="D867" i="43"/>
  <c r="G867" i="43" s="1"/>
  <c r="J867" i="43" s="1"/>
  <c r="D865" i="43"/>
  <c r="G865" i="43" s="1"/>
  <c r="J865" i="43" s="1"/>
  <c r="D863" i="43"/>
  <c r="G863" i="43" s="1"/>
  <c r="I863" i="43" s="1"/>
  <c r="D868" i="43"/>
  <c r="G868" i="43" s="1"/>
  <c r="I868" i="43" s="1"/>
  <c r="D861" i="43"/>
  <c r="G861" i="43" s="1"/>
  <c r="J861" i="43" s="1"/>
  <c r="N866" i="42"/>
  <c r="O865" i="42" s="1"/>
  <c r="Q861" i="42" s="1" a="1"/>
  <c r="Q869" i="42" s="1"/>
  <c r="K883" i="42"/>
  <c r="O875" i="42" s="1"/>
  <c r="B874" i="43" l="1" a="1"/>
  <c r="B878" i="43" s="1"/>
  <c r="I869" i="43"/>
  <c r="K869" i="43" s="1"/>
  <c r="I867" i="43"/>
  <c r="K867" i="43" s="1"/>
  <c r="I862" i="43"/>
  <c r="J862" i="43"/>
  <c r="R862" i="42"/>
  <c r="Q861" i="42"/>
  <c r="R869" i="42"/>
  <c r="R866" i="42"/>
  <c r="Q863" i="42"/>
  <c r="R861" i="42"/>
  <c r="Q868" i="42"/>
  <c r="R867" i="42"/>
  <c r="R863" i="42"/>
  <c r="Q867" i="42"/>
  <c r="Q865" i="42"/>
  <c r="Q864" i="42"/>
  <c r="R864" i="42"/>
  <c r="R868" i="42"/>
  <c r="Q866" i="42"/>
  <c r="R865" i="42"/>
  <c r="Q862" i="42"/>
  <c r="O876" i="42"/>
  <c r="N879" i="42" s="1"/>
  <c r="O878" i="42" s="1"/>
  <c r="J866" i="43"/>
  <c r="L866" i="43" s="1"/>
  <c r="I865" i="43"/>
  <c r="K865" i="43" s="1"/>
  <c r="J868" i="43"/>
  <c r="K868" i="43" s="1"/>
  <c r="J863" i="43"/>
  <c r="K863" i="43" s="1"/>
  <c r="I861" i="43"/>
  <c r="K861" i="43" s="1"/>
  <c r="J864" i="43"/>
  <c r="L864" i="43" s="1"/>
  <c r="B875" i="43" l="1"/>
  <c r="G875" i="43" s="1"/>
  <c r="I875" i="43" s="1"/>
  <c r="B880" i="43"/>
  <c r="G880" i="43" s="1"/>
  <c r="J880" i="43" s="1"/>
  <c r="B882" i="43"/>
  <c r="G882" i="43" s="1"/>
  <c r="J882" i="43" s="1"/>
  <c r="B874" i="43"/>
  <c r="G874" i="43" s="1"/>
  <c r="I874" i="43" s="1"/>
  <c r="B881" i="43"/>
  <c r="G881" i="43" s="1"/>
  <c r="I881" i="43" s="1"/>
  <c r="B879" i="43"/>
  <c r="G879" i="43" s="1"/>
  <c r="I879" i="43" s="1"/>
  <c r="B876" i="43"/>
  <c r="G876" i="43" s="1"/>
  <c r="I876" i="43" s="1"/>
  <c r="B877" i="43"/>
  <c r="G877" i="43" s="1"/>
  <c r="I877" i="43" s="1"/>
  <c r="K862" i="43"/>
  <c r="J870" i="43"/>
  <c r="L867" i="43"/>
  <c r="L869" i="43"/>
  <c r="L862" i="43"/>
  <c r="C874" i="42" a="1"/>
  <c r="C882" i="42" s="1"/>
  <c r="D874" i="42" a="1"/>
  <c r="D879" i="42" s="1"/>
  <c r="N878" i="42"/>
  <c r="O879" i="42" s="1"/>
  <c r="Q874" i="42" s="1" a="1"/>
  <c r="Q878" i="42" s="1"/>
  <c r="K866" i="43"/>
  <c r="L865" i="43"/>
  <c r="G878" i="43"/>
  <c r="I878" i="43" s="1"/>
  <c r="L863" i="43"/>
  <c r="I870" i="43"/>
  <c r="L868" i="43"/>
  <c r="L861" i="43"/>
  <c r="K864" i="43"/>
  <c r="J879" i="43" l="1"/>
  <c r="K879" i="43" s="1"/>
  <c r="K870" i="43"/>
  <c r="O862" i="43" s="1"/>
  <c r="C879" i="42"/>
  <c r="C876" i="42"/>
  <c r="C874" i="42"/>
  <c r="C877" i="42"/>
  <c r="C880" i="42"/>
  <c r="C875" i="42"/>
  <c r="C881" i="42"/>
  <c r="C878" i="42"/>
  <c r="D874" i="42"/>
  <c r="D882" i="42"/>
  <c r="D875" i="42"/>
  <c r="D878" i="42"/>
  <c r="D876" i="42"/>
  <c r="D877" i="42"/>
  <c r="D880" i="42"/>
  <c r="D881" i="42"/>
  <c r="Q880" i="42"/>
  <c r="R874" i="42"/>
  <c r="R882" i="42"/>
  <c r="R880" i="42"/>
  <c r="R878" i="42"/>
  <c r="Q881" i="42"/>
  <c r="Q876" i="42"/>
  <c r="R876" i="42"/>
  <c r="R879" i="42"/>
  <c r="Q875" i="42"/>
  <c r="R877" i="42"/>
  <c r="Q879" i="42"/>
  <c r="Q882" i="42"/>
  <c r="R881" i="42"/>
  <c r="Q877" i="42"/>
  <c r="Q874" i="42"/>
  <c r="R875" i="42"/>
  <c r="J875" i="43"/>
  <c r="K875" i="43" s="1"/>
  <c r="J881" i="43"/>
  <c r="L881" i="43" s="1"/>
  <c r="J874" i="43"/>
  <c r="L874" i="43" s="1"/>
  <c r="L870" i="43"/>
  <c r="O861" i="43" s="1"/>
  <c r="O863" i="43" s="1"/>
  <c r="J876" i="43"/>
  <c r="L876" i="43" s="1"/>
  <c r="J877" i="43"/>
  <c r="L877" i="43" s="1"/>
  <c r="I882" i="43"/>
  <c r="L882" i="43" s="1"/>
  <c r="I880" i="43"/>
  <c r="L880" i="43" s="1"/>
  <c r="J878" i="43"/>
  <c r="K878" i="43" s="1"/>
  <c r="K881" i="43" l="1"/>
  <c r="N865" i="43"/>
  <c r="O866" i="43" s="1"/>
  <c r="N866" i="43"/>
  <c r="O865" i="43" s="1"/>
  <c r="L879" i="43"/>
  <c r="L875" i="43"/>
  <c r="C887" i="42" a="1"/>
  <c r="C895" i="42" s="1"/>
  <c r="G895" i="42" s="1"/>
  <c r="D887" i="42" a="1"/>
  <c r="D895" i="42" s="1"/>
  <c r="A887" i="42" a="1"/>
  <c r="A893" i="42" s="1"/>
  <c r="F893" i="42" s="1"/>
  <c r="B887" i="42" a="1"/>
  <c r="B894" i="42" s="1"/>
  <c r="K874" i="43"/>
  <c r="J883" i="43"/>
  <c r="I883" i="43"/>
  <c r="K877" i="43"/>
  <c r="L878" i="43"/>
  <c r="K876" i="43"/>
  <c r="K882" i="43"/>
  <c r="K880" i="43"/>
  <c r="L883" i="43" l="1"/>
  <c r="O874" i="43" s="1"/>
  <c r="Q861" i="43" a="1"/>
  <c r="R868" i="43" s="1"/>
  <c r="C894" i="42"/>
  <c r="G894" i="42" s="1"/>
  <c r="D890" i="42"/>
  <c r="C888" i="42"/>
  <c r="G888" i="42" s="1"/>
  <c r="C892" i="42"/>
  <c r="G892" i="42" s="1"/>
  <c r="C890" i="42"/>
  <c r="G890" i="42" s="1"/>
  <c r="D894" i="42"/>
  <c r="D888" i="42"/>
  <c r="C887" i="42"/>
  <c r="G887" i="42" s="1"/>
  <c r="D891" i="42"/>
  <c r="C891" i="42"/>
  <c r="G891" i="42" s="1"/>
  <c r="D893" i="42"/>
  <c r="C893" i="42"/>
  <c r="G893" i="42" s="1"/>
  <c r="J893" i="42" s="1"/>
  <c r="C889" i="42"/>
  <c r="G889" i="42" s="1"/>
  <c r="D892" i="42"/>
  <c r="D889" i="42"/>
  <c r="D887" i="42"/>
  <c r="A892" i="42"/>
  <c r="F892" i="42" s="1"/>
  <c r="A889" i="42"/>
  <c r="F889" i="42" s="1"/>
  <c r="A887" i="42"/>
  <c r="F887" i="42" s="1"/>
  <c r="B895" i="42"/>
  <c r="A888" i="42"/>
  <c r="F888" i="42" s="1"/>
  <c r="A894" i="42"/>
  <c r="F894" i="42" s="1"/>
  <c r="A895" i="42"/>
  <c r="F895" i="42" s="1"/>
  <c r="J895" i="42" s="1"/>
  <c r="A890" i="42"/>
  <c r="F890" i="42" s="1"/>
  <c r="A891" i="42"/>
  <c r="F891" i="42" s="1"/>
  <c r="B893" i="42"/>
  <c r="B891" i="42"/>
  <c r="B892" i="42"/>
  <c r="B887" i="42"/>
  <c r="B890" i="42"/>
  <c r="B889" i="42"/>
  <c r="B888" i="42"/>
  <c r="K883" i="43"/>
  <c r="O875" i="43" s="1"/>
  <c r="O876" i="43" l="1"/>
  <c r="J894" i="42"/>
  <c r="I892" i="42"/>
  <c r="I888" i="42"/>
  <c r="I890" i="42"/>
  <c r="J891" i="42"/>
  <c r="I891" i="42"/>
  <c r="J888" i="42"/>
  <c r="I893" i="42"/>
  <c r="K893" i="42" s="1"/>
  <c r="J889" i="42"/>
  <c r="I887" i="42"/>
  <c r="I889" i="42"/>
  <c r="D900" i="42" a="1"/>
  <c r="D908" i="42" s="1"/>
  <c r="G908" i="42" s="1"/>
  <c r="J892" i="42"/>
  <c r="I894" i="42"/>
  <c r="B897" i="42"/>
  <c r="J890" i="42"/>
  <c r="I895" i="42"/>
  <c r="K895" i="42" s="1"/>
  <c r="B900" i="42" a="1"/>
  <c r="B907" i="42" s="1"/>
  <c r="J887" i="42"/>
  <c r="R865" i="43"/>
  <c r="R861" i="43"/>
  <c r="R863" i="43"/>
  <c r="Q867" i="43"/>
  <c r="Q868" i="43"/>
  <c r="Q862" i="43"/>
  <c r="R867" i="43"/>
  <c r="Q861" i="43"/>
  <c r="Q865" i="43"/>
  <c r="R869" i="43"/>
  <c r="Q864" i="43"/>
  <c r="Q863" i="43"/>
  <c r="Q869" i="43"/>
  <c r="R864" i="43"/>
  <c r="R862" i="43"/>
  <c r="R866" i="43"/>
  <c r="Q866" i="43"/>
  <c r="K890" i="42" l="1"/>
  <c r="N878" i="43"/>
  <c r="O879" i="43" s="1"/>
  <c r="N879" i="43"/>
  <c r="O878" i="43" s="1"/>
  <c r="C874" i="43" a="1"/>
  <c r="C880" i="43" s="1"/>
  <c r="D874" i="43" a="1"/>
  <c r="K894" i="42"/>
  <c r="L892" i="42"/>
  <c r="K888" i="42"/>
  <c r="L891" i="42"/>
  <c r="L888" i="42"/>
  <c r="K891" i="42"/>
  <c r="D904" i="42"/>
  <c r="G904" i="42" s="1"/>
  <c r="L893" i="42"/>
  <c r="K889" i="42"/>
  <c r="D907" i="42"/>
  <c r="G907" i="42" s="1"/>
  <c r="L887" i="42"/>
  <c r="L890" i="42"/>
  <c r="D900" i="42"/>
  <c r="G900" i="42" s="1"/>
  <c r="D903" i="42"/>
  <c r="G903" i="42" s="1"/>
  <c r="L889" i="42"/>
  <c r="D905" i="42"/>
  <c r="G905" i="42" s="1"/>
  <c r="D901" i="42"/>
  <c r="G901" i="42" s="1"/>
  <c r="D902" i="42"/>
  <c r="G902" i="42" s="1"/>
  <c r="D906" i="42"/>
  <c r="G906" i="42" s="1"/>
  <c r="K892" i="42"/>
  <c r="J896" i="42"/>
  <c r="I896" i="42"/>
  <c r="L894" i="42"/>
  <c r="L895" i="42"/>
  <c r="B908" i="42"/>
  <c r="B903" i="42"/>
  <c r="B900" i="42"/>
  <c r="B904" i="42"/>
  <c r="B902" i="42"/>
  <c r="B905" i="42"/>
  <c r="B901" i="42"/>
  <c r="B906" i="42"/>
  <c r="K887" i="42"/>
  <c r="Q874" i="43" l="1" a="1"/>
  <c r="R881" i="43" s="1"/>
  <c r="C879" i="43"/>
  <c r="C877" i="43"/>
  <c r="C874" i="43"/>
  <c r="C878" i="43"/>
  <c r="C875" i="43"/>
  <c r="C876" i="43"/>
  <c r="C881" i="43"/>
  <c r="C882" i="43"/>
  <c r="D882" i="43"/>
  <c r="D878" i="43"/>
  <c r="D874" i="43"/>
  <c r="D879" i="43"/>
  <c r="D881" i="43"/>
  <c r="D875" i="43"/>
  <c r="D880" i="43"/>
  <c r="D877" i="43"/>
  <c r="D876" i="43"/>
  <c r="K896" i="42"/>
  <c r="O888" i="42" s="1"/>
  <c r="L896" i="42"/>
  <c r="O887" i="42" s="1"/>
  <c r="B913" i="42" a="1"/>
  <c r="B914" i="42" s="1"/>
  <c r="F914" i="42" s="1"/>
  <c r="Q878" i="43" l="1"/>
  <c r="Q876" i="43"/>
  <c r="R875" i="43"/>
  <c r="Q881" i="43"/>
  <c r="R880" i="43"/>
  <c r="Q879" i="43"/>
  <c r="R874" i="43"/>
  <c r="Q875" i="43"/>
  <c r="Q874" i="43"/>
  <c r="R877" i="43"/>
  <c r="R878" i="43"/>
  <c r="Q877" i="43"/>
  <c r="R876" i="43"/>
  <c r="R879" i="43"/>
  <c r="R882" i="43"/>
  <c r="Q880" i="43"/>
  <c r="Q882" i="43"/>
  <c r="C887" i="43" a="1"/>
  <c r="C887" i="43" s="1"/>
  <c r="G887" i="43" s="1"/>
  <c r="D887" i="43" a="1"/>
  <c r="D888" i="43" s="1"/>
  <c r="O889" i="42"/>
  <c r="N891" i="42" s="1"/>
  <c r="O892" i="42" s="1"/>
  <c r="B915" i="42"/>
  <c r="F915" i="42" s="1"/>
  <c r="B920" i="42"/>
  <c r="F920" i="42" s="1"/>
  <c r="B917" i="42"/>
  <c r="F917" i="42" s="1"/>
  <c r="B921" i="42"/>
  <c r="F921" i="42" s="1"/>
  <c r="B913" i="42"/>
  <c r="F913" i="42" s="1"/>
  <c r="B916" i="42"/>
  <c r="F916" i="42" s="1"/>
  <c r="B918" i="42"/>
  <c r="F918" i="42" s="1"/>
  <c r="B919" i="42"/>
  <c r="F919" i="42" s="1"/>
  <c r="A887" i="43" l="1" a="1"/>
  <c r="A892" i="43" s="1"/>
  <c r="F892" i="43" s="1"/>
  <c r="B887" i="43" a="1"/>
  <c r="B887" i="43" s="1"/>
  <c r="C892" i="43"/>
  <c r="G892" i="43" s="1"/>
  <c r="C890" i="43"/>
  <c r="G890" i="43" s="1"/>
  <c r="C888" i="43"/>
  <c r="G888" i="43" s="1"/>
  <c r="D887" i="43"/>
  <c r="D893" i="43"/>
  <c r="C891" i="43"/>
  <c r="G891" i="43" s="1"/>
  <c r="C893" i="43"/>
  <c r="G893" i="43" s="1"/>
  <c r="C894" i="43"/>
  <c r="G894" i="43" s="1"/>
  <c r="C895" i="43"/>
  <c r="G895" i="43" s="1"/>
  <c r="C889" i="43"/>
  <c r="G889" i="43" s="1"/>
  <c r="D895" i="43"/>
  <c r="D890" i="43"/>
  <c r="D891" i="43"/>
  <c r="D889" i="43"/>
  <c r="D894" i="43"/>
  <c r="D892" i="43"/>
  <c r="N892" i="42"/>
  <c r="O891" i="42" s="1"/>
  <c r="Q887" i="42" s="1" a="1"/>
  <c r="R895" i="42" s="1"/>
  <c r="A893" i="43" l="1"/>
  <c r="F893" i="43" s="1"/>
  <c r="J893" i="43" s="1"/>
  <c r="A887" i="43"/>
  <c r="F887" i="43" s="1"/>
  <c r="A895" i="43"/>
  <c r="F895" i="43" s="1"/>
  <c r="J895" i="43" s="1"/>
  <c r="A890" i="43"/>
  <c r="F890" i="43" s="1"/>
  <c r="I890" i="43" s="1"/>
  <c r="A894" i="43"/>
  <c r="F894" i="43" s="1"/>
  <c r="I894" i="43" s="1"/>
  <c r="A891" i="43"/>
  <c r="F891" i="43" s="1"/>
  <c r="I891" i="43" s="1"/>
  <c r="A889" i="43"/>
  <c r="F889" i="43" s="1"/>
  <c r="J889" i="43" s="1"/>
  <c r="A888" i="43"/>
  <c r="F888" i="43" s="1"/>
  <c r="J888" i="43" s="1"/>
  <c r="B892" i="43"/>
  <c r="B893" i="43"/>
  <c r="B888" i="43"/>
  <c r="B890" i="43"/>
  <c r="B891" i="43"/>
  <c r="B895" i="43"/>
  <c r="B894" i="43"/>
  <c r="B889" i="43"/>
  <c r="D900" i="43" a="1"/>
  <c r="D904" i="43" s="1"/>
  <c r="G904" i="43" s="1"/>
  <c r="Q893" i="42"/>
  <c r="Q891" i="42"/>
  <c r="R894" i="42"/>
  <c r="R890" i="42"/>
  <c r="R893" i="42"/>
  <c r="R892" i="42"/>
  <c r="Q895" i="42"/>
  <c r="Q889" i="42"/>
  <c r="R889" i="42"/>
  <c r="Q888" i="42"/>
  <c r="R888" i="42"/>
  <c r="Q892" i="42"/>
  <c r="R891" i="42"/>
  <c r="Q887" i="42"/>
  <c r="Q890" i="42"/>
  <c r="Q894" i="42"/>
  <c r="R887" i="42"/>
  <c r="I892" i="43"/>
  <c r="J892" i="43"/>
  <c r="J890" i="43" l="1"/>
  <c r="J891" i="43"/>
  <c r="L891" i="43" s="1"/>
  <c r="I893" i="43"/>
  <c r="K893" i="43" s="1"/>
  <c r="I888" i="43"/>
  <c r="L888" i="43" s="1"/>
  <c r="I895" i="43"/>
  <c r="K895" i="43" s="1"/>
  <c r="J894" i="43"/>
  <c r="L894" i="43" s="1"/>
  <c r="I889" i="43"/>
  <c r="K889" i="43" s="1"/>
  <c r="B897" i="43"/>
  <c r="B900" i="43" a="1"/>
  <c r="B906" i="43" s="1"/>
  <c r="D908" i="43"/>
  <c r="G908" i="43" s="1"/>
  <c r="D906" i="43"/>
  <c r="G906" i="43" s="1"/>
  <c r="D903" i="43"/>
  <c r="G903" i="43" s="1"/>
  <c r="D907" i="43"/>
  <c r="G907" i="43" s="1"/>
  <c r="D900" i="43"/>
  <c r="G900" i="43" s="1"/>
  <c r="D905" i="43"/>
  <c r="G905" i="43" s="1"/>
  <c r="D902" i="43"/>
  <c r="G902" i="43" s="1"/>
  <c r="D901" i="43"/>
  <c r="G901" i="43" s="1"/>
  <c r="A900" i="42" a="1"/>
  <c r="A901" i="42" s="1"/>
  <c r="F901" i="42" s="1"/>
  <c r="I901" i="42" s="1"/>
  <c r="C900" i="42" a="1"/>
  <c r="C902" i="42" s="1"/>
  <c r="K892" i="43"/>
  <c r="L892" i="43"/>
  <c r="I887" i="43"/>
  <c r="J887" i="43"/>
  <c r="K890" i="43"/>
  <c r="L890" i="43"/>
  <c r="K891" i="43" l="1"/>
  <c r="L893" i="43"/>
  <c r="K888" i="43"/>
  <c r="L895" i="43"/>
  <c r="L889" i="43"/>
  <c r="K894" i="43"/>
  <c r="J896" i="43"/>
  <c r="B905" i="43"/>
  <c r="B900" i="43"/>
  <c r="B904" i="43"/>
  <c r="B901" i="43"/>
  <c r="B907" i="43"/>
  <c r="B908" i="43"/>
  <c r="B902" i="43"/>
  <c r="B903" i="43"/>
  <c r="A900" i="42"/>
  <c r="F900" i="42" s="1"/>
  <c r="J900" i="42" s="1"/>
  <c r="J901" i="42"/>
  <c r="K901" i="42" s="1"/>
  <c r="C900" i="42"/>
  <c r="A908" i="42"/>
  <c r="F908" i="42" s="1"/>
  <c r="J908" i="42" s="1"/>
  <c r="A907" i="42"/>
  <c r="F907" i="42" s="1"/>
  <c r="I907" i="42" s="1"/>
  <c r="A903" i="42"/>
  <c r="F903" i="42" s="1"/>
  <c r="I903" i="42" s="1"/>
  <c r="A906" i="42"/>
  <c r="F906" i="42" s="1"/>
  <c r="I906" i="42" s="1"/>
  <c r="A905" i="42"/>
  <c r="F905" i="42" s="1"/>
  <c r="I905" i="42" s="1"/>
  <c r="C903" i="42"/>
  <c r="C908" i="42"/>
  <c r="C905" i="42"/>
  <c r="C907" i="42"/>
  <c r="C906" i="42"/>
  <c r="A904" i="42"/>
  <c r="F904" i="42" s="1"/>
  <c r="J904" i="42" s="1"/>
  <c r="A902" i="42"/>
  <c r="F902" i="42" s="1"/>
  <c r="I902" i="42" s="1"/>
  <c r="C901" i="42"/>
  <c r="C904" i="42"/>
  <c r="I896" i="43"/>
  <c r="K887" i="43"/>
  <c r="L887" i="43"/>
  <c r="K896" i="43" l="1"/>
  <c r="O888" i="43" s="1"/>
  <c r="L896" i="43"/>
  <c r="O887" i="43" s="1"/>
  <c r="B913" i="43" a="1"/>
  <c r="B921" i="43" s="1"/>
  <c r="F921" i="43" s="1"/>
  <c r="L901" i="42"/>
  <c r="I900" i="42"/>
  <c r="L900" i="42" s="1"/>
  <c r="J902" i="42"/>
  <c r="L902" i="42" s="1"/>
  <c r="J906" i="42"/>
  <c r="L906" i="42" s="1"/>
  <c r="J903" i="42"/>
  <c r="L903" i="42" s="1"/>
  <c r="I908" i="42"/>
  <c r="K908" i="42" s="1"/>
  <c r="B910" i="42"/>
  <c r="J905" i="42"/>
  <c r="K905" i="42" s="1"/>
  <c r="J907" i="42"/>
  <c r="K907" i="42" s="1"/>
  <c r="C913" i="42" a="1"/>
  <c r="C919" i="42" s="1"/>
  <c r="G919" i="42" s="1"/>
  <c r="I904" i="42"/>
  <c r="L904" i="42" s="1"/>
  <c r="O889" i="43" l="1"/>
  <c r="N892" i="43" s="1"/>
  <c r="O891" i="43" s="1"/>
  <c r="B920" i="43"/>
  <c r="F920" i="43" s="1"/>
  <c r="B913" i="43"/>
  <c r="F913" i="43" s="1"/>
  <c r="B917" i="43"/>
  <c r="F917" i="43" s="1"/>
  <c r="B915" i="43"/>
  <c r="F915" i="43" s="1"/>
  <c r="B919" i="43"/>
  <c r="F919" i="43" s="1"/>
  <c r="B916" i="43"/>
  <c r="F916" i="43" s="1"/>
  <c r="B914" i="43"/>
  <c r="F914" i="43" s="1"/>
  <c r="B918" i="43"/>
  <c r="F918" i="43" s="1"/>
  <c r="K906" i="42"/>
  <c r="K900" i="42"/>
  <c r="K902" i="42"/>
  <c r="L908" i="42"/>
  <c r="L907" i="42"/>
  <c r="K903" i="42"/>
  <c r="J909" i="42"/>
  <c r="L905" i="42"/>
  <c r="C915" i="42"/>
  <c r="G915" i="42" s="1"/>
  <c r="C918" i="42"/>
  <c r="G918" i="42" s="1"/>
  <c r="I918" i="42" s="1"/>
  <c r="C914" i="42"/>
  <c r="G914" i="42" s="1"/>
  <c r="I914" i="42" s="1"/>
  <c r="C921" i="42"/>
  <c r="G921" i="42" s="1"/>
  <c r="C913" i="42"/>
  <c r="G913" i="42" s="1"/>
  <c r="J913" i="42" s="1"/>
  <c r="C917" i="42"/>
  <c r="G917" i="42" s="1"/>
  <c r="I917" i="42" s="1"/>
  <c r="C916" i="42"/>
  <c r="G916" i="42" s="1"/>
  <c r="J916" i="42" s="1"/>
  <c r="J919" i="42"/>
  <c r="I919" i="42"/>
  <c r="I909" i="42"/>
  <c r="C920" i="42"/>
  <c r="G920" i="42" s="1"/>
  <c r="K904" i="42"/>
  <c r="N891" i="43" l="1"/>
  <c r="O892" i="43" s="1"/>
  <c r="L909" i="42"/>
  <c r="O900" i="42" s="1"/>
  <c r="J914" i="42"/>
  <c r="K914" i="42" s="1"/>
  <c r="K909" i="42"/>
  <c r="O901" i="42" s="1"/>
  <c r="L919" i="42"/>
  <c r="K919" i="42"/>
  <c r="I916" i="42"/>
  <c r="J918" i="42"/>
  <c r="K918" i="42" s="1"/>
  <c r="I915" i="42"/>
  <c r="J915" i="42"/>
  <c r="I913" i="42"/>
  <c r="J921" i="42"/>
  <c r="I921" i="42"/>
  <c r="J917" i="42"/>
  <c r="L917" i="42" s="1"/>
  <c r="J920" i="42"/>
  <c r="I920" i="42"/>
  <c r="Q887" i="43" a="1"/>
  <c r="L914" i="42" l="1"/>
  <c r="O902" i="42"/>
  <c r="N905" i="42" s="1"/>
  <c r="O904" i="42" s="1"/>
  <c r="L916" i="42"/>
  <c r="K916" i="42"/>
  <c r="L915" i="42"/>
  <c r="K915" i="42"/>
  <c r="L918" i="42"/>
  <c r="K917" i="42"/>
  <c r="K921" i="42"/>
  <c r="L921" i="42"/>
  <c r="J922" i="42"/>
  <c r="K913" i="42"/>
  <c r="L913" i="42"/>
  <c r="K920" i="42"/>
  <c r="I922" i="42"/>
  <c r="L920" i="42"/>
  <c r="Q895" i="43"/>
  <c r="Q893" i="43"/>
  <c r="Q891" i="43"/>
  <c r="Q889" i="43"/>
  <c r="Q887" i="43"/>
  <c r="R894" i="43"/>
  <c r="Q892" i="43"/>
  <c r="R889" i="43"/>
  <c r="R895" i="43"/>
  <c r="R892" i="43"/>
  <c r="Q890" i="43"/>
  <c r="R887" i="43"/>
  <c r="Q894" i="43"/>
  <c r="R888" i="43"/>
  <c r="R890" i="43"/>
  <c r="R891" i="43"/>
  <c r="R893" i="43"/>
  <c r="Q888" i="43"/>
  <c r="C900" i="43" l="1" a="1"/>
  <c r="A900" i="43" a="1"/>
  <c r="N904" i="42"/>
  <c r="O905" i="42" s="1"/>
  <c r="Q900" i="42" s="1" a="1"/>
  <c r="R907" i="42" s="1"/>
  <c r="K922" i="42"/>
  <c r="L922" i="42"/>
  <c r="A908" i="43" l="1"/>
  <c r="F908" i="43" s="1"/>
  <c r="J908" i="43" s="1"/>
  <c r="A904" i="43"/>
  <c r="F904" i="43" s="1"/>
  <c r="I904" i="43" s="1"/>
  <c r="A900" i="43"/>
  <c r="F900" i="43" s="1"/>
  <c r="A906" i="43"/>
  <c r="F906" i="43" s="1"/>
  <c r="J906" i="43" s="1"/>
  <c r="A901" i="43"/>
  <c r="F901" i="43" s="1"/>
  <c r="I901" i="43" s="1"/>
  <c r="A905" i="43"/>
  <c r="F905" i="43" s="1"/>
  <c r="J905" i="43" s="1"/>
  <c r="A903" i="43"/>
  <c r="F903" i="43" s="1"/>
  <c r="I903" i="43" s="1"/>
  <c r="A902" i="43"/>
  <c r="F902" i="43" s="1"/>
  <c r="I902" i="43" s="1"/>
  <c r="A907" i="43"/>
  <c r="F907" i="43" s="1"/>
  <c r="I907" i="43" s="1"/>
  <c r="C907" i="43"/>
  <c r="C903" i="43"/>
  <c r="C908" i="43"/>
  <c r="C904" i="43"/>
  <c r="C900" i="43"/>
  <c r="C905" i="43"/>
  <c r="C901" i="43"/>
  <c r="C906" i="43"/>
  <c r="C902" i="43"/>
  <c r="Q906" i="42"/>
  <c r="R902" i="42"/>
  <c r="Q908" i="42"/>
  <c r="Q907" i="42"/>
  <c r="R900" i="42"/>
  <c r="R906" i="42"/>
  <c r="Q901" i="42"/>
  <c r="R901" i="42"/>
  <c r="R908" i="42"/>
  <c r="Q900" i="42"/>
  <c r="Q903" i="42"/>
  <c r="R903" i="42"/>
  <c r="R904" i="42"/>
  <c r="Q902" i="42"/>
  <c r="Q904" i="42"/>
  <c r="Q905" i="42"/>
  <c r="R905" i="42"/>
  <c r="I908" i="43" l="1"/>
  <c r="L908" i="43" s="1"/>
  <c r="J902" i="43"/>
  <c r="K902" i="43" s="1"/>
  <c r="C913" i="43" a="1"/>
  <c r="B910" i="43"/>
  <c r="A913" i="42" a="1"/>
  <c r="A915" i="42" s="1"/>
  <c r="D913" i="42" a="1"/>
  <c r="D920" i="42" s="1"/>
  <c r="J903" i="43"/>
  <c r="L903" i="43" s="1"/>
  <c r="J904" i="43"/>
  <c r="K904" i="43" s="1"/>
  <c r="I905" i="43"/>
  <c r="K905" i="43" s="1"/>
  <c r="J901" i="43"/>
  <c r="L901" i="43" s="1"/>
  <c r="I906" i="43"/>
  <c r="L906" i="43" s="1"/>
  <c r="J907" i="43"/>
  <c r="L907" i="43" s="1"/>
  <c r="J900" i="43"/>
  <c r="I900" i="43"/>
  <c r="K908" i="43" l="1"/>
  <c r="L902" i="43"/>
  <c r="L904" i="43"/>
  <c r="C919" i="43"/>
  <c r="G919" i="43" s="1"/>
  <c r="C915" i="43"/>
  <c r="G915" i="43" s="1"/>
  <c r="C920" i="43"/>
  <c r="G920" i="43" s="1"/>
  <c r="C916" i="43"/>
  <c r="G916" i="43" s="1"/>
  <c r="C917" i="43"/>
  <c r="G917" i="43" s="1"/>
  <c r="C914" i="43"/>
  <c r="G914" i="43" s="1"/>
  <c r="C913" i="43"/>
  <c r="G913" i="43" s="1"/>
  <c r="C921" i="43"/>
  <c r="G921" i="43" s="1"/>
  <c r="C918" i="43"/>
  <c r="G918" i="43" s="1"/>
  <c r="A914" i="42"/>
  <c r="A921" i="42"/>
  <c r="A916" i="42"/>
  <c r="A919" i="42"/>
  <c r="A918" i="42"/>
  <c r="A917" i="42"/>
  <c r="A913" i="42"/>
  <c r="A920" i="42"/>
  <c r="D915" i="42"/>
  <c r="D917" i="42"/>
  <c r="D913" i="42"/>
  <c r="D921" i="42"/>
  <c r="D916" i="42"/>
  <c r="D918" i="42"/>
  <c r="D914" i="42"/>
  <c r="D919" i="42"/>
  <c r="K903" i="43"/>
  <c r="L905" i="43"/>
  <c r="K901" i="43"/>
  <c r="K906" i="43"/>
  <c r="K907" i="43"/>
  <c r="J909" i="43"/>
  <c r="L900" i="43"/>
  <c r="K900" i="43"/>
  <c r="I909" i="43"/>
  <c r="A926" i="42" l="1" a="1"/>
  <c r="A926" i="42" s="1"/>
  <c r="B923" i="42"/>
  <c r="D926" i="42" a="1"/>
  <c r="D931" i="42" s="1"/>
  <c r="G931" i="42" s="1"/>
  <c r="L909" i="43"/>
  <c r="O900" i="43" s="1"/>
  <c r="K909" i="43"/>
  <c r="O901" i="43" s="1"/>
  <c r="I917" i="43"/>
  <c r="J917" i="43"/>
  <c r="I913" i="43"/>
  <c r="J913" i="43"/>
  <c r="J916" i="43"/>
  <c r="I916" i="43"/>
  <c r="J919" i="43"/>
  <c r="I919" i="43"/>
  <c r="I915" i="43"/>
  <c r="J915" i="43"/>
  <c r="I914" i="43"/>
  <c r="J914" i="43"/>
  <c r="J921" i="43"/>
  <c r="I921" i="43"/>
  <c r="I920" i="43"/>
  <c r="J920" i="43"/>
  <c r="J918" i="43"/>
  <c r="I918" i="43"/>
  <c r="O902" i="43" l="1"/>
  <c r="N905" i="43" s="1"/>
  <c r="O904" i="43" s="1"/>
  <c r="O914" i="42"/>
  <c r="O913" i="42"/>
  <c r="A931" i="42"/>
  <c r="A933" i="42"/>
  <c r="A927" i="42"/>
  <c r="A932" i="42"/>
  <c r="A928" i="42"/>
  <c r="A934" i="42"/>
  <c r="A930" i="42"/>
  <c r="A929" i="42"/>
  <c r="D926" i="42"/>
  <c r="G926" i="42" s="1"/>
  <c r="D928" i="42"/>
  <c r="G928" i="42" s="1"/>
  <c r="D932" i="42"/>
  <c r="G932" i="42" s="1"/>
  <c r="D930" i="42"/>
  <c r="G930" i="42" s="1"/>
  <c r="D929" i="42"/>
  <c r="G929" i="42" s="1"/>
  <c r="D933" i="42"/>
  <c r="G933" i="42" s="1"/>
  <c r="D927" i="42"/>
  <c r="G927" i="42" s="1"/>
  <c r="D934" i="42"/>
  <c r="G934" i="42" s="1"/>
  <c r="L915" i="43"/>
  <c r="K915" i="43"/>
  <c r="I922" i="43"/>
  <c r="L913" i="43"/>
  <c r="K913" i="43"/>
  <c r="K918" i="43"/>
  <c r="L918" i="43"/>
  <c r="K921" i="43"/>
  <c r="L921" i="43"/>
  <c r="J922" i="43"/>
  <c r="K916" i="43"/>
  <c r="L916" i="43"/>
  <c r="K920" i="43"/>
  <c r="L920" i="43"/>
  <c r="K914" i="43"/>
  <c r="L914" i="43"/>
  <c r="K919" i="43"/>
  <c r="L919" i="43"/>
  <c r="K917" i="43"/>
  <c r="L917" i="43"/>
  <c r="N904" i="43" l="1"/>
  <c r="O905" i="43" s="1"/>
  <c r="O915" i="42"/>
  <c r="N918" i="42" s="1"/>
  <c r="O917" i="42" s="1"/>
  <c r="A939" i="42" a="1"/>
  <c r="A946" i="42" s="1"/>
  <c r="B936" i="42"/>
  <c r="L922" i="43"/>
  <c r="K922" i="43"/>
  <c r="N917" i="42" l="1"/>
  <c r="O918" i="42" s="1"/>
  <c r="Q913" i="42" s="1" a="1"/>
  <c r="Q917" i="42" s="1"/>
  <c r="A942" i="42"/>
  <c r="A943" i="42"/>
  <c r="A945" i="42"/>
  <c r="A944" i="42"/>
  <c r="A941" i="42"/>
  <c r="A939" i="42"/>
  <c r="A940" i="42"/>
  <c r="A947" i="42"/>
  <c r="Q900" i="43" a="1"/>
  <c r="R908" i="43" s="1"/>
  <c r="Q916" i="42" l="1"/>
  <c r="R915" i="42"/>
  <c r="R913" i="42"/>
  <c r="R916" i="42"/>
  <c r="Q914" i="42"/>
  <c r="Q918" i="42"/>
  <c r="R914" i="42"/>
  <c r="C926" i="42" s="1" a="1"/>
  <c r="C930" i="42" s="1"/>
  <c r="R917" i="42"/>
  <c r="Q915" i="42"/>
  <c r="Q919" i="42"/>
  <c r="R919" i="42"/>
  <c r="R920" i="42"/>
  <c r="Q920" i="42"/>
  <c r="Q921" i="42"/>
  <c r="R918" i="42"/>
  <c r="Q913" i="42"/>
  <c r="R921" i="42"/>
  <c r="A952" i="42" a="1"/>
  <c r="A955" i="42" s="1"/>
  <c r="F955" i="42" s="1"/>
  <c r="B949" i="42"/>
  <c r="R901" i="43"/>
  <c r="Q901" i="43"/>
  <c r="Q903" i="43"/>
  <c r="R902" i="43"/>
  <c r="Q904" i="43"/>
  <c r="R905" i="43"/>
  <c r="R903" i="43"/>
  <c r="R904" i="43"/>
  <c r="Q907" i="43"/>
  <c r="Q902" i="43"/>
  <c r="Q906" i="43"/>
  <c r="Q908" i="43"/>
  <c r="R906" i="43"/>
  <c r="Q905" i="43"/>
  <c r="R907" i="43"/>
  <c r="Q900" i="43"/>
  <c r="R900" i="43"/>
  <c r="B926" i="42" l="1" a="1"/>
  <c r="B932" i="42" s="1"/>
  <c r="F932" i="42" s="1"/>
  <c r="I932" i="42" s="1"/>
  <c r="A913" i="43" a="1"/>
  <c r="D913" i="43" a="1"/>
  <c r="A957" i="42"/>
  <c r="F957" i="42" s="1"/>
  <c r="A956" i="42"/>
  <c r="F956" i="42" s="1"/>
  <c r="A959" i="42"/>
  <c r="F959" i="42" s="1"/>
  <c r="A952" i="42"/>
  <c r="F952" i="42" s="1"/>
  <c r="A958" i="42"/>
  <c r="A960" i="42"/>
  <c r="A954" i="42"/>
  <c r="F954" i="42" s="1"/>
  <c r="A953" i="42"/>
  <c r="F953" i="42" s="1"/>
  <c r="B926" i="42"/>
  <c r="F926" i="42" s="1"/>
  <c r="J926" i="42" s="1"/>
  <c r="B933" i="42"/>
  <c r="F933" i="42" s="1"/>
  <c r="J933" i="42" s="1"/>
  <c r="J932" i="42"/>
  <c r="L932" i="42" s="1"/>
  <c r="B928" i="42"/>
  <c r="F928" i="42" s="1"/>
  <c r="I928" i="42" s="1"/>
  <c r="B931" i="42"/>
  <c r="F931" i="42" s="1"/>
  <c r="I931" i="42" s="1"/>
  <c r="B930" i="42"/>
  <c r="F930" i="42" s="1"/>
  <c r="I930" i="42" s="1"/>
  <c r="B929" i="42"/>
  <c r="F929" i="42" s="1"/>
  <c r="I929" i="42" s="1"/>
  <c r="C933" i="42"/>
  <c r="B927" i="42"/>
  <c r="F927" i="42" s="1"/>
  <c r="J927" i="42" s="1"/>
  <c r="B934" i="42"/>
  <c r="F934" i="42" s="1"/>
  <c r="J934" i="42" s="1"/>
  <c r="C928" i="42"/>
  <c r="C926" i="42"/>
  <c r="C934" i="42"/>
  <c r="C931" i="42"/>
  <c r="C929" i="42"/>
  <c r="C932" i="42"/>
  <c r="C927" i="42"/>
  <c r="F958" i="42" l="1"/>
  <c r="D921" i="43"/>
  <c r="D917" i="43"/>
  <c r="D913" i="43"/>
  <c r="D918" i="43"/>
  <c r="D914" i="43"/>
  <c r="D915" i="43"/>
  <c r="D916" i="43"/>
  <c r="D919" i="43"/>
  <c r="D920" i="43"/>
  <c r="A919" i="43"/>
  <c r="A915" i="43"/>
  <c r="A920" i="43"/>
  <c r="A916" i="43"/>
  <c r="A921" i="43"/>
  <c r="A913" i="43"/>
  <c r="A914" i="43"/>
  <c r="A918" i="43"/>
  <c r="A917" i="43"/>
  <c r="J931" i="42"/>
  <c r="L931" i="42" s="1"/>
  <c r="F960" i="42"/>
  <c r="B962" i="42"/>
  <c r="I926" i="42"/>
  <c r="K926" i="42" s="1"/>
  <c r="K932" i="42"/>
  <c r="J930" i="42"/>
  <c r="L930" i="42" s="1"/>
  <c r="I933" i="42"/>
  <c r="K933" i="42" s="1"/>
  <c r="J928" i="42"/>
  <c r="K928" i="42" s="1"/>
  <c r="J929" i="42"/>
  <c r="K929" i="42" s="1"/>
  <c r="I934" i="42"/>
  <c r="L934" i="42" s="1"/>
  <c r="I927" i="42"/>
  <c r="K927" i="42" s="1"/>
  <c r="C939" i="42" a="1"/>
  <c r="C946" i="42" s="1"/>
  <c r="F946" i="42" s="1"/>
  <c r="D926" i="43" l="1" a="1"/>
  <c r="D934" i="43" s="1"/>
  <c r="G934" i="43" s="1"/>
  <c r="B923" i="43"/>
  <c r="A926" i="43" a="1"/>
  <c r="L928" i="42"/>
  <c r="K931" i="42"/>
  <c r="L933" i="42"/>
  <c r="K930" i="42"/>
  <c r="L926" i="42"/>
  <c r="L929" i="42"/>
  <c r="J935" i="42"/>
  <c r="I935" i="42"/>
  <c r="L927" i="42"/>
  <c r="K934" i="42"/>
  <c r="C944" i="42"/>
  <c r="F944" i="42" s="1"/>
  <c r="C940" i="42"/>
  <c r="F940" i="42" s="1"/>
  <c r="C942" i="42"/>
  <c r="F942" i="42" s="1"/>
  <c r="C947" i="42"/>
  <c r="F947" i="42" s="1"/>
  <c r="C939" i="42"/>
  <c r="F939" i="42" s="1"/>
  <c r="C945" i="42"/>
  <c r="F945" i="42" s="1"/>
  <c r="C941" i="42"/>
  <c r="F941" i="42" s="1"/>
  <c r="C943" i="42"/>
  <c r="F943" i="42" s="1"/>
  <c r="O913" i="43" l="1"/>
  <c r="O914" i="43"/>
  <c r="D930" i="43"/>
  <c r="G930" i="43" s="1"/>
  <c r="D929" i="43"/>
  <c r="G929" i="43" s="1"/>
  <c r="D928" i="43"/>
  <c r="G928" i="43" s="1"/>
  <c r="D927" i="43"/>
  <c r="D932" i="43"/>
  <c r="G932" i="43" s="1"/>
  <c r="D926" i="43"/>
  <c r="G926" i="43" s="1"/>
  <c r="D933" i="43"/>
  <c r="G933" i="43" s="1"/>
  <c r="D931" i="43"/>
  <c r="G931" i="43" s="1"/>
  <c r="A931" i="43"/>
  <c r="A927" i="43"/>
  <c r="A932" i="43"/>
  <c r="A928" i="43"/>
  <c r="A933" i="43"/>
  <c r="A929" i="43"/>
  <c r="A926" i="43"/>
  <c r="A934" i="43"/>
  <c r="A930" i="43"/>
  <c r="L935" i="42"/>
  <c r="O926" i="42" s="1"/>
  <c r="K935" i="42"/>
  <c r="O927" i="42" s="1"/>
  <c r="G927" i="43"/>
  <c r="O915" i="43" l="1"/>
  <c r="B936" i="43"/>
  <c r="A939" i="43" a="1"/>
  <c r="O928" i="42"/>
  <c r="N931" i="42" s="1"/>
  <c r="O930" i="42" s="1"/>
  <c r="N917" i="43" l="1"/>
  <c r="O918" i="43" s="1"/>
  <c r="N918" i="43"/>
  <c r="O917" i="43" s="1"/>
  <c r="Q913" i="43" s="1" a="1"/>
  <c r="Q918" i="43" s="1"/>
  <c r="A947" i="43"/>
  <c r="A943" i="43"/>
  <c r="A939" i="43"/>
  <c r="A944" i="43"/>
  <c r="A940" i="43"/>
  <c r="A945" i="43"/>
  <c r="A942" i="43"/>
  <c r="A941" i="43"/>
  <c r="A946" i="43"/>
  <c r="N930" i="42"/>
  <c r="O931" i="42" s="1"/>
  <c r="Q926" i="42" s="1" a="1"/>
  <c r="Q934" i="42" s="1"/>
  <c r="Q915" i="43" l="1"/>
  <c r="Q913" i="43"/>
  <c r="Q919" i="43"/>
  <c r="Q914" i="43"/>
  <c r="A952" i="43" a="1"/>
  <c r="B949" i="43"/>
  <c r="R913" i="43"/>
  <c r="R916" i="43"/>
  <c r="R914" i="43"/>
  <c r="Q916" i="43"/>
  <c r="R917" i="43"/>
  <c r="R918" i="43"/>
  <c r="R915" i="43"/>
  <c r="R919" i="43"/>
  <c r="Q920" i="43"/>
  <c r="R921" i="43"/>
  <c r="Q921" i="43"/>
  <c r="R920" i="43"/>
  <c r="Q917" i="43"/>
  <c r="Q929" i="42"/>
  <c r="Q928" i="42"/>
  <c r="Q927" i="42"/>
  <c r="R928" i="42"/>
  <c r="R932" i="42"/>
  <c r="Q931" i="42"/>
  <c r="R931" i="42"/>
  <c r="Q930" i="42"/>
  <c r="R929" i="42"/>
  <c r="R927" i="42"/>
  <c r="R933" i="42"/>
  <c r="R934" i="42"/>
  <c r="Q932" i="42"/>
  <c r="R930" i="42"/>
  <c r="Q933" i="42"/>
  <c r="R926" i="42"/>
  <c r="Q926" i="42"/>
  <c r="C926" i="43" l="1" a="1"/>
  <c r="B926" i="43" a="1"/>
  <c r="A959" i="43"/>
  <c r="F959" i="43" s="1"/>
  <c r="A955" i="43"/>
  <c r="F955" i="43" s="1"/>
  <c r="A960" i="43"/>
  <c r="L12" i="43" s="1"/>
  <c r="Q12" i="43" s="1"/>
  <c r="Z12" i="43" s="1"/>
  <c r="A956" i="43"/>
  <c r="F956" i="43" s="1"/>
  <c r="A952" i="43"/>
  <c r="L4" i="43" s="1"/>
  <c r="Q4" i="43" s="1"/>
  <c r="Z4" i="43" s="1"/>
  <c r="A957" i="43"/>
  <c r="F957" i="43" s="1"/>
  <c r="A958" i="43"/>
  <c r="F958" i="43" s="1"/>
  <c r="A954" i="43"/>
  <c r="L6" i="43" s="1"/>
  <c r="Q6" i="43" s="1"/>
  <c r="Z6" i="43" s="1"/>
  <c r="A953" i="43"/>
  <c r="F953" i="43" s="1"/>
  <c r="D939" i="42" a="1"/>
  <c r="D945" i="42" s="1"/>
  <c r="G945" i="42" s="1"/>
  <c r="J945" i="42" s="1"/>
  <c r="B939" i="42" a="1"/>
  <c r="B946" i="42" s="1"/>
  <c r="F954" i="43"/>
  <c r="F960" i="43" l="1"/>
  <c r="L10" i="43"/>
  <c r="Q10" i="43" s="1"/>
  <c r="Z10" i="43" s="1"/>
  <c r="F952" i="43"/>
  <c r="L8" i="43"/>
  <c r="Q8" i="43" s="1"/>
  <c r="Z8" i="43" s="1"/>
  <c r="L11" i="43"/>
  <c r="Q11" i="43" s="1"/>
  <c r="Z11" i="43" s="1"/>
  <c r="I945" i="42"/>
  <c r="L945" i="42" s="1"/>
  <c r="L9" i="43"/>
  <c r="Q9" i="43" s="1"/>
  <c r="Z9" i="43" s="1"/>
  <c r="L7" i="43"/>
  <c r="Q7" i="43" s="1"/>
  <c r="Z7" i="43" s="1"/>
  <c r="B962" i="43"/>
  <c r="L5" i="43"/>
  <c r="Q5" i="43" s="1"/>
  <c r="Z5" i="43" s="1"/>
  <c r="B933" i="43"/>
  <c r="F933" i="43" s="1"/>
  <c r="I933" i="43" s="1"/>
  <c r="B929" i="43"/>
  <c r="F929" i="43" s="1"/>
  <c r="J929" i="43" s="1"/>
  <c r="B934" i="43"/>
  <c r="F934" i="43" s="1"/>
  <c r="B930" i="43"/>
  <c r="F930" i="43" s="1"/>
  <c r="I930" i="43" s="1"/>
  <c r="B926" i="43"/>
  <c r="F926" i="43" s="1"/>
  <c r="B931" i="43"/>
  <c r="F931" i="43" s="1"/>
  <c r="I931" i="43" s="1"/>
  <c r="B928" i="43"/>
  <c r="F928" i="43" s="1"/>
  <c r="I928" i="43" s="1"/>
  <c r="B927" i="43"/>
  <c r="F927" i="43" s="1"/>
  <c r="B932" i="43"/>
  <c r="F932" i="43" s="1"/>
  <c r="I932" i="43" s="1"/>
  <c r="C931" i="43"/>
  <c r="C927" i="43"/>
  <c r="C932" i="43"/>
  <c r="C928" i="43"/>
  <c r="C929" i="43"/>
  <c r="C930" i="43"/>
  <c r="C926" i="43"/>
  <c r="C934" i="43"/>
  <c r="C933" i="43"/>
  <c r="D941" i="42"/>
  <c r="G941" i="42" s="1"/>
  <c r="J941" i="42" s="1"/>
  <c r="D943" i="42"/>
  <c r="G943" i="42" s="1"/>
  <c r="J943" i="42" s="1"/>
  <c r="B940" i="42"/>
  <c r="D942" i="42"/>
  <c r="G942" i="42" s="1"/>
  <c r="J942" i="42" s="1"/>
  <c r="B944" i="42"/>
  <c r="B942" i="42"/>
  <c r="B945" i="42"/>
  <c r="B943" i="42"/>
  <c r="D939" i="42"/>
  <c r="G939" i="42" s="1"/>
  <c r="J939" i="42" s="1"/>
  <c r="D940" i="42"/>
  <c r="G940" i="42" s="1"/>
  <c r="J940" i="42" s="1"/>
  <c r="D944" i="42"/>
  <c r="G944" i="42" s="1"/>
  <c r="I944" i="42" s="1"/>
  <c r="D946" i="42"/>
  <c r="G946" i="42" s="1"/>
  <c r="J946" i="42" s="1"/>
  <c r="D947" i="42"/>
  <c r="G947" i="42" s="1"/>
  <c r="J947" i="42" s="1"/>
  <c r="B939" i="42"/>
  <c r="B941" i="42"/>
  <c r="B947" i="42"/>
  <c r="K945" i="42" l="1"/>
  <c r="J930" i="43"/>
  <c r="K930" i="43" s="1"/>
  <c r="I929" i="43"/>
  <c r="L929" i="43" s="1"/>
  <c r="J933" i="43"/>
  <c r="K933" i="43" s="1"/>
  <c r="J932" i="43"/>
  <c r="K932" i="43" s="1"/>
  <c r="I947" i="42"/>
  <c r="K947" i="42" s="1"/>
  <c r="C939" i="43" a="1"/>
  <c r="C947" i="43" s="1"/>
  <c r="F947" i="43" s="1"/>
  <c r="J931" i="43"/>
  <c r="L931" i="43" s="1"/>
  <c r="J927" i="43"/>
  <c r="I927" i="43"/>
  <c r="J934" i="43"/>
  <c r="I934" i="43"/>
  <c r="J928" i="43"/>
  <c r="L928" i="43" s="1"/>
  <c r="I926" i="43"/>
  <c r="J926" i="43"/>
  <c r="I941" i="42"/>
  <c r="K941" i="42" s="1"/>
  <c r="I943" i="42"/>
  <c r="L943" i="42" s="1"/>
  <c r="I942" i="42"/>
  <c r="K942" i="42" s="1"/>
  <c r="I940" i="42"/>
  <c r="L940" i="42" s="1"/>
  <c r="I946" i="42"/>
  <c r="L946" i="42" s="1"/>
  <c r="J944" i="42"/>
  <c r="K944" i="42" s="1"/>
  <c r="I939" i="42"/>
  <c r="L939" i="42" s="1"/>
  <c r="B952" i="42" a="1"/>
  <c r="B953" i="42" s="1"/>
  <c r="L933" i="43"/>
  <c r="L930" i="43" l="1"/>
  <c r="K929" i="43"/>
  <c r="C941" i="43"/>
  <c r="F941" i="43" s="1"/>
  <c r="C944" i="43"/>
  <c r="F944" i="43" s="1"/>
  <c r="K943" i="42"/>
  <c r="L932" i="43"/>
  <c r="C943" i="43"/>
  <c r="F943" i="43" s="1"/>
  <c r="K931" i="43"/>
  <c r="L942" i="42"/>
  <c r="I935" i="43"/>
  <c r="L947" i="42"/>
  <c r="C942" i="43"/>
  <c r="F942" i="43" s="1"/>
  <c r="J935" i="43"/>
  <c r="C945" i="43"/>
  <c r="F945" i="43" s="1"/>
  <c r="C939" i="43"/>
  <c r="F939" i="43" s="1"/>
  <c r="C946" i="43"/>
  <c r="F946" i="43" s="1"/>
  <c r="C940" i="43"/>
  <c r="F940" i="43" s="1"/>
  <c r="K934" i="43"/>
  <c r="L934" i="43"/>
  <c r="K926" i="43"/>
  <c r="L926" i="43"/>
  <c r="K928" i="43"/>
  <c r="K927" i="43"/>
  <c r="L927" i="43"/>
  <c r="L941" i="42"/>
  <c r="L944" i="42"/>
  <c r="K939" i="42"/>
  <c r="K940" i="42"/>
  <c r="K946" i="42"/>
  <c r="B954" i="42"/>
  <c r="B960" i="42"/>
  <c r="B957" i="42"/>
  <c r="B956" i="42"/>
  <c r="B955" i="42"/>
  <c r="G955" i="42" s="1"/>
  <c r="B958" i="42"/>
  <c r="B959" i="42"/>
  <c r="G959" i="42" s="1"/>
  <c r="B952" i="42"/>
  <c r="I948" i="42"/>
  <c r="J948" i="42"/>
  <c r="G953" i="42"/>
  <c r="K935" i="43" l="1"/>
  <c r="O927" i="43" s="1"/>
  <c r="G958" i="42"/>
  <c r="J958" i="42" s="1"/>
  <c r="L935" i="43"/>
  <c r="O926" i="43" s="1"/>
  <c r="L948" i="42"/>
  <c r="O939" i="42" s="1"/>
  <c r="G960" i="42"/>
  <c r="J960" i="42" s="1"/>
  <c r="G956" i="42"/>
  <c r="J956" i="42" s="1"/>
  <c r="K948" i="42"/>
  <c r="O940" i="42" s="1"/>
  <c r="G954" i="42"/>
  <c r="J954" i="42" s="1"/>
  <c r="G957" i="42"/>
  <c r="J957" i="42" s="1"/>
  <c r="G952" i="42"/>
  <c r="J952" i="42" s="1"/>
  <c r="I953" i="42"/>
  <c r="J953" i="42"/>
  <c r="I955" i="42"/>
  <c r="J955" i="42"/>
  <c r="I959" i="42"/>
  <c r="J959" i="42"/>
  <c r="O928" i="43" l="1"/>
  <c r="N930" i="43" s="1"/>
  <c r="O931" i="43" s="1"/>
  <c r="I958" i="42"/>
  <c r="K958" i="42" s="1"/>
  <c r="I956" i="42"/>
  <c r="L956" i="42" s="1"/>
  <c r="I960" i="42"/>
  <c r="K960" i="42" s="1"/>
  <c r="I957" i="42"/>
  <c r="L957" i="42" s="1"/>
  <c r="O941" i="42"/>
  <c r="N944" i="42" s="1"/>
  <c r="O943" i="42" s="1"/>
  <c r="I954" i="42"/>
  <c r="L954" i="42" s="1"/>
  <c r="I952" i="42"/>
  <c r="K952" i="42" s="1"/>
  <c r="K959" i="42"/>
  <c r="L959" i="42"/>
  <c r="K953" i="42"/>
  <c r="L953" i="42"/>
  <c r="K955" i="42"/>
  <c r="L955" i="42"/>
  <c r="J961" i="42"/>
  <c r="N931" i="43" l="1"/>
  <c r="O930" i="43" s="1"/>
  <c r="Q926" i="43" s="1" a="1"/>
  <c r="R931" i="43" s="1"/>
  <c r="L958" i="42"/>
  <c r="K956" i="42"/>
  <c r="N943" i="42"/>
  <c r="O944" i="42" s="1"/>
  <c r="Q939" i="42" s="1" a="1"/>
  <c r="K957" i="42"/>
  <c r="L960" i="42"/>
  <c r="K954" i="42"/>
  <c r="L952" i="42"/>
  <c r="I961" i="42"/>
  <c r="K961" i="42" l="1"/>
  <c r="O953" i="42" s="1"/>
  <c r="R934" i="43"/>
  <c r="Q932" i="43"/>
  <c r="Q927" i="43"/>
  <c r="R933" i="43"/>
  <c r="Q928" i="43"/>
  <c r="R926" i="43"/>
  <c r="Q926" i="43"/>
  <c r="R932" i="43"/>
  <c r="R928" i="43"/>
  <c r="Q931" i="43"/>
  <c r="Q929" i="43"/>
  <c r="R927" i="43"/>
  <c r="Q934" i="43"/>
  <c r="R930" i="43"/>
  <c r="Q933" i="43"/>
  <c r="R929" i="43"/>
  <c r="Q930" i="43"/>
  <c r="L961" i="42"/>
  <c r="O952" i="42" s="1"/>
  <c r="R942" i="42"/>
  <c r="R943" i="42"/>
  <c r="Q941" i="42"/>
  <c r="Q942" i="42"/>
  <c r="R940" i="42"/>
  <c r="R941" i="42"/>
  <c r="Q944" i="42"/>
  <c r="Q939" i="42"/>
  <c r="R946" i="42"/>
  <c r="R947" i="42"/>
  <c r="R939" i="42"/>
  <c r="Q940" i="42"/>
  <c r="Q947" i="42"/>
  <c r="R944" i="42"/>
  <c r="R945" i="42"/>
  <c r="Q945" i="42"/>
  <c r="Q943" i="42"/>
  <c r="Q946" i="42"/>
  <c r="O954" i="42" l="1"/>
  <c r="N957" i="42" s="1"/>
  <c r="O956" i="42" s="1"/>
  <c r="B939" i="43" a="1"/>
  <c r="B942" i="43" s="1"/>
  <c r="D939" i="43" a="1"/>
  <c r="D946" i="43" s="1"/>
  <c r="G946" i="43" s="1"/>
  <c r="I946" i="43" s="1"/>
  <c r="C952" i="42" a="1"/>
  <c r="D952" i="42" a="1"/>
  <c r="N956" i="42" l="1"/>
  <c r="O957" i="42" s="1"/>
  <c r="Q952" i="42" s="1" a="1"/>
  <c r="B945" i="43"/>
  <c r="B940" i="43"/>
  <c r="B941" i="43"/>
  <c r="B944" i="43"/>
  <c r="D940" i="43"/>
  <c r="G940" i="43" s="1"/>
  <c r="J940" i="43" s="1"/>
  <c r="B943" i="43"/>
  <c r="D943" i="43"/>
  <c r="G943" i="43" s="1"/>
  <c r="J943" i="43" s="1"/>
  <c r="B947" i="43"/>
  <c r="B946" i="43"/>
  <c r="D945" i="43"/>
  <c r="G945" i="43" s="1"/>
  <c r="J945" i="43" s="1"/>
  <c r="D939" i="43"/>
  <c r="G939" i="43" s="1"/>
  <c r="J939" i="43" s="1"/>
  <c r="B939" i="43"/>
  <c r="D944" i="43"/>
  <c r="G944" i="43" s="1"/>
  <c r="J944" i="43" s="1"/>
  <c r="D941" i="43"/>
  <c r="G941" i="43" s="1"/>
  <c r="I941" i="43" s="1"/>
  <c r="D942" i="43"/>
  <c r="G942" i="43" s="1"/>
  <c r="J942" i="43" s="1"/>
  <c r="D947" i="43"/>
  <c r="G947" i="43" s="1"/>
  <c r="I947" i="43" s="1"/>
  <c r="D957" i="42"/>
  <c r="D956" i="42"/>
  <c r="D952" i="42"/>
  <c r="D955" i="42"/>
  <c r="D958" i="42"/>
  <c r="D953" i="42"/>
  <c r="D954" i="42"/>
  <c r="D959" i="42"/>
  <c r="D960" i="42"/>
  <c r="C957" i="42"/>
  <c r="C952" i="42"/>
  <c r="C953" i="42"/>
  <c r="C956" i="42"/>
  <c r="C954" i="42"/>
  <c r="C955" i="42"/>
  <c r="C958" i="42"/>
  <c r="C959" i="42"/>
  <c r="C960" i="42"/>
  <c r="J946" i="43"/>
  <c r="K946" i="43" s="1"/>
  <c r="I939" i="43" l="1"/>
  <c r="K939" i="43" s="1"/>
  <c r="C965" i="42" a="1"/>
  <c r="D965" i="42" a="1"/>
  <c r="I943" i="43"/>
  <c r="L943" i="43" s="1"/>
  <c r="B952" i="43" a="1"/>
  <c r="B956" i="43" s="1"/>
  <c r="M8" i="43" s="1"/>
  <c r="R8" i="43" s="1"/>
  <c r="AA8" i="43" s="1"/>
  <c r="I940" i="43"/>
  <c r="I942" i="43"/>
  <c r="L942" i="43" s="1"/>
  <c r="I945" i="43"/>
  <c r="K945" i="43" s="1"/>
  <c r="J941" i="43"/>
  <c r="L941" i="43" s="1"/>
  <c r="I944" i="43"/>
  <c r="K944" i="43" s="1"/>
  <c r="J947" i="43"/>
  <c r="K947" i="43" s="1"/>
  <c r="L946" i="43"/>
  <c r="Q960" i="42"/>
  <c r="Q958" i="42"/>
  <c r="Q956" i="42"/>
  <c r="Q954" i="42"/>
  <c r="Q952" i="42"/>
  <c r="Q959" i="42"/>
  <c r="Q957" i="42"/>
  <c r="Q955" i="42"/>
  <c r="Q953" i="42"/>
  <c r="R957" i="42"/>
  <c r="R953" i="42"/>
  <c r="R960" i="42"/>
  <c r="R956" i="42"/>
  <c r="R952" i="42"/>
  <c r="R955" i="42"/>
  <c r="R954" i="42"/>
  <c r="R959" i="42"/>
  <c r="R958" i="42"/>
  <c r="L939" i="43" l="1"/>
  <c r="B965" i="42" a="1"/>
  <c r="B965" i="42" s="1"/>
  <c r="C968" i="42"/>
  <c r="G968" i="42" s="1"/>
  <c r="C967" i="42"/>
  <c r="G967" i="42" s="1"/>
  <c r="C969" i="42"/>
  <c r="G969" i="42" s="1"/>
  <c r="C965" i="42"/>
  <c r="G965" i="42" s="1"/>
  <c r="C966" i="42"/>
  <c r="G966" i="42" s="1"/>
  <c r="C971" i="42"/>
  <c r="G971" i="42" s="1"/>
  <c r="C970" i="42"/>
  <c r="G970" i="42" s="1"/>
  <c r="C972" i="42"/>
  <c r="G972" i="42" s="1"/>
  <c r="C973" i="42"/>
  <c r="G973" i="42" s="1"/>
  <c r="D972" i="42"/>
  <c r="D970" i="42"/>
  <c r="D965" i="42"/>
  <c r="D971" i="42"/>
  <c r="D966" i="42"/>
  <c r="D969" i="42"/>
  <c r="D973" i="42"/>
  <c r="D967" i="42"/>
  <c r="D968" i="42"/>
  <c r="A965" i="42" a="1"/>
  <c r="A966" i="42" s="1"/>
  <c r="F966" i="42" s="1"/>
  <c r="K943" i="43"/>
  <c r="K942" i="43"/>
  <c r="B954" i="43"/>
  <c r="M6" i="43" s="1"/>
  <c r="R6" i="43" s="1"/>
  <c r="AA6" i="43" s="1"/>
  <c r="B958" i="43"/>
  <c r="M10" i="43" s="1"/>
  <c r="R10" i="43" s="1"/>
  <c r="AA10" i="43" s="1"/>
  <c r="B955" i="43"/>
  <c r="G955" i="43" s="1"/>
  <c r="J955" i="43" s="1"/>
  <c r="B957" i="43"/>
  <c r="M9" i="43" s="1"/>
  <c r="R9" i="43" s="1"/>
  <c r="AA9" i="43" s="1"/>
  <c r="B953" i="43"/>
  <c r="M5" i="43" s="1"/>
  <c r="R5" i="43" s="1"/>
  <c r="AA5" i="43" s="1"/>
  <c r="B960" i="43"/>
  <c r="G960" i="43" s="1"/>
  <c r="J960" i="43" s="1"/>
  <c r="K941" i="43"/>
  <c r="K940" i="43"/>
  <c r="L940" i="43"/>
  <c r="L947" i="43"/>
  <c r="B959" i="43"/>
  <c r="G959" i="43" s="1"/>
  <c r="J959" i="43" s="1"/>
  <c r="B952" i="43"/>
  <c r="G952" i="43" s="1"/>
  <c r="J952" i="43" s="1"/>
  <c r="J948" i="43"/>
  <c r="L945" i="43"/>
  <c r="L944" i="43"/>
  <c r="I948" i="43"/>
  <c r="G956" i="43"/>
  <c r="I956" i="43" s="1"/>
  <c r="B973" i="42" l="1"/>
  <c r="B967" i="42"/>
  <c r="B971" i="42"/>
  <c r="B970" i="42"/>
  <c r="B968" i="42"/>
  <c r="B966" i="42"/>
  <c r="B972" i="42"/>
  <c r="B969" i="42"/>
  <c r="A971" i="42"/>
  <c r="F971" i="42" s="1"/>
  <c r="J971" i="42" s="1"/>
  <c r="A969" i="42"/>
  <c r="F969" i="42" s="1"/>
  <c r="I969" i="42" s="1"/>
  <c r="A968" i="42"/>
  <c r="F968" i="42" s="1"/>
  <c r="J968" i="42" s="1"/>
  <c r="A965" i="42"/>
  <c r="F965" i="42" s="1"/>
  <c r="A970" i="42"/>
  <c r="F970" i="42" s="1"/>
  <c r="I970" i="42" s="1"/>
  <c r="A972" i="42"/>
  <c r="F972" i="42" s="1"/>
  <c r="J972" i="42" s="1"/>
  <c r="A973" i="42"/>
  <c r="F973" i="42" s="1"/>
  <c r="I973" i="42" s="1"/>
  <c r="D978" i="42" a="1"/>
  <c r="A967" i="42"/>
  <c r="F967" i="42" s="1"/>
  <c r="I967" i="42" s="1"/>
  <c r="J966" i="42"/>
  <c r="I966" i="42"/>
  <c r="K948" i="43"/>
  <c r="O940" i="43" s="1"/>
  <c r="G957" i="43"/>
  <c r="I957" i="43" s="1"/>
  <c r="I959" i="43"/>
  <c r="K959" i="43" s="1"/>
  <c r="M11" i="43"/>
  <c r="R11" i="43" s="1"/>
  <c r="AA11" i="43" s="1"/>
  <c r="G954" i="43"/>
  <c r="I954" i="43" s="1"/>
  <c r="I955" i="43"/>
  <c r="K955" i="43" s="1"/>
  <c r="M7" i="43"/>
  <c r="R7" i="43" s="1"/>
  <c r="AA7" i="43" s="1"/>
  <c r="I952" i="43"/>
  <c r="K952" i="43" s="1"/>
  <c r="G953" i="43"/>
  <c r="J953" i="43" s="1"/>
  <c r="G958" i="43"/>
  <c r="J958" i="43" s="1"/>
  <c r="M4" i="43"/>
  <c r="R4" i="43" s="1"/>
  <c r="AA4" i="43" s="1"/>
  <c r="I960" i="43"/>
  <c r="L960" i="43" s="1"/>
  <c r="M12" i="43"/>
  <c r="R12" i="43" s="1"/>
  <c r="AA12" i="43" s="1"/>
  <c r="L948" i="43"/>
  <c r="O939" i="43" s="1"/>
  <c r="J956" i="43"/>
  <c r="L956" i="43" s="1"/>
  <c r="J969" i="42" l="1"/>
  <c r="L969" i="42" s="1"/>
  <c r="B978" i="42" a="1"/>
  <c r="B986" i="42" s="1"/>
  <c r="I971" i="42"/>
  <c r="I968" i="42"/>
  <c r="L968" i="42" s="1"/>
  <c r="I972" i="42"/>
  <c r="L972" i="42" s="1"/>
  <c r="J970" i="42"/>
  <c r="L970" i="42" s="1"/>
  <c r="B975" i="42"/>
  <c r="J973" i="42"/>
  <c r="L973" i="42" s="1"/>
  <c r="J967" i="42"/>
  <c r="K967" i="42" s="1"/>
  <c r="D986" i="42"/>
  <c r="G986" i="42" s="1"/>
  <c r="D980" i="42"/>
  <c r="G980" i="42" s="1"/>
  <c r="D983" i="42"/>
  <c r="G983" i="42" s="1"/>
  <c r="D982" i="42"/>
  <c r="G982" i="42" s="1"/>
  <c r="D978" i="42"/>
  <c r="G978" i="42" s="1"/>
  <c r="D981" i="42"/>
  <c r="G981" i="42" s="1"/>
  <c r="D984" i="42"/>
  <c r="G984" i="42" s="1"/>
  <c r="D979" i="42"/>
  <c r="G979" i="42" s="1"/>
  <c r="D985" i="42"/>
  <c r="G985" i="42" s="1"/>
  <c r="O941" i="43"/>
  <c r="N944" i="43" s="1"/>
  <c r="O943" i="43" s="1"/>
  <c r="K971" i="42"/>
  <c r="L971" i="42"/>
  <c r="K970" i="42"/>
  <c r="K969" i="42"/>
  <c r="I965" i="42"/>
  <c r="J965" i="42"/>
  <c r="K966" i="42"/>
  <c r="L966" i="42"/>
  <c r="I953" i="43"/>
  <c r="L953" i="43" s="1"/>
  <c r="J954" i="43"/>
  <c r="K954" i="43" s="1"/>
  <c r="L959" i="43"/>
  <c r="J957" i="43"/>
  <c r="L957" i="43" s="1"/>
  <c r="L952" i="43"/>
  <c r="L955" i="43"/>
  <c r="I958" i="43"/>
  <c r="K958" i="43" s="1"/>
  <c r="K960" i="43"/>
  <c r="K956" i="43"/>
  <c r="J974" i="42" l="1"/>
  <c r="K968" i="42"/>
  <c r="K972" i="42"/>
  <c r="B978" i="42"/>
  <c r="B979" i="42"/>
  <c r="B982" i="42"/>
  <c r="B984" i="42"/>
  <c r="B985" i="42"/>
  <c r="B983" i="42"/>
  <c r="B981" i="42"/>
  <c r="B980" i="42"/>
  <c r="K973" i="42"/>
  <c r="L967" i="42"/>
  <c r="N943" i="43"/>
  <c r="O944" i="43" s="1"/>
  <c r="I974" i="42"/>
  <c r="L965" i="42"/>
  <c r="L974" i="42" s="1"/>
  <c r="K965" i="42"/>
  <c r="K953" i="43"/>
  <c r="L954" i="43"/>
  <c r="J961" i="43"/>
  <c r="K957" i="43"/>
  <c r="L958" i="43"/>
  <c r="I961" i="43"/>
  <c r="Q939" i="43" a="1"/>
  <c r="Q945" i="43" s="1"/>
  <c r="K974" i="42" l="1"/>
  <c r="B991" i="42" a="1"/>
  <c r="B999" i="42" s="1"/>
  <c r="F999" i="42" s="1"/>
  <c r="O966" i="42"/>
  <c r="K961" i="43"/>
  <c r="O953" i="43" s="1"/>
  <c r="O965" i="42"/>
  <c r="L961" i="43"/>
  <c r="O952" i="43" s="1"/>
  <c r="R947" i="43"/>
  <c r="R942" i="43"/>
  <c r="R944" i="43"/>
  <c r="Q939" i="43"/>
  <c r="Q947" i="43"/>
  <c r="R946" i="43"/>
  <c r="Q942" i="43"/>
  <c r="R940" i="43"/>
  <c r="Q941" i="43"/>
  <c r="Q940" i="43"/>
  <c r="R945" i="43"/>
  <c r="R943" i="43"/>
  <c r="Q943" i="43"/>
  <c r="R939" i="43"/>
  <c r="Q944" i="43"/>
  <c r="R941" i="43"/>
  <c r="Q946" i="43"/>
  <c r="O954" i="43" l="1"/>
  <c r="N957" i="43" s="1"/>
  <c r="O956" i="43" s="1"/>
  <c r="B995" i="42"/>
  <c r="F995" i="42" s="1"/>
  <c r="B994" i="42"/>
  <c r="F994" i="42" s="1"/>
  <c r="B996" i="42"/>
  <c r="F996" i="42" s="1"/>
  <c r="O967" i="42"/>
  <c r="N970" i="42" s="1"/>
  <c r="O969" i="42" s="1"/>
  <c r="B997" i="42"/>
  <c r="F997" i="42" s="1"/>
  <c r="B993" i="42"/>
  <c r="F993" i="42" s="1"/>
  <c r="B991" i="42"/>
  <c r="F991" i="42" s="1"/>
  <c r="B998" i="42"/>
  <c r="F998" i="42" s="1"/>
  <c r="B992" i="42"/>
  <c r="F992" i="42" s="1"/>
  <c r="D952" i="43" a="1"/>
  <c r="D953" i="43" s="1"/>
  <c r="O5" i="43" s="1"/>
  <c r="T5" i="43" s="1"/>
  <c r="AC5" i="43" s="1"/>
  <c r="C952" i="43" a="1"/>
  <c r="C959" i="43" s="1"/>
  <c r="N11" i="43" s="1"/>
  <c r="S11" i="43" s="1"/>
  <c r="AB11" i="43" s="1"/>
  <c r="N956" i="43" l="1"/>
  <c r="O957" i="43" s="1"/>
  <c r="N969" i="42"/>
  <c r="O970" i="42" s="1"/>
  <c r="Q965" i="42" s="1" a="1"/>
  <c r="Q972" i="42" s="1"/>
  <c r="Q952" i="43" a="1"/>
  <c r="Q958" i="43" s="1"/>
  <c r="D952" i="43"/>
  <c r="O4" i="43" s="1"/>
  <c r="T4" i="43" s="1"/>
  <c r="AC4" i="43" s="1"/>
  <c r="D955" i="43"/>
  <c r="O7" i="43" s="1"/>
  <c r="T7" i="43" s="1"/>
  <c r="AC7" i="43" s="1"/>
  <c r="D959" i="43"/>
  <c r="O11" i="43" s="1"/>
  <c r="T11" i="43" s="1"/>
  <c r="AC11" i="43" s="1"/>
  <c r="D954" i="43"/>
  <c r="O6" i="43" s="1"/>
  <c r="T6" i="43" s="1"/>
  <c r="AC6" i="43" s="1"/>
  <c r="D957" i="43"/>
  <c r="O9" i="43" s="1"/>
  <c r="T9" i="43" s="1"/>
  <c r="AC9" i="43" s="1"/>
  <c r="D956" i="43"/>
  <c r="O8" i="43" s="1"/>
  <c r="T8" i="43" s="1"/>
  <c r="AC8" i="43" s="1"/>
  <c r="D958" i="43"/>
  <c r="O10" i="43" s="1"/>
  <c r="T10" i="43" s="1"/>
  <c r="AC10" i="43" s="1"/>
  <c r="C952" i="43"/>
  <c r="N4" i="43" s="1"/>
  <c r="S4" i="43" s="1"/>
  <c r="AB4" i="43" s="1"/>
  <c r="D960" i="43"/>
  <c r="O12" i="43" s="1"/>
  <c r="T12" i="43" s="1"/>
  <c r="AC12" i="43" s="1"/>
  <c r="C957" i="43"/>
  <c r="N9" i="43" s="1"/>
  <c r="S9" i="43" s="1"/>
  <c r="AB9" i="43" s="1"/>
  <c r="C960" i="43"/>
  <c r="N12" i="43" s="1"/>
  <c r="S12" i="43" s="1"/>
  <c r="AB12" i="43" s="1"/>
  <c r="C954" i="43"/>
  <c r="N6" i="43" s="1"/>
  <c r="S6" i="43" s="1"/>
  <c r="AB6" i="43" s="1"/>
  <c r="C955" i="43"/>
  <c r="N7" i="43" s="1"/>
  <c r="S7" i="43" s="1"/>
  <c r="AB7" i="43" s="1"/>
  <c r="C956" i="43"/>
  <c r="N8" i="43" s="1"/>
  <c r="S8" i="43" s="1"/>
  <c r="AB8" i="43" s="1"/>
  <c r="C953" i="43"/>
  <c r="N5" i="43" s="1"/>
  <c r="S5" i="43" s="1"/>
  <c r="AB5" i="43" s="1"/>
  <c r="C958" i="43"/>
  <c r="N10" i="43" s="1"/>
  <c r="S10" i="43" s="1"/>
  <c r="AB10" i="43" s="1"/>
  <c r="V15" i="43" a="1"/>
  <c r="AB18" i="43" l="1"/>
  <c r="Z21" i="43"/>
  <c r="AC15" i="43"/>
  <c r="AC23" i="43"/>
  <c r="AB22" i="43"/>
  <c r="AB21" i="43"/>
  <c r="Z16" i="43"/>
  <c r="AC18" i="43"/>
  <c r="AB20" i="43"/>
  <c r="Z18" i="43"/>
  <c r="Z19" i="43"/>
  <c r="AB19" i="43"/>
  <c r="Y21" i="43"/>
  <c r="Y17" i="43"/>
  <c r="X22" i="43"/>
  <c r="X18" i="43"/>
  <c r="W23" i="43"/>
  <c r="W19" i="43"/>
  <c r="W15" i="43"/>
  <c r="V20" i="43"/>
  <c r="V16" i="43"/>
  <c r="AA21" i="43"/>
  <c r="AA17" i="43"/>
  <c r="Z20" i="43"/>
  <c r="Z23" i="43"/>
  <c r="AC20" i="43"/>
  <c r="AC21" i="43"/>
  <c r="Z15" i="43"/>
  <c r="AB23" i="43"/>
  <c r="Z17" i="43"/>
  <c r="Y23" i="43"/>
  <c r="Y19" i="43"/>
  <c r="Y15" i="43"/>
  <c r="X20" i="43"/>
  <c r="X16" i="43"/>
  <c r="W21" i="43"/>
  <c r="W17" i="43"/>
  <c r="V22" i="43"/>
  <c r="V18" i="43"/>
  <c r="AA23" i="43"/>
  <c r="AA19" i="43"/>
  <c r="AA15" i="43"/>
  <c r="AB15" i="43"/>
  <c r="Y16" i="43"/>
  <c r="X17" i="43"/>
  <c r="W18" i="43"/>
  <c r="V19" i="43"/>
  <c r="AA20" i="43"/>
  <c r="AC22" i="43"/>
  <c r="AC16" i="43"/>
  <c r="AC19" i="43"/>
  <c r="Y22" i="43"/>
  <c r="X23" i="43"/>
  <c r="X15" i="43"/>
  <c r="W16" i="43"/>
  <c r="V17" i="43"/>
  <c r="AA18" i="43"/>
  <c r="AB16" i="43"/>
  <c r="Z22" i="43"/>
  <c r="Y20" i="43"/>
  <c r="X21" i="43"/>
  <c r="W22" i="43"/>
  <c r="V23" i="43"/>
  <c r="V15" i="43"/>
  <c r="AA16" i="43"/>
  <c r="AC17" i="43"/>
  <c r="Y18" i="43"/>
  <c r="X19" i="43"/>
  <c r="W20" i="43"/>
  <c r="V21" i="43"/>
  <c r="AA22" i="43"/>
  <c r="AB17" i="43"/>
  <c r="R966" i="42"/>
  <c r="Q965" i="42"/>
  <c r="R967" i="42"/>
  <c r="R971" i="42"/>
  <c r="R970" i="42"/>
  <c r="R969" i="42"/>
  <c r="Q969" i="42"/>
  <c r="R973" i="42"/>
  <c r="Q967" i="42"/>
  <c r="Q966" i="42"/>
  <c r="Q971" i="42"/>
  <c r="Q968" i="42"/>
  <c r="R968" i="42"/>
  <c r="Q973" i="42"/>
  <c r="Q970" i="42"/>
  <c r="R972" i="42"/>
  <c r="R965" i="42"/>
  <c r="R958" i="43"/>
  <c r="Q954" i="43"/>
  <c r="R957" i="43"/>
  <c r="Q956" i="43"/>
  <c r="R955" i="43"/>
  <c r="R952" i="43"/>
  <c r="Q955" i="43"/>
  <c r="R959" i="43"/>
  <c r="Q953" i="43"/>
  <c r="Q959" i="43"/>
  <c r="R954" i="43"/>
  <c r="Q960" i="43"/>
  <c r="R960" i="43"/>
  <c r="Q952" i="43"/>
  <c r="Q957" i="43"/>
  <c r="R953" i="43"/>
  <c r="R956" i="43"/>
  <c r="C978" i="42" l="1" a="1"/>
  <c r="C980" i="42" s="1"/>
  <c r="A978" i="42" a="1"/>
  <c r="A984" i="42" s="1"/>
  <c r="F984" i="42" s="1"/>
  <c r="J984" i="42" s="1"/>
  <c r="Z25" i="43" a="1"/>
  <c r="Z25" i="43" s="1"/>
  <c r="C42" i="44"/>
  <c r="C46" i="44" s="1"/>
  <c r="E42" i="44"/>
  <c r="E46" i="44" s="1"/>
  <c r="H42" i="44"/>
  <c r="H46" i="44" s="1"/>
  <c r="I42" i="44"/>
  <c r="I46" i="44" s="1"/>
  <c r="F42" i="44"/>
  <c r="F46" i="44" s="1"/>
  <c r="J42" i="44"/>
  <c r="J46" i="44" s="1"/>
  <c r="B42" i="44"/>
  <c r="B46" i="44" s="1"/>
  <c r="D42" i="44"/>
  <c r="D46" i="44" s="1"/>
  <c r="G42" i="44"/>
  <c r="G46" i="44" s="1"/>
  <c r="C985" i="42" l="1"/>
  <c r="C981" i="42"/>
  <c r="C979" i="42"/>
  <c r="C983" i="42"/>
  <c r="C978" i="42"/>
  <c r="C982" i="42"/>
  <c r="C986" i="42"/>
  <c r="C984" i="42"/>
  <c r="C991" i="42" s="1" a="1"/>
  <c r="I984" i="42"/>
  <c r="K984" i="42" s="1"/>
  <c r="A983" i="42"/>
  <c r="F983" i="42" s="1"/>
  <c r="I983" i="42" s="1"/>
  <c r="A981" i="42"/>
  <c r="F981" i="42" s="1"/>
  <c r="J981" i="42" s="1"/>
  <c r="A980" i="42"/>
  <c r="F980" i="42" s="1"/>
  <c r="I980" i="42" s="1"/>
  <c r="A979" i="42"/>
  <c r="F979" i="42" s="1"/>
  <c r="J979" i="42" s="1"/>
  <c r="A982" i="42"/>
  <c r="F982" i="42" s="1"/>
  <c r="J982" i="42" s="1"/>
  <c r="A978" i="42"/>
  <c r="F978" i="42" s="1"/>
  <c r="J978" i="42" s="1"/>
  <c r="A986" i="42"/>
  <c r="F986" i="42" s="1"/>
  <c r="I986" i="42" s="1"/>
  <c r="A985" i="42"/>
  <c r="F985" i="42" s="1"/>
  <c r="AB27" i="43"/>
  <c r="AB25" i="43"/>
  <c r="AC26" i="43"/>
  <c r="Z28" i="43"/>
  <c r="AC25" i="43"/>
  <c r="Z27" i="43"/>
  <c r="AA28" i="43"/>
  <c r="AA26" i="43"/>
  <c r="AA27" i="43"/>
  <c r="AA25" i="43"/>
  <c r="AB26" i="43"/>
  <c r="AB28" i="43"/>
  <c r="AC27" i="43"/>
  <c r="AC28" i="43"/>
  <c r="Z26" i="43"/>
  <c r="K42" i="44"/>
  <c r="K46" i="44" s="1"/>
  <c r="L984" i="42" l="1"/>
  <c r="J983" i="42"/>
  <c r="L983" i="42" s="1"/>
  <c r="J980" i="42"/>
  <c r="L980" i="42" s="1"/>
  <c r="I978" i="42"/>
  <c r="L978" i="42" s="1"/>
  <c r="I979" i="42"/>
  <c r="B988" i="42"/>
  <c r="I981" i="42"/>
  <c r="L981" i="42" s="1"/>
  <c r="J986" i="42"/>
  <c r="L986" i="42" s="1"/>
  <c r="I982" i="42"/>
  <c r="K982" i="42" s="1"/>
  <c r="I985" i="42"/>
  <c r="J985" i="42"/>
  <c r="K980" i="42"/>
  <c r="C998" i="42"/>
  <c r="G998" i="42" s="1"/>
  <c r="C994" i="42"/>
  <c r="G994" i="42" s="1"/>
  <c r="C997" i="42"/>
  <c r="G997" i="42" s="1"/>
  <c r="C993" i="42"/>
  <c r="G993" i="42" s="1"/>
  <c r="C999" i="42"/>
  <c r="G999" i="42" s="1"/>
  <c r="C991" i="42"/>
  <c r="G991" i="42" s="1"/>
  <c r="C996" i="42"/>
  <c r="G996" i="42" s="1"/>
  <c r="C995" i="42"/>
  <c r="G995" i="42" s="1"/>
  <c r="C992" i="42"/>
  <c r="G992" i="42" s="1"/>
  <c r="AA36" i="55"/>
  <c r="AA39" i="55"/>
  <c r="AA37" i="55"/>
  <c r="AA38" i="55"/>
  <c r="AA33" i="55"/>
  <c r="AA40" i="55"/>
  <c r="AA34" i="55"/>
  <c r="AA35" i="55"/>
  <c r="AA41" i="55"/>
  <c r="AE36" i="55"/>
  <c r="AE37" i="55"/>
  <c r="AE34" i="55"/>
  <c r="AE39" i="55"/>
  <c r="AE41" i="55"/>
  <c r="AE33" i="55"/>
  <c r="AE38" i="55"/>
  <c r="AE35" i="55"/>
  <c r="AE40" i="55"/>
  <c r="AG39" i="55"/>
  <c r="AG38" i="55"/>
  <c r="AG33" i="55"/>
  <c r="AG36" i="55"/>
  <c r="AG37" i="55"/>
  <c r="AG40" i="55"/>
  <c r="AG35" i="55"/>
  <c r="AG34" i="55"/>
  <c r="AG41" i="55"/>
  <c r="Z41" i="55"/>
  <c r="Z34" i="55"/>
  <c r="Z36" i="55"/>
  <c r="Z37" i="55"/>
  <c r="Z40" i="55"/>
  <c r="Z39" i="55"/>
  <c r="Z35" i="55"/>
  <c r="Z33" i="55"/>
  <c r="Z38" i="55"/>
  <c r="AD37" i="55"/>
  <c r="AD35" i="55"/>
  <c r="AD40" i="55"/>
  <c r="AD33" i="55"/>
  <c r="AD36" i="55"/>
  <c r="AD34" i="55"/>
  <c r="AD41" i="55"/>
  <c r="AD38" i="55"/>
  <c r="AD39" i="55"/>
  <c r="AC33" i="55"/>
  <c r="AC34" i="55"/>
  <c r="AC38" i="55"/>
  <c r="AC40" i="55"/>
  <c r="AC41" i="55"/>
  <c r="AC37" i="55"/>
  <c r="AC36" i="55"/>
  <c r="AC39" i="55"/>
  <c r="AC35" i="55"/>
  <c r="Y36" i="55"/>
  <c r="Y34" i="55"/>
  <c r="Y33" i="55"/>
  <c r="Y35" i="55"/>
  <c r="Y37" i="55"/>
  <c r="Y38" i="55"/>
  <c r="Y41" i="55"/>
  <c r="Y40" i="55"/>
  <c r="Y39" i="55"/>
  <c r="AF39" i="55"/>
  <c r="AF35" i="55"/>
  <c r="AF37" i="55"/>
  <c r="AF38" i="55"/>
  <c r="AF33" i="55"/>
  <c r="AF34" i="55"/>
  <c r="AF36" i="55"/>
  <c r="AF41" i="55"/>
  <c r="AF40" i="55"/>
  <c r="AB35" i="55"/>
  <c r="AB33" i="55"/>
  <c r="AB38" i="55"/>
  <c r="AB37" i="55"/>
  <c r="AB34" i="55"/>
  <c r="AB41" i="55"/>
  <c r="AB36" i="55"/>
  <c r="AB40" i="55"/>
  <c r="AB39" i="55"/>
  <c r="K983" i="42" l="1"/>
  <c r="K978" i="42"/>
  <c r="J987" i="42"/>
  <c r="I987" i="42"/>
  <c r="L982" i="42"/>
  <c r="K981" i="42"/>
  <c r="L979" i="42"/>
  <c r="K979" i="42"/>
  <c r="K986" i="42"/>
  <c r="K985" i="42"/>
  <c r="L985" i="42"/>
  <c r="I992" i="42"/>
  <c r="J992" i="42"/>
  <c r="J998" i="42"/>
  <c r="I998" i="42"/>
  <c r="I995" i="42"/>
  <c r="J995" i="42"/>
  <c r="J993" i="42"/>
  <c r="I993" i="42"/>
  <c r="I996" i="42"/>
  <c r="J996" i="42"/>
  <c r="I997" i="42"/>
  <c r="J997" i="42"/>
  <c r="I999" i="42"/>
  <c r="J999" i="42"/>
  <c r="J991" i="42"/>
  <c r="I991" i="42"/>
  <c r="I994" i="42"/>
  <c r="J994" i="42"/>
  <c r="AH38" i="55"/>
  <c r="AH41" i="55"/>
  <c r="AH33" i="55"/>
  <c r="AH34" i="55"/>
  <c r="AH39" i="55"/>
  <c r="AH37" i="55"/>
  <c r="AH36" i="55"/>
  <c r="AH40" i="55"/>
  <c r="AH35" i="55"/>
  <c r="AK6" i="55" a="1"/>
  <c r="AM12" i="55" l="1"/>
  <c r="AQ8" i="55"/>
  <c r="AR14" i="55"/>
  <c r="AM11" i="55"/>
  <c r="AQ7" i="55"/>
  <c r="AS12" i="55"/>
  <c r="AN9" i="55"/>
  <c r="AP14" i="55"/>
  <c r="AK11" i="55"/>
  <c r="AO7" i="55"/>
  <c r="AO12" i="55"/>
  <c r="AS8" i="55"/>
  <c r="AL14" i="55"/>
  <c r="AP10" i="55"/>
  <c r="AK7" i="55"/>
  <c r="AO6" i="55"/>
  <c r="AQ12" i="55"/>
  <c r="AR11" i="55"/>
  <c r="AN7" i="55"/>
  <c r="AQ11" i="55"/>
  <c r="AS14" i="55"/>
  <c r="AN11" i="55"/>
  <c r="AR7" i="55"/>
  <c r="AS13" i="55"/>
  <c r="AN10" i="55"/>
  <c r="AR6" i="55"/>
  <c r="AK12" i="55"/>
  <c r="AO8" i="55"/>
  <c r="AQ13" i="55"/>
  <c r="AL10" i="55"/>
  <c r="AP6" i="55"/>
  <c r="AP11" i="55"/>
  <c r="AK8" i="55"/>
  <c r="AM13" i="55"/>
  <c r="AQ9" i="55"/>
  <c r="AL6" i="55"/>
  <c r="AO13" i="55"/>
  <c r="AL9" i="55"/>
  <c r="AM8" i="55"/>
  <c r="AN14" i="55"/>
  <c r="AL8" i="55"/>
  <c r="AK14" i="55"/>
  <c r="AO10" i="55"/>
  <c r="AS6" i="55"/>
  <c r="AK13" i="55"/>
  <c r="AO9" i="55"/>
  <c r="AQ14" i="55"/>
  <c r="AL11" i="55"/>
  <c r="AP7" i="55"/>
  <c r="AR12" i="55"/>
  <c r="AM9" i="55"/>
  <c r="AM14" i="55"/>
  <c r="AQ10" i="55"/>
  <c r="AL7" i="55"/>
  <c r="AN12" i="55"/>
  <c r="AR8" i="55"/>
  <c r="AP13" i="55"/>
  <c r="AS9" i="55"/>
  <c r="AP12" i="55"/>
  <c r="AO14" i="55"/>
  <c r="AR10" i="55"/>
  <c r="AL13" i="55"/>
  <c r="AP8" i="55"/>
  <c r="AS11" i="55"/>
  <c r="AM6" i="55"/>
  <c r="AN6" i="55"/>
  <c r="AQ6" i="55"/>
  <c r="AK10" i="55"/>
  <c r="AP9" i="55"/>
  <c r="AR13" i="55"/>
  <c r="AN8" i="55"/>
  <c r="AO11" i="55"/>
  <c r="AK9" i="55"/>
  <c r="AK6" i="55"/>
  <c r="AM10" i="55"/>
  <c r="AN13" i="55"/>
  <c r="AS7" i="55"/>
  <c r="AS10" i="55"/>
  <c r="AL12" i="55"/>
  <c r="AR9" i="55"/>
  <c r="AM7" i="55"/>
  <c r="L987" i="42"/>
  <c r="O978" i="42" s="1"/>
  <c r="K987" i="42"/>
  <c r="O979" i="42" s="1"/>
  <c r="O980" i="42" s="1"/>
  <c r="N983" i="42" s="1"/>
  <c r="O982" i="42" s="1"/>
  <c r="J1000" i="42"/>
  <c r="K993" i="42"/>
  <c r="L993" i="42"/>
  <c r="L997" i="42"/>
  <c r="K997" i="42"/>
  <c r="L999" i="42"/>
  <c r="K999" i="42"/>
  <c r="K998" i="42"/>
  <c r="L998" i="42"/>
  <c r="K994" i="42"/>
  <c r="L994" i="42"/>
  <c r="I1000" i="42"/>
  <c r="K991" i="42"/>
  <c r="L991" i="42"/>
  <c r="L996" i="42"/>
  <c r="K996" i="42"/>
  <c r="L995" i="42"/>
  <c r="K995" i="42"/>
  <c r="L992" i="42"/>
  <c r="K992" i="42"/>
  <c r="AH43" i="55"/>
  <c r="AK19" i="55" a="1"/>
  <c r="AM27" i="55" l="1"/>
  <c r="AL23" i="55"/>
  <c r="AK20" i="55"/>
  <c r="AM28" i="55"/>
  <c r="AQ22" i="55"/>
  <c r="AQ26" i="55"/>
  <c r="AK21" i="55"/>
  <c r="AM25" i="55"/>
  <c r="AN19" i="55"/>
  <c r="AP23" i="55"/>
  <c r="AP27" i="55"/>
  <c r="AS21" i="55"/>
  <c r="AL26" i="55"/>
  <c r="AL27" i="55"/>
  <c r="AN24" i="55"/>
  <c r="AR28" i="55"/>
  <c r="AS28" i="55"/>
  <c r="AR21" i="55"/>
  <c r="AK27" i="55"/>
  <c r="AL21" i="55"/>
  <c r="AN25" i="55"/>
  <c r="AP19" i="55"/>
  <c r="AQ23" i="55"/>
  <c r="AS27" i="55"/>
  <c r="AK22" i="55"/>
  <c r="AM26" i="55"/>
  <c r="AO20" i="55"/>
  <c r="AN27" i="55"/>
  <c r="AM20" i="55"/>
  <c r="AR25" i="55"/>
  <c r="AO25" i="55"/>
  <c r="AS19" i="55"/>
  <c r="AS39" i="55" s="1"/>
  <c r="AR23" i="55"/>
  <c r="AK28" i="55"/>
  <c r="AM22" i="55"/>
  <c r="AN26" i="55"/>
  <c r="AR20" i="55"/>
  <c r="AQ24" i="55"/>
  <c r="AL19" i="55"/>
  <c r="AK19" i="55"/>
  <c r="AO24" i="55"/>
  <c r="AN21" i="55"/>
  <c r="AQ21" i="55"/>
  <c r="AL28" i="55"/>
  <c r="AS24" i="55"/>
  <c r="AS22" i="55"/>
  <c r="AO28" i="55"/>
  <c r="AP22" i="55"/>
  <c r="AM19" i="55"/>
  <c r="AL20" i="55"/>
  <c r="AQ28" i="55"/>
  <c r="AO26" i="55"/>
  <c r="AO23" i="55"/>
  <c r="AR22" i="55"/>
  <c r="AK24" i="55"/>
  <c r="AP25" i="55"/>
  <c r="AS20" i="55"/>
  <c r="AP24" i="55"/>
  <c r="AL22" i="55"/>
  <c r="AQ25" i="55"/>
  <c r="AQ19" i="55"/>
  <c r="AM23" i="55"/>
  <c r="AR26" i="55"/>
  <c r="AQ20" i="55"/>
  <c r="AM24" i="55"/>
  <c r="AR27" i="55"/>
  <c r="AO19" i="55"/>
  <c r="AK23" i="55"/>
  <c r="AP26" i="55"/>
  <c r="AP20" i="55"/>
  <c r="AL24" i="55"/>
  <c r="AQ27" i="55"/>
  <c r="AP21" i="55"/>
  <c r="AL25" i="55"/>
  <c r="AN20" i="55"/>
  <c r="AS23" i="55"/>
  <c r="AO27" i="55"/>
  <c r="AO21" i="55"/>
  <c r="AK25" i="55"/>
  <c r="AP28" i="55"/>
  <c r="AO22" i="55"/>
  <c r="AK26" i="55"/>
  <c r="AM21" i="55"/>
  <c r="AR24" i="55"/>
  <c r="AN28" i="55"/>
  <c r="AN22" i="55"/>
  <c r="AS25" i="55"/>
  <c r="AR19" i="55"/>
  <c r="AN23" i="55"/>
  <c r="AS26" i="55"/>
  <c r="AQ37" i="55"/>
  <c r="N982" i="42"/>
  <c r="O983" i="42" s="1"/>
  <c r="Q978" i="42" s="1" a="1"/>
  <c r="K1000" i="42"/>
  <c r="L1000" i="42"/>
  <c r="R985" i="42" l="1"/>
  <c r="R983" i="42"/>
  <c r="R981" i="42"/>
  <c r="R979" i="42"/>
  <c r="R986" i="42"/>
  <c r="R984" i="42"/>
  <c r="R980" i="42"/>
  <c r="Q985" i="42"/>
  <c r="Q983" i="42"/>
  <c r="Q981" i="42"/>
  <c r="Q979" i="42"/>
  <c r="R982" i="42"/>
  <c r="R978" i="42"/>
  <c r="Q986" i="42"/>
  <c r="Q978" i="42"/>
  <c r="Q980" i="42"/>
  <c r="Q984" i="42"/>
  <c r="Q982" i="42"/>
  <c r="AS33" i="55"/>
  <c r="AN39" i="55"/>
  <c r="AN36" i="55"/>
  <c r="AO41" i="55"/>
  <c r="AS40" i="55"/>
  <c r="AS35" i="55"/>
  <c r="AK38" i="55"/>
  <c r="AL39" i="55"/>
  <c r="AQ36" i="55"/>
  <c r="AR33" i="55"/>
  <c r="AL36" i="55"/>
  <c r="AL33" i="55"/>
  <c r="AO33" i="55"/>
  <c r="AL41" i="55"/>
  <c r="AL35" i="55"/>
  <c r="AO36" i="55"/>
  <c r="AL38" i="55"/>
  <c r="AR41" i="55"/>
  <c r="AS34" i="55"/>
  <c r="AO37" i="55"/>
  <c r="AN37" i="55"/>
  <c r="AK33" i="55"/>
  <c r="AN40" i="55"/>
  <c r="AO39" i="55"/>
  <c r="AQ39" i="55"/>
  <c r="AQ35" i="55"/>
  <c r="AQ41" i="55"/>
  <c r="AM36" i="55"/>
  <c r="AK41" i="55"/>
  <c r="AQ38" i="55"/>
  <c r="AQ34" i="55"/>
  <c r="AK35" i="55"/>
  <c r="AK36" i="55"/>
  <c r="AQ33" i="55"/>
  <c r="AK39" i="55"/>
  <c r="AK37" i="55"/>
  <c r="AP40" i="55"/>
  <c r="AK34" i="55"/>
  <c r="AQ40" i="55"/>
  <c r="AP36" i="55"/>
  <c r="AK40" i="55"/>
  <c r="AN38" i="55"/>
  <c r="AR36" i="55"/>
  <c r="AN35" i="55"/>
  <c r="AR37" i="55"/>
  <c r="AS36" i="55"/>
  <c r="AM38" i="55"/>
  <c r="AL37" i="55"/>
  <c r="AO40" i="55"/>
  <c r="AN41" i="55"/>
  <c r="AS37" i="55"/>
  <c r="AS38" i="55"/>
  <c r="AP34" i="55"/>
  <c r="AM40" i="55"/>
  <c r="AL40" i="55"/>
  <c r="AO38" i="55"/>
  <c r="AR34" i="55"/>
  <c r="AR35" i="55"/>
  <c r="AP37" i="55"/>
  <c r="AM34" i="55"/>
  <c r="AM41" i="55"/>
  <c r="AR39" i="55"/>
  <c r="AR40" i="55"/>
  <c r="AP35" i="55"/>
  <c r="AP38" i="55"/>
  <c r="AM39" i="55"/>
  <c r="AM37" i="55"/>
  <c r="AN34" i="55"/>
  <c r="AN33" i="55"/>
  <c r="AR38" i="55"/>
  <c r="AS41" i="55"/>
  <c r="AP41" i="55"/>
  <c r="AP33" i="55"/>
  <c r="AP39" i="55"/>
  <c r="AM35" i="55"/>
  <c r="AM33" i="55"/>
  <c r="AL34" i="55"/>
  <c r="AO34" i="55"/>
  <c r="AO35" i="55"/>
  <c r="A991" i="42" l="1" a="1"/>
  <c r="A998" i="42" s="1"/>
  <c r="D991" i="42" a="1"/>
  <c r="AT39" i="55"/>
  <c r="AT38" i="55"/>
  <c r="AT35" i="55"/>
  <c r="AT36" i="55"/>
  <c r="AT34" i="55"/>
  <c r="AT33" i="55"/>
  <c r="AT41" i="55"/>
  <c r="AT37" i="55"/>
  <c r="AT40" i="55"/>
  <c r="AW6" i="55" a="1"/>
  <c r="AW12" i="55" l="1"/>
  <c r="BA8" i="55"/>
  <c r="BC13" i="55"/>
  <c r="AX10" i="55"/>
  <c r="BB6" i="55"/>
  <c r="BD11" i="55"/>
  <c r="AY8" i="55"/>
  <c r="BA13" i="55"/>
  <c r="BE9" i="55"/>
  <c r="AZ6" i="55"/>
  <c r="AY12" i="55"/>
  <c r="BC8" i="55"/>
  <c r="BD14" i="55"/>
  <c r="AY11" i="55"/>
  <c r="BC7" i="55"/>
  <c r="BA11" i="55"/>
  <c r="AX7" i="55"/>
  <c r="AZ13" i="55"/>
  <c r="BE8" i="55"/>
  <c r="BC9" i="55"/>
  <c r="BC14" i="55"/>
  <c r="AX11" i="55"/>
  <c r="BB7" i="55"/>
  <c r="BD12" i="55"/>
  <c r="AY9" i="55"/>
  <c r="BA14" i="55"/>
  <c r="BE10" i="55"/>
  <c r="AZ7" i="55"/>
  <c r="BB12" i="55"/>
  <c r="AW9" i="55"/>
  <c r="BE14" i="55"/>
  <c r="AZ11" i="55"/>
  <c r="BD7" i="55"/>
  <c r="BE13" i="55"/>
  <c r="AZ10" i="55"/>
  <c r="BD6" i="55"/>
  <c r="BE7" i="55"/>
  <c r="AX14" i="55"/>
  <c r="BD9" i="55"/>
  <c r="AZ12" i="55"/>
  <c r="AX6" i="55"/>
  <c r="BD13" i="55"/>
  <c r="AY10" i="55"/>
  <c r="BC6" i="55"/>
  <c r="BE11" i="55"/>
  <c r="AZ8" i="55"/>
  <c r="BB13" i="55"/>
  <c r="AW10" i="55"/>
  <c r="BA6" i="55"/>
  <c r="BC11" i="55"/>
  <c r="AX8" i="55"/>
  <c r="AW14" i="55"/>
  <c r="BA10" i="55"/>
  <c r="BE6" i="55"/>
  <c r="AW13" i="55"/>
  <c r="BA9" i="55"/>
  <c r="BB11" i="55"/>
  <c r="AY14" i="55"/>
  <c r="BB10" i="55"/>
  <c r="AY6" i="55"/>
  <c r="BD8" i="55"/>
  <c r="AZ9" i="55"/>
  <c r="BC12" i="55"/>
  <c r="AY7" i="55"/>
  <c r="AX12" i="55"/>
  <c r="AW7" i="55"/>
  <c r="BA7" i="55"/>
  <c r="AW6" i="55"/>
  <c r="BB14" i="55"/>
  <c r="AX9" i="55"/>
  <c r="AX13" i="55"/>
  <c r="BB8" i="55"/>
  <c r="BA12" i="55"/>
  <c r="AW11" i="55"/>
  <c r="AZ14" i="55"/>
  <c r="BB9" i="55"/>
  <c r="AW8" i="55"/>
  <c r="AY13" i="55"/>
  <c r="BE12" i="55"/>
  <c r="BD10" i="55"/>
  <c r="BC10" i="55"/>
  <c r="A991" i="42"/>
  <c r="A993" i="42"/>
  <c r="A999" i="42"/>
  <c r="A997" i="42"/>
  <c r="A992" i="42"/>
  <c r="A994" i="42"/>
  <c r="A996" i="42"/>
  <c r="A995" i="42"/>
  <c r="D996" i="42"/>
  <c r="D992" i="42"/>
  <c r="D999" i="42"/>
  <c r="D995" i="42"/>
  <c r="D991" i="42"/>
  <c r="D997" i="42"/>
  <c r="D994" i="42"/>
  <c r="D993" i="42"/>
  <c r="D998" i="42"/>
  <c r="AT43" i="55"/>
  <c r="AW19" i="55" a="1"/>
  <c r="AZ28" i="55" l="1"/>
  <c r="BD28" i="55"/>
  <c r="BB27" i="55"/>
  <c r="BD25" i="55"/>
  <c r="BC23" i="55"/>
  <c r="BC21" i="55"/>
  <c r="BA25" i="55"/>
  <c r="BA23" i="55"/>
  <c r="BA20" i="55"/>
  <c r="AY27" i="55"/>
  <c r="AY25" i="55"/>
  <c r="AY22" i="55"/>
  <c r="AX20" i="55"/>
  <c r="AW27" i="55"/>
  <c r="AW24" i="55"/>
  <c r="BE21" i="55"/>
  <c r="BE19" i="55"/>
  <c r="AZ22" i="55"/>
  <c r="BD20" i="55"/>
  <c r="BE27" i="55"/>
  <c r="BD22" i="55"/>
  <c r="BE24" i="55"/>
  <c r="AX24" i="55"/>
  <c r="BE25" i="55"/>
  <c r="AZ24" i="55"/>
  <c r="AY19" i="55"/>
  <c r="AZ26" i="55"/>
  <c r="AZ21" i="55"/>
  <c r="BA28" i="55"/>
  <c r="BB22" i="55"/>
  <c r="BB24" i="55"/>
  <c r="BB19" i="55"/>
  <c r="BA21" i="55"/>
  <c r="BB28" i="55"/>
  <c r="BB20" i="55"/>
  <c r="AX26" i="55"/>
  <c r="AX28" i="55"/>
  <c r="AX23" i="55"/>
  <c r="AY23" i="55"/>
  <c r="BC27" i="55"/>
  <c r="BC26" i="55"/>
  <c r="AW25" i="55"/>
  <c r="AW19" i="55"/>
  <c r="AW21" i="55"/>
  <c r="BC19" i="55"/>
  <c r="BD26" i="55"/>
  <c r="BA22" i="55"/>
  <c r="AW26" i="55"/>
  <c r="AX19" i="55"/>
  <c r="BC22" i="55"/>
  <c r="AY26" i="55"/>
  <c r="AY20" i="55"/>
  <c r="BD23" i="55"/>
  <c r="AZ27" i="55"/>
  <c r="AX22" i="55"/>
  <c r="BC25" i="55"/>
  <c r="BD19" i="55"/>
  <c r="AZ23" i="55"/>
  <c r="BE26" i="55"/>
  <c r="AW20" i="55"/>
  <c r="BB23" i="55"/>
  <c r="AX27" i="55"/>
  <c r="AX21" i="55"/>
  <c r="BC24" i="55"/>
  <c r="AY28" i="55"/>
  <c r="BA19" i="55"/>
  <c r="AW23" i="55"/>
  <c r="BB26" i="55"/>
  <c r="BC20" i="55"/>
  <c r="AY24" i="55"/>
  <c r="BD27" i="55"/>
  <c r="BE20" i="55"/>
  <c r="BA24" i="55"/>
  <c r="AW28" i="55"/>
  <c r="AW22" i="55"/>
  <c r="BB25" i="55"/>
  <c r="AZ20" i="55"/>
  <c r="BE23" i="55"/>
  <c r="BA27" i="55"/>
  <c r="BB21" i="55"/>
  <c r="AX25" i="55"/>
  <c r="BC28" i="55"/>
  <c r="BD21" i="55"/>
  <c r="AZ25" i="55"/>
  <c r="BE28" i="55"/>
  <c r="AZ19" i="55"/>
  <c r="BE22" i="55"/>
  <c r="BA26" i="55"/>
  <c r="AY21" i="55"/>
  <c r="BD24" i="55"/>
  <c r="BD36" i="55"/>
  <c r="BC39" i="55"/>
  <c r="B1001" i="42"/>
  <c r="O992" i="42" s="1"/>
  <c r="A1004" i="42" a="1"/>
  <c r="A1004" i="42" s="1"/>
  <c r="D1004" i="42" a="1"/>
  <c r="D1010" i="42" s="1"/>
  <c r="G1010" i="42" s="1"/>
  <c r="BE39" i="55"/>
  <c r="O991" i="42" l="1"/>
  <c r="O993" i="42" s="1"/>
  <c r="N996" i="42" s="1"/>
  <c r="O995" i="42" s="1"/>
  <c r="A1009" i="42"/>
  <c r="A1007" i="42"/>
  <c r="A1008" i="42"/>
  <c r="A1010" i="42"/>
  <c r="A1012" i="42"/>
  <c r="A1006" i="42"/>
  <c r="A1011" i="42"/>
  <c r="D1012" i="42"/>
  <c r="G1012" i="42" s="1"/>
  <c r="A1005" i="42"/>
  <c r="D1005" i="42"/>
  <c r="G1005" i="42" s="1"/>
  <c r="D1008" i="42"/>
  <c r="G1008" i="42" s="1"/>
  <c r="D1009" i="42"/>
  <c r="G1009" i="42" s="1"/>
  <c r="D1007" i="42"/>
  <c r="G1007" i="42" s="1"/>
  <c r="D1006" i="42"/>
  <c r="G1006" i="42" s="1"/>
  <c r="D1004" i="42"/>
  <c r="G1004" i="42" s="1"/>
  <c r="D1011" i="42"/>
  <c r="G1011" i="42" s="1"/>
  <c r="AZ36" i="55"/>
  <c r="BE38" i="55"/>
  <c r="BA35" i="55"/>
  <c r="BA37" i="55"/>
  <c r="BB38" i="55"/>
  <c r="AZ41" i="55"/>
  <c r="BB33" i="55"/>
  <c r="AX38" i="55"/>
  <c r="BC34" i="55"/>
  <c r="BB39" i="55"/>
  <c r="BC40" i="55"/>
  <c r="BC41" i="55"/>
  <c r="BC35" i="55"/>
  <c r="BC38" i="55"/>
  <c r="BE41" i="55"/>
  <c r="AY35" i="55"/>
  <c r="AY33" i="55"/>
  <c r="AY39" i="55"/>
  <c r="AY40" i="55"/>
  <c r="AY38" i="55"/>
  <c r="AW38" i="55"/>
  <c r="AW40" i="55"/>
  <c r="AW34" i="55"/>
  <c r="AW41" i="55"/>
  <c r="AW36" i="55"/>
  <c r="AW33" i="55"/>
  <c r="AW35" i="55"/>
  <c r="BB34" i="55"/>
  <c r="BB36" i="55"/>
  <c r="BB41" i="55"/>
  <c r="BE37" i="55"/>
  <c r="BE40" i="55"/>
  <c r="BE36" i="55"/>
  <c r="BE35" i="55"/>
  <c r="BE34" i="55"/>
  <c r="BA38" i="55"/>
  <c r="BA33" i="55"/>
  <c r="BA39" i="55"/>
  <c r="BA40" i="55"/>
  <c r="BA36" i="55"/>
  <c r="BA34" i="55"/>
  <c r="AY36" i="55"/>
  <c r="BE33" i="55"/>
  <c r="AW37" i="55"/>
  <c r="AY41" i="55"/>
  <c r="BB37" i="55"/>
  <c r="AX39" i="55"/>
  <c r="AX36" i="55"/>
  <c r="AX41" i="55"/>
  <c r="AX37" i="55"/>
  <c r="AX33" i="55"/>
  <c r="AX34" i="55"/>
  <c r="AX40" i="55"/>
  <c r="AX35" i="55"/>
  <c r="BD33" i="55"/>
  <c r="BD41" i="55"/>
  <c r="BD35" i="55"/>
  <c r="BD34" i="55"/>
  <c r="BD37" i="55"/>
  <c r="BD40" i="55"/>
  <c r="BD39" i="55"/>
  <c r="BD38" i="55"/>
  <c r="BB35" i="55"/>
  <c r="AW39" i="55"/>
  <c r="AY34" i="55"/>
  <c r="BB40" i="55"/>
  <c r="AZ39" i="55"/>
  <c r="AZ40" i="55"/>
  <c r="AZ38" i="55"/>
  <c r="AZ34" i="55"/>
  <c r="AZ33" i="55"/>
  <c r="AZ35" i="55"/>
  <c r="AZ37" i="55"/>
  <c r="BA41" i="55"/>
  <c r="AY37" i="55"/>
  <c r="BC33" i="55"/>
  <c r="BC37" i="55"/>
  <c r="BC36" i="55"/>
  <c r="B1014" i="42" l="1"/>
  <c r="A1017" i="42" a="1"/>
  <c r="A1018" i="42" s="1"/>
  <c r="N995" i="42"/>
  <c r="O996" i="42" s="1"/>
  <c r="Q991" i="42" s="1" a="1"/>
  <c r="BF38" i="55"/>
  <c r="BF39" i="55"/>
  <c r="BF36" i="55"/>
  <c r="BF41" i="55"/>
  <c r="BF37" i="55"/>
  <c r="BF33" i="55"/>
  <c r="BF40" i="55"/>
  <c r="BF35" i="55"/>
  <c r="BF34" i="55"/>
  <c r="BI6" i="55" a="1"/>
  <c r="BI13" i="55" l="1"/>
  <c r="BM9" i="55"/>
  <c r="BO14" i="55"/>
  <c r="BO10" i="55"/>
  <c r="BN6" i="55"/>
  <c r="BN11" i="55"/>
  <c r="BM7" i="55"/>
  <c r="BM12" i="55"/>
  <c r="BL8" i="55"/>
  <c r="BL13" i="55"/>
  <c r="BK9" i="55"/>
  <c r="BI14" i="55"/>
  <c r="BQ9" i="55"/>
  <c r="BQ14" i="55"/>
  <c r="BP10" i="55"/>
  <c r="BO6" i="55"/>
  <c r="BJ14" i="55"/>
  <c r="BJ9" i="55"/>
  <c r="BJ8" i="55"/>
  <c r="BI7" i="55"/>
  <c r="BJ12" i="55"/>
  <c r="BN8" i="55"/>
  <c r="BO13" i="55"/>
  <c r="BO9" i="55"/>
  <c r="BN14" i="55"/>
  <c r="BN10" i="55"/>
  <c r="BM6" i="55"/>
  <c r="BM11" i="55"/>
  <c r="BL7" i="55"/>
  <c r="BL12" i="55"/>
  <c r="BK8" i="55"/>
  <c r="BQ12" i="55"/>
  <c r="BQ8" i="55"/>
  <c r="BP13" i="55"/>
  <c r="BP9" i="55"/>
  <c r="BK14" i="55"/>
  <c r="BI10" i="55"/>
  <c r="BJ13" i="55"/>
  <c r="BJ11" i="55"/>
  <c r="BI12" i="55"/>
  <c r="BP14" i="55"/>
  <c r="BK11" i="55"/>
  <c r="BO7" i="55"/>
  <c r="BO12" i="55"/>
  <c r="BO8" i="55"/>
  <c r="BN13" i="55"/>
  <c r="BN9" i="55"/>
  <c r="BM14" i="55"/>
  <c r="BM10" i="55"/>
  <c r="BL6" i="55"/>
  <c r="BL11" i="55"/>
  <c r="BK7" i="55"/>
  <c r="BQ11" i="55"/>
  <c r="BQ7" i="55"/>
  <c r="BP12" i="55"/>
  <c r="BP8" i="55"/>
  <c r="BJ10" i="55"/>
  <c r="BI6" i="55"/>
  <c r="BI9" i="55"/>
  <c r="BJ7" i="55"/>
  <c r="BI8" i="55"/>
  <c r="BQ13" i="55"/>
  <c r="BN7" i="55"/>
  <c r="BL9" i="55"/>
  <c r="BQ10" i="55"/>
  <c r="BJ6" i="55"/>
  <c r="BO11" i="55"/>
  <c r="BK6" i="55"/>
  <c r="BI11" i="55"/>
  <c r="BL10" i="55"/>
  <c r="BN12" i="55"/>
  <c r="BL14" i="55"/>
  <c r="BQ6" i="55"/>
  <c r="BK13" i="55"/>
  <c r="BP6" i="55"/>
  <c r="BM8" i="55"/>
  <c r="BK10" i="55"/>
  <c r="BP11" i="55"/>
  <c r="BK12" i="55"/>
  <c r="BM13" i="55"/>
  <c r="BP7" i="55"/>
  <c r="A1019" i="42"/>
  <c r="A1023" i="42"/>
  <c r="A1017" i="42"/>
  <c r="A1022" i="42"/>
  <c r="A1024" i="42"/>
  <c r="A1021" i="42"/>
  <c r="A1025" i="42"/>
  <c r="A1020" i="42"/>
  <c r="Q999" i="42"/>
  <c r="Q997" i="42"/>
  <c r="Q995" i="42"/>
  <c r="Q993" i="42"/>
  <c r="Q991" i="42"/>
  <c r="R998" i="42"/>
  <c r="R996" i="42"/>
  <c r="R994" i="42"/>
  <c r="R992" i="42"/>
  <c r="R997" i="42"/>
  <c r="R993" i="42"/>
  <c r="R995" i="42"/>
  <c r="R991" i="42"/>
  <c r="Q996" i="42"/>
  <c r="Q992" i="42"/>
  <c r="R999" i="42"/>
  <c r="Q998" i="42"/>
  <c r="Q994" i="42"/>
  <c r="BF43" i="55"/>
  <c r="BI19" i="55" a="1"/>
  <c r="BL26" i="55" l="1"/>
  <c r="BI21" i="55"/>
  <c r="BQ22" i="55"/>
  <c r="BP22" i="55"/>
  <c r="BK22" i="55"/>
  <c r="BI22" i="55"/>
  <c r="BQ21" i="55"/>
  <c r="BL21" i="55"/>
  <c r="BQ28" i="55"/>
  <c r="BM20" i="55"/>
  <c r="BK20" i="55"/>
  <c r="BJ20" i="55"/>
  <c r="BN19" i="55"/>
  <c r="BL19" i="55"/>
  <c r="BK19" i="55"/>
  <c r="BK28" i="55"/>
  <c r="BJ23" i="55"/>
  <c r="BO23" i="55"/>
  <c r="BN27" i="55"/>
  <c r="BL27" i="55"/>
  <c r="BK27" i="55"/>
  <c r="BO26" i="55"/>
  <c r="BM26" i="55"/>
  <c r="BN25" i="55"/>
  <c r="BP25" i="55"/>
  <c r="BJ21" i="55"/>
  <c r="BM28" i="55"/>
  <c r="BP23" i="55"/>
  <c r="BM25" i="55"/>
  <c r="BI24" i="55"/>
  <c r="BQ24" i="55"/>
  <c r="BO24" i="55"/>
  <c r="BJ28" i="55"/>
  <c r="BN24" i="55"/>
  <c r="BM19" i="55"/>
  <c r="BI23" i="55"/>
  <c r="BN26" i="55"/>
  <c r="BO19" i="55"/>
  <c r="BK23" i="55"/>
  <c r="BP26" i="55"/>
  <c r="BP19" i="55"/>
  <c r="BL23" i="55"/>
  <c r="BQ26" i="55"/>
  <c r="BP20" i="55"/>
  <c r="BL24" i="55"/>
  <c r="BQ27" i="55"/>
  <c r="BI20" i="55"/>
  <c r="BN23" i="55"/>
  <c r="BJ27" i="55"/>
  <c r="BL20" i="55"/>
  <c r="BQ23" i="55"/>
  <c r="BM27" i="55"/>
  <c r="BN20" i="55"/>
  <c r="BJ24" i="55"/>
  <c r="BO27" i="55"/>
  <c r="BO20" i="55"/>
  <c r="BK24" i="55"/>
  <c r="BP27" i="55"/>
  <c r="BO21" i="55"/>
  <c r="BK25" i="55"/>
  <c r="BP28" i="55"/>
  <c r="BQ20" i="55"/>
  <c r="BM24" i="55"/>
  <c r="BI28" i="55"/>
  <c r="BK21" i="55"/>
  <c r="BP24" i="55"/>
  <c r="BL28" i="55"/>
  <c r="BM21" i="55"/>
  <c r="BI25" i="55"/>
  <c r="BN28" i="55"/>
  <c r="BN21" i="55"/>
  <c r="BJ25" i="55"/>
  <c r="BO28" i="55"/>
  <c r="BI19" i="55"/>
  <c r="BN22" i="55"/>
  <c r="BJ26" i="55"/>
  <c r="BP21" i="55"/>
  <c r="BL25" i="55"/>
  <c r="BJ22" i="55"/>
  <c r="BO25" i="55"/>
  <c r="BL22" i="55"/>
  <c r="BQ25" i="55"/>
  <c r="BM22" i="55"/>
  <c r="BI26" i="55"/>
  <c r="BQ19" i="55"/>
  <c r="BM23" i="55"/>
  <c r="BI27" i="55"/>
  <c r="BJ19" i="55"/>
  <c r="BO22" i="55"/>
  <c r="BK26" i="55"/>
  <c r="BP38" i="55"/>
  <c r="BO33" i="55"/>
  <c r="BQ33" i="55"/>
  <c r="B1027" i="42"/>
  <c r="A1030" i="42" a="1"/>
  <c r="A1036" i="42" s="1"/>
  <c r="F1036" i="42" s="1"/>
  <c r="C1004" i="42" a="1"/>
  <c r="B1004" i="42" a="1"/>
  <c r="BI40" i="55" l="1"/>
  <c r="BM34" i="55"/>
  <c r="A1037" i="42"/>
  <c r="F1037" i="42" s="1"/>
  <c r="A1031" i="42"/>
  <c r="F1031" i="42" s="1"/>
  <c r="A1034" i="42"/>
  <c r="F1034" i="42" s="1"/>
  <c r="A1035" i="42"/>
  <c r="F1035" i="42" s="1"/>
  <c r="A1030" i="42"/>
  <c r="F1030" i="42" s="1"/>
  <c r="A1032" i="42"/>
  <c r="F1032" i="42" s="1"/>
  <c r="A1033" i="42"/>
  <c r="F1033" i="42" s="1"/>
  <c r="A1038" i="42"/>
  <c r="F1038" i="42" s="1"/>
  <c r="BN37" i="55"/>
  <c r="B1010" i="42"/>
  <c r="F1010" i="42" s="1"/>
  <c r="B1006" i="42"/>
  <c r="F1006" i="42" s="1"/>
  <c r="B1009" i="42"/>
  <c r="F1009" i="42" s="1"/>
  <c r="B1005" i="42"/>
  <c r="F1005" i="42" s="1"/>
  <c r="B1007" i="42"/>
  <c r="F1007" i="42" s="1"/>
  <c r="B1011" i="42"/>
  <c r="F1011" i="42" s="1"/>
  <c r="B1012" i="42"/>
  <c r="F1012" i="42" s="1"/>
  <c r="B1004" i="42"/>
  <c r="F1004" i="42" s="1"/>
  <c r="B1008" i="42"/>
  <c r="F1008" i="42" s="1"/>
  <c r="C1012" i="42"/>
  <c r="C1008" i="42"/>
  <c r="C1004" i="42"/>
  <c r="C1011" i="42"/>
  <c r="C1007" i="42"/>
  <c r="C1005" i="42"/>
  <c r="C1009" i="42"/>
  <c r="C1010" i="42"/>
  <c r="C1006" i="42"/>
  <c r="BL35" i="55"/>
  <c r="BM36" i="55"/>
  <c r="BM41" i="55"/>
  <c r="BI35" i="55"/>
  <c r="BI41" i="55"/>
  <c r="BO38" i="55"/>
  <c r="BO37" i="55"/>
  <c r="BO34" i="55"/>
  <c r="BO39" i="55"/>
  <c r="BQ41" i="55"/>
  <c r="BN36" i="55"/>
  <c r="BP33" i="55"/>
  <c r="BI33" i="55"/>
  <c r="BP41" i="55"/>
  <c r="BN33" i="55"/>
  <c r="BN38" i="55"/>
  <c r="BN40" i="55"/>
  <c r="BP37" i="55"/>
  <c r="BK41" i="55"/>
  <c r="BQ38" i="55"/>
  <c r="BK35" i="55"/>
  <c r="BN39" i="55"/>
  <c r="BL39" i="55"/>
  <c r="BQ40" i="55"/>
  <c r="BO41" i="55"/>
  <c r="BM40" i="55"/>
  <c r="BN41" i="55"/>
  <c r="BI39" i="55"/>
  <c r="BO40" i="55"/>
  <c r="BM39" i="55"/>
  <c r="BI34" i="55"/>
  <c r="BI36" i="55"/>
  <c r="BM38" i="55"/>
  <c r="BN35" i="55"/>
  <c r="BQ39" i="55"/>
  <c r="BP35" i="55"/>
  <c r="BJ40" i="55"/>
  <c r="BO35" i="55"/>
  <c r="BI38" i="55"/>
  <c r="BI37" i="55"/>
  <c r="BJ38" i="55"/>
  <c r="BP39" i="55"/>
  <c r="BL40" i="55"/>
  <c r="BJ41" i="55"/>
  <c r="BL36" i="55"/>
  <c r="BP36" i="55"/>
  <c r="BQ34" i="55"/>
  <c r="BP40" i="55"/>
  <c r="BM33" i="55"/>
  <c r="BQ36" i="55"/>
  <c r="BN34" i="55"/>
  <c r="BL33" i="55"/>
  <c r="BM37" i="55"/>
  <c r="BK33" i="55"/>
  <c r="BM35" i="55"/>
  <c r="BL34" i="55"/>
  <c r="BO36" i="55"/>
  <c r="BJ39" i="55"/>
  <c r="BJ36" i="55"/>
  <c r="BL37" i="55"/>
  <c r="BK39" i="55"/>
  <c r="BJ33" i="55"/>
  <c r="BK34" i="55"/>
  <c r="BK37" i="55"/>
  <c r="BK36" i="55"/>
  <c r="BJ37" i="55"/>
  <c r="BJ35" i="55"/>
  <c r="BQ37" i="55"/>
  <c r="BQ35" i="55"/>
  <c r="BL41" i="55"/>
  <c r="BK38" i="55"/>
  <c r="BJ34" i="55"/>
  <c r="BP34" i="55"/>
  <c r="BK40" i="55"/>
  <c r="BL38" i="55"/>
  <c r="B1040" i="42" l="1"/>
  <c r="J1005" i="42"/>
  <c r="I1005" i="42"/>
  <c r="J1012" i="42"/>
  <c r="I1012" i="42"/>
  <c r="J1009" i="42"/>
  <c r="I1009" i="42"/>
  <c r="J1004" i="42"/>
  <c r="I1004" i="42"/>
  <c r="C1017" i="42" a="1"/>
  <c r="I1011" i="42"/>
  <c r="J1011" i="42"/>
  <c r="J1006" i="42"/>
  <c r="I1006" i="42"/>
  <c r="J1008" i="42"/>
  <c r="I1008" i="42"/>
  <c r="J1007" i="42"/>
  <c r="I1007" i="42"/>
  <c r="J1010" i="42"/>
  <c r="I1010" i="42"/>
  <c r="BR38" i="55"/>
  <c r="BR40" i="55"/>
  <c r="BR39" i="55"/>
  <c r="BR41" i="55"/>
  <c r="BR33" i="55"/>
  <c r="BR35" i="55"/>
  <c r="BR37" i="55"/>
  <c r="BR36" i="55"/>
  <c r="BR34" i="55"/>
  <c r="BU6" i="55" a="1"/>
  <c r="CB14" i="55" l="1"/>
  <c r="CC13" i="55"/>
  <c r="CA13" i="55"/>
  <c r="BV10" i="55"/>
  <c r="BZ6" i="55"/>
  <c r="CA10" i="55"/>
  <c r="CA6" i="55"/>
  <c r="BZ10" i="55"/>
  <c r="BY6" i="55"/>
  <c r="BY10" i="55"/>
  <c r="BX6" i="55"/>
  <c r="BX11" i="55"/>
  <c r="BW7" i="55"/>
  <c r="BU12" i="55"/>
  <c r="CC7" i="55"/>
  <c r="CB11" i="55"/>
  <c r="CB7" i="55"/>
  <c r="BX13" i="55"/>
  <c r="BW12" i="55"/>
  <c r="CA14" i="55"/>
  <c r="BU10" i="55"/>
  <c r="BZ14" i="55"/>
  <c r="BY7" i="55"/>
  <c r="CA7" i="55"/>
  <c r="BZ7" i="55"/>
  <c r="BX7" i="55"/>
  <c r="BW8" i="55"/>
  <c r="CC8" i="55"/>
  <c r="CB8" i="55"/>
  <c r="BV8" i="55"/>
  <c r="BY14" i="55"/>
  <c r="BU13" i="55"/>
  <c r="CB12" i="55"/>
  <c r="BW9" i="55"/>
  <c r="BV14" i="55"/>
  <c r="CA9" i="55"/>
  <c r="BU14" i="55"/>
  <c r="BZ9" i="55"/>
  <c r="CB13" i="55"/>
  <c r="BY9" i="55"/>
  <c r="CC14" i="55"/>
  <c r="BX10" i="55"/>
  <c r="BW6" i="55"/>
  <c r="CC10" i="55"/>
  <c r="CC6" i="55"/>
  <c r="CB10" i="55"/>
  <c r="CB6" i="55"/>
  <c r="BU9" i="55"/>
  <c r="BU8" i="55"/>
  <c r="BW10" i="55"/>
  <c r="BU6" i="55"/>
  <c r="BV12" i="55"/>
  <c r="CC11" i="55"/>
  <c r="BX8" i="55"/>
  <c r="CC12" i="55"/>
  <c r="CA8" i="55"/>
  <c r="CA12" i="55"/>
  <c r="BZ8" i="55"/>
  <c r="BZ12" i="55"/>
  <c r="BY8" i="55"/>
  <c r="BZ13" i="55"/>
  <c r="BX9" i="55"/>
  <c r="BX14" i="55"/>
  <c r="CC9" i="55"/>
  <c r="BW14" i="55"/>
  <c r="CB9" i="55"/>
  <c r="BY13" i="55"/>
  <c r="BX12" i="55"/>
  <c r="BW11" i="55"/>
  <c r="BV6" i="55"/>
  <c r="BV11" i="55"/>
  <c r="BU11" i="55"/>
  <c r="CA11" i="55"/>
  <c r="BZ11" i="55"/>
  <c r="BY11" i="55"/>
  <c r="BY12" i="55"/>
  <c r="BW13" i="55"/>
  <c r="BV13" i="55"/>
  <c r="BV9" i="55"/>
  <c r="BV7" i="55"/>
  <c r="BU7" i="55"/>
  <c r="L1011" i="42"/>
  <c r="K1011" i="42"/>
  <c r="J1013" i="42"/>
  <c r="L1004" i="42"/>
  <c r="I1013" i="42"/>
  <c r="K1004" i="42"/>
  <c r="L1010" i="42"/>
  <c r="K1010" i="42"/>
  <c r="K1006" i="42"/>
  <c r="L1006" i="42"/>
  <c r="C1022" i="42"/>
  <c r="F1022" i="42" s="1"/>
  <c r="C1018" i="42"/>
  <c r="F1018" i="42" s="1"/>
  <c r="C1025" i="42"/>
  <c r="F1025" i="42" s="1"/>
  <c r="C1021" i="42"/>
  <c r="F1021" i="42" s="1"/>
  <c r="C1017" i="42"/>
  <c r="F1017" i="42" s="1"/>
  <c r="C1024" i="42"/>
  <c r="F1024" i="42" s="1"/>
  <c r="C1023" i="42"/>
  <c r="F1023" i="42" s="1"/>
  <c r="C1020" i="42"/>
  <c r="F1020" i="42" s="1"/>
  <c r="C1019" i="42"/>
  <c r="F1019" i="42" s="1"/>
  <c r="L1009" i="42"/>
  <c r="K1009" i="42"/>
  <c r="K1005" i="42"/>
  <c r="L1005" i="42"/>
  <c r="K1012" i="42"/>
  <c r="L1012" i="42"/>
  <c r="K1008" i="42"/>
  <c r="L1008" i="42"/>
  <c r="L1007" i="42"/>
  <c r="K1007" i="42"/>
  <c r="BR43" i="55"/>
  <c r="BU19" i="55" a="1"/>
  <c r="CA28" i="55" l="1"/>
  <c r="BX26" i="55"/>
  <c r="CA21" i="55"/>
  <c r="BY25" i="55"/>
  <c r="BU21" i="55"/>
  <c r="BZ24" i="55"/>
  <c r="CB22" i="55"/>
  <c r="CB20" i="55"/>
  <c r="BW19" i="55"/>
  <c r="CC21" i="55"/>
  <c r="BY23" i="55"/>
  <c r="BW27" i="55"/>
  <c r="BZ22" i="55"/>
  <c r="BV20" i="55"/>
  <c r="BU19" i="55"/>
  <c r="CA23" i="55"/>
  <c r="BV28" i="55"/>
  <c r="CC19" i="55"/>
  <c r="BX24" i="55"/>
  <c r="CC27" i="55"/>
  <c r="BU20" i="55"/>
  <c r="BZ23" i="55"/>
  <c r="BV27" i="55"/>
  <c r="BW20" i="55"/>
  <c r="CB23" i="55"/>
  <c r="BX27" i="55"/>
  <c r="BX20" i="55"/>
  <c r="CC23" i="55"/>
  <c r="BY27" i="55"/>
  <c r="BX21" i="55"/>
  <c r="CC24" i="55"/>
  <c r="BY28" i="55"/>
  <c r="BY21" i="55"/>
  <c r="BU25" i="55"/>
  <c r="BZ28" i="55"/>
  <c r="BY22" i="55"/>
  <c r="BU26" i="55"/>
  <c r="BW25" i="55"/>
  <c r="CB28" i="55"/>
  <c r="CC20" i="55"/>
  <c r="BY24" i="55"/>
  <c r="BU28" i="55"/>
  <c r="BV21" i="55"/>
  <c r="CA24" i="55"/>
  <c r="BW28" i="55"/>
  <c r="BW21" i="55"/>
  <c r="CB24" i="55"/>
  <c r="BX28" i="55"/>
  <c r="BW22" i="55"/>
  <c r="CB25" i="55"/>
  <c r="BX22" i="55"/>
  <c r="CC25" i="55"/>
  <c r="CB19" i="55"/>
  <c r="BX23" i="55"/>
  <c r="CC26" i="55"/>
  <c r="BV26" i="55"/>
  <c r="CB21" i="55"/>
  <c r="BX25" i="55"/>
  <c r="CC28" i="55"/>
  <c r="BU22" i="55"/>
  <c r="BZ25" i="55"/>
  <c r="BV22" i="55"/>
  <c r="CA25" i="55"/>
  <c r="BZ19" i="55"/>
  <c r="BV23" i="55"/>
  <c r="CA26" i="55"/>
  <c r="CA19" i="55"/>
  <c r="BW23" i="55"/>
  <c r="CB26" i="55"/>
  <c r="CA20" i="55"/>
  <c r="BW24" i="55"/>
  <c r="CB27" i="55"/>
  <c r="BU27" i="55"/>
  <c r="BV19" i="55"/>
  <c r="CA22" i="55"/>
  <c r="BW26" i="55"/>
  <c r="BW39" i="55" s="1"/>
  <c r="BX19" i="55"/>
  <c r="CC22" i="55"/>
  <c r="BY26" i="55"/>
  <c r="BY19" i="55"/>
  <c r="BU23" i="55"/>
  <c r="BZ26" i="55"/>
  <c r="BY20" i="55"/>
  <c r="BU24" i="55"/>
  <c r="BZ27" i="55"/>
  <c r="BZ20" i="55"/>
  <c r="BV24" i="55"/>
  <c r="CA27" i="55"/>
  <c r="BZ21" i="55"/>
  <c r="BV25" i="55"/>
  <c r="CB33" i="55"/>
  <c r="K1013" i="42"/>
  <c r="O1005" i="42" s="1"/>
  <c r="L1013" i="42"/>
  <c r="O1004" i="42" s="1"/>
  <c r="CC40" i="55"/>
  <c r="BX40" i="55" l="1"/>
  <c r="BW40" i="55"/>
  <c r="BZ34" i="55"/>
  <c r="BV39" i="55"/>
  <c r="O1006" i="42"/>
  <c r="N1008" i="42" s="1"/>
  <c r="BY37" i="55"/>
  <c r="BV36" i="55"/>
  <c r="CA39" i="55"/>
  <c r="CC34" i="55"/>
  <c r="BZ35" i="55"/>
  <c r="BZ37" i="55"/>
  <c r="BZ33" i="55"/>
  <c r="BZ36" i="55"/>
  <c r="BV34" i="55"/>
  <c r="BV40" i="55"/>
  <c r="CA40" i="55"/>
  <c r="CC38" i="55"/>
  <c r="CA33" i="55"/>
  <c r="CC41" i="55"/>
  <c r="CC39" i="55"/>
  <c r="BV38" i="55"/>
  <c r="CA36" i="55"/>
  <c r="BZ39" i="55"/>
  <c r="BU33" i="55"/>
  <c r="CA34" i="55"/>
  <c r="BV35" i="55"/>
  <c r="BZ40" i="55"/>
  <c r="BY41" i="55"/>
  <c r="BY36" i="55"/>
  <c r="BW34" i="55"/>
  <c r="BZ41" i="55"/>
  <c r="BZ38" i="55"/>
  <c r="CC33" i="55"/>
  <c r="CC37" i="55"/>
  <c r="CC36" i="55"/>
  <c r="BX33" i="55"/>
  <c r="BV37" i="55"/>
  <c r="BX39" i="55"/>
  <c r="BX41" i="55"/>
  <c r="CA37" i="55"/>
  <c r="BY40" i="55"/>
  <c r="BX37" i="55"/>
  <c r="CA38" i="55"/>
  <c r="BX35" i="55"/>
  <c r="BX38" i="55"/>
  <c r="CC35" i="55"/>
  <c r="BV33" i="55"/>
  <c r="CA41" i="55"/>
  <c r="BW38" i="55"/>
  <c r="BX36" i="55"/>
  <c r="CA35" i="55"/>
  <c r="BV41" i="55"/>
  <c r="CB40" i="55"/>
  <c r="CB41" i="55"/>
  <c r="BX34" i="55"/>
  <c r="BY33" i="55"/>
  <c r="BW41" i="55"/>
  <c r="BY38" i="55"/>
  <c r="BY39" i="55"/>
  <c r="BW36" i="55"/>
  <c r="CB39" i="55"/>
  <c r="BU40" i="55"/>
  <c r="BY35" i="55"/>
  <c r="CB34" i="55"/>
  <c r="BW35" i="55"/>
  <c r="CB35" i="55"/>
  <c r="CB37" i="55"/>
  <c r="CB36" i="55"/>
  <c r="BY34" i="55"/>
  <c r="CB38" i="55"/>
  <c r="BW33" i="55"/>
  <c r="BU39" i="55"/>
  <c r="BU37" i="55"/>
  <c r="BU36" i="55"/>
  <c r="BU38" i="55"/>
  <c r="BW37" i="55"/>
  <c r="BU34" i="55"/>
  <c r="BU35" i="55"/>
  <c r="BU41" i="55"/>
  <c r="N1009" i="42" l="1"/>
  <c r="O1008" i="42" s="1"/>
  <c r="O1009" i="42"/>
  <c r="Q1004" i="42" a="1"/>
  <c r="CD40" i="55"/>
  <c r="CD36" i="55"/>
  <c r="CD34" i="55"/>
  <c r="CD35" i="55"/>
  <c r="CD33" i="55"/>
  <c r="CD38" i="55"/>
  <c r="CD37" i="55"/>
  <c r="CD39" i="55"/>
  <c r="CD41" i="55"/>
  <c r="CG6" i="55" a="1"/>
  <c r="CK12" i="55" l="1"/>
  <c r="CO8" i="55"/>
  <c r="CL12" i="55"/>
  <c r="CK8" i="55"/>
  <c r="CI13" i="55"/>
  <c r="CI9" i="55"/>
  <c r="CM14" i="55"/>
  <c r="CG10" i="55"/>
  <c r="CO13" i="55"/>
  <c r="CL8" i="55"/>
  <c r="CJ12" i="55"/>
  <c r="CG7" i="55"/>
  <c r="CL9" i="55"/>
  <c r="CG13" i="55"/>
  <c r="CM7" i="55"/>
  <c r="CM11" i="55"/>
  <c r="CI6" i="55"/>
  <c r="CH9" i="55"/>
  <c r="CN7" i="55"/>
  <c r="CL10" i="55"/>
  <c r="CN9" i="55"/>
  <c r="CK9" i="55"/>
  <c r="CI10" i="55"/>
  <c r="CJ11" i="55"/>
  <c r="CO9" i="55"/>
  <c r="CJ8" i="55"/>
  <c r="CK14" i="55"/>
  <c r="CO12" i="55"/>
  <c r="CN14" i="55"/>
  <c r="CN10" i="55"/>
  <c r="CL11" i="55"/>
  <c r="CG8" i="55"/>
  <c r="CK11" i="55"/>
  <c r="CK7" i="55"/>
  <c r="CI12" i="55"/>
  <c r="CI8" i="55"/>
  <c r="CG14" i="55"/>
  <c r="CM8" i="55"/>
  <c r="CM12" i="55"/>
  <c r="CH7" i="55"/>
  <c r="CG11" i="55"/>
  <c r="CM13" i="55"/>
  <c r="CH8" i="55"/>
  <c r="CN11" i="55"/>
  <c r="CK6" i="55"/>
  <c r="CH10" i="55"/>
  <c r="CO14" i="55"/>
  <c r="CK13" i="55"/>
  <c r="CG12" i="55"/>
  <c r="CO11" i="55"/>
  <c r="CI14" i="55"/>
  <c r="CM10" i="55"/>
  <c r="CL14" i="55"/>
  <c r="CK10" i="55"/>
  <c r="CL6" i="55"/>
  <c r="CI11" i="55"/>
  <c r="CI7" i="55"/>
  <c r="CN12" i="55"/>
  <c r="CJ7" i="55"/>
  <c r="CH11" i="55"/>
  <c r="CG6" i="55"/>
  <c r="CM9" i="55"/>
  <c r="CH12" i="55"/>
  <c r="CO6" i="55"/>
  <c r="CJ10" i="55"/>
  <c r="CH14" i="55"/>
  <c r="CN8" i="55"/>
  <c r="CJ9" i="55"/>
  <c r="CO7" i="55"/>
  <c r="CN6" i="55"/>
  <c r="CM6" i="55"/>
  <c r="CJ13" i="55"/>
  <c r="CL13" i="55"/>
  <c r="CJ14" i="55"/>
  <c r="CJ6" i="55"/>
  <c r="CH6" i="55"/>
  <c r="CN13" i="55"/>
  <c r="CO10" i="55"/>
  <c r="CG9" i="55"/>
  <c r="CL7" i="55"/>
  <c r="CH13" i="55"/>
  <c r="R1012" i="42"/>
  <c r="R1010" i="42"/>
  <c r="R1008" i="42"/>
  <c r="R1006" i="42"/>
  <c r="R1004" i="42"/>
  <c r="Q1012" i="42"/>
  <c r="Q1010" i="42"/>
  <c r="Q1008" i="42"/>
  <c r="Q1006" i="42"/>
  <c r="Q1004" i="42"/>
  <c r="Q1011" i="42"/>
  <c r="Q1007" i="42"/>
  <c r="Q1009" i="42"/>
  <c r="Q1005" i="42"/>
  <c r="R1009" i="42"/>
  <c r="R1005" i="42"/>
  <c r="R1007" i="42"/>
  <c r="R1011" i="42"/>
  <c r="CD43" i="55"/>
  <c r="CG19" i="55" a="1"/>
  <c r="CM28" i="55" l="1"/>
  <c r="CL27" i="55"/>
  <c r="CK26" i="55"/>
  <c r="CJ25" i="55"/>
  <c r="CL23" i="55"/>
  <c r="CJ22" i="55"/>
  <c r="CI21" i="55"/>
  <c r="CK19" i="55"/>
  <c r="CL28" i="55"/>
  <c r="CK27" i="55"/>
  <c r="CJ26" i="55"/>
  <c r="CL24" i="55"/>
  <c r="CK23" i="55"/>
  <c r="CI22" i="55"/>
  <c r="CK20" i="55"/>
  <c r="CJ19" i="55"/>
  <c r="CJ35" i="55" s="1"/>
  <c r="CK28" i="55"/>
  <c r="CL25" i="55"/>
  <c r="CI23" i="55"/>
  <c r="CJ20" i="55"/>
  <c r="CJ28" i="55"/>
  <c r="CK25" i="55"/>
  <c r="CL22" i="55"/>
  <c r="CI20" i="55"/>
  <c r="CJ27" i="55"/>
  <c r="CK24" i="55"/>
  <c r="CK21" i="55"/>
  <c r="CI19" i="55"/>
  <c r="CJ24" i="55"/>
  <c r="CJ21" i="55"/>
  <c r="CL26" i="55"/>
  <c r="CM21" i="55"/>
  <c r="CM25" i="55"/>
  <c r="CM19" i="55"/>
  <c r="CN23" i="55"/>
  <c r="CO27" i="55"/>
  <c r="CO19" i="55"/>
  <c r="CO23" i="55"/>
  <c r="CG28" i="55"/>
  <c r="CG22" i="55"/>
  <c r="CH26" i="55"/>
  <c r="CM22" i="55"/>
  <c r="CM26" i="55"/>
  <c r="CL19" i="55"/>
  <c r="CM23" i="55"/>
  <c r="CM27" i="55"/>
  <c r="CN21" i="55"/>
  <c r="CN25" i="55"/>
  <c r="CO21" i="55"/>
  <c r="CO25" i="55"/>
  <c r="CG20" i="55"/>
  <c r="CG24" i="55"/>
  <c r="CH28" i="55"/>
  <c r="CM24" i="55"/>
  <c r="CN20" i="55"/>
  <c r="CO28" i="55"/>
  <c r="CO24" i="55"/>
  <c r="CG19" i="55"/>
  <c r="CH27" i="55"/>
  <c r="CH20" i="55"/>
  <c r="CH24" i="55"/>
  <c r="CI28" i="55"/>
  <c r="CN28" i="55"/>
  <c r="CN22" i="55"/>
  <c r="CG27" i="55"/>
  <c r="CG21" i="55"/>
  <c r="CH21" i="55"/>
  <c r="CI25" i="55"/>
  <c r="CN24" i="55"/>
  <c r="CO20" i="55"/>
  <c r="CG23" i="55"/>
  <c r="CH22" i="55"/>
  <c r="CI26" i="55"/>
  <c r="CH23" i="55"/>
  <c r="CL20" i="55"/>
  <c r="CO22" i="55"/>
  <c r="CI27" i="55"/>
  <c r="CN26" i="55"/>
  <c r="CG25" i="55"/>
  <c r="CH19" i="55"/>
  <c r="CK22" i="55"/>
  <c r="CG26" i="55"/>
  <c r="CN19" i="55"/>
  <c r="CJ23" i="55"/>
  <c r="CO26" i="55"/>
  <c r="CM20" i="55"/>
  <c r="CI24" i="55"/>
  <c r="CN27" i="55"/>
  <c r="CL21" i="55"/>
  <c r="CH25" i="55"/>
  <c r="CO33" i="55"/>
  <c r="CN37" i="55"/>
  <c r="B1017" i="42" a="1"/>
  <c r="D1017" i="42" a="1"/>
  <c r="CI39" i="55"/>
  <c r="CK36" i="55" l="1"/>
  <c r="CN33" i="55"/>
  <c r="D1024" i="42"/>
  <c r="G1024" i="42" s="1"/>
  <c r="D1020" i="42"/>
  <c r="G1020" i="42" s="1"/>
  <c r="D1023" i="42"/>
  <c r="G1023" i="42" s="1"/>
  <c r="D1019" i="42"/>
  <c r="G1019" i="42" s="1"/>
  <c r="D1022" i="42"/>
  <c r="G1022" i="42" s="1"/>
  <c r="D1021" i="42"/>
  <c r="G1021" i="42" s="1"/>
  <c r="D1018" i="42"/>
  <c r="G1018" i="42" s="1"/>
  <c r="D1017" i="42"/>
  <c r="G1017" i="42" s="1"/>
  <c r="D1025" i="42"/>
  <c r="G1025" i="42" s="1"/>
  <c r="B1024" i="42"/>
  <c r="B1020" i="42"/>
  <c r="B1023" i="42"/>
  <c r="B1019" i="42"/>
  <c r="B1018" i="42"/>
  <c r="B1025" i="42"/>
  <c r="B1017" i="42"/>
  <c r="B1022" i="42"/>
  <c r="B1021" i="42"/>
  <c r="CN38" i="55"/>
  <c r="CG34" i="55"/>
  <c r="CK33" i="55"/>
  <c r="CK39" i="55"/>
  <c r="CL35" i="55"/>
  <c r="CG41" i="55"/>
  <c r="CG36" i="55"/>
  <c r="CK41" i="55"/>
  <c r="CK40" i="55"/>
  <c r="CK34" i="55"/>
  <c r="CH41" i="55"/>
  <c r="CK37" i="55"/>
  <c r="CL40" i="55"/>
  <c r="CK35" i="55"/>
  <c r="CJ37" i="55"/>
  <c r="CO34" i="55"/>
  <c r="CO40" i="55"/>
  <c r="CJ34" i="55"/>
  <c r="CG37" i="55"/>
  <c r="CK38" i="55"/>
  <c r="CL38" i="55"/>
  <c r="CJ39" i="55"/>
  <c r="CL34" i="55"/>
  <c r="CL41" i="55"/>
  <c r="CM37" i="55"/>
  <c r="CG40" i="55"/>
  <c r="CJ33" i="55"/>
  <c r="CI37" i="55"/>
  <c r="CL36" i="55"/>
  <c r="CI34" i="55"/>
  <c r="CN36" i="55"/>
  <c r="CO36" i="55"/>
  <c r="CO38" i="55"/>
  <c r="CN34" i="55"/>
  <c r="CM41" i="55"/>
  <c r="CO39" i="55"/>
  <c r="CN39" i="55"/>
  <c r="CM40" i="55"/>
  <c r="CH37" i="55"/>
  <c r="CH34" i="55"/>
  <c r="CI40" i="55"/>
  <c r="CI33" i="55"/>
  <c r="CJ41" i="55"/>
  <c r="CH38" i="55"/>
  <c r="CH40" i="55"/>
  <c r="CM34" i="55"/>
  <c r="CM36" i="55"/>
  <c r="CI41" i="55"/>
  <c r="CH36" i="55"/>
  <c r="CH35" i="55"/>
  <c r="CM33" i="55"/>
  <c r="CM39" i="55"/>
  <c r="CM38" i="55"/>
  <c r="CH39" i="55"/>
  <c r="CH33" i="55"/>
  <c r="CM35" i="55"/>
  <c r="CG33" i="55"/>
  <c r="CJ40" i="55"/>
  <c r="CJ38" i="55"/>
  <c r="CO35" i="55"/>
  <c r="CO37" i="55"/>
  <c r="CG35" i="55"/>
  <c r="CG38" i="55"/>
  <c r="CI38" i="55"/>
  <c r="CI36" i="55"/>
  <c r="CN35" i="55"/>
  <c r="CN40" i="55"/>
  <c r="CL37" i="55"/>
  <c r="CL39" i="55"/>
  <c r="CJ36" i="55"/>
  <c r="CO41" i="55"/>
  <c r="CG39" i="55"/>
  <c r="CI35" i="55"/>
  <c r="CN41" i="55"/>
  <c r="CL33" i="55"/>
  <c r="B1030" i="42" l="1" a="1"/>
  <c r="B1038" i="42" s="1"/>
  <c r="G1038" i="42" s="1"/>
  <c r="I1018" i="42"/>
  <c r="J1018" i="42"/>
  <c r="J1023" i="42"/>
  <c r="I1023" i="42"/>
  <c r="I1017" i="42"/>
  <c r="J1017" i="42"/>
  <c r="I1021" i="42"/>
  <c r="J1021" i="42"/>
  <c r="I1020" i="42"/>
  <c r="J1020" i="42"/>
  <c r="J1019" i="42"/>
  <c r="I1019" i="42"/>
  <c r="I1025" i="42"/>
  <c r="J1025" i="42"/>
  <c r="J1022" i="42"/>
  <c r="I1022" i="42"/>
  <c r="J1024" i="42"/>
  <c r="I1024" i="42"/>
  <c r="CP36" i="55"/>
  <c r="CP34" i="55"/>
  <c r="CP35" i="55"/>
  <c r="CP33" i="55"/>
  <c r="CP39" i="55"/>
  <c r="CP37" i="55"/>
  <c r="CP38" i="55"/>
  <c r="CP41" i="55"/>
  <c r="CP40" i="55"/>
  <c r="CS6" i="55" a="1"/>
  <c r="DA14" i="55" l="1"/>
  <c r="CV11" i="55"/>
  <c r="CZ7" i="55"/>
  <c r="CX13" i="55"/>
  <c r="CW9" i="55"/>
  <c r="CW14" i="55"/>
  <c r="CU11" i="55"/>
  <c r="CU7" i="55"/>
  <c r="CT12" i="55"/>
  <c r="CS11" i="55"/>
  <c r="CS7" i="55"/>
  <c r="CY11" i="55"/>
  <c r="CX7" i="55"/>
  <c r="DA8" i="55"/>
  <c r="CZ8" i="55"/>
  <c r="CV8" i="55"/>
  <c r="CT8" i="55"/>
  <c r="CV9" i="55"/>
  <c r="CT9" i="55"/>
  <c r="CZ11" i="55"/>
  <c r="CZ9" i="55"/>
  <c r="CY8" i="55"/>
  <c r="CX10" i="55"/>
  <c r="CV12" i="55"/>
  <c r="CU13" i="55"/>
  <c r="CS8" i="55"/>
  <c r="CX8" i="55"/>
  <c r="CZ10" i="55"/>
  <c r="CT10" i="55"/>
  <c r="CT11" i="55"/>
  <c r="CY7" i="55"/>
  <c r="CS14" i="55"/>
  <c r="CW10" i="55"/>
  <c r="DA6" i="55"/>
  <c r="CX12" i="55"/>
  <c r="CW8" i="55"/>
  <c r="CV14" i="55"/>
  <c r="CU10" i="55"/>
  <c r="CU6" i="55"/>
  <c r="CT14" i="55"/>
  <c r="CS10" i="55"/>
  <c r="CY14" i="55"/>
  <c r="CY10" i="55"/>
  <c r="CX6" i="55"/>
  <c r="CZ6" i="55"/>
  <c r="CY6" i="55"/>
  <c r="CV6" i="55"/>
  <c r="CT6" i="55"/>
  <c r="CV7" i="55"/>
  <c r="CT7" i="55"/>
  <c r="DA9" i="55"/>
  <c r="CT13" i="55"/>
  <c r="CX9" i="55"/>
  <c r="CS6" i="55"/>
  <c r="CX11" i="55"/>
  <c r="CW7" i="55"/>
  <c r="CV13" i="55"/>
  <c r="CU9" i="55"/>
  <c r="CU14" i="55"/>
  <c r="CS13" i="55"/>
  <c r="CS9" i="55"/>
  <c r="CY13" i="55"/>
  <c r="CY9" i="55"/>
  <c r="CW13" i="55"/>
  <c r="DA12" i="55"/>
  <c r="CZ12" i="55"/>
  <c r="CW12" i="55"/>
  <c r="DA13" i="55"/>
  <c r="CZ13" i="55"/>
  <c r="CZ14" i="55"/>
  <c r="DA7" i="55"/>
  <c r="CU12" i="55"/>
  <c r="CX14" i="55"/>
  <c r="CW6" i="55"/>
  <c r="CU8" i="55"/>
  <c r="CS12" i="55"/>
  <c r="CY12" i="55"/>
  <c r="DA10" i="55"/>
  <c r="CV10" i="55"/>
  <c r="CW11" i="55"/>
  <c r="DA11" i="55"/>
  <c r="B1032" i="42"/>
  <c r="G1032" i="42" s="1"/>
  <c r="I1032" i="42" s="1"/>
  <c r="B1037" i="42"/>
  <c r="G1037" i="42" s="1"/>
  <c r="I1037" i="42" s="1"/>
  <c r="B1035" i="42"/>
  <c r="G1035" i="42" s="1"/>
  <c r="J1035" i="42" s="1"/>
  <c r="B1030" i="42"/>
  <c r="G1030" i="42" s="1"/>
  <c r="J1030" i="42" s="1"/>
  <c r="B1036" i="42"/>
  <c r="G1036" i="42" s="1"/>
  <c r="I1036" i="42" s="1"/>
  <c r="B1034" i="42"/>
  <c r="G1034" i="42" s="1"/>
  <c r="I1034" i="42" s="1"/>
  <c r="B1031" i="42"/>
  <c r="G1031" i="42" s="1"/>
  <c r="J1031" i="42" s="1"/>
  <c r="B1033" i="42"/>
  <c r="G1033" i="42" s="1"/>
  <c r="I1033" i="42" s="1"/>
  <c r="L1024" i="42"/>
  <c r="K1024" i="42"/>
  <c r="K1023" i="42"/>
  <c r="L1023" i="42"/>
  <c r="K1025" i="42"/>
  <c r="L1025" i="42"/>
  <c r="L1020" i="42"/>
  <c r="K1020" i="42"/>
  <c r="L1017" i="42"/>
  <c r="K1017" i="42"/>
  <c r="I1026" i="42"/>
  <c r="K1021" i="42"/>
  <c r="L1021" i="42"/>
  <c r="J1026" i="42"/>
  <c r="K1022" i="42"/>
  <c r="L1022" i="42"/>
  <c r="L1019" i="42"/>
  <c r="K1019" i="42"/>
  <c r="J1038" i="42"/>
  <c r="I1038" i="42"/>
  <c r="K1018" i="42"/>
  <c r="L1018" i="42"/>
  <c r="CP43" i="55"/>
  <c r="CS19" i="55" a="1"/>
  <c r="CT27" i="55" l="1"/>
  <c r="DA21" i="55"/>
  <c r="CT23" i="55"/>
  <c r="CZ25" i="55"/>
  <c r="CW25" i="55"/>
  <c r="CZ27" i="55"/>
  <c r="CU24" i="55"/>
  <c r="CW27" i="55"/>
  <c r="DA23" i="55"/>
  <c r="CV20" i="55"/>
  <c r="CU25" i="55"/>
  <c r="CX20" i="55"/>
  <c r="CS25" i="55"/>
  <c r="CW20" i="55"/>
  <c r="DA24" i="55"/>
  <c r="CU20" i="55"/>
  <c r="CY24" i="55"/>
  <c r="CT20" i="55"/>
  <c r="DA25" i="55"/>
  <c r="CS21" i="55"/>
  <c r="CS27" i="55"/>
  <c r="CZ21" i="55"/>
  <c r="CZ26" i="55"/>
  <c r="CY21" i="55"/>
  <c r="DA19" i="55"/>
  <c r="CT28" i="55"/>
  <c r="CX24" i="55"/>
  <c r="DA26" i="55"/>
  <c r="CV23" i="55"/>
  <c r="CX26" i="55"/>
  <c r="CS23" i="55"/>
  <c r="CW19" i="55"/>
  <c r="CZ23" i="55"/>
  <c r="CX19" i="55"/>
  <c r="CY23" i="55"/>
  <c r="CV19" i="55"/>
  <c r="CX23" i="55"/>
  <c r="CU19" i="55"/>
  <c r="CW23" i="55"/>
  <c r="CT19" i="55"/>
  <c r="CW24" i="55"/>
  <c r="CS20" i="55"/>
  <c r="CX25" i="55"/>
  <c r="CZ20" i="55"/>
  <c r="CV25" i="55"/>
  <c r="CY20" i="55"/>
  <c r="DA20" i="55"/>
  <c r="CU27" i="55"/>
  <c r="CZ28" i="55"/>
  <c r="CS26" i="55"/>
  <c r="CW22" i="55"/>
  <c r="CY25" i="55"/>
  <c r="CT22" i="55"/>
  <c r="CS28" i="55"/>
  <c r="CY22" i="55"/>
  <c r="DA27" i="55"/>
  <c r="CX22" i="55"/>
  <c r="CY27" i="55"/>
  <c r="CV22" i="55"/>
  <c r="CX27" i="55"/>
  <c r="CU22" i="55"/>
  <c r="DA28" i="55"/>
  <c r="CU23" i="55"/>
  <c r="CS19" i="55"/>
  <c r="CT24" i="55"/>
  <c r="CZ19" i="55"/>
  <c r="CS24" i="55"/>
  <c r="CY19" i="55"/>
  <c r="CV24" i="55"/>
  <c r="CV26" i="55"/>
  <c r="CY28" i="55"/>
  <c r="CT25" i="55"/>
  <c r="CV28" i="55"/>
  <c r="CZ24" i="55"/>
  <c r="CU21" i="55"/>
  <c r="CY26" i="55"/>
  <c r="CX21" i="55"/>
  <c r="CW26" i="55"/>
  <c r="CW21" i="55"/>
  <c r="CU26" i="55"/>
  <c r="CV21" i="55"/>
  <c r="CT26" i="55"/>
  <c r="CT21" i="55"/>
  <c r="CV27" i="55"/>
  <c r="CS22" i="55"/>
  <c r="CW28" i="55"/>
  <c r="DA22" i="55"/>
  <c r="CU28" i="55"/>
  <c r="CZ22" i="55"/>
  <c r="CX28" i="55"/>
  <c r="CZ33" i="55"/>
  <c r="DA35" i="55"/>
  <c r="I1035" i="42"/>
  <c r="L1035" i="42" s="1"/>
  <c r="J1034" i="42"/>
  <c r="L1034" i="42" s="1"/>
  <c r="I1031" i="42"/>
  <c r="L1031" i="42" s="1"/>
  <c r="J1037" i="42"/>
  <c r="L1037" i="42" s="1"/>
  <c r="J1032" i="42"/>
  <c r="K1032" i="42" s="1"/>
  <c r="I1030" i="42"/>
  <c r="L1030" i="42" s="1"/>
  <c r="K1026" i="42"/>
  <c r="O1018" i="42" s="1"/>
  <c r="J1036" i="42"/>
  <c r="L1036" i="42" s="1"/>
  <c r="J1033" i="42"/>
  <c r="L1033" i="42" s="1"/>
  <c r="L1038" i="42"/>
  <c r="K1038" i="42"/>
  <c r="L1026" i="42"/>
  <c r="O1017" i="42" s="1"/>
  <c r="J1039" i="42" l="1"/>
  <c r="K1035" i="42"/>
  <c r="K1034" i="42"/>
  <c r="K1036" i="42"/>
  <c r="L1032" i="42"/>
  <c r="L1039" i="42" s="1"/>
  <c r="K1037" i="42"/>
  <c r="I1039" i="42"/>
  <c r="K1031" i="42"/>
  <c r="K1030" i="42"/>
  <c r="K1033" i="42"/>
  <c r="O1019" i="42"/>
  <c r="N1022" i="42" s="1"/>
  <c r="O1021" i="42" s="1"/>
  <c r="CX37" i="55"/>
  <c r="CW34" i="55"/>
  <c r="CS38" i="55"/>
  <c r="CX38" i="55"/>
  <c r="DA34" i="55"/>
  <c r="CW40" i="55"/>
  <c r="CZ40" i="55"/>
  <c r="DA38" i="55"/>
  <c r="CW39" i="55"/>
  <c r="CU33" i="55"/>
  <c r="CS40" i="55"/>
  <c r="CZ34" i="55"/>
  <c r="DA41" i="55"/>
  <c r="CS39" i="55"/>
  <c r="DA37" i="55"/>
  <c r="CV39" i="55"/>
  <c r="CV41" i="55"/>
  <c r="CW35" i="55"/>
  <c r="CW36" i="55"/>
  <c r="CW41" i="55"/>
  <c r="CU39" i="55"/>
  <c r="CW37" i="55"/>
  <c r="CW38" i="55"/>
  <c r="CX41" i="55"/>
  <c r="CV34" i="55"/>
  <c r="CW33" i="55"/>
  <c r="CZ36" i="55"/>
  <c r="CX33" i="55"/>
  <c r="CU40" i="55"/>
  <c r="CV36" i="55"/>
  <c r="CS35" i="55"/>
  <c r="CX40" i="55"/>
  <c r="CS33" i="55"/>
  <c r="DA33" i="55"/>
  <c r="CX35" i="55"/>
  <c r="CT37" i="55"/>
  <c r="CV37" i="55"/>
  <c r="CS41" i="55"/>
  <c r="CY38" i="55"/>
  <c r="CU36" i="55"/>
  <c r="CV33" i="55"/>
  <c r="CU41" i="55"/>
  <c r="CU34" i="55"/>
  <c r="CS37" i="55"/>
  <c r="CZ37" i="55"/>
  <c r="CZ39" i="55"/>
  <c r="CU37" i="55"/>
  <c r="CS34" i="55"/>
  <c r="CU35" i="55"/>
  <c r="CZ38" i="55"/>
  <c r="CZ35" i="55"/>
  <c r="CX34" i="55"/>
  <c r="CV35" i="55"/>
  <c r="CV40" i="55"/>
  <c r="CS36" i="55"/>
  <c r="DA40" i="55"/>
  <c r="CU38" i="55"/>
  <c r="CZ41" i="55"/>
  <c r="CX36" i="55"/>
  <c r="CX39" i="55"/>
  <c r="CV38" i="55"/>
  <c r="DA36" i="55"/>
  <c r="DA39" i="55"/>
  <c r="CY36" i="55"/>
  <c r="CT33" i="55"/>
  <c r="CT40" i="55"/>
  <c r="CT34" i="55"/>
  <c r="CY35" i="55"/>
  <c r="CY39" i="55"/>
  <c r="CT35" i="55"/>
  <c r="CT36" i="55"/>
  <c r="CT39" i="55"/>
  <c r="CY34" i="55"/>
  <c r="CY37" i="55"/>
  <c r="CT38" i="55"/>
  <c r="CY33" i="55"/>
  <c r="CY41" i="55"/>
  <c r="CY40" i="55"/>
  <c r="CT41" i="55"/>
  <c r="K1039" i="42" l="1"/>
  <c r="O1031" i="42" s="1"/>
  <c r="O1030" i="42"/>
  <c r="N1021" i="42"/>
  <c r="O1022" i="42" s="1"/>
  <c r="Q1017" i="42" s="1" a="1"/>
  <c r="DB35" i="55"/>
  <c r="DB37" i="55"/>
  <c r="DB38" i="55"/>
  <c r="DB39" i="55"/>
  <c r="DB34" i="55"/>
  <c r="DB33" i="55"/>
  <c r="DB40" i="55"/>
  <c r="DB41" i="55"/>
  <c r="DB36" i="55"/>
  <c r="DE6" i="55" a="1"/>
  <c r="DE12" i="55" l="1"/>
  <c r="DI8" i="55"/>
  <c r="DJ13" i="55"/>
  <c r="DJ9" i="55"/>
  <c r="DI14" i="55"/>
  <c r="DI10" i="55"/>
  <c r="DH6" i="55"/>
  <c r="DH11" i="55"/>
  <c r="DG7" i="55"/>
  <c r="DG12" i="55"/>
  <c r="DF8" i="55"/>
  <c r="DF13" i="55"/>
  <c r="DE9" i="55"/>
  <c r="DL14" i="55"/>
  <c r="DK10" i="55"/>
  <c r="DJ6" i="55"/>
  <c r="DL7" i="55"/>
  <c r="DL10" i="55"/>
  <c r="DL12" i="55"/>
  <c r="DL9" i="55"/>
  <c r="DK14" i="55"/>
  <c r="DF11" i="55"/>
  <c r="DJ7" i="55"/>
  <c r="DJ12" i="55"/>
  <c r="DJ8" i="55"/>
  <c r="DI13" i="55"/>
  <c r="DI9" i="55"/>
  <c r="DH14" i="55"/>
  <c r="DH10" i="55"/>
  <c r="DG6" i="55"/>
  <c r="DG11" i="55"/>
  <c r="DF7" i="55"/>
  <c r="DF12" i="55"/>
  <c r="DE8" i="55"/>
  <c r="DK13" i="55"/>
  <c r="DK9" i="55"/>
  <c r="DM11" i="55"/>
  <c r="DM10" i="55"/>
  <c r="DL6" i="55"/>
  <c r="DL8" i="55"/>
  <c r="DM13" i="55"/>
  <c r="DL13" i="55"/>
  <c r="DG10" i="55"/>
  <c r="DK6" i="55"/>
  <c r="DJ11" i="55"/>
  <c r="DI7" i="55"/>
  <c r="DI12" i="55"/>
  <c r="DH8" i="55"/>
  <c r="DH13" i="55"/>
  <c r="DG9" i="55"/>
  <c r="DG14" i="55"/>
  <c r="DF10" i="55"/>
  <c r="DF6" i="55"/>
  <c r="DE11" i="55"/>
  <c r="DE7" i="55"/>
  <c r="DK12" i="55"/>
  <c r="DK8" i="55"/>
  <c r="DM7" i="55"/>
  <c r="DM6" i="55"/>
  <c r="DE13" i="55"/>
  <c r="DE14" i="55"/>
  <c r="DJ10" i="55"/>
  <c r="DH12" i="55"/>
  <c r="DF14" i="55"/>
  <c r="DK7" i="55"/>
  <c r="DM9" i="55"/>
  <c r="DH7" i="55"/>
  <c r="DK11" i="55"/>
  <c r="DM12" i="55"/>
  <c r="DI6" i="55"/>
  <c r="DG8" i="55"/>
  <c r="DE10" i="55"/>
  <c r="DL11" i="55"/>
  <c r="DH9" i="55"/>
  <c r="DI11" i="55"/>
  <c r="DG13" i="55"/>
  <c r="DE6" i="55"/>
  <c r="DM14" i="55"/>
  <c r="DJ14" i="55"/>
  <c r="DF9" i="55"/>
  <c r="DM8" i="55"/>
  <c r="O1032" i="42"/>
  <c r="N1035" i="42" s="1"/>
  <c r="O1034" i="42" s="1"/>
  <c r="Q1024" i="42"/>
  <c r="Q1022" i="42"/>
  <c r="Q1020" i="42"/>
  <c r="Q1018" i="42"/>
  <c r="R1025" i="42"/>
  <c r="R1023" i="42"/>
  <c r="R1021" i="42"/>
  <c r="R1019" i="42"/>
  <c r="R1017" i="42"/>
  <c r="Q1023" i="42"/>
  <c r="Q1019" i="42"/>
  <c r="Q1025" i="42"/>
  <c r="Q1021" i="42"/>
  <c r="Q1017" i="42"/>
  <c r="R1022" i="42"/>
  <c r="R1018" i="42"/>
  <c r="R1024" i="42"/>
  <c r="R1020" i="42"/>
  <c r="DB43" i="55"/>
  <c r="DE19" i="55" a="1"/>
  <c r="DL26" i="55" l="1"/>
  <c r="DF23" i="55"/>
  <c r="DG20" i="55"/>
  <c r="DG27" i="55"/>
  <c r="DI23" i="55"/>
  <c r="DE19" i="55"/>
  <c r="DG23" i="55"/>
  <c r="DI20" i="55"/>
  <c r="DG25" i="55"/>
  <c r="DM27" i="55"/>
  <c r="DI26" i="55"/>
  <c r="DF20" i="55"/>
  <c r="DL22" i="55"/>
  <c r="DM25" i="55"/>
  <c r="DK19" i="55"/>
  <c r="DH22" i="55"/>
  <c r="DI25" i="55"/>
  <c r="DH19" i="55"/>
  <c r="DL28" i="55"/>
  <c r="DK24" i="55"/>
  <c r="DF26" i="55"/>
  <c r="DJ24" i="55"/>
  <c r="DG28" i="55"/>
  <c r="DH21" i="55"/>
  <c r="DE24" i="55"/>
  <c r="DK27" i="55"/>
  <c r="DE21" i="55"/>
  <c r="DK23" i="55"/>
  <c r="DE22" i="55"/>
  <c r="DJ20" i="55"/>
  <c r="DM21" i="55"/>
  <c r="DH24" i="55"/>
  <c r="DM22" i="55"/>
  <c r="DH26" i="55"/>
  <c r="DM19" i="55"/>
  <c r="DJ22" i="55"/>
  <c r="DJ25" i="55"/>
  <c r="DJ19" i="55"/>
  <c r="DG22" i="55"/>
  <c r="DE27" i="55"/>
  <c r="DK21" i="55"/>
  <c r="DJ28" i="55"/>
  <c r="DF21" i="55"/>
  <c r="DG19" i="55"/>
  <c r="DE25" i="55"/>
  <c r="DI21" i="55"/>
  <c r="DL23" i="55"/>
  <c r="DF24" i="55"/>
  <c r="DH27" i="55"/>
  <c r="DF28" i="55"/>
  <c r="DL20" i="55"/>
  <c r="DK28" i="55"/>
  <c r="DE20" i="55"/>
  <c r="DJ23" i="55"/>
  <c r="DF27" i="55"/>
  <c r="DM20" i="55"/>
  <c r="DI24" i="55"/>
  <c r="DE28" i="55"/>
  <c r="DL21" i="55"/>
  <c r="DH25" i="55"/>
  <c r="DM28" i="55"/>
  <c r="DF19" i="55"/>
  <c r="DK22" i="55"/>
  <c r="DG26" i="55"/>
  <c r="DH20" i="55"/>
  <c r="DM23" i="55"/>
  <c r="DI27" i="55"/>
  <c r="DJ27" i="55"/>
  <c r="DK20" i="55"/>
  <c r="DG24" i="55"/>
  <c r="DL27" i="55"/>
  <c r="DG21" i="55"/>
  <c r="DL24" i="55"/>
  <c r="DH28" i="55"/>
  <c r="DM24" i="55"/>
  <c r="DI28" i="55"/>
  <c r="DJ21" i="55"/>
  <c r="DF25" i="55"/>
  <c r="DF22" i="55"/>
  <c r="DK25" i="55"/>
  <c r="DK38" i="55" s="1"/>
  <c r="DL25" i="55"/>
  <c r="DI22" i="55"/>
  <c r="DE26" i="55"/>
  <c r="DI19" i="55"/>
  <c r="DE23" i="55"/>
  <c r="DJ26" i="55"/>
  <c r="DK26" i="55"/>
  <c r="DL19" i="55"/>
  <c r="DH23" i="55"/>
  <c r="DM26" i="55"/>
  <c r="DF36" i="55"/>
  <c r="DM35" i="55"/>
  <c r="N1034" i="42"/>
  <c r="O1035" i="42" s="1"/>
  <c r="Q1030" i="42" s="1" a="1"/>
  <c r="R1033" i="42" s="1"/>
  <c r="C1030" i="42" a="1"/>
  <c r="C1035" i="42" s="1"/>
  <c r="D1030" i="42" a="1"/>
  <c r="DL33" i="55"/>
  <c r="R1034" i="42" l="1"/>
  <c r="R1030" i="42"/>
  <c r="R1038" i="42"/>
  <c r="Q1036" i="42"/>
  <c r="R1035" i="42"/>
  <c r="Q1032" i="42"/>
  <c r="R1037" i="42"/>
  <c r="R1036" i="42"/>
  <c r="Q1031" i="42"/>
  <c r="Q1030" i="42"/>
  <c r="Q1033" i="42"/>
  <c r="Q1038" i="42"/>
  <c r="Q1037" i="42"/>
  <c r="Q1034" i="42"/>
  <c r="Q1035" i="42"/>
  <c r="R1032" i="42"/>
  <c r="R1031" i="42"/>
  <c r="C1037" i="42"/>
  <c r="C1034" i="42"/>
  <c r="C1036" i="42"/>
  <c r="C1038" i="42"/>
  <c r="C1031" i="42"/>
  <c r="C1030" i="42"/>
  <c r="C1032" i="42"/>
  <c r="C1033" i="42"/>
  <c r="D1038" i="42"/>
  <c r="D1034" i="42"/>
  <c r="D1030" i="42"/>
  <c r="D1037" i="42"/>
  <c r="D1033" i="42"/>
  <c r="D1032" i="42"/>
  <c r="D1036" i="42"/>
  <c r="D1031" i="42"/>
  <c r="D1035" i="42"/>
  <c r="DI33" i="55"/>
  <c r="DH37" i="55"/>
  <c r="DF34" i="55"/>
  <c r="DI37" i="55"/>
  <c r="DI41" i="55"/>
  <c r="DH36" i="55"/>
  <c r="DH38" i="55"/>
  <c r="DH41" i="55"/>
  <c r="DH39" i="55"/>
  <c r="DH40" i="55"/>
  <c r="DH35" i="55"/>
  <c r="DF39" i="55"/>
  <c r="DI38" i="55"/>
  <c r="DI40" i="55"/>
  <c r="DE33" i="55"/>
  <c r="DH33" i="55"/>
  <c r="DH34" i="55"/>
  <c r="DL37" i="55"/>
  <c r="DI39" i="55"/>
  <c r="DI34" i="55"/>
  <c r="DI36" i="55"/>
  <c r="DL41" i="55"/>
  <c r="DL40" i="55"/>
  <c r="DM36" i="55"/>
  <c r="DK39" i="55"/>
  <c r="DL34" i="55"/>
  <c r="DM40" i="55"/>
  <c r="DM39" i="55"/>
  <c r="DF40" i="55"/>
  <c r="DJ41" i="55"/>
  <c r="DJ33" i="55"/>
  <c r="DI35" i="55"/>
  <c r="DJ35" i="55"/>
  <c r="DF37" i="55"/>
  <c r="DE37" i="55"/>
  <c r="DK34" i="55"/>
  <c r="DK41" i="55"/>
  <c r="DG41" i="55"/>
  <c r="DG33" i="55"/>
  <c r="DG38" i="55"/>
  <c r="DG35" i="55"/>
  <c r="DG36" i="55"/>
  <c r="DJ39" i="55"/>
  <c r="DF41" i="55"/>
  <c r="DE35" i="55"/>
  <c r="DL35" i="55"/>
  <c r="DE36" i="55"/>
  <c r="DM41" i="55"/>
  <c r="DK33" i="55"/>
  <c r="DJ34" i="55"/>
  <c r="DJ37" i="55"/>
  <c r="DK36" i="55"/>
  <c r="DJ40" i="55"/>
  <c r="DL36" i="55"/>
  <c r="DK35" i="55"/>
  <c r="DM34" i="55"/>
  <c r="DG34" i="55"/>
  <c r="DF33" i="55"/>
  <c r="DG37" i="55"/>
  <c r="DG39" i="55"/>
  <c r="DE41" i="55"/>
  <c r="DE40" i="55"/>
  <c r="DG40" i="55"/>
  <c r="DJ36" i="55"/>
  <c r="DE38" i="55"/>
  <c r="DL38" i="55"/>
  <c r="DL39" i="55"/>
  <c r="DM38" i="55"/>
  <c r="DJ38" i="55"/>
  <c r="DE39" i="55"/>
  <c r="DK40" i="55"/>
  <c r="DM33" i="55"/>
  <c r="DE34" i="55"/>
  <c r="DM37" i="55"/>
  <c r="DK37" i="55"/>
  <c r="DF35" i="55"/>
  <c r="DF38" i="55"/>
  <c r="B1043" i="42" l="1" a="1"/>
  <c r="B1047" i="42" s="1"/>
  <c r="A1043" i="42" a="1"/>
  <c r="A1050" i="42" s="1"/>
  <c r="F1050" i="42" s="1"/>
  <c r="C1043" i="42" a="1"/>
  <c r="C1050" i="42" s="1"/>
  <c r="G1050" i="42" s="1"/>
  <c r="D1043" i="42" a="1"/>
  <c r="DN36" i="55"/>
  <c r="DN39" i="55"/>
  <c r="DN34" i="55"/>
  <c r="DN41" i="55"/>
  <c r="DN40" i="55"/>
  <c r="DN37" i="55"/>
  <c r="DN38" i="55"/>
  <c r="DN33" i="55"/>
  <c r="DN35" i="55"/>
  <c r="DQ6" i="55" a="1"/>
  <c r="DX11" i="55" l="1"/>
  <c r="DS8" i="55"/>
  <c r="DW13" i="55"/>
  <c r="DV9" i="55"/>
  <c r="DV14" i="55"/>
  <c r="DU10" i="55"/>
  <c r="DT6" i="55"/>
  <c r="DT11" i="55"/>
  <c r="DS7" i="55"/>
  <c r="DS12" i="55"/>
  <c r="DR8" i="55"/>
  <c r="DR13" i="55"/>
  <c r="DQ9" i="55"/>
  <c r="DX14" i="55"/>
  <c r="DW10" i="55"/>
  <c r="DW6" i="55"/>
  <c r="DX10" i="55"/>
  <c r="DY13" i="55"/>
  <c r="DY11" i="55"/>
  <c r="DY8" i="55"/>
  <c r="DU14" i="55"/>
  <c r="DY10" i="55"/>
  <c r="DT7" i="55"/>
  <c r="DV12" i="55"/>
  <c r="DV8" i="55"/>
  <c r="DU13" i="55"/>
  <c r="DU9" i="55"/>
  <c r="DT14" i="55"/>
  <c r="DT10" i="55"/>
  <c r="DS6" i="55"/>
  <c r="DS11" i="55"/>
  <c r="DR7" i="55"/>
  <c r="DR12" i="55"/>
  <c r="DQ8" i="55"/>
  <c r="DX13" i="55"/>
  <c r="DW9" i="55"/>
  <c r="DQ11" i="55"/>
  <c r="DX6" i="55"/>
  <c r="DX9" i="55"/>
  <c r="DX7" i="55"/>
  <c r="DX8" i="55"/>
  <c r="DV13" i="55"/>
  <c r="DQ10" i="55"/>
  <c r="DU6" i="55"/>
  <c r="DV11" i="55"/>
  <c r="DV7" i="55"/>
  <c r="DU12" i="55"/>
  <c r="DU8" i="55"/>
  <c r="DT13" i="55"/>
  <c r="DT9" i="55"/>
  <c r="DS14" i="55"/>
  <c r="DS10" i="55"/>
  <c r="DR6" i="55"/>
  <c r="DR11" i="55"/>
  <c r="DQ7" i="55"/>
  <c r="DX12" i="55"/>
  <c r="DW8" i="55"/>
  <c r="DY6" i="55"/>
  <c r="DQ14" i="55"/>
  <c r="DQ12" i="55"/>
  <c r="DQ13" i="55"/>
  <c r="DV10" i="55"/>
  <c r="DT12" i="55"/>
  <c r="DR14" i="55"/>
  <c r="DW7" i="55"/>
  <c r="DY12" i="55"/>
  <c r="DW14" i="55"/>
  <c r="DS9" i="55"/>
  <c r="DY7" i="55"/>
  <c r="DW12" i="55"/>
  <c r="DV6" i="55"/>
  <c r="DT8" i="55"/>
  <c r="DR10" i="55"/>
  <c r="DY14" i="55"/>
  <c r="DR9" i="55"/>
  <c r="DU11" i="55"/>
  <c r="DS13" i="55"/>
  <c r="DQ6" i="55"/>
  <c r="DY9" i="55"/>
  <c r="DU7" i="55"/>
  <c r="DW11" i="55"/>
  <c r="B1046" i="42"/>
  <c r="B1051" i="42"/>
  <c r="B1049" i="42"/>
  <c r="B1043" i="42"/>
  <c r="B1048" i="42"/>
  <c r="B1044" i="42"/>
  <c r="B1045" i="42"/>
  <c r="B1050" i="42"/>
  <c r="A1047" i="42"/>
  <c r="F1047" i="42" s="1"/>
  <c r="A1046" i="42"/>
  <c r="F1046" i="42" s="1"/>
  <c r="A1049" i="42"/>
  <c r="F1049" i="42" s="1"/>
  <c r="A1045" i="42"/>
  <c r="F1045" i="42" s="1"/>
  <c r="A1051" i="42"/>
  <c r="F1051" i="42" s="1"/>
  <c r="A1044" i="42"/>
  <c r="F1044" i="42" s="1"/>
  <c r="A1043" i="42"/>
  <c r="F1043" i="42" s="1"/>
  <c r="A1048" i="42"/>
  <c r="F1048" i="42" s="1"/>
  <c r="C1043" i="42"/>
  <c r="G1043" i="42" s="1"/>
  <c r="C1051" i="42"/>
  <c r="G1051" i="42" s="1"/>
  <c r="I1050" i="42"/>
  <c r="J1050" i="42"/>
  <c r="C1044" i="42"/>
  <c r="G1044" i="42" s="1"/>
  <c r="C1045" i="42"/>
  <c r="G1045" i="42" s="1"/>
  <c r="C1047" i="42"/>
  <c r="G1047" i="42" s="1"/>
  <c r="C1049" i="42"/>
  <c r="G1049" i="42" s="1"/>
  <c r="C1046" i="42"/>
  <c r="G1046" i="42" s="1"/>
  <c r="C1048" i="42"/>
  <c r="G1048" i="42" s="1"/>
  <c r="DN43" i="55"/>
  <c r="D1048" i="42"/>
  <c r="D1044" i="42"/>
  <c r="D1051" i="42"/>
  <c r="D1047" i="42"/>
  <c r="D1043" i="42"/>
  <c r="D1045" i="42"/>
  <c r="D1049" i="42"/>
  <c r="D1050" i="42"/>
  <c r="D1046" i="42"/>
  <c r="DQ19" i="55" a="1"/>
  <c r="DU26" i="55" l="1"/>
  <c r="DW24" i="55"/>
  <c r="DY22" i="55"/>
  <c r="DR21" i="55"/>
  <c r="DS28" i="55"/>
  <c r="DT19" i="55"/>
  <c r="DV26" i="55"/>
  <c r="DQ23" i="55"/>
  <c r="DU19" i="55"/>
  <c r="DU25" i="55"/>
  <c r="DY21" i="55"/>
  <c r="DY28" i="55"/>
  <c r="DT25" i="55"/>
  <c r="DX21" i="55"/>
  <c r="DV28" i="55"/>
  <c r="DQ25" i="55"/>
  <c r="DU21" i="55"/>
  <c r="DU22" i="55"/>
  <c r="DX20" i="55"/>
  <c r="DY27" i="55"/>
  <c r="DR23" i="55"/>
  <c r="DT23" i="55"/>
  <c r="DS25" i="55"/>
  <c r="DV25" i="55"/>
  <c r="DS22" i="55"/>
  <c r="DW25" i="55"/>
  <c r="DR22" i="55"/>
  <c r="DR28" i="55"/>
  <c r="DV24" i="55"/>
  <c r="DQ21" i="55"/>
  <c r="DQ28" i="55"/>
  <c r="DU24" i="55"/>
  <c r="DY20" i="55"/>
  <c r="DW27" i="55"/>
  <c r="DR24" i="55"/>
  <c r="DV20" i="55"/>
  <c r="DS24" i="55"/>
  <c r="DV22" i="55"/>
  <c r="DY24" i="55"/>
  <c r="DR25" i="55"/>
  <c r="DY19" i="55"/>
  <c r="DQ27" i="55"/>
  <c r="DS20" i="55"/>
  <c r="DT27" i="55"/>
  <c r="DQ24" i="55"/>
  <c r="DT28" i="55"/>
  <c r="DX24" i="55"/>
  <c r="DS21" i="55"/>
  <c r="DS27" i="55"/>
  <c r="DW23" i="55"/>
  <c r="DR20" i="55"/>
  <c r="DR27" i="55"/>
  <c r="DV23" i="55"/>
  <c r="DQ20" i="55"/>
  <c r="DX26" i="55"/>
  <c r="DS23" i="55"/>
  <c r="DW19" i="55"/>
  <c r="DQ26" i="55"/>
  <c r="DT24" i="55"/>
  <c r="DV19" i="55"/>
  <c r="DW26" i="55"/>
  <c r="DX19" i="55"/>
  <c r="DY26" i="55"/>
  <c r="DW21" i="55"/>
  <c r="DX28" i="55"/>
  <c r="DQ22" i="55"/>
  <c r="DX25" i="55"/>
  <c r="DU27" i="55"/>
  <c r="DY23" i="55"/>
  <c r="DT20" i="55"/>
  <c r="DT26" i="55"/>
  <c r="DX22" i="55"/>
  <c r="DS19" i="55"/>
  <c r="DS26" i="55"/>
  <c r="DW22" i="55"/>
  <c r="DR19" i="55"/>
  <c r="DY25" i="55"/>
  <c r="DT22" i="55"/>
  <c r="DW20" i="55"/>
  <c r="DX27" i="55"/>
  <c r="DQ19" i="55"/>
  <c r="DR26" i="55"/>
  <c r="DT21" i="55"/>
  <c r="DU28" i="55"/>
  <c r="DV21" i="55"/>
  <c r="DW28" i="55"/>
  <c r="DU23" i="55"/>
  <c r="DX23" i="55"/>
  <c r="DU20" i="55"/>
  <c r="DV27" i="55"/>
  <c r="B1056" i="42" a="1"/>
  <c r="B1062" i="42" s="1"/>
  <c r="DX40" i="55"/>
  <c r="DY35" i="55"/>
  <c r="J1043" i="42"/>
  <c r="I1044" i="42"/>
  <c r="B1053" i="42"/>
  <c r="J1049" i="42"/>
  <c r="J1048" i="42"/>
  <c r="J1046" i="42"/>
  <c r="J1045" i="42"/>
  <c r="I1047" i="42"/>
  <c r="J1051" i="42"/>
  <c r="I1048" i="42"/>
  <c r="I1043" i="42"/>
  <c r="K1050" i="42"/>
  <c r="I1051" i="42"/>
  <c r="I1045" i="42"/>
  <c r="L1050" i="42"/>
  <c r="I1049" i="42"/>
  <c r="J1047" i="42"/>
  <c r="I1046" i="42"/>
  <c r="J1044" i="42"/>
  <c r="D1056" i="42" a="1"/>
  <c r="B1060" i="42" l="1"/>
  <c r="B1064" i="42"/>
  <c r="B1061" i="42"/>
  <c r="B1063" i="42"/>
  <c r="B1058" i="42"/>
  <c r="B1057" i="42"/>
  <c r="B1056" i="42"/>
  <c r="B1059" i="42"/>
  <c r="J1052" i="42"/>
  <c r="DR40" i="55"/>
  <c r="I1052" i="42"/>
  <c r="L1049" i="42"/>
  <c r="L1044" i="42"/>
  <c r="L1047" i="42"/>
  <c r="L1048" i="42"/>
  <c r="K1048" i="42"/>
  <c r="L1045" i="42"/>
  <c r="K1051" i="42"/>
  <c r="L1043" i="42"/>
  <c r="K1043" i="42"/>
  <c r="K1045" i="42"/>
  <c r="L1051" i="42"/>
  <c r="K1044" i="42"/>
  <c r="K1049" i="42"/>
  <c r="DV33" i="55"/>
  <c r="K1047" i="42"/>
  <c r="K1046" i="42"/>
  <c r="L1046" i="42"/>
  <c r="DY34" i="55"/>
  <c r="DY41" i="55"/>
  <c r="DR35" i="55"/>
  <c r="DT35" i="55"/>
  <c r="DU39" i="55"/>
  <c r="DT38" i="55"/>
  <c r="DT36" i="55"/>
  <c r="DR34" i="55"/>
  <c r="DR33" i="55"/>
  <c r="DU36" i="55"/>
  <c r="DQ40" i="55"/>
  <c r="DS33" i="55"/>
  <c r="DT40" i="55"/>
  <c r="DW37" i="55"/>
  <c r="DR41" i="55"/>
  <c r="DR37" i="55"/>
  <c r="DX39" i="55"/>
  <c r="DR38" i="55"/>
  <c r="DX41" i="55"/>
  <c r="D1062" i="42"/>
  <c r="G1062" i="42" s="1"/>
  <c r="D1058" i="42"/>
  <c r="G1058" i="42" s="1"/>
  <c r="D1061" i="42"/>
  <c r="G1061" i="42" s="1"/>
  <c r="D1057" i="42"/>
  <c r="G1057" i="42" s="1"/>
  <c r="D1059" i="42"/>
  <c r="G1059" i="42" s="1"/>
  <c r="D1064" i="42"/>
  <c r="G1064" i="42" s="1"/>
  <c r="D1056" i="42"/>
  <c r="G1056" i="42" s="1"/>
  <c r="D1063" i="42"/>
  <c r="G1063" i="42" s="1"/>
  <c r="D1060" i="42"/>
  <c r="G1060" i="42" s="1"/>
  <c r="DT33" i="55"/>
  <c r="DU33" i="55"/>
  <c r="DW40" i="55"/>
  <c r="DU40" i="55"/>
  <c r="DW34" i="55"/>
  <c r="DR36" i="55"/>
  <c r="DR39" i="55"/>
  <c r="DS37" i="55"/>
  <c r="DX36" i="55"/>
  <c r="DV39" i="55"/>
  <c r="DY39" i="55"/>
  <c r="DX35" i="55"/>
  <c r="DY37" i="55"/>
  <c r="DS36" i="55"/>
  <c r="DX34" i="55"/>
  <c r="DS40" i="55"/>
  <c r="DS39" i="55"/>
  <c r="DY33" i="55"/>
  <c r="DX37" i="55"/>
  <c r="DS38" i="55"/>
  <c r="DY38" i="55"/>
  <c r="DY36" i="55"/>
  <c r="DV34" i="55"/>
  <c r="DV41" i="55"/>
  <c r="DV38" i="55"/>
  <c r="DV40" i="55"/>
  <c r="DV37" i="55"/>
  <c r="DV35" i="55"/>
  <c r="DV36" i="55"/>
  <c r="DS34" i="55"/>
  <c r="DX38" i="55"/>
  <c r="DX33" i="55"/>
  <c r="DQ34" i="55"/>
  <c r="DQ37" i="55"/>
  <c r="DQ38" i="55"/>
  <c r="DQ39" i="55"/>
  <c r="DQ33" i="55"/>
  <c r="DQ35" i="55"/>
  <c r="DQ41" i="55"/>
  <c r="DQ36" i="55"/>
  <c r="DS41" i="55"/>
  <c r="DS35" i="55"/>
  <c r="DY40" i="55"/>
  <c r="DT41" i="55"/>
  <c r="DT39" i="55"/>
  <c r="DT34" i="55"/>
  <c r="DT37" i="55"/>
  <c r="DW41" i="55"/>
  <c r="DW36" i="55"/>
  <c r="DW38" i="55"/>
  <c r="DW39" i="55"/>
  <c r="DW35" i="55"/>
  <c r="DW33" i="55"/>
  <c r="DU41" i="55"/>
  <c r="DU37" i="55"/>
  <c r="DU38" i="55"/>
  <c r="DU35" i="55"/>
  <c r="DU34" i="55"/>
  <c r="B1069" i="42" l="1" a="1"/>
  <c r="B1072" i="42" s="1"/>
  <c r="F1072" i="42" s="1"/>
  <c r="K1052" i="42"/>
  <c r="O1044" i="42" s="1"/>
  <c r="L1052" i="42"/>
  <c r="O1043" i="42" s="1"/>
  <c r="DZ36" i="55"/>
  <c r="DZ37" i="55"/>
  <c r="DZ35" i="55"/>
  <c r="DZ40" i="55"/>
  <c r="DZ39" i="55"/>
  <c r="DZ41" i="55"/>
  <c r="DZ38" i="55"/>
  <c r="DZ33" i="55"/>
  <c r="DZ34" i="55"/>
  <c r="EC6" i="55" a="1"/>
  <c r="EG12" i="55" l="1"/>
  <c r="EK8" i="55"/>
  <c r="EI14" i="55"/>
  <c r="EH10" i="55"/>
  <c r="EH6" i="55"/>
  <c r="EG11" i="55"/>
  <c r="EG7" i="55"/>
  <c r="EF12" i="55"/>
  <c r="EF8" i="55"/>
  <c r="EE13" i="55"/>
  <c r="EE9" i="55"/>
  <c r="ED14" i="55"/>
  <c r="ED10" i="55"/>
  <c r="EC6" i="55"/>
  <c r="EJ11" i="55"/>
  <c r="EI7" i="55"/>
  <c r="EK13" i="55"/>
  <c r="EK12" i="55"/>
  <c r="EK14" i="55"/>
  <c r="EK7" i="55"/>
  <c r="EH11" i="55"/>
  <c r="EC8" i="55"/>
  <c r="EI13" i="55"/>
  <c r="EH9" i="55"/>
  <c r="EH14" i="55"/>
  <c r="EG10" i="55"/>
  <c r="EG6" i="55"/>
  <c r="EF11" i="55"/>
  <c r="EF7" i="55"/>
  <c r="EE12" i="55"/>
  <c r="EE8" i="55"/>
  <c r="ED13" i="55"/>
  <c r="ED9" i="55"/>
  <c r="EJ14" i="55"/>
  <c r="EJ10" i="55"/>
  <c r="EI6" i="55"/>
  <c r="EK9" i="55"/>
  <c r="EJ8" i="55"/>
  <c r="EK10" i="55"/>
  <c r="EJ7" i="55"/>
  <c r="EE14" i="55"/>
  <c r="EI10" i="55"/>
  <c r="ED7" i="55"/>
  <c r="EI12" i="55"/>
  <c r="EH8" i="55"/>
  <c r="EH13" i="55"/>
  <c r="EG9" i="55"/>
  <c r="EG14" i="55"/>
  <c r="EF10" i="55"/>
  <c r="EF6" i="55"/>
  <c r="EE11" i="55"/>
  <c r="EE7" i="55"/>
  <c r="ED12" i="55"/>
  <c r="ED8" i="55"/>
  <c r="EJ13" i="55"/>
  <c r="EI9" i="55"/>
  <c r="EC14" i="55"/>
  <c r="EC13" i="55"/>
  <c r="EC11" i="55"/>
  <c r="EJ6" i="55"/>
  <c r="EK11" i="55"/>
  <c r="EI11" i="55"/>
  <c r="EG13" i="55"/>
  <c r="ED6" i="55"/>
  <c r="EI8" i="55"/>
  <c r="EC12" i="55"/>
  <c r="EE6" i="55"/>
  <c r="EE10" i="55"/>
  <c r="EK6" i="55"/>
  <c r="EF13" i="55"/>
  <c r="EH7" i="55"/>
  <c r="EF9" i="55"/>
  <c r="ED11" i="55"/>
  <c r="EC10" i="55"/>
  <c r="EJ9" i="55"/>
  <c r="EH12" i="55"/>
  <c r="EF14" i="55"/>
  <c r="EC7" i="55"/>
  <c r="EC9" i="55"/>
  <c r="EG8" i="55"/>
  <c r="EJ12" i="55"/>
  <c r="B1070" i="42"/>
  <c r="F1070" i="42" s="1"/>
  <c r="B1073" i="42"/>
  <c r="F1073" i="42" s="1"/>
  <c r="B1069" i="42"/>
  <c r="F1069" i="42" s="1"/>
  <c r="B1074" i="42"/>
  <c r="F1074" i="42" s="1"/>
  <c r="B1077" i="42"/>
  <c r="F1077" i="42" s="1"/>
  <c r="B1071" i="42"/>
  <c r="F1071" i="42" s="1"/>
  <c r="B1076" i="42"/>
  <c r="F1076" i="42" s="1"/>
  <c r="B1075" i="42"/>
  <c r="F1075" i="42" s="1"/>
  <c r="O1045" i="42"/>
  <c r="N1048" i="42" s="1"/>
  <c r="O1047" i="42" s="1"/>
  <c r="DZ43" i="55"/>
  <c r="EC19" i="55" a="1"/>
  <c r="EF28" i="55" l="1"/>
  <c r="EJ28" i="55"/>
  <c r="EH26" i="55"/>
  <c r="EH24" i="55"/>
  <c r="EH22" i="55"/>
  <c r="EG20" i="55"/>
  <c r="EH27" i="55"/>
  <c r="EI25" i="55"/>
  <c r="EI23" i="55"/>
  <c r="EI21" i="55"/>
  <c r="EG19" i="55"/>
  <c r="EG25" i="55"/>
  <c r="EE21" i="55"/>
  <c r="EE25" i="55"/>
  <c r="EC21" i="55"/>
  <c r="EG27" i="55"/>
  <c r="EG23" i="55"/>
  <c r="EE19" i="55"/>
  <c r="EC23" i="55"/>
  <c r="EC19" i="55"/>
  <c r="EE27" i="55"/>
  <c r="EK19" i="55"/>
  <c r="EK27" i="55"/>
  <c r="EC24" i="55"/>
  <c r="EF26" i="55"/>
  <c r="EK23" i="55"/>
  <c r="ED20" i="55"/>
  <c r="ED28" i="55"/>
  <c r="EE22" i="55"/>
  <c r="EI26" i="55"/>
  <c r="EH19" i="55"/>
  <c r="EC27" i="55"/>
  <c r="ED22" i="55"/>
  <c r="EK24" i="55"/>
  <c r="EJ20" i="55"/>
  <c r="EK21" i="55"/>
  <c r="ED26" i="55"/>
  <c r="EF20" i="55"/>
  <c r="EK28" i="55"/>
  <c r="ED23" i="55"/>
  <c r="EJ22" i="55"/>
  <c r="EJ24" i="55"/>
  <c r="EJ25" i="55"/>
  <c r="EF24" i="55"/>
  <c r="EG28" i="55"/>
  <c r="EF21" i="55"/>
  <c r="EE20" i="55"/>
  <c r="EJ23" i="55"/>
  <c r="EF27" i="55"/>
  <c r="ED21" i="55"/>
  <c r="EI24" i="55"/>
  <c r="EE28" i="55"/>
  <c r="EC22" i="55"/>
  <c r="EH25" i="55"/>
  <c r="EF19" i="55"/>
  <c r="EK22" i="55"/>
  <c r="EG26" i="55"/>
  <c r="EG21" i="55"/>
  <c r="EC25" i="55"/>
  <c r="EH28" i="55"/>
  <c r="EH21" i="55"/>
  <c r="ED25" i="55"/>
  <c r="EI28" i="55"/>
  <c r="EJ21" i="55"/>
  <c r="EF25" i="55"/>
  <c r="EF22" i="55"/>
  <c r="EK25" i="55"/>
  <c r="EG22" i="55"/>
  <c r="EC26" i="55"/>
  <c r="ED19" i="55"/>
  <c r="EI22" i="55"/>
  <c r="EE26" i="55"/>
  <c r="EI19" i="55"/>
  <c r="EE23" i="55"/>
  <c r="EJ26" i="55"/>
  <c r="EJ19" i="55"/>
  <c r="EF23" i="55"/>
  <c r="EK26" i="55"/>
  <c r="EC20" i="55"/>
  <c r="EH23" i="55"/>
  <c r="ED27" i="55"/>
  <c r="EH20" i="55"/>
  <c r="ED24" i="55"/>
  <c r="EI27" i="55"/>
  <c r="EI20" i="55"/>
  <c r="EE24" i="55"/>
  <c r="EJ27" i="55"/>
  <c r="EK20" i="55"/>
  <c r="EG24" i="55"/>
  <c r="EC28" i="55"/>
  <c r="N1047" i="42"/>
  <c r="O1048" i="42" s="1"/>
  <c r="Q1043" i="42" a="1"/>
  <c r="Q1051" i="42" l="1"/>
  <c r="Q1049" i="42"/>
  <c r="Q1047" i="42"/>
  <c r="Q1045" i="42"/>
  <c r="Q1043" i="42"/>
  <c r="R1050" i="42"/>
  <c r="R1048" i="42"/>
  <c r="R1046" i="42"/>
  <c r="R1044" i="42"/>
  <c r="R1051" i="42"/>
  <c r="R1047" i="42"/>
  <c r="R1043" i="42"/>
  <c r="R1045" i="42"/>
  <c r="Q1050" i="42"/>
  <c r="Q1046" i="42"/>
  <c r="R1049" i="42"/>
  <c r="Q1044" i="42"/>
  <c r="Q1048" i="42"/>
  <c r="EC39" i="55"/>
  <c r="EC33" i="55"/>
  <c r="EC40" i="55"/>
  <c r="EC34" i="55"/>
  <c r="EC35" i="55"/>
  <c r="EC37" i="55"/>
  <c r="EC36" i="55"/>
  <c r="EC41" i="55"/>
  <c r="EC38" i="55"/>
  <c r="ED35" i="55"/>
  <c r="ED33" i="55"/>
  <c r="ED40" i="55"/>
  <c r="ED38" i="55"/>
  <c r="ED39" i="55"/>
  <c r="ED36" i="55"/>
  <c r="ED37" i="55"/>
  <c r="ED41" i="55"/>
  <c r="ED34" i="55"/>
  <c r="EK38" i="55"/>
  <c r="EK34" i="55"/>
  <c r="EK39" i="55"/>
  <c r="EK40" i="55"/>
  <c r="EK35" i="55"/>
  <c r="EK41" i="55"/>
  <c r="EK36" i="55"/>
  <c r="EK33" i="55"/>
  <c r="EK37" i="55"/>
  <c r="EH37" i="55"/>
  <c r="EH41" i="55"/>
  <c r="EH40" i="55"/>
  <c r="EH39" i="55"/>
  <c r="EH36" i="55"/>
  <c r="EH34" i="55"/>
  <c r="EH35" i="55"/>
  <c r="EH38" i="55"/>
  <c r="EH33" i="55"/>
  <c r="EI36" i="55"/>
  <c r="EI33" i="55"/>
  <c r="EI39" i="55"/>
  <c r="EI34" i="55"/>
  <c r="EI41" i="55"/>
  <c r="EI40" i="55"/>
  <c r="EI35" i="55"/>
  <c r="EI38" i="55"/>
  <c r="EI37" i="55"/>
  <c r="EE35" i="55"/>
  <c r="EE37" i="55"/>
  <c r="EE39" i="55"/>
  <c r="EE41" i="55"/>
  <c r="EE40" i="55"/>
  <c r="EE38" i="55"/>
  <c r="EE36" i="55"/>
  <c r="EE34" i="55"/>
  <c r="EE33" i="55"/>
  <c r="EF39" i="55"/>
  <c r="EF37" i="55"/>
  <c r="EF34" i="55"/>
  <c r="EF33" i="55"/>
  <c r="EF40" i="55"/>
  <c r="EF41" i="55"/>
  <c r="EF36" i="55"/>
  <c r="EF35" i="55"/>
  <c r="EF38" i="55"/>
  <c r="EJ33" i="55"/>
  <c r="EJ41" i="55"/>
  <c r="EJ39" i="55"/>
  <c r="EJ34" i="55"/>
  <c r="EJ36" i="55"/>
  <c r="EJ37" i="55"/>
  <c r="EJ38" i="55"/>
  <c r="EJ40" i="55"/>
  <c r="EJ35" i="55"/>
  <c r="EG38" i="55"/>
  <c r="EG35" i="55"/>
  <c r="EG33" i="55"/>
  <c r="EG36" i="55"/>
  <c r="EG34" i="55"/>
  <c r="EG39" i="55"/>
  <c r="EG41" i="55"/>
  <c r="EG40" i="55"/>
  <c r="EG37" i="55"/>
  <c r="C1056" i="42" l="1" a="1"/>
  <c r="A1056" i="42" a="1"/>
  <c r="EL33" i="55"/>
  <c r="EL34" i="55"/>
  <c r="EL36" i="55"/>
  <c r="EL40" i="55"/>
  <c r="EL41" i="55"/>
  <c r="EL37" i="55"/>
  <c r="EL38" i="55"/>
  <c r="EL35" i="55"/>
  <c r="EL39" i="55"/>
  <c r="EO6" i="55" a="1"/>
  <c r="EW14" i="55" l="1"/>
  <c r="ER11" i="55"/>
  <c r="EV7" i="55"/>
  <c r="EU13" i="55"/>
  <c r="EU9" i="55"/>
  <c r="ET14" i="55"/>
  <c r="ET10" i="55"/>
  <c r="ES6" i="55"/>
  <c r="ES11" i="55"/>
  <c r="ER7" i="55"/>
  <c r="ER12" i="55"/>
  <c r="EQ8" i="55"/>
  <c r="EQ13" i="55"/>
  <c r="EP9" i="55"/>
  <c r="EW13" i="55"/>
  <c r="EW9" i="55"/>
  <c r="EV14" i="55"/>
  <c r="EV10" i="55"/>
  <c r="EU6" i="55"/>
  <c r="EO9" i="55"/>
  <c r="EO7" i="55"/>
  <c r="EQ12" i="55"/>
  <c r="EU14" i="55"/>
  <c r="ET6" i="55"/>
  <c r="ES12" i="55"/>
  <c r="ER13" i="55"/>
  <c r="EQ14" i="55"/>
  <c r="EP6" i="55"/>
  <c r="EW10" i="55"/>
  <c r="EV11" i="55"/>
  <c r="EO10" i="55"/>
  <c r="EO14" i="55"/>
  <c r="ES10" i="55"/>
  <c r="EW6" i="55"/>
  <c r="EU12" i="55"/>
  <c r="ET8" i="55"/>
  <c r="ET13" i="55"/>
  <c r="ES9" i="55"/>
  <c r="ES14" i="55"/>
  <c r="ER10" i="55"/>
  <c r="ER6" i="55"/>
  <c r="EQ11" i="55"/>
  <c r="EQ7" i="55"/>
  <c r="EP12" i="55"/>
  <c r="EP8" i="55"/>
  <c r="EW12" i="55"/>
  <c r="EW8" i="55"/>
  <c r="EV13" i="55"/>
  <c r="EV9" i="55"/>
  <c r="EO12" i="55"/>
  <c r="EP14" i="55"/>
  <c r="ET11" i="55"/>
  <c r="EP13" i="55"/>
  <c r="ET9" i="55"/>
  <c r="EO6" i="55"/>
  <c r="EU11" i="55"/>
  <c r="ET7" i="55"/>
  <c r="ET12" i="55"/>
  <c r="ES8" i="55"/>
  <c r="ES13" i="55"/>
  <c r="ER9" i="55"/>
  <c r="ER14" i="55"/>
  <c r="EQ10" i="55"/>
  <c r="EQ6" i="55"/>
  <c r="EP11" i="55"/>
  <c r="EP7" i="55"/>
  <c r="EW11" i="55"/>
  <c r="EW7" i="55"/>
  <c r="EV12" i="55"/>
  <c r="EV8" i="55"/>
  <c r="EO11" i="55"/>
  <c r="EO13" i="55"/>
  <c r="EU8" i="55"/>
  <c r="EU10" i="55"/>
  <c r="ES7" i="55"/>
  <c r="ER8" i="55"/>
  <c r="EQ9" i="55"/>
  <c r="EP10" i="55"/>
  <c r="EV6" i="55"/>
  <c r="EU7" i="55"/>
  <c r="EO8" i="55"/>
  <c r="A1064" i="42"/>
  <c r="F1064" i="42" s="1"/>
  <c r="A1060" i="42"/>
  <c r="F1060" i="42" s="1"/>
  <c r="A1056" i="42"/>
  <c r="A1063" i="42"/>
  <c r="F1063" i="42" s="1"/>
  <c r="A1059" i="42"/>
  <c r="F1059" i="42" s="1"/>
  <c r="A1057" i="42"/>
  <c r="F1057" i="42" s="1"/>
  <c r="A1062" i="42"/>
  <c r="F1062" i="42" s="1"/>
  <c r="A1061" i="42"/>
  <c r="F1061" i="42" s="1"/>
  <c r="A1058" i="42"/>
  <c r="F1058" i="42" s="1"/>
  <c r="C1064" i="42"/>
  <c r="C1060" i="42"/>
  <c r="C1056" i="42"/>
  <c r="C1063" i="42"/>
  <c r="C1059" i="42"/>
  <c r="C1061" i="42"/>
  <c r="C1057" i="42"/>
  <c r="C1058" i="42"/>
  <c r="C1062" i="42"/>
  <c r="EL43" i="55"/>
  <c r="EO19" i="55" a="1"/>
  <c r="EW28" i="55" l="1"/>
  <c r="ES28" i="55"/>
  <c r="EP27" i="55"/>
  <c r="EW24" i="55"/>
  <c r="EP23" i="55"/>
  <c r="EV21" i="55"/>
  <c r="ET19" i="55"/>
  <c r="EP28" i="55"/>
  <c r="ER26" i="55"/>
  <c r="ET24" i="55"/>
  <c r="EU22" i="55"/>
  <c r="EO21" i="55"/>
  <c r="EQ19" i="55"/>
  <c r="EV25" i="55"/>
  <c r="EQ22" i="55"/>
  <c r="EP19" i="55"/>
  <c r="ES25" i="55"/>
  <c r="EW21" i="55"/>
  <c r="EO28" i="55"/>
  <c r="ES24" i="55"/>
  <c r="EP20" i="55"/>
  <c r="EQ27" i="55"/>
  <c r="EU23" i="55"/>
  <c r="EO20" i="55"/>
  <c r="ET23" i="55"/>
  <c r="EW20" i="55"/>
  <c r="EV22" i="55"/>
  <c r="EU26" i="55"/>
  <c r="EQ26" i="55"/>
  <c r="EU28" i="55"/>
  <c r="ES20" i="55"/>
  <c r="ET27" i="55"/>
  <c r="ER21" i="55"/>
  <c r="ER25" i="55"/>
  <c r="EO24" i="55"/>
  <c r="EV20" i="55"/>
  <c r="ER24" i="55"/>
  <c r="EW27" i="55"/>
  <c r="EU21" i="55"/>
  <c r="EQ25" i="55"/>
  <c r="EV28" i="55"/>
  <c r="EO19" i="55"/>
  <c r="ET22" i="55"/>
  <c r="EP26" i="55"/>
  <c r="EW19" i="55"/>
  <c r="ES23" i="55"/>
  <c r="EO27" i="55"/>
  <c r="EO22" i="55"/>
  <c r="ET25" i="55"/>
  <c r="EP22" i="55"/>
  <c r="EU25" i="55"/>
  <c r="EU19" i="55"/>
  <c r="EQ23" i="55"/>
  <c r="EV26" i="55"/>
  <c r="EV19" i="55"/>
  <c r="ER23" i="55"/>
  <c r="EW26" i="55"/>
  <c r="ER19" i="55"/>
  <c r="EW22" i="55"/>
  <c r="ES26" i="55"/>
  <c r="ES19" i="55"/>
  <c r="EO23" i="55"/>
  <c r="ET26" i="55"/>
  <c r="ET20" i="55"/>
  <c r="EP24" i="55"/>
  <c r="EU27" i="55"/>
  <c r="EU20" i="55"/>
  <c r="EQ24" i="55"/>
  <c r="EV27" i="55"/>
  <c r="EQ20" i="55"/>
  <c r="EV23" i="55"/>
  <c r="ER27" i="55"/>
  <c r="ER20" i="55"/>
  <c r="EW23" i="55"/>
  <c r="ES27" i="55"/>
  <c r="ES21" i="55"/>
  <c r="EO25" i="55"/>
  <c r="ET28" i="55"/>
  <c r="ET21" i="55"/>
  <c r="EP25" i="55"/>
  <c r="EP21" i="55"/>
  <c r="EU24" i="55"/>
  <c r="EQ28" i="55"/>
  <c r="EQ21" i="55"/>
  <c r="EV24" i="55"/>
  <c r="ER28" i="55"/>
  <c r="ER22" i="55"/>
  <c r="EW25" i="55"/>
  <c r="ES22" i="55"/>
  <c r="EO26" i="55"/>
  <c r="C1069" i="42" a="1"/>
  <c r="C1070" i="42" s="1"/>
  <c r="G1070" i="42" s="1"/>
  <c r="J1062" i="42"/>
  <c r="I1062" i="42"/>
  <c r="J1057" i="42"/>
  <c r="I1057" i="42"/>
  <c r="J1060" i="42"/>
  <c r="I1060" i="42"/>
  <c r="J1061" i="42"/>
  <c r="I1061" i="42"/>
  <c r="I1063" i="42"/>
  <c r="J1063" i="42"/>
  <c r="B1066" i="42"/>
  <c r="F1056" i="42"/>
  <c r="J1058" i="42"/>
  <c r="I1058" i="42"/>
  <c r="I1059" i="42"/>
  <c r="J1059" i="42"/>
  <c r="J1064" i="42"/>
  <c r="I1064" i="42"/>
  <c r="C1075" i="42" l="1"/>
  <c r="G1075" i="42" s="1"/>
  <c r="J1075" i="42" s="1"/>
  <c r="C1069" i="42"/>
  <c r="G1069" i="42" s="1"/>
  <c r="I1069" i="42" s="1"/>
  <c r="C1074" i="42"/>
  <c r="G1074" i="42" s="1"/>
  <c r="J1074" i="42" s="1"/>
  <c r="C1073" i="42"/>
  <c r="G1073" i="42" s="1"/>
  <c r="I1073" i="42" s="1"/>
  <c r="C1071" i="42"/>
  <c r="G1071" i="42" s="1"/>
  <c r="J1071" i="42" s="1"/>
  <c r="C1077" i="42"/>
  <c r="G1077" i="42" s="1"/>
  <c r="J1077" i="42" s="1"/>
  <c r="C1076" i="42"/>
  <c r="G1076" i="42" s="1"/>
  <c r="J1076" i="42" s="1"/>
  <c r="C1072" i="42"/>
  <c r="G1072" i="42" s="1"/>
  <c r="I1072" i="42" s="1"/>
  <c r="K1064" i="42"/>
  <c r="L1064" i="42"/>
  <c r="K1058" i="42"/>
  <c r="L1058" i="42"/>
  <c r="K1060" i="42"/>
  <c r="L1060" i="42"/>
  <c r="K1062" i="42"/>
  <c r="L1062" i="42"/>
  <c r="L1063" i="42"/>
  <c r="K1063" i="42"/>
  <c r="I1070" i="42"/>
  <c r="J1070" i="42"/>
  <c r="L1059" i="42"/>
  <c r="K1059" i="42"/>
  <c r="I1056" i="42"/>
  <c r="J1056" i="42"/>
  <c r="J1065" i="42" s="1"/>
  <c r="K1061" i="42"/>
  <c r="L1061" i="42"/>
  <c r="K1057" i="42"/>
  <c r="L1057" i="42"/>
  <c r="EQ35" i="55"/>
  <c r="EQ39" i="55"/>
  <c r="EQ34" i="55"/>
  <c r="EQ33" i="55"/>
  <c r="EQ38" i="55"/>
  <c r="EQ41" i="55"/>
  <c r="EQ36" i="55"/>
  <c r="EQ40" i="55"/>
  <c r="EQ37" i="55"/>
  <c r="ER33" i="55"/>
  <c r="ER40" i="55"/>
  <c r="ER34" i="55"/>
  <c r="ER39" i="55"/>
  <c r="ER38" i="55"/>
  <c r="ER36" i="55"/>
  <c r="ER37" i="55"/>
  <c r="ER35" i="55"/>
  <c r="ER41" i="55"/>
  <c r="EV37" i="55"/>
  <c r="EV41" i="55"/>
  <c r="EV34" i="55"/>
  <c r="EV39" i="55"/>
  <c r="EV40" i="55"/>
  <c r="EV38" i="55"/>
  <c r="EV35" i="55"/>
  <c r="EV33" i="55"/>
  <c r="EV36" i="55"/>
  <c r="EW35" i="55"/>
  <c r="EW40" i="55"/>
  <c r="EW38" i="55"/>
  <c r="EW33" i="55"/>
  <c r="EW36" i="55"/>
  <c r="EW41" i="55"/>
  <c r="EW37" i="55"/>
  <c r="EW34" i="55"/>
  <c r="EW39" i="55"/>
  <c r="EU36" i="55"/>
  <c r="EU35" i="55"/>
  <c r="EU39" i="55"/>
  <c r="EU33" i="55"/>
  <c r="EU37" i="55"/>
  <c r="EU34" i="55"/>
  <c r="EU40" i="55"/>
  <c r="EU38" i="55"/>
  <c r="EU41" i="55"/>
  <c r="EP40" i="55"/>
  <c r="EP36" i="55"/>
  <c r="EP39" i="55"/>
  <c r="EP38" i="55"/>
  <c r="EP34" i="55"/>
  <c r="EP41" i="55"/>
  <c r="EP35" i="55"/>
  <c r="EP37" i="55"/>
  <c r="EP33" i="55"/>
  <c r="ES36" i="55"/>
  <c r="ES39" i="55"/>
  <c r="ES35" i="55"/>
  <c r="ES37" i="55"/>
  <c r="ES40" i="55"/>
  <c r="ES41" i="55"/>
  <c r="ES34" i="55"/>
  <c r="ES33" i="55"/>
  <c r="ES38" i="55"/>
  <c r="EO40" i="55"/>
  <c r="EO33" i="55"/>
  <c r="EO34" i="55"/>
  <c r="EO36" i="55"/>
  <c r="EO38" i="55"/>
  <c r="EO41" i="55"/>
  <c r="EO37" i="55"/>
  <c r="EO35" i="55"/>
  <c r="EO39" i="55"/>
  <c r="ET41" i="55"/>
  <c r="ET38" i="55"/>
  <c r="ET39" i="55"/>
  <c r="ET35" i="55"/>
  <c r="ET36" i="55"/>
  <c r="ET33" i="55"/>
  <c r="ET34" i="55"/>
  <c r="ET40" i="55"/>
  <c r="ET37" i="55"/>
  <c r="I1075" i="42" l="1"/>
  <c r="K1075" i="42" s="1"/>
  <c r="J1069" i="42"/>
  <c r="K1069" i="42" s="1"/>
  <c r="I1074" i="42"/>
  <c r="K1074" i="42" s="1"/>
  <c r="I1077" i="42"/>
  <c r="K1077" i="42" s="1"/>
  <c r="I1071" i="42"/>
  <c r="K1071" i="42" s="1"/>
  <c r="I1076" i="42"/>
  <c r="L1076" i="42" s="1"/>
  <c r="J1072" i="42"/>
  <c r="K1072" i="42" s="1"/>
  <c r="EX40" i="55"/>
  <c r="J1073" i="42"/>
  <c r="K1073" i="42" s="1"/>
  <c r="EX41" i="55"/>
  <c r="L1056" i="42"/>
  <c r="L1065" i="42" s="1"/>
  <c r="I1065" i="42"/>
  <c r="K1056" i="42"/>
  <c r="K1065" i="42" s="1"/>
  <c r="K1070" i="42"/>
  <c r="L1070" i="42"/>
  <c r="L1071" i="42"/>
  <c r="EX35" i="55"/>
  <c r="EX36" i="55"/>
  <c r="EX38" i="55"/>
  <c r="EX37" i="55"/>
  <c r="EX33" i="55"/>
  <c r="EX39" i="55"/>
  <c r="EX34" i="55"/>
  <c r="FA6" i="55" a="1"/>
  <c r="FI12" i="55" l="1"/>
  <c r="FD9" i="55"/>
  <c r="FH14" i="55"/>
  <c r="FG10" i="55"/>
  <c r="FF6" i="55"/>
  <c r="FF11" i="55"/>
  <c r="FE7" i="55"/>
  <c r="FE12" i="55"/>
  <c r="FD8" i="55"/>
  <c r="FD13" i="55"/>
  <c r="FC9" i="55"/>
  <c r="FC14" i="55"/>
  <c r="FB10" i="55"/>
  <c r="FB6" i="55"/>
  <c r="FI10" i="55"/>
  <c r="FI6" i="55"/>
  <c r="FH11" i="55"/>
  <c r="FH7" i="55"/>
  <c r="FA9" i="55"/>
  <c r="FA7" i="55"/>
  <c r="FA12" i="55"/>
  <c r="FE8" i="55"/>
  <c r="FG13" i="55"/>
  <c r="FG9" i="55"/>
  <c r="FF14" i="55"/>
  <c r="FF10" i="55"/>
  <c r="FE6" i="55"/>
  <c r="FE11" i="55"/>
  <c r="FD7" i="55"/>
  <c r="FD12" i="55"/>
  <c r="FC8" i="55"/>
  <c r="FC13" i="55"/>
  <c r="FB9" i="55"/>
  <c r="FA14" i="55"/>
  <c r="FI9" i="55"/>
  <c r="FI14" i="55"/>
  <c r="FH10" i="55"/>
  <c r="FH6" i="55"/>
  <c r="FA8" i="55"/>
  <c r="FA6" i="55"/>
  <c r="FG14" i="55"/>
  <c r="FB11" i="55"/>
  <c r="FF7" i="55"/>
  <c r="FG12" i="55"/>
  <c r="FG8" i="55"/>
  <c r="FF13" i="55"/>
  <c r="FF9" i="55"/>
  <c r="FE14" i="55"/>
  <c r="FE10" i="55"/>
  <c r="FD6" i="55"/>
  <c r="FD11" i="55"/>
  <c r="FC7" i="55"/>
  <c r="FC12" i="55"/>
  <c r="FB8" i="55"/>
  <c r="FA13" i="55"/>
  <c r="FI8" i="55"/>
  <c r="FI13" i="55"/>
  <c r="FH9" i="55"/>
  <c r="FA11" i="55"/>
  <c r="FB13" i="55"/>
  <c r="FB14" i="55"/>
  <c r="FG11" i="55"/>
  <c r="FE13" i="55"/>
  <c r="FC6" i="55"/>
  <c r="FI7" i="55"/>
  <c r="FB12" i="55"/>
  <c r="FG6" i="55"/>
  <c r="FD10" i="55"/>
  <c r="FA10" i="55"/>
  <c r="FH13" i="55"/>
  <c r="FG7" i="55"/>
  <c r="FE9" i="55"/>
  <c r="FC11" i="55"/>
  <c r="FH12" i="55"/>
  <c r="FC10" i="55"/>
  <c r="FF12" i="55"/>
  <c r="FD14" i="55"/>
  <c r="FB7" i="55"/>
  <c r="FH8" i="55"/>
  <c r="FF8" i="55"/>
  <c r="FI11" i="55"/>
  <c r="L1075" i="42"/>
  <c r="I1078" i="42"/>
  <c r="L1069" i="42"/>
  <c r="L1074" i="42"/>
  <c r="L1077" i="42"/>
  <c r="L1072" i="42"/>
  <c r="K1076" i="42"/>
  <c r="K1078" i="42" s="1"/>
  <c r="L1073" i="42"/>
  <c r="J1078" i="42"/>
  <c r="O1056" i="42"/>
  <c r="O1057" i="42"/>
  <c r="EX43" i="55"/>
  <c r="FA19" i="55" a="1"/>
  <c r="FI26" i="55" l="1"/>
  <c r="FD22" i="55"/>
  <c r="FB28" i="55"/>
  <c r="FH19" i="55"/>
  <c r="FF24" i="55"/>
  <c r="FC19" i="55"/>
  <c r="FG28" i="55"/>
  <c r="FH26" i="55"/>
  <c r="FB20" i="55"/>
  <c r="FF20" i="55"/>
  <c r="FC23" i="55"/>
  <c r="FI25" i="55"/>
  <c r="FD28" i="55"/>
  <c r="FH24" i="55"/>
  <c r="FC21" i="55"/>
  <c r="FD27" i="55"/>
  <c r="FH23" i="55"/>
  <c r="FC20" i="55"/>
  <c r="FB27" i="55"/>
  <c r="FF23" i="55"/>
  <c r="FA20" i="55"/>
  <c r="FA27" i="55"/>
  <c r="FE23" i="55"/>
  <c r="FI19" i="55"/>
  <c r="FG26" i="55"/>
  <c r="FB23" i="55"/>
  <c r="FF19" i="55"/>
  <c r="FF28" i="55"/>
  <c r="FF21" i="55"/>
  <c r="FG19" i="55"/>
  <c r="FE22" i="55"/>
  <c r="FH22" i="55"/>
  <c r="FE25" i="55"/>
  <c r="FE27" i="55"/>
  <c r="FI23" i="55"/>
  <c r="FD20" i="55"/>
  <c r="FE26" i="55"/>
  <c r="FI22" i="55"/>
  <c r="FD19" i="55"/>
  <c r="FC26" i="55"/>
  <c r="FG22" i="55"/>
  <c r="FB19" i="55"/>
  <c r="FB26" i="55"/>
  <c r="FF22" i="55"/>
  <c r="FA19" i="55"/>
  <c r="FH25" i="55"/>
  <c r="FC22" i="55"/>
  <c r="FE21" i="55"/>
  <c r="FB24" i="55"/>
  <c r="FI21" i="55"/>
  <c r="FA25" i="55"/>
  <c r="FB25" i="55"/>
  <c r="FH27" i="55"/>
  <c r="FA21" i="55"/>
  <c r="FF26" i="55"/>
  <c r="FA23" i="55"/>
  <c r="FE19" i="55"/>
  <c r="FF25" i="55"/>
  <c r="FA22" i="55"/>
  <c r="FI28" i="55"/>
  <c r="FD25" i="55"/>
  <c r="FH21" i="55"/>
  <c r="FH28" i="55"/>
  <c r="FC25" i="55"/>
  <c r="FG21" i="55"/>
  <c r="FE28" i="55"/>
  <c r="FI24" i="55"/>
  <c r="FD21" i="55"/>
  <c r="FG23" i="55"/>
  <c r="FD26" i="55"/>
  <c r="FC24" i="55"/>
  <c r="FC27" i="55"/>
  <c r="FG27" i="55"/>
  <c r="FG20" i="55"/>
  <c r="FD23" i="55"/>
  <c r="FG25" i="55"/>
  <c r="FB22" i="55"/>
  <c r="FC28" i="55"/>
  <c r="FG24" i="55"/>
  <c r="FB21" i="55"/>
  <c r="FA28" i="55"/>
  <c r="FE24" i="55"/>
  <c r="FI20" i="55"/>
  <c r="FI27" i="55"/>
  <c r="FD24" i="55"/>
  <c r="FH20" i="55"/>
  <c r="FF27" i="55"/>
  <c r="FA24" i="55"/>
  <c r="FE20" i="55"/>
  <c r="FA26" i="55"/>
  <c r="L1078" i="42"/>
  <c r="O1058" i="42"/>
  <c r="N1061" i="42" l="1"/>
  <c r="O1060" i="42" s="1"/>
  <c r="N1060" i="42"/>
  <c r="FI39" i="55"/>
  <c r="FI35" i="55"/>
  <c r="FI38" i="55"/>
  <c r="FI36" i="55"/>
  <c r="FI33" i="55"/>
  <c r="FI37" i="55"/>
  <c r="FI40" i="55"/>
  <c r="FI34" i="55"/>
  <c r="FI41" i="55"/>
  <c r="FE39" i="55"/>
  <c r="FE38" i="55"/>
  <c r="FE37" i="55"/>
  <c r="FE40" i="55"/>
  <c r="FE34" i="55"/>
  <c r="FE33" i="55"/>
  <c r="FE41" i="55"/>
  <c r="FE36" i="55"/>
  <c r="FE35" i="55"/>
  <c r="FC41" i="55"/>
  <c r="FC37" i="55"/>
  <c r="FC34" i="55"/>
  <c r="FC35" i="55"/>
  <c r="FC38" i="55"/>
  <c r="FC36" i="55"/>
  <c r="FC39" i="55"/>
  <c r="FC40" i="55"/>
  <c r="FC33" i="55"/>
  <c r="FF35" i="55"/>
  <c r="FF40" i="55"/>
  <c r="FF39" i="55"/>
  <c r="FF38" i="55"/>
  <c r="FF33" i="55"/>
  <c r="FF36" i="55"/>
  <c r="FF37" i="55"/>
  <c r="FF34" i="55"/>
  <c r="FF41" i="55"/>
  <c r="FB37" i="55"/>
  <c r="FB35" i="55"/>
  <c r="FB36" i="55"/>
  <c r="FB41" i="55"/>
  <c r="FB38" i="55"/>
  <c r="FB40" i="55"/>
  <c r="FB33" i="55"/>
  <c r="FB34" i="55"/>
  <c r="FB39" i="55"/>
  <c r="FD36" i="55"/>
  <c r="FD39" i="55"/>
  <c r="FD34" i="55"/>
  <c r="FD33" i="55"/>
  <c r="FD37" i="55"/>
  <c r="FD35" i="55"/>
  <c r="FD41" i="55"/>
  <c r="FD40" i="55"/>
  <c r="FD38" i="55"/>
  <c r="FG36" i="55"/>
  <c r="FG33" i="55"/>
  <c r="FG41" i="55"/>
  <c r="FG37" i="55"/>
  <c r="FG39" i="55"/>
  <c r="FG35" i="55"/>
  <c r="FG38" i="55"/>
  <c r="FG34" i="55"/>
  <c r="FG40" i="55"/>
  <c r="FA39" i="55"/>
  <c r="FA36" i="55"/>
  <c r="FA41" i="55"/>
  <c r="FA37" i="55"/>
  <c r="FA33" i="55"/>
  <c r="FA40" i="55"/>
  <c r="FA35" i="55"/>
  <c r="FA38" i="55"/>
  <c r="FA34" i="55"/>
  <c r="FH33" i="55"/>
  <c r="FH41" i="55"/>
  <c r="FH37" i="55"/>
  <c r="FH38" i="55"/>
  <c r="FH36" i="55"/>
  <c r="FH35" i="55"/>
  <c r="FH39" i="55"/>
  <c r="FH34" i="55"/>
  <c r="FH40" i="55"/>
  <c r="FJ39" i="55" l="1"/>
  <c r="O1061" i="42"/>
  <c r="Q1056" i="42" s="1" a="1"/>
  <c r="FJ40" i="55"/>
  <c r="FJ36" i="55"/>
  <c r="FJ34" i="55"/>
  <c r="FJ41" i="55"/>
  <c r="FJ38" i="55"/>
  <c r="FJ37" i="55"/>
  <c r="FJ33" i="55"/>
  <c r="FJ35" i="55"/>
  <c r="FM6" i="55" a="1"/>
  <c r="FT11" i="55" l="1"/>
  <c r="FO8" i="55"/>
  <c r="FT13" i="55"/>
  <c r="FS9" i="55"/>
  <c r="FS14" i="55"/>
  <c r="FR10" i="55"/>
  <c r="FR6" i="55"/>
  <c r="FQ11" i="55"/>
  <c r="FQ7" i="55"/>
  <c r="FP12" i="55"/>
  <c r="FP8" i="55"/>
  <c r="FO13" i="55"/>
  <c r="FO9" i="55"/>
  <c r="FM14" i="55"/>
  <c r="FU9" i="55"/>
  <c r="FU14" i="55"/>
  <c r="FT10" i="55"/>
  <c r="FT6" i="55"/>
  <c r="FM7" i="55"/>
  <c r="FM6" i="55"/>
  <c r="FS12" i="55"/>
  <c r="FT14" i="55"/>
  <c r="FS6" i="55"/>
  <c r="FR7" i="55"/>
  <c r="FQ8" i="55"/>
  <c r="FP9" i="55"/>
  <c r="FO10" i="55"/>
  <c r="FM11" i="55"/>
  <c r="FU11" i="55"/>
  <c r="FM8" i="55"/>
  <c r="FQ14" i="55"/>
  <c r="FU10" i="55"/>
  <c r="FP7" i="55"/>
  <c r="FT12" i="55"/>
  <c r="FS8" i="55"/>
  <c r="FS13" i="55"/>
  <c r="FR9" i="55"/>
  <c r="FR14" i="55"/>
  <c r="FQ10" i="55"/>
  <c r="FP6" i="55"/>
  <c r="FP11" i="55"/>
  <c r="FO7" i="55"/>
  <c r="FO12" i="55"/>
  <c r="FN8" i="55"/>
  <c r="FM13" i="55"/>
  <c r="FU8" i="55"/>
  <c r="FU13" i="55"/>
  <c r="FT9" i="55"/>
  <c r="FN10" i="55"/>
  <c r="FN12" i="55"/>
  <c r="FN13" i="55"/>
  <c r="FR13" i="55"/>
  <c r="FM10" i="55"/>
  <c r="FQ6" i="55"/>
  <c r="FS11" i="55"/>
  <c r="FS7" i="55"/>
  <c r="FR12" i="55"/>
  <c r="FR8" i="55"/>
  <c r="FQ13" i="55"/>
  <c r="FQ9" i="55"/>
  <c r="FP14" i="55"/>
  <c r="FP10" i="55"/>
  <c r="FO6" i="55"/>
  <c r="FO11" i="55"/>
  <c r="FN7" i="55"/>
  <c r="FM12" i="55"/>
  <c r="FU7" i="55"/>
  <c r="FU12" i="55"/>
  <c r="FT8" i="55"/>
  <c r="FM9" i="55"/>
  <c r="FN11" i="55"/>
  <c r="FN9" i="55"/>
  <c r="FS10" i="55"/>
  <c r="FR11" i="55"/>
  <c r="FQ12" i="55"/>
  <c r="FP13" i="55"/>
  <c r="FO14" i="55"/>
  <c r="FN6" i="55"/>
  <c r="FU6" i="55"/>
  <c r="FT7" i="55"/>
  <c r="FN14" i="55"/>
  <c r="R1064" i="42"/>
  <c r="R1062" i="42"/>
  <c r="R1060" i="42"/>
  <c r="R1058" i="42"/>
  <c r="R1056" i="42"/>
  <c r="Q1064" i="42"/>
  <c r="Q1062" i="42"/>
  <c r="Q1060" i="42"/>
  <c r="Q1058" i="42"/>
  <c r="Q1056" i="42"/>
  <c r="Q1061" i="42"/>
  <c r="Q1057" i="42"/>
  <c r="R1063" i="42"/>
  <c r="R1059" i="42"/>
  <c r="Q1063" i="42"/>
  <c r="Q1059" i="42"/>
  <c r="R1061" i="42"/>
  <c r="R1057" i="42"/>
  <c r="FJ43" i="55"/>
  <c r="FM19" i="55" a="1"/>
  <c r="FT26" i="55" l="1"/>
  <c r="FM27" i="55"/>
  <c r="FU25" i="55"/>
  <c r="FO28" i="55"/>
  <c r="FN21" i="55"/>
  <c r="FO20" i="55"/>
  <c r="FU27" i="55"/>
  <c r="FU24" i="55"/>
  <c r="FT24" i="55"/>
  <c r="FM28" i="55"/>
  <c r="FM23" i="55"/>
  <c r="FM22" i="55"/>
  <c r="FO21" i="55"/>
  <c r="FP20" i="55"/>
  <c r="FT23" i="55"/>
  <c r="FP19" i="55"/>
  <c r="FQ19" i="55"/>
  <c r="FN22" i="55"/>
  <c r="FU22" i="55"/>
  <c r="FT25" i="55"/>
  <c r="FU23" i="55"/>
  <c r="FM21" i="55"/>
  <c r="FS24" i="55"/>
  <c r="FT28" i="55"/>
  <c r="FU28" i="55"/>
  <c r="FU21" i="55"/>
  <c r="FS25" i="55"/>
  <c r="FO19" i="55"/>
  <c r="FT22" i="55"/>
  <c r="FS26" i="55"/>
  <c r="FN20" i="55"/>
  <c r="FS23" i="55"/>
  <c r="FS27" i="55"/>
  <c r="FR19" i="55"/>
  <c r="FN23" i="55"/>
  <c r="FN27" i="55"/>
  <c r="FS19" i="55"/>
  <c r="FO23" i="55"/>
  <c r="FO27" i="55"/>
  <c r="FS28" i="55"/>
  <c r="FN25" i="55"/>
  <c r="FR21" i="55"/>
  <c r="FP25" i="55"/>
  <c r="FU19" i="55"/>
  <c r="FQ23" i="55"/>
  <c r="FQ27" i="55"/>
  <c r="FU20" i="55"/>
  <c r="FR24" i="55"/>
  <c r="FR28" i="55"/>
  <c r="FQ20" i="55"/>
  <c r="FM24" i="55"/>
  <c r="FN28" i="55"/>
  <c r="FR20" i="55"/>
  <c r="FN24" i="55"/>
  <c r="FT27" i="55"/>
  <c r="FO24" i="55"/>
  <c r="FQ22" i="55"/>
  <c r="FP26" i="55"/>
  <c r="FT20" i="55"/>
  <c r="FQ24" i="55"/>
  <c r="FQ28" i="55"/>
  <c r="FT21" i="55"/>
  <c r="FR25" i="55"/>
  <c r="FP21" i="55"/>
  <c r="FM25" i="55"/>
  <c r="FQ21" i="55"/>
  <c r="FO25" i="55"/>
  <c r="FU26" i="55"/>
  <c r="FT19" i="55"/>
  <c r="FP23" i="55"/>
  <c r="FP27" i="55"/>
  <c r="FS21" i="55"/>
  <c r="FQ25" i="55"/>
  <c r="FN19" i="55"/>
  <c r="FS22" i="55"/>
  <c r="FR26" i="55"/>
  <c r="FO22" i="55"/>
  <c r="FN26" i="55"/>
  <c r="FP22" i="55"/>
  <c r="FO26" i="55"/>
  <c r="FM26" i="55"/>
  <c r="FS20" i="55"/>
  <c r="FP24" i="55"/>
  <c r="FP28" i="55"/>
  <c r="FM19" i="55"/>
  <c r="FR22" i="55"/>
  <c r="FQ26" i="55"/>
  <c r="FM20" i="55"/>
  <c r="FR23" i="55"/>
  <c r="FR27" i="55"/>
  <c r="A1069" i="42" a="1"/>
  <c r="D1069" i="42" a="1"/>
  <c r="D1076" i="42" l="1"/>
  <c r="D1072" i="42"/>
  <c r="D1075" i="42"/>
  <c r="D1071" i="42"/>
  <c r="D1070" i="42"/>
  <c r="D1074" i="42"/>
  <c r="D1077" i="42"/>
  <c r="D1069" i="42"/>
  <c r="D1073" i="42"/>
  <c r="A1074" i="42"/>
  <c r="A1070" i="42"/>
  <c r="A1077" i="42"/>
  <c r="A1073" i="42"/>
  <c r="A1069" i="42"/>
  <c r="A1076" i="42"/>
  <c r="A1075" i="42"/>
  <c r="A1072" i="42"/>
  <c r="A1071" i="42"/>
  <c r="FO34" i="55"/>
  <c r="FO40" i="55"/>
  <c r="FO35" i="55"/>
  <c r="FO33" i="55"/>
  <c r="FO38" i="55"/>
  <c r="FO39" i="55"/>
  <c r="FO37" i="55"/>
  <c r="FO36" i="55"/>
  <c r="FO41" i="55"/>
  <c r="FM39" i="55"/>
  <c r="FM35" i="55"/>
  <c r="FM33" i="55"/>
  <c r="FM34" i="55"/>
  <c r="FM37" i="55"/>
  <c r="FM38" i="55"/>
  <c r="FM40" i="55"/>
  <c r="FM36" i="55"/>
  <c r="FM41" i="55"/>
  <c r="FN35" i="55"/>
  <c r="FN34" i="55"/>
  <c r="FN37" i="55"/>
  <c r="FN40" i="55"/>
  <c r="FN41" i="55"/>
  <c r="FN36" i="55"/>
  <c r="FN39" i="55"/>
  <c r="FN33" i="55"/>
  <c r="FN38" i="55"/>
  <c r="FS35" i="55"/>
  <c r="FS40" i="55"/>
  <c r="FS39" i="55"/>
  <c r="FS38" i="55"/>
  <c r="FS36" i="55"/>
  <c r="FS41" i="55"/>
  <c r="FS37" i="55"/>
  <c r="FS34" i="55"/>
  <c r="FS33" i="55"/>
  <c r="FU41" i="55"/>
  <c r="FU33" i="55"/>
  <c r="FU38" i="55"/>
  <c r="FU40" i="55"/>
  <c r="FU39" i="55"/>
  <c r="FU36" i="55"/>
  <c r="FU34" i="55"/>
  <c r="FU37" i="55"/>
  <c r="FU35" i="55"/>
  <c r="FQ39" i="55"/>
  <c r="FQ37" i="55"/>
  <c r="FQ41" i="55"/>
  <c r="FQ35" i="55"/>
  <c r="FQ34" i="55"/>
  <c r="FQ33" i="55"/>
  <c r="FQ38" i="55"/>
  <c r="FQ40" i="55"/>
  <c r="FQ36" i="55"/>
  <c r="FP33" i="55"/>
  <c r="FP40" i="55"/>
  <c r="FP39" i="55"/>
  <c r="FP35" i="55"/>
  <c r="FP37" i="55"/>
  <c r="FP38" i="55"/>
  <c r="FP41" i="55"/>
  <c r="FP36" i="55"/>
  <c r="FP34" i="55"/>
  <c r="FT33" i="55"/>
  <c r="FT35" i="55"/>
  <c r="FT37" i="55"/>
  <c r="FT41" i="55"/>
  <c r="FT34" i="55"/>
  <c r="FT38" i="55"/>
  <c r="FT40" i="55"/>
  <c r="FT39" i="55"/>
  <c r="FT36" i="55"/>
  <c r="FR39" i="55"/>
  <c r="FR34" i="55"/>
  <c r="FR35" i="55"/>
  <c r="FR41" i="55"/>
  <c r="FR33" i="55"/>
  <c r="FR38" i="55"/>
  <c r="FR37" i="55"/>
  <c r="FR36" i="55"/>
  <c r="FR40" i="55"/>
  <c r="D1082" i="42" l="1" a="1"/>
  <c r="D1090" i="42" s="1"/>
  <c r="G1090" i="42" s="1"/>
  <c r="B1079" i="42"/>
  <c r="A1082" i="42" a="1"/>
  <c r="FV33" i="55"/>
  <c r="FV38" i="55"/>
  <c r="FV35" i="55"/>
  <c r="FV41" i="55"/>
  <c r="FV37" i="55"/>
  <c r="FV39" i="55"/>
  <c r="FV40" i="55"/>
  <c r="FV36" i="55"/>
  <c r="FV34" i="55"/>
  <c r="FY6" i="55" a="1"/>
  <c r="GD11" i="55" l="1"/>
  <c r="FY8" i="55"/>
  <c r="GG13" i="55"/>
  <c r="GB10" i="55"/>
  <c r="GF6" i="55"/>
  <c r="GF11" i="55"/>
  <c r="GA8" i="55"/>
  <c r="GD9" i="55"/>
  <c r="GA12" i="55"/>
  <c r="GE6" i="55"/>
  <c r="GD10" i="55"/>
  <c r="GE14" i="55"/>
  <c r="FY9" i="55"/>
  <c r="FZ13" i="55"/>
  <c r="GC7" i="55"/>
  <c r="GB11" i="55"/>
  <c r="FY6" i="55"/>
  <c r="GE9" i="55"/>
  <c r="GE8" i="55"/>
  <c r="GC11" i="55"/>
  <c r="GG8" i="55"/>
  <c r="GA11" i="55"/>
  <c r="GE12" i="55"/>
  <c r="FY11" i="55"/>
  <c r="GG7" i="55"/>
  <c r="GD6" i="55"/>
  <c r="GD14" i="55"/>
  <c r="GF12" i="55"/>
  <c r="FZ11" i="55"/>
  <c r="GA14" i="55"/>
  <c r="GE10" i="55"/>
  <c r="FZ7" i="55"/>
  <c r="FY13" i="55"/>
  <c r="GC9" i="55"/>
  <c r="GC14" i="55"/>
  <c r="GG10" i="55"/>
  <c r="GF13" i="55"/>
  <c r="FZ8" i="55"/>
  <c r="GF10" i="55"/>
  <c r="GG14" i="55"/>
  <c r="GA9" i="55"/>
  <c r="GA13" i="55"/>
  <c r="GD7" i="55"/>
  <c r="GE11" i="55"/>
  <c r="GB6" i="55"/>
  <c r="GG9" i="55"/>
  <c r="FY14" i="55"/>
  <c r="GB8" i="55"/>
  <c r="GB7" i="55"/>
  <c r="GB14" i="55"/>
  <c r="GB13" i="55"/>
  <c r="GF9" i="55"/>
  <c r="GA6" i="55"/>
  <c r="FZ12" i="55"/>
  <c r="GD8" i="55"/>
  <c r="GD13" i="55"/>
  <c r="FY10" i="55"/>
  <c r="GB12" i="55"/>
  <c r="GG6" i="55"/>
  <c r="GB9" i="55"/>
  <c r="GC13" i="55"/>
  <c r="GF7" i="55"/>
  <c r="GG11" i="55"/>
  <c r="GC6" i="55"/>
  <c r="GA10" i="55"/>
  <c r="FZ14" i="55"/>
  <c r="GC8" i="55"/>
  <c r="GD12" i="55"/>
  <c r="FY7" i="55"/>
  <c r="FZ6" i="55"/>
  <c r="GC12" i="55"/>
  <c r="GF14" i="55"/>
  <c r="GE7" i="55"/>
  <c r="FZ9" i="55"/>
  <c r="GE13" i="55"/>
  <c r="FY12" i="55"/>
  <c r="GC10" i="55"/>
  <c r="GF8" i="55"/>
  <c r="GA7" i="55"/>
  <c r="FZ10" i="55"/>
  <c r="GG12" i="55"/>
  <c r="D1087" i="42"/>
  <c r="G1087" i="42" s="1"/>
  <c r="D1084" i="42"/>
  <c r="G1084" i="42" s="1"/>
  <c r="D1085" i="42"/>
  <c r="G1085" i="42" s="1"/>
  <c r="D1089" i="42"/>
  <c r="G1089" i="42" s="1"/>
  <c r="D1082" i="42"/>
  <c r="G1082" i="42" s="1"/>
  <c r="D1088" i="42"/>
  <c r="G1088" i="42" s="1"/>
  <c r="D1086" i="42"/>
  <c r="G1086" i="42" s="1"/>
  <c r="D1083" i="42"/>
  <c r="G1083" i="42" s="1"/>
  <c r="A1088" i="42"/>
  <c r="A1084" i="42"/>
  <c r="A1087" i="42"/>
  <c r="A1083" i="42"/>
  <c r="A1086" i="42"/>
  <c r="A1082" i="42"/>
  <c r="A1085" i="42"/>
  <c r="A1090" i="42"/>
  <c r="A1089" i="42"/>
  <c r="O1069" i="42"/>
  <c r="O1070" i="42"/>
  <c r="FV43" i="55"/>
  <c r="FY19" i="55" a="1"/>
  <c r="GE28" i="55" l="1"/>
  <c r="GD28" i="55"/>
  <c r="GE27" i="55"/>
  <c r="GF26" i="55"/>
  <c r="GA26" i="55"/>
  <c r="GB25" i="55"/>
  <c r="GC24" i="55"/>
  <c r="GF23" i="55"/>
  <c r="GG22" i="55"/>
  <c r="FY22" i="55"/>
  <c r="GC21" i="55"/>
  <c r="GD20" i="55"/>
  <c r="GE19" i="55"/>
  <c r="FZ19" i="55"/>
  <c r="FZ28" i="55"/>
  <c r="GD27" i="55"/>
  <c r="GE26" i="55"/>
  <c r="GF25" i="55"/>
  <c r="GA25" i="55"/>
  <c r="GB24" i="55"/>
  <c r="GC23" i="55"/>
  <c r="GF22" i="55"/>
  <c r="GG21" i="55"/>
  <c r="FY21" i="55"/>
  <c r="GC20" i="55"/>
  <c r="GD19" i="55"/>
  <c r="GG28" i="55"/>
  <c r="GB27" i="55"/>
  <c r="GD25" i="55"/>
  <c r="FZ24" i="55"/>
  <c r="GE22" i="55"/>
  <c r="GG20" i="55"/>
  <c r="GB19" i="55"/>
  <c r="GF28" i="55"/>
  <c r="FY27" i="55"/>
  <c r="GC25" i="55"/>
  <c r="FY24" i="55"/>
  <c r="GA22" i="55"/>
  <c r="GF20" i="55"/>
  <c r="GA19" i="55"/>
  <c r="FY28" i="55"/>
  <c r="GC26" i="55"/>
  <c r="FY25" i="55"/>
  <c r="GA23" i="55"/>
  <c r="GF21" i="55"/>
  <c r="GA20" i="55"/>
  <c r="FZ23" i="55"/>
  <c r="GG27" i="55"/>
  <c r="GE21" i="55"/>
  <c r="GB26" i="55"/>
  <c r="GG19" i="55"/>
  <c r="GD24" i="55"/>
  <c r="FY20" i="55"/>
  <c r="GE24" i="55"/>
  <c r="FZ20" i="55"/>
  <c r="GG24" i="55"/>
  <c r="FZ21" i="55"/>
  <c r="GG25" i="55"/>
  <c r="GB21" i="55"/>
  <c r="FZ26" i="55"/>
  <c r="GB22" i="55"/>
  <c r="FZ27" i="55"/>
  <c r="GD22" i="55"/>
  <c r="GA27" i="55"/>
  <c r="GE23" i="55"/>
  <c r="GC28" i="55"/>
  <c r="GD23" i="55"/>
  <c r="FY19" i="55"/>
  <c r="GA28" i="55"/>
  <c r="GB20" i="55"/>
  <c r="GG23" i="55"/>
  <c r="GC27" i="55"/>
  <c r="GD21" i="55"/>
  <c r="FZ25" i="55"/>
  <c r="GA21" i="55"/>
  <c r="GF24" i="55"/>
  <c r="GB28" i="55"/>
  <c r="GC22" i="55"/>
  <c r="FY26" i="55"/>
  <c r="FZ22" i="55"/>
  <c r="GE25" i="55"/>
  <c r="GF19" i="55"/>
  <c r="GB23" i="55"/>
  <c r="GG26" i="55"/>
  <c r="GC19" i="55"/>
  <c r="FY23" i="55"/>
  <c r="GD26" i="55"/>
  <c r="GE20" i="55"/>
  <c r="GA24" i="55"/>
  <c r="GF27" i="55"/>
  <c r="O1071" i="42"/>
  <c r="B1092" i="42"/>
  <c r="A1095" i="42" a="1"/>
  <c r="A1102" i="42" l="1"/>
  <c r="A1098" i="42"/>
  <c r="A1101" i="42"/>
  <c r="A1097" i="42"/>
  <c r="A1099" i="42"/>
  <c r="A1096" i="42"/>
  <c r="A1103" i="42"/>
  <c r="A1095" i="42"/>
  <c r="A1100" i="42"/>
  <c r="N1074" i="42"/>
  <c r="O1073" i="42" s="1"/>
  <c r="N1073" i="42"/>
  <c r="GB41" i="55"/>
  <c r="GB33" i="55"/>
  <c r="GB36" i="55"/>
  <c r="GB35" i="55"/>
  <c r="GB39" i="55"/>
  <c r="GB38" i="55"/>
  <c r="GB34" i="55"/>
  <c r="GB37" i="55"/>
  <c r="GB40" i="55"/>
  <c r="FY38" i="55"/>
  <c r="FY35" i="55"/>
  <c r="FY36" i="55"/>
  <c r="FY41" i="55"/>
  <c r="FY33" i="55"/>
  <c r="FY34" i="55"/>
  <c r="FY37" i="55"/>
  <c r="FY39" i="55"/>
  <c r="FY40" i="55"/>
  <c r="GA37" i="55"/>
  <c r="GA34" i="55"/>
  <c r="GA38" i="55"/>
  <c r="GA41" i="55"/>
  <c r="GA33" i="55"/>
  <c r="GA39" i="55"/>
  <c r="GA35" i="55"/>
  <c r="GA40" i="55"/>
  <c r="GA36" i="55"/>
  <c r="GF34" i="55"/>
  <c r="GF41" i="55"/>
  <c r="GF37" i="55"/>
  <c r="GF35" i="55"/>
  <c r="GF33" i="55"/>
  <c r="GF38" i="55"/>
  <c r="GF36" i="55"/>
  <c r="GF40" i="55"/>
  <c r="GF39" i="55"/>
  <c r="GG41" i="55"/>
  <c r="GG38" i="55"/>
  <c r="GG34" i="55"/>
  <c r="GG37" i="55"/>
  <c r="GG33" i="55"/>
  <c r="GG35" i="55"/>
  <c r="GG36" i="55"/>
  <c r="GG40" i="55"/>
  <c r="GG39" i="55"/>
  <c r="GC33" i="55"/>
  <c r="GC40" i="55"/>
  <c r="GC34" i="55"/>
  <c r="GC41" i="55"/>
  <c r="GC35" i="55"/>
  <c r="GC36" i="55"/>
  <c r="GC38" i="55"/>
  <c r="GC37" i="55"/>
  <c r="GC39" i="55"/>
  <c r="GE34" i="55"/>
  <c r="GE40" i="55"/>
  <c r="GE39" i="55"/>
  <c r="GE35" i="55"/>
  <c r="GE36" i="55"/>
  <c r="GE33" i="55"/>
  <c r="GE38" i="55"/>
  <c r="GE37" i="55"/>
  <c r="GE41" i="55"/>
  <c r="FZ41" i="55"/>
  <c r="FZ34" i="55"/>
  <c r="FZ36" i="55"/>
  <c r="FZ33" i="55"/>
  <c r="FZ39" i="55"/>
  <c r="FZ38" i="55"/>
  <c r="FZ37" i="55"/>
  <c r="FZ35" i="55"/>
  <c r="FZ40" i="55"/>
  <c r="GD33" i="55"/>
  <c r="GD41" i="55"/>
  <c r="GD34" i="55"/>
  <c r="GD40" i="55"/>
  <c r="GD35" i="55"/>
  <c r="GD38" i="55"/>
  <c r="GD37" i="55"/>
  <c r="GD39" i="55"/>
  <c r="GD36" i="55"/>
  <c r="O1074" i="42" l="1"/>
  <c r="Q1069" i="42" a="1"/>
  <c r="B1105" i="42"/>
  <c r="A1108" i="42" a="1"/>
  <c r="GH36" i="55"/>
  <c r="GH34" i="55"/>
  <c r="GH35" i="55"/>
  <c r="GH40" i="55"/>
  <c r="GH33" i="55"/>
  <c r="GH38" i="55"/>
  <c r="GH37" i="55"/>
  <c r="GH39" i="55"/>
  <c r="GH41" i="55"/>
  <c r="GK6" i="55" a="1"/>
  <c r="GK14" i="55" l="1"/>
  <c r="GO10" i="55"/>
  <c r="GS6" i="55"/>
  <c r="GK13" i="55"/>
  <c r="GQ13" i="55"/>
  <c r="GL10" i="55"/>
  <c r="GP6" i="55"/>
  <c r="GP11" i="55"/>
  <c r="GK8" i="55"/>
  <c r="GK12" i="55"/>
  <c r="GL6" i="55"/>
  <c r="GR8" i="55"/>
  <c r="GK10" i="55"/>
  <c r="GO11" i="55"/>
  <c r="GQ14" i="55"/>
  <c r="GM8" i="55"/>
  <c r="GR10" i="55"/>
  <c r="GL14" i="55"/>
  <c r="GQ7" i="55"/>
  <c r="GO9" i="55"/>
  <c r="GL13" i="55"/>
  <c r="GP9" i="55"/>
  <c r="GK6" i="55"/>
  <c r="GL12" i="55"/>
  <c r="GR12" i="55"/>
  <c r="GM9" i="55"/>
  <c r="GM14" i="55"/>
  <c r="GQ10" i="55"/>
  <c r="GL7" i="55"/>
  <c r="GN10" i="55"/>
  <c r="GP13" i="55"/>
  <c r="GN7" i="55"/>
  <c r="GP8" i="55"/>
  <c r="GS9" i="55"/>
  <c r="GS12" i="55"/>
  <c r="GR6" i="55"/>
  <c r="GN9" i="55"/>
  <c r="GN12" i="55"/>
  <c r="GN6" i="55"/>
  <c r="GL8" i="55"/>
  <c r="GM12" i="55"/>
  <c r="GQ8" i="55"/>
  <c r="GR14" i="55"/>
  <c r="GM11" i="55"/>
  <c r="GS11" i="55"/>
  <c r="GN8" i="55"/>
  <c r="GN13" i="55"/>
  <c r="GR9" i="55"/>
  <c r="GM6" i="55"/>
  <c r="GK9" i="55"/>
  <c r="GR11" i="55"/>
  <c r="GO13" i="55"/>
  <c r="GM7" i="55"/>
  <c r="GO8" i="55"/>
  <c r="GL11" i="55"/>
  <c r="GN14" i="55"/>
  <c r="GS7" i="55"/>
  <c r="GP10" i="55"/>
  <c r="GQ12" i="55"/>
  <c r="GO14" i="55"/>
  <c r="GS13" i="55"/>
  <c r="GO12" i="55"/>
  <c r="GM10" i="55"/>
  <c r="GQ9" i="55"/>
  <c r="GS10" i="55"/>
  <c r="GO7" i="55"/>
  <c r="GK7" i="55"/>
  <c r="GS14" i="55"/>
  <c r="GP14" i="55"/>
  <c r="GS8" i="55"/>
  <c r="GQ11" i="55"/>
  <c r="GP12" i="55"/>
  <c r="GQ6" i="55"/>
  <c r="GN11" i="55"/>
  <c r="GK11" i="55"/>
  <c r="GR13" i="55"/>
  <c r="GM13" i="55"/>
  <c r="GO6" i="55"/>
  <c r="GR7" i="55"/>
  <c r="GP7" i="55"/>
  <c r="GL9" i="55"/>
  <c r="A1114" i="42"/>
  <c r="F1114" i="42" s="1"/>
  <c r="A1110" i="42"/>
  <c r="F1110" i="42" s="1"/>
  <c r="A1113" i="42"/>
  <c r="F1113" i="42" s="1"/>
  <c r="A1109" i="42"/>
  <c r="F1109" i="42" s="1"/>
  <c r="A1111" i="42"/>
  <c r="F1111" i="42" s="1"/>
  <c r="A1116" i="42"/>
  <c r="F1116" i="42" s="1"/>
  <c r="A1108" i="42"/>
  <c r="A1115" i="42"/>
  <c r="F1115" i="42" s="1"/>
  <c r="A1112" i="42"/>
  <c r="F1112" i="42" s="1"/>
  <c r="Q1076" i="42"/>
  <c r="Q1074" i="42"/>
  <c r="Q1072" i="42"/>
  <c r="Q1070" i="42"/>
  <c r="R1077" i="42"/>
  <c r="R1075" i="42"/>
  <c r="R1073" i="42"/>
  <c r="R1071" i="42"/>
  <c r="R1069" i="42"/>
  <c r="Q1077" i="42"/>
  <c r="Q1073" i="42"/>
  <c r="Q1069" i="42"/>
  <c r="Q1071" i="42"/>
  <c r="R1076" i="42"/>
  <c r="R1072" i="42"/>
  <c r="Q1075" i="42"/>
  <c r="R1070" i="42"/>
  <c r="R1074" i="42"/>
  <c r="GH43" i="55"/>
  <c r="GK19" i="55" a="1"/>
  <c r="GK24" i="55" l="1"/>
  <c r="GM19" i="55"/>
  <c r="GQ27" i="55"/>
  <c r="GR25" i="55"/>
  <c r="GN21" i="55"/>
  <c r="GO28" i="55"/>
  <c r="GQ28" i="55"/>
  <c r="GR23" i="55"/>
  <c r="GS27" i="55"/>
  <c r="GM22" i="55"/>
  <c r="GL26" i="55"/>
  <c r="GO20" i="55"/>
  <c r="GS22" i="55"/>
  <c r="GR22" i="55"/>
  <c r="GP22" i="55"/>
  <c r="GN24" i="55"/>
  <c r="GN26" i="55"/>
  <c r="GP25" i="55"/>
  <c r="GL28" i="55"/>
  <c r="GN22" i="55"/>
  <c r="GO26" i="55"/>
  <c r="GR20" i="55"/>
  <c r="GQ24" i="55"/>
  <c r="GK19" i="55"/>
  <c r="GP20" i="55"/>
  <c r="GM20" i="55"/>
  <c r="GL20" i="55"/>
  <c r="GK22" i="55"/>
  <c r="GL24" i="55"/>
  <c r="GL21" i="55"/>
  <c r="GO21" i="55"/>
  <c r="GO23" i="55"/>
  <c r="GQ26" i="55"/>
  <c r="GK21" i="55"/>
  <c r="GK25" i="55"/>
  <c r="GN19" i="55"/>
  <c r="GM23" i="55"/>
  <c r="GN27" i="55"/>
  <c r="GM27" i="55"/>
  <c r="GK27" i="55"/>
  <c r="GR28" i="55"/>
  <c r="GS19" i="55"/>
  <c r="GQ21" i="55"/>
  <c r="GP27" i="55"/>
  <c r="GP24" i="55"/>
  <c r="GL23" i="55"/>
  <c r="GM25" i="55"/>
  <c r="GS21" i="55"/>
  <c r="GR26" i="55"/>
  <c r="GS25" i="55"/>
  <c r="GP19" i="55"/>
  <c r="GO25" i="55"/>
  <c r="GP28" i="55"/>
  <c r="GM28" i="55"/>
  <c r="GQ19" i="55"/>
  <c r="GQ23" i="55"/>
  <c r="GS24" i="55"/>
  <c r="GS20" i="55"/>
  <c r="GO24" i="55"/>
  <c r="GK28" i="55"/>
  <c r="GO19" i="55"/>
  <c r="GK23" i="55"/>
  <c r="GP26" i="55"/>
  <c r="GP21" i="55"/>
  <c r="GL25" i="55"/>
  <c r="GR21" i="55"/>
  <c r="GN25" i="55"/>
  <c r="GS28" i="55"/>
  <c r="GN20" i="55"/>
  <c r="GS23" i="55"/>
  <c r="GO27" i="55"/>
  <c r="GO22" i="55"/>
  <c r="GK26" i="55"/>
  <c r="GL19" i="55"/>
  <c r="GQ22" i="55"/>
  <c r="GM26" i="55"/>
  <c r="GM21" i="55"/>
  <c r="GR24" i="55"/>
  <c r="GN28" i="55"/>
  <c r="GR19" i="55"/>
  <c r="GN23" i="55"/>
  <c r="GS26" i="55"/>
  <c r="GK20" i="55"/>
  <c r="GP23" i="55"/>
  <c r="GL27" i="55"/>
  <c r="GL22" i="55"/>
  <c r="GQ25" i="55"/>
  <c r="GQ20" i="55"/>
  <c r="GM24" i="55"/>
  <c r="GR27" i="55"/>
  <c r="B1118" i="42"/>
  <c r="F1108" i="42"/>
  <c r="C1082" i="42" a="1"/>
  <c r="B1082" i="42" a="1"/>
  <c r="B1090" i="42" l="1"/>
  <c r="F1090" i="42" s="1"/>
  <c r="B1086" i="42"/>
  <c r="F1086" i="42" s="1"/>
  <c r="B1082" i="42"/>
  <c r="F1082" i="42" s="1"/>
  <c r="B1089" i="42"/>
  <c r="F1089" i="42" s="1"/>
  <c r="B1085" i="42"/>
  <c r="F1085" i="42" s="1"/>
  <c r="B1084" i="42"/>
  <c r="F1084" i="42" s="1"/>
  <c r="B1083" i="42"/>
  <c r="F1083" i="42" s="1"/>
  <c r="B1088" i="42"/>
  <c r="F1088" i="42" s="1"/>
  <c r="B1087" i="42"/>
  <c r="F1087" i="42" s="1"/>
  <c r="C1088" i="42"/>
  <c r="C1084" i="42"/>
  <c r="C1087" i="42"/>
  <c r="C1083" i="42"/>
  <c r="C1090" i="42"/>
  <c r="C1082" i="42"/>
  <c r="C1089" i="42"/>
  <c r="C1086" i="42"/>
  <c r="C1085" i="42"/>
  <c r="GL40" i="55"/>
  <c r="GL35" i="55"/>
  <c r="GL37" i="55"/>
  <c r="GL38" i="55"/>
  <c r="GL34" i="55"/>
  <c r="GL39" i="55"/>
  <c r="GL33" i="55"/>
  <c r="GL41" i="55"/>
  <c r="GL36" i="55"/>
  <c r="GM35" i="55"/>
  <c r="GM33" i="55"/>
  <c r="GM37" i="55"/>
  <c r="GM41" i="55"/>
  <c r="GM40" i="55"/>
  <c r="GM36" i="55"/>
  <c r="GM39" i="55"/>
  <c r="GM34" i="55"/>
  <c r="GM38" i="55"/>
  <c r="GN37" i="55"/>
  <c r="GN39" i="55"/>
  <c r="GN33" i="55"/>
  <c r="GN40" i="55"/>
  <c r="GN36" i="55"/>
  <c r="GN34" i="55"/>
  <c r="GN35" i="55"/>
  <c r="GN38" i="55"/>
  <c r="GN41" i="55"/>
  <c r="GQ37" i="55"/>
  <c r="GQ33" i="55"/>
  <c r="GQ35" i="55"/>
  <c r="GQ39" i="55"/>
  <c r="GQ36" i="55"/>
  <c r="GQ40" i="55"/>
  <c r="GQ38" i="55"/>
  <c r="GQ34" i="55"/>
  <c r="GQ41" i="55"/>
  <c r="GK37" i="55"/>
  <c r="GK33" i="55"/>
  <c r="GK34" i="55"/>
  <c r="GK41" i="55"/>
  <c r="GK36" i="55"/>
  <c r="GK38" i="55"/>
  <c r="GK35" i="55"/>
  <c r="GK40" i="55"/>
  <c r="GK39" i="55"/>
  <c r="GR41" i="55"/>
  <c r="GR38" i="55"/>
  <c r="GR34" i="55"/>
  <c r="GR37" i="55"/>
  <c r="GR36" i="55"/>
  <c r="GR39" i="55"/>
  <c r="GR35" i="55"/>
  <c r="GR33" i="55"/>
  <c r="GR40" i="55"/>
  <c r="GS35" i="55"/>
  <c r="GS39" i="55"/>
  <c r="GS38" i="55"/>
  <c r="GS36" i="55"/>
  <c r="GS41" i="55"/>
  <c r="GS37" i="55"/>
  <c r="GS34" i="55"/>
  <c r="GS40" i="55"/>
  <c r="GS33" i="55"/>
  <c r="GO35" i="55"/>
  <c r="GO40" i="55"/>
  <c r="GO38" i="55"/>
  <c r="GO33" i="55"/>
  <c r="GO36" i="55"/>
  <c r="GO39" i="55"/>
  <c r="GO41" i="55"/>
  <c r="GO34" i="55"/>
  <c r="GO37" i="55"/>
  <c r="GP38" i="55"/>
  <c r="GP34" i="55"/>
  <c r="GP40" i="55"/>
  <c r="GP39" i="55"/>
  <c r="GP33" i="55"/>
  <c r="GP37" i="55"/>
  <c r="GP41" i="55"/>
  <c r="GP35" i="55"/>
  <c r="GP36" i="55"/>
  <c r="J1089" i="42" l="1"/>
  <c r="I1089" i="42"/>
  <c r="C1095" i="42" a="1"/>
  <c r="I1084" i="42"/>
  <c r="J1084" i="42"/>
  <c r="J1086" i="42"/>
  <c r="I1086" i="42"/>
  <c r="J1088" i="42"/>
  <c r="I1088" i="42"/>
  <c r="J1083" i="42"/>
  <c r="I1083" i="42"/>
  <c r="J1082" i="42"/>
  <c r="I1082" i="42"/>
  <c r="J1087" i="42"/>
  <c r="I1087" i="42"/>
  <c r="J1085" i="42"/>
  <c r="I1085" i="42"/>
  <c r="J1090" i="42"/>
  <c r="I1090" i="42"/>
  <c r="GT40" i="55"/>
  <c r="GT41" i="55"/>
  <c r="GT35" i="55"/>
  <c r="GT34" i="55"/>
  <c r="GT38" i="55"/>
  <c r="GT33" i="55"/>
  <c r="GT39" i="55"/>
  <c r="GT36" i="55"/>
  <c r="GT37" i="55"/>
  <c r="GW6" i="55" a="1"/>
  <c r="GZ13" i="55" l="1"/>
  <c r="HC14" i="55"/>
  <c r="GX11" i="55"/>
  <c r="GX14" i="55"/>
  <c r="HB9" i="55"/>
  <c r="GW14" i="55"/>
  <c r="HA9" i="55"/>
  <c r="HE14" i="55"/>
  <c r="GX10" i="55"/>
  <c r="GZ6" i="55"/>
  <c r="HE10" i="55"/>
  <c r="HE6" i="55"/>
  <c r="HE11" i="55"/>
  <c r="HC7" i="55"/>
  <c r="GW7" i="55"/>
  <c r="HD14" i="55"/>
  <c r="HB14" i="55"/>
  <c r="HE13" i="55"/>
  <c r="GW10" i="55"/>
  <c r="GX7" i="55"/>
  <c r="HA12" i="55"/>
  <c r="HD13" i="55"/>
  <c r="GY10" i="55"/>
  <c r="GW13" i="55"/>
  <c r="HB8" i="55"/>
  <c r="HD12" i="55"/>
  <c r="GZ8" i="55"/>
  <c r="HC13" i="55"/>
  <c r="GX9" i="55"/>
  <c r="HA14" i="55"/>
  <c r="HD9" i="55"/>
  <c r="GW6" i="55"/>
  <c r="HD10" i="55"/>
  <c r="HD6" i="55"/>
  <c r="GY12" i="55"/>
  <c r="HA11" i="55"/>
  <c r="GY11" i="55"/>
  <c r="GW11" i="55"/>
  <c r="GZ7" i="55"/>
  <c r="HE7" i="55"/>
  <c r="HB11" i="55"/>
  <c r="HE12" i="55"/>
  <c r="GZ9" i="55"/>
  <c r="HD11" i="55"/>
  <c r="HB7" i="55"/>
  <c r="HC11" i="55"/>
  <c r="HA7" i="55"/>
  <c r="HB12" i="55"/>
  <c r="GX8" i="55"/>
  <c r="GY13" i="55"/>
  <c r="HD8" i="55"/>
  <c r="GZ14" i="55"/>
  <c r="HC9" i="55"/>
  <c r="GZ12" i="55"/>
  <c r="GW9" i="55"/>
  <c r="HE8" i="55"/>
  <c r="GY8" i="55"/>
  <c r="GW8" i="55"/>
  <c r="HC12" i="55"/>
  <c r="HB13" i="55"/>
  <c r="HA8" i="55"/>
  <c r="HB6" i="55"/>
  <c r="HD7" i="55"/>
  <c r="HA6" i="55"/>
  <c r="HE9" i="55"/>
  <c r="HA10" i="55"/>
  <c r="GY9" i="55"/>
  <c r="GY14" i="55"/>
  <c r="HB10" i="55"/>
  <c r="GZ11" i="55"/>
  <c r="GX13" i="55"/>
  <c r="GY6" i="55"/>
  <c r="GZ10" i="55"/>
  <c r="HC10" i="55"/>
  <c r="HC6" i="55"/>
  <c r="GY7" i="55"/>
  <c r="HC8" i="55"/>
  <c r="GX6" i="55"/>
  <c r="GW12" i="55"/>
  <c r="GX12" i="55"/>
  <c r="HA13" i="55"/>
  <c r="L1084" i="42"/>
  <c r="K1084" i="42"/>
  <c r="L1083" i="42"/>
  <c r="K1083" i="42"/>
  <c r="L1086" i="42"/>
  <c r="K1086" i="42"/>
  <c r="L1085" i="42"/>
  <c r="K1085" i="42"/>
  <c r="L1090" i="42"/>
  <c r="K1090" i="42"/>
  <c r="L1087" i="42"/>
  <c r="K1087" i="42"/>
  <c r="C1100" i="42"/>
  <c r="F1100" i="42" s="1"/>
  <c r="C1096" i="42"/>
  <c r="F1096" i="42" s="1"/>
  <c r="C1103" i="42"/>
  <c r="F1103" i="42" s="1"/>
  <c r="C1099" i="42"/>
  <c r="F1099" i="42" s="1"/>
  <c r="C1095" i="42"/>
  <c r="F1095" i="42" s="1"/>
  <c r="C1097" i="42"/>
  <c r="F1097" i="42" s="1"/>
  <c r="C1102" i="42"/>
  <c r="F1102" i="42" s="1"/>
  <c r="C1098" i="42"/>
  <c r="F1098" i="42" s="1"/>
  <c r="C1101" i="42"/>
  <c r="F1101" i="42" s="1"/>
  <c r="L1082" i="42"/>
  <c r="K1082" i="42"/>
  <c r="I1091" i="42"/>
  <c r="L1089" i="42"/>
  <c r="K1089" i="42"/>
  <c r="J1091" i="42"/>
  <c r="L1088" i="42"/>
  <c r="K1088" i="42"/>
  <c r="GT43" i="55"/>
  <c r="GW19" i="55" a="1"/>
  <c r="GZ28" i="55" l="1"/>
  <c r="HD28" i="55"/>
  <c r="GY27" i="55"/>
  <c r="HB25" i="55"/>
  <c r="GZ24" i="55"/>
  <c r="GX23" i="55"/>
  <c r="HC21" i="55"/>
  <c r="GX20" i="55"/>
  <c r="HA28" i="55"/>
  <c r="GW27" i="55"/>
  <c r="HA25" i="55"/>
  <c r="HD23" i="55"/>
  <c r="HB22" i="55"/>
  <c r="GZ21" i="55"/>
  <c r="HE19" i="55"/>
  <c r="HE27" i="55"/>
  <c r="GY25" i="55"/>
  <c r="GW22" i="55"/>
  <c r="HB19" i="55"/>
  <c r="GZ27" i="55"/>
  <c r="HE24" i="55"/>
  <c r="HE21" i="55"/>
  <c r="GW19" i="55"/>
  <c r="HC26" i="55"/>
  <c r="HC23" i="55"/>
  <c r="HD20" i="55"/>
  <c r="GX26" i="55"/>
  <c r="HA23" i="55"/>
  <c r="GY20" i="55"/>
  <c r="GY22" i="55"/>
  <c r="GY19" i="55"/>
  <c r="GZ26" i="55"/>
  <c r="GZ19" i="55"/>
  <c r="HA26" i="55"/>
  <c r="GW24" i="55"/>
  <c r="GW21" i="55"/>
  <c r="GX28" i="55"/>
  <c r="GX21" i="55"/>
  <c r="GY28" i="55"/>
  <c r="HD25" i="55"/>
  <c r="HD22" i="55"/>
  <c r="HE22" i="55"/>
  <c r="HB24" i="55"/>
  <c r="HA20" i="55"/>
  <c r="HC24" i="55"/>
  <c r="HB27" i="55"/>
  <c r="HA21" i="55"/>
  <c r="GW25" i="55"/>
  <c r="HB28" i="55"/>
  <c r="HD19" i="55"/>
  <c r="GZ23" i="55"/>
  <c r="HE26" i="55"/>
  <c r="GW20" i="55"/>
  <c r="HB23" i="55"/>
  <c r="GX27" i="55"/>
  <c r="HA19" i="55"/>
  <c r="GW23" i="55"/>
  <c r="HB26" i="55"/>
  <c r="GZ22" i="55"/>
  <c r="HE25" i="55"/>
  <c r="HC20" i="55"/>
  <c r="GY24" i="55"/>
  <c r="HD27" i="55"/>
  <c r="HE20" i="55"/>
  <c r="HA24" i="55"/>
  <c r="GW28" i="55"/>
  <c r="GZ20" i="55"/>
  <c r="HE23" i="55"/>
  <c r="HA27" i="55"/>
  <c r="HC19" i="55"/>
  <c r="GY23" i="55"/>
  <c r="HD26" i="55"/>
  <c r="HB21" i="55"/>
  <c r="GX25" i="55"/>
  <c r="HC28" i="55"/>
  <c r="HD21" i="55"/>
  <c r="GZ25" i="55"/>
  <c r="HE28" i="55"/>
  <c r="GY21" i="55"/>
  <c r="HD24" i="55"/>
  <c r="HB20" i="55"/>
  <c r="GX24" i="55"/>
  <c r="HC27" i="55"/>
  <c r="HA22" i="55"/>
  <c r="GW26" i="55"/>
  <c r="GX19" i="55"/>
  <c r="HC22" i="55"/>
  <c r="GY26" i="55"/>
  <c r="GX22" i="55"/>
  <c r="HC25" i="55"/>
  <c r="K1091" i="42"/>
  <c r="O1083" i="42" s="1"/>
  <c r="L1091" i="42"/>
  <c r="O1082" i="42" s="1"/>
  <c r="O1084" i="42" l="1"/>
  <c r="N1087" i="42" s="1"/>
  <c r="O1086" i="42" s="1"/>
  <c r="GX37" i="55"/>
  <c r="GX33" i="55"/>
  <c r="GX38" i="55"/>
  <c r="GX40" i="55"/>
  <c r="GX39" i="55"/>
  <c r="GX36" i="55"/>
  <c r="GX41" i="55"/>
  <c r="GX34" i="55"/>
  <c r="GX35" i="55"/>
  <c r="HD37" i="55"/>
  <c r="HD38" i="55"/>
  <c r="HD34" i="55"/>
  <c r="HD36" i="55"/>
  <c r="HD41" i="55"/>
  <c r="HD39" i="55"/>
  <c r="HD35" i="55"/>
  <c r="HD40" i="55"/>
  <c r="HD33" i="55"/>
  <c r="HB36" i="55"/>
  <c r="HB40" i="55"/>
  <c r="HB41" i="55"/>
  <c r="HB35" i="55"/>
  <c r="HB38" i="55"/>
  <c r="HB39" i="55"/>
  <c r="HB33" i="55"/>
  <c r="HB34" i="55"/>
  <c r="HB37" i="55"/>
  <c r="HA33" i="55"/>
  <c r="HA40" i="55"/>
  <c r="HA35" i="55"/>
  <c r="HA41" i="55"/>
  <c r="HA37" i="55"/>
  <c r="HA34" i="55"/>
  <c r="HA36" i="55"/>
  <c r="HA39" i="55"/>
  <c r="HA38" i="55"/>
  <c r="GY36" i="55"/>
  <c r="GY39" i="55"/>
  <c r="GY38" i="55"/>
  <c r="GY34" i="55"/>
  <c r="GY37" i="55"/>
  <c r="GY35" i="55"/>
  <c r="GY33" i="55"/>
  <c r="GY40" i="55"/>
  <c r="GY41" i="55"/>
  <c r="HC40" i="55"/>
  <c r="HC35" i="55"/>
  <c r="HC37" i="55"/>
  <c r="HC38" i="55"/>
  <c r="HC33" i="55"/>
  <c r="HC36" i="55"/>
  <c r="HC39" i="55"/>
  <c r="HC41" i="55"/>
  <c r="HC34" i="55"/>
  <c r="GW40" i="55"/>
  <c r="GW35" i="55"/>
  <c r="GW37" i="55"/>
  <c r="GW33" i="55"/>
  <c r="GW36" i="55"/>
  <c r="GW34" i="55"/>
  <c r="GW38" i="55"/>
  <c r="GW39" i="55"/>
  <c r="GW41" i="55"/>
  <c r="GZ38" i="55"/>
  <c r="GZ37" i="55"/>
  <c r="GZ35" i="55"/>
  <c r="GZ33" i="55"/>
  <c r="GZ40" i="55"/>
  <c r="GZ34" i="55"/>
  <c r="GZ39" i="55"/>
  <c r="GZ36" i="55"/>
  <c r="GZ41" i="55"/>
  <c r="HE37" i="55"/>
  <c r="HE34" i="55"/>
  <c r="HE39" i="55"/>
  <c r="HE41" i="55"/>
  <c r="HE38" i="55"/>
  <c r="HE35" i="55"/>
  <c r="HE33" i="55"/>
  <c r="HE36" i="55"/>
  <c r="HE40" i="55"/>
  <c r="N1086" i="42" l="1"/>
  <c r="O1087" i="42" s="1"/>
  <c r="HF34" i="55"/>
  <c r="Q1082" i="42" a="1"/>
  <c r="HF35" i="55"/>
  <c r="HF41" i="55"/>
  <c r="HF36" i="55"/>
  <c r="HF40" i="55"/>
  <c r="HF39" i="55"/>
  <c r="HF33" i="55"/>
  <c r="HF38" i="55"/>
  <c r="HF37" i="55"/>
  <c r="HI6" i="55" a="1"/>
  <c r="HQ14" i="55" l="1"/>
  <c r="HL11" i="55"/>
  <c r="HP7" i="55"/>
  <c r="HN13" i="55"/>
  <c r="HI10" i="55"/>
  <c r="HM6" i="55"/>
  <c r="HI11" i="55"/>
  <c r="HK6" i="55"/>
  <c r="HP10" i="55"/>
  <c r="HJ6" i="55"/>
  <c r="HO10" i="55"/>
  <c r="HJ14" i="55"/>
  <c r="HL9" i="55"/>
  <c r="HO13" i="55"/>
  <c r="HQ8" i="55"/>
  <c r="HM13" i="55"/>
  <c r="HP8" i="55"/>
  <c r="HP6" i="55"/>
  <c r="HK10" i="55"/>
  <c r="HI8" i="55"/>
  <c r="HI9" i="55"/>
  <c r="HI14" i="55"/>
  <c r="HM10" i="55"/>
  <c r="HQ6" i="55"/>
  <c r="HO12" i="55"/>
  <c r="HJ9" i="55"/>
  <c r="HN14" i="55"/>
  <c r="HP9" i="55"/>
  <c r="HL14" i="55"/>
  <c r="HO9" i="55"/>
  <c r="HK14" i="55"/>
  <c r="HM9" i="55"/>
  <c r="HQ12" i="55"/>
  <c r="HJ8" i="55"/>
  <c r="HM12" i="55"/>
  <c r="HO7" i="55"/>
  <c r="HL12" i="55"/>
  <c r="HN7" i="55"/>
  <c r="HM11" i="55"/>
  <c r="HQ13" i="55"/>
  <c r="HN12" i="55"/>
  <c r="HJ13" i="55"/>
  <c r="HN9" i="55"/>
  <c r="HI6" i="55"/>
  <c r="HP11" i="55"/>
  <c r="HK8" i="55"/>
  <c r="HL13" i="55"/>
  <c r="HN8" i="55"/>
  <c r="HK13" i="55"/>
  <c r="HM8" i="55"/>
  <c r="HI13" i="55"/>
  <c r="HL8" i="55"/>
  <c r="HO11" i="55"/>
  <c r="HI7" i="55"/>
  <c r="HK11" i="55"/>
  <c r="HN6" i="55"/>
  <c r="HJ11" i="55"/>
  <c r="HL6" i="55"/>
  <c r="HO6" i="55"/>
  <c r="HK9" i="55"/>
  <c r="HQ7" i="55"/>
  <c r="HO8" i="55"/>
  <c r="HJ12" i="55"/>
  <c r="HQ11" i="55"/>
  <c r="HJ10" i="55"/>
  <c r="HL10" i="55"/>
  <c r="HL7" i="55"/>
  <c r="HP14" i="55"/>
  <c r="HM14" i="55"/>
  <c r="HM7" i="55"/>
  <c r="HJ7" i="55"/>
  <c r="HO14" i="55"/>
  <c r="HP12" i="55"/>
  <c r="HQ10" i="55"/>
  <c r="HI12" i="55"/>
  <c r="HN10" i="55"/>
  <c r="HQ9" i="55"/>
  <c r="HP13" i="55"/>
  <c r="HK12" i="55"/>
  <c r="HK7" i="55"/>
  <c r="HN11" i="55"/>
  <c r="R1089" i="42"/>
  <c r="R1087" i="42"/>
  <c r="R1085" i="42"/>
  <c r="R1083" i="42"/>
  <c r="Q1089" i="42"/>
  <c r="Q1087" i="42"/>
  <c r="Q1085" i="42"/>
  <c r="Q1083" i="42"/>
  <c r="R1088" i="42"/>
  <c r="R1084" i="42"/>
  <c r="R1090" i="42"/>
  <c r="R1086" i="42"/>
  <c r="R1082" i="42"/>
  <c r="Q1088" i="42"/>
  <c r="Q1084" i="42"/>
  <c r="Q1090" i="42"/>
  <c r="Q1086" i="42"/>
  <c r="Q1082" i="42"/>
  <c r="HF43" i="55"/>
  <c r="HI19" i="55" a="1"/>
  <c r="HQ28" i="55" l="1"/>
  <c r="HN27" i="55"/>
  <c r="HK25" i="55"/>
  <c r="HP22" i="55"/>
  <c r="HM20" i="55"/>
  <c r="HO26" i="55"/>
  <c r="HL24" i="55"/>
  <c r="HQ21" i="55"/>
  <c r="HN19" i="55"/>
  <c r="HJ26" i="55"/>
  <c r="HL21" i="55"/>
  <c r="HM25" i="55"/>
  <c r="HP20" i="55"/>
  <c r="HM28" i="55"/>
  <c r="HO23" i="55"/>
  <c r="HI19" i="55"/>
  <c r="HQ27" i="55"/>
  <c r="HJ23" i="55"/>
  <c r="HI21" i="55"/>
  <c r="HK19" i="55"/>
  <c r="HP28" i="55"/>
  <c r="HN24" i="55"/>
  <c r="HQ24" i="55"/>
  <c r="HM23" i="55"/>
  <c r="HO21" i="55"/>
  <c r="HI27" i="55"/>
  <c r="HK27" i="55"/>
  <c r="HP25" i="55"/>
  <c r="HI24" i="55"/>
  <c r="HQ19" i="55"/>
  <c r="HJ20" i="55"/>
  <c r="HJ28" i="55"/>
  <c r="HL26" i="55"/>
  <c r="HK22" i="55"/>
  <c r="HN22" i="55"/>
  <c r="HI22" i="55"/>
  <c r="HN25" i="55"/>
  <c r="HL20" i="55"/>
  <c r="HQ23" i="55"/>
  <c r="HM27" i="55"/>
  <c r="HN20" i="55"/>
  <c r="HJ24" i="55"/>
  <c r="HO27" i="55"/>
  <c r="HM22" i="55"/>
  <c r="HI26" i="55"/>
  <c r="HQ20" i="55"/>
  <c r="HM24" i="55"/>
  <c r="HI28" i="55"/>
  <c r="HL19" i="55"/>
  <c r="HQ22" i="55"/>
  <c r="HM26" i="55"/>
  <c r="HK21" i="55"/>
  <c r="HP24" i="55"/>
  <c r="HL28" i="55"/>
  <c r="HM21" i="55"/>
  <c r="HI25" i="55"/>
  <c r="HN28" i="55"/>
  <c r="HP19" i="55"/>
  <c r="HL23" i="55"/>
  <c r="HQ26" i="55"/>
  <c r="HP21" i="55"/>
  <c r="HL25" i="55"/>
  <c r="HK20" i="55"/>
  <c r="HP23" i="55"/>
  <c r="HL27" i="55"/>
  <c r="HJ22" i="55"/>
  <c r="HO25" i="55"/>
  <c r="HL22" i="55"/>
  <c r="HQ25" i="55"/>
  <c r="HO20" i="55"/>
  <c r="HK24" i="55"/>
  <c r="HP27" i="55"/>
  <c r="HJ19" i="55"/>
  <c r="HO22" i="55"/>
  <c r="HK26" i="55"/>
  <c r="HJ21" i="55"/>
  <c r="HO24" i="55"/>
  <c r="HK28" i="55"/>
  <c r="HM19" i="55"/>
  <c r="HI23" i="55"/>
  <c r="HN26" i="55"/>
  <c r="HO19" i="55"/>
  <c r="HK23" i="55"/>
  <c r="HP26" i="55"/>
  <c r="HN21" i="55"/>
  <c r="HJ25" i="55"/>
  <c r="HO28" i="55"/>
  <c r="HI20" i="55"/>
  <c r="HN23" i="55"/>
  <c r="HJ27" i="55"/>
  <c r="B1095" i="42" a="1"/>
  <c r="D1095" i="42" a="1"/>
  <c r="D1102" i="42" l="1"/>
  <c r="G1102" i="42" s="1"/>
  <c r="D1098" i="42"/>
  <c r="G1098" i="42" s="1"/>
  <c r="D1101" i="42"/>
  <c r="G1101" i="42" s="1"/>
  <c r="D1097" i="42"/>
  <c r="G1097" i="42" s="1"/>
  <c r="D1103" i="42"/>
  <c r="G1103" i="42" s="1"/>
  <c r="D1095" i="42"/>
  <c r="G1095" i="42" s="1"/>
  <c r="D1100" i="42"/>
  <c r="G1100" i="42" s="1"/>
  <c r="D1099" i="42"/>
  <c r="G1099" i="42" s="1"/>
  <c r="D1096" i="42"/>
  <c r="G1096" i="42" s="1"/>
  <c r="B1101" i="42"/>
  <c r="B1100" i="42"/>
  <c r="B1096" i="42"/>
  <c r="B1099" i="42"/>
  <c r="B1095" i="42"/>
  <c r="B1097" i="42"/>
  <c r="B1103" i="42"/>
  <c r="B1102" i="42"/>
  <c r="B1098" i="42"/>
  <c r="HK38" i="55"/>
  <c r="HK33" i="55"/>
  <c r="HK36" i="55"/>
  <c r="HK41" i="55"/>
  <c r="HK34" i="55"/>
  <c r="HK35" i="55"/>
  <c r="HK40" i="55"/>
  <c r="HK39" i="55"/>
  <c r="HK37" i="55"/>
  <c r="HP33" i="55"/>
  <c r="HP37" i="55"/>
  <c r="HP39" i="55"/>
  <c r="HP40" i="55"/>
  <c r="HP41" i="55"/>
  <c r="HP35" i="55"/>
  <c r="HP36" i="55"/>
  <c r="HP34" i="55"/>
  <c r="HP38" i="55"/>
  <c r="HQ33" i="55"/>
  <c r="HQ35" i="55"/>
  <c r="HQ34" i="55"/>
  <c r="HQ39" i="55"/>
  <c r="HQ38" i="55"/>
  <c r="HQ40" i="55"/>
  <c r="HQ36" i="55"/>
  <c r="HQ37" i="55"/>
  <c r="HQ41" i="55"/>
  <c r="HI41" i="55"/>
  <c r="HI39" i="55"/>
  <c r="HI35" i="55"/>
  <c r="HI34" i="55"/>
  <c r="HI40" i="55"/>
  <c r="HI36" i="55"/>
  <c r="HI37" i="55"/>
  <c r="HI33" i="55"/>
  <c r="HI38" i="55"/>
  <c r="HO35" i="55"/>
  <c r="HO37" i="55"/>
  <c r="HO41" i="55"/>
  <c r="HO33" i="55"/>
  <c r="HO34" i="55"/>
  <c r="HO40" i="55"/>
  <c r="HO38" i="55"/>
  <c r="HO36" i="55"/>
  <c r="HO39" i="55"/>
  <c r="HM35" i="55"/>
  <c r="HM41" i="55"/>
  <c r="HM40" i="55"/>
  <c r="HM37" i="55"/>
  <c r="HM34" i="55"/>
  <c r="HM39" i="55"/>
  <c r="HM33" i="55"/>
  <c r="HM36" i="55"/>
  <c r="HM38" i="55"/>
  <c r="HJ39" i="55"/>
  <c r="HJ36" i="55"/>
  <c r="HJ38" i="55"/>
  <c r="HJ41" i="55"/>
  <c r="HJ33" i="55"/>
  <c r="HJ34" i="55"/>
  <c r="HJ37" i="55"/>
  <c r="HJ40" i="55"/>
  <c r="HJ35" i="55"/>
  <c r="HL39" i="55"/>
  <c r="HL40" i="55"/>
  <c r="HL34" i="55"/>
  <c r="HL36" i="55"/>
  <c r="HL35" i="55"/>
  <c r="HL38" i="55"/>
  <c r="HL37" i="55"/>
  <c r="HL33" i="55"/>
  <c r="HL41" i="55"/>
  <c r="HN33" i="55"/>
  <c r="HN36" i="55"/>
  <c r="HN37" i="55"/>
  <c r="HN35" i="55"/>
  <c r="HN41" i="55"/>
  <c r="HN34" i="55"/>
  <c r="HN39" i="55"/>
  <c r="HN38" i="55"/>
  <c r="HN40" i="55"/>
  <c r="I1097" i="42" l="1"/>
  <c r="J1097" i="42"/>
  <c r="I1100" i="42"/>
  <c r="J1100" i="42"/>
  <c r="I1101" i="42"/>
  <c r="J1101" i="42"/>
  <c r="B1108" i="42" a="1"/>
  <c r="I1095" i="42"/>
  <c r="J1095" i="42"/>
  <c r="I1098" i="42"/>
  <c r="J1098" i="42"/>
  <c r="I1099" i="42"/>
  <c r="J1099" i="42"/>
  <c r="J1096" i="42"/>
  <c r="I1096" i="42"/>
  <c r="I1103" i="42"/>
  <c r="J1103" i="42"/>
  <c r="I1102" i="42"/>
  <c r="J1102" i="42"/>
  <c r="HR40" i="55"/>
  <c r="HR41" i="55"/>
  <c r="HR33" i="55"/>
  <c r="HR34" i="55"/>
  <c r="HR37" i="55"/>
  <c r="HR35" i="55"/>
  <c r="HR38" i="55"/>
  <c r="HR36" i="55"/>
  <c r="HR39" i="55"/>
  <c r="HU6" i="55" a="1"/>
  <c r="IA14" i="55" l="1"/>
  <c r="HV11" i="55"/>
  <c r="HZ7" i="55"/>
  <c r="HY12" i="55"/>
  <c r="IC8" i="55"/>
  <c r="IC14" i="55"/>
  <c r="HV10" i="55"/>
  <c r="IB14" i="55"/>
  <c r="HU10" i="55"/>
  <c r="HZ14" i="55"/>
  <c r="IC9" i="55"/>
  <c r="HY14" i="55"/>
  <c r="IA9" i="55"/>
  <c r="HU14" i="55"/>
  <c r="HW9" i="55"/>
  <c r="IA12" i="55"/>
  <c r="IC7" i="55"/>
  <c r="IB11" i="55"/>
  <c r="HZ10" i="55"/>
  <c r="HX8" i="55"/>
  <c r="HY9" i="55"/>
  <c r="IB13" i="55"/>
  <c r="HW10" i="55"/>
  <c r="IA6" i="55"/>
  <c r="HZ11" i="55"/>
  <c r="HU8" i="55"/>
  <c r="IA13" i="55"/>
  <c r="HU9" i="55"/>
  <c r="HZ13" i="55"/>
  <c r="IB8" i="55"/>
  <c r="HY13" i="55"/>
  <c r="IA8" i="55"/>
  <c r="HW13" i="55"/>
  <c r="HZ8" i="55"/>
  <c r="IB12" i="55"/>
  <c r="HV8" i="55"/>
  <c r="HY11" i="55"/>
  <c r="IB6" i="55"/>
  <c r="HU7" i="55"/>
  <c r="HX14" i="55"/>
  <c r="HU13" i="55"/>
  <c r="IC12" i="55"/>
  <c r="HX9" i="55"/>
  <c r="HW14" i="55"/>
  <c r="IA10" i="55"/>
  <c r="HV7" i="55"/>
  <c r="HZ12" i="55"/>
  <c r="IB7" i="55"/>
  <c r="HX12" i="55"/>
  <c r="IA7" i="55"/>
  <c r="HW12" i="55"/>
  <c r="HY7" i="55"/>
  <c r="HV12" i="55"/>
  <c r="HX7" i="55"/>
  <c r="IA11" i="55"/>
  <c r="IC6" i="55"/>
  <c r="HX10" i="55"/>
  <c r="IC11" i="55"/>
  <c r="IB10" i="55"/>
  <c r="HZ9" i="55"/>
  <c r="HW8" i="55"/>
  <c r="IB9" i="55"/>
  <c r="HW11" i="55"/>
  <c r="IC10" i="55"/>
  <c r="HV9" i="55"/>
  <c r="HV14" i="55"/>
  <c r="HX13" i="55"/>
  <c r="HX6" i="55"/>
  <c r="HV13" i="55"/>
  <c r="HU12" i="55"/>
  <c r="HW6" i="55"/>
  <c r="HY6" i="55"/>
  <c r="HV6" i="55"/>
  <c r="HW7" i="55"/>
  <c r="HY8" i="55"/>
  <c r="HX11" i="55"/>
  <c r="HU11" i="55"/>
  <c r="HY10" i="55"/>
  <c r="HU6" i="55"/>
  <c r="HZ6" i="55"/>
  <c r="IC13" i="55"/>
  <c r="K1099" i="42"/>
  <c r="L1099" i="42"/>
  <c r="K1096" i="42"/>
  <c r="L1096" i="42"/>
  <c r="K1100" i="42"/>
  <c r="L1100" i="42"/>
  <c r="K1103" i="42"/>
  <c r="L1103" i="42"/>
  <c r="L1095" i="42"/>
  <c r="K1095" i="42"/>
  <c r="I1104" i="42"/>
  <c r="L1098" i="42"/>
  <c r="K1098" i="42"/>
  <c r="B1116" i="42"/>
  <c r="G1116" i="42" s="1"/>
  <c r="B1112" i="42"/>
  <c r="G1112" i="42" s="1"/>
  <c r="B1108" i="42"/>
  <c r="G1108" i="42" s="1"/>
  <c r="B1115" i="42"/>
  <c r="G1115" i="42" s="1"/>
  <c r="B1111" i="42"/>
  <c r="G1111" i="42" s="1"/>
  <c r="B1109" i="42"/>
  <c r="G1109" i="42" s="1"/>
  <c r="B1114" i="42"/>
  <c r="G1114" i="42" s="1"/>
  <c r="B1113" i="42"/>
  <c r="G1113" i="42" s="1"/>
  <c r="B1110" i="42"/>
  <c r="G1110" i="42" s="1"/>
  <c r="L1102" i="42"/>
  <c r="K1102" i="42"/>
  <c r="J1104" i="42"/>
  <c r="K1101" i="42"/>
  <c r="L1101" i="42"/>
  <c r="L1097" i="42"/>
  <c r="K1097" i="42"/>
  <c r="HR43" i="55"/>
  <c r="HU19" i="55" a="1"/>
  <c r="HV28" i="55" l="1"/>
  <c r="HU24" i="55"/>
  <c r="HX26" i="55"/>
  <c r="IA28" i="55"/>
  <c r="HW19" i="55"/>
  <c r="HZ21" i="55"/>
  <c r="IC25" i="55"/>
  <c r="HX22" i="55"/>
  <c r="HX28" i="55"/>
  <c r="IB24" i="55"/>
  <c r="HW21" i="55"/>
  <c r="HX27" i="55"/>
  <c r="IB23" i="55"/>
  <c r="HW20" i="55"/>
  <c r="HV27" i="55"/>
  <c r="HZ23" i="55"/>
  <c r="HU20" i="55"/>
  <c r="HU27" i="55"/>
  <c r="HY23" i="55"/>
  <c r="IC19" i="55"/>
  <c r="HU26" i="55"/>
  <c r="HU21" i="55"/>
  <c r="HZ28" i="55"/>
  <c r="HU25" i="55"/>
  <c r="HY21" i="55"/>
  <c r="HY27" i="55"/>
  <c r="IC23" i="55"/>
  <c r="HX20" i="55"/>
  <c r="HY26" i="55"/>
  <c r="IC22" i="55"/>
  <c r="HX19" i="55"/>
  <c r="HW26" i="55"/>
  <c r="IA22" i="55"/>
  <c r="HV19" i="55"/>
  <c r="HV26" i="55"/>
  <c r="HZ22" i="55"/>
  <c r="HU19" i="55"/>
  <c r="HY28" i="55"/>
  <c r="HX23" i="55"/>
  <c r="IA27" i="55"/>
  <c r="HV24" i="55"/>
  <c r="HZ20" i="55"/>
  <c r="HZ26" i="55"/>
  <c r="HU23" i="55"/>
  <c r="HY19" i="55"/>
  <c r="HZ25" i="55"/>
  <c r="HU22" i="55"/>
  <c r="IC28" i="55"/>
  <c r="HX25" i="55"/>
  <c r="IB21" i="55"/>
  <c r="IB28" i="55"/>
  <c r="HW25" i="55"/>
  <c r="IA21" i="55"/>
  <c r="HX21" i="55"/>
  <c r="IB25" i="55"/>
  <c r="IB26" i="55"/>
  <c r="HW23" i="55"/>
  <c r="IA19" i="55"/>
  <c r="IA25" i="55"/>
  <c r="HV22" i="55"/>
  <c r="HW28" i="55"/>
  <c r="IA24" i="55"/>
  <c r="HV21" i="55"/>
  <c r="HU28" i="55"/>
  <c r="HY24" i="55"/>
  <c r="IC20" i="55"/>
  <c r="IC27" i="55"/>
  <c r="HX24" i="55"/>
  <c r="IB20" i="55"/>
  <c r="IA23" i="55"/>
  <c r="HW24" i="55"/>
  <c r="IC26" i="55"/>
  <c r="HV20" i="55"/>
  <c r="HV25" i="55"/>
  <c r="IB27" i="55"/>
  <c r="IA26" i="55"/>
  <c r="IB19" i="55"/>
  <c r="HY22" i="55"/>
  <c r="HZ27" i="55"/>
  <c r="IA20" i="55"/>
  <c r="HZ19" i="55"/>
  <c r="HW22" i="55"/>
  <c r="IC24" i="55"/>
  <c r="HY20" i="55"/>
  <c r="HV23" i="55"/>
  <c r="IC21" i="55"/>
  <c r="HZ24" i="55"/>
  <c r="HW27" i="55"/>
  <c r="IB22" i="55"/>
  <c r="HY25" i="55"/>
  <c r="J1112" i="42"/>
  <c r="I1112" i="42"/>
  <c r="J1108" i="42"/>
  <c r="I1108" i="42"/>
  <c r="I1109" i="42"/>
  <c r="J1109" i="42"/>
  <c r="I1110" i="42"/>
  <c r="J1110" i="42"/>
  <c r="J1111" i="42"/>
  <c r="I1111" i="42"/>
  <c r="J1116" i="42"/>
  <c r="I1116" i="42"/>
  <c r="K1104" i="42"/>
  <c r="O1096" i="42" s="1"/>
  <c r="J1114" i="42"/>
  <c r="I1114" i="42"/>
  <c r="I1113" i="42"/>
  <c r="J1113" i="42"/>
  <c r="I1115" i="42"/>
  <c r="J1115" i="42"/>
  <c r="L1104" i="42"/>
  <c r="O1095" i="42" s="1"/>
  <c r="O1097" i="42" l="1"/>
  <c r="N1099" i="42" s="1"/>
  <c r="L1113" i="42"/>
  <c r="K1113" i="42"/>
  <c r="K1108" i="42"/>
  <c r="I1117" i="42"/>
  <c r="L1108" i="42"/>
  <c r="L1114" i="42"/>
  <c r="K1114" i="42"/>
  <c r="L1110" i="42"/>
  <c r="K1110" i="42"/>
  <c r="J1117" i="42"/>
  <c r="L1116" i="42"/>
  <c r="K1116" i="42"/>
  <c r="L1115" i="42"/>
  <c r="K1115" i="42"/>
  <c r="K1111" i="42"/>
  <c r="L1111" i="42"/>
  <c r="L1112" i="42"/>
  <c r="K1112" i="42"/>
  <c r="L1109" i="42"/>
  <c r="K1109" i="42"/>
  <c r="HX39" i="55"/>
  <c r="HX40" i="55"/>
  <c r="HX37" i="55"/>
  <c r="HX41" i="55"/>
  <c r="HX33" i="55"/>
  <c r="HX35" i="55"/>
  <c r="HX36" i="55"/>
  <c r="HX38" i="55"/>
  <c r="HX34" i="55"/>
  <c r="HU37" i="55"/>
  <c r="HU40" i="55"/>
  <c r="HU38" i="55"/>
  <c r="HU33" i="55"/>
  <c r="HU35" i="55"/>
  <c r="HU41" i="55"/>
  <c r="HU39" i="55"/>
  <c r="HU36" i="55"/>
  <c r="HU34" i="55"/>
  <c r="HY40" i="55"/>
  <c r="HY36" i="55"/>
  <c r="HY37" i="55"/>
  <c r="HY38" i="55"/>
  <c r="HY35" i="55"/>
  <c r="HY39" i="55"/>
  <c r="HY41" i="55"/>
  <c r="HY34" i="55"/>
  <c r="HY33" i="55"/>
  <c r="HV39" i="55"/>
  <c r="HV36" i="55"/>
  <c r="HV37" i="55"/>
  <c r="HV34" i="55"/>
  <c r="HV35" i="55"/>
  <c r="HV41" i="55"/>
  <c r="HV38" i="55"/>
  <c r="HV33" i="55"/>
  <c r="HV40" i="55"/>
  <c r="IB38" i="55"/>
  <c r="IB35" i="55"/>
  <c r="IB39" i="55"/>
  <c r="IB33" i="55"/>
  <c r="IB37" i="55"/>
  <c r="IB34" i="55"/>
  <c r="IB40" i="55"/>
  <c r="IB41" i="55"/>
  <c r="IB36" i="55"/>
  <c r="IA41" i="55"/>
  <c r="IA40" i="55"/>
  <c r="IA37" i="55"/>
  <c r="IA38" i="55"/>
  <c r="IA36" i="55"/>
  <c r="IA39" i="55"/>
  <c r="IA33" i="55"/>
  <c r="IA34" i="55"/>
  <c r="IA35" i="55"/>
  <c r="HW36" i="55"/>
  <c r="HW35" i="55"/>
  <c r="HW37" i="55"/>
  <c r="HW34" i="55"/>
  <c r="HW38" i="55"/>
  <c r="HW41" i="55"/>
  <c r="HW40" i="55"/>
  <c r="HW33" i="55"/>
  <c r="HW39" i="55"/>
  <c r="IC39" i="55"/>
  <c r="IC33" i="55"/>
  <c r="IC37" i="55"/>
  <c r="IC40" i="55"/>
  <c r="IC35" i="55"/>
  <c r="IC36" i="55"/>
  <c r="IC38" i="55"/>
  <c r="IC41" i="55"/>
  <c r="IC34" i="55"/>
  <c r="HZ41" i="55"/>
  <c r="HZ34" i="55"/>
  <c r="HZ39" i="55"/>
  <c r="HZ36" i="55"/>
  <c r="HZ38" i="55"/>
  <c r="HZ35" i="55"/>
  <c r="HZ33" i="55"/>
  <c r="HZ40" i="55"/>
  <c r="HZ37" i="55"/>
  <c r="N1100" i="42" l="1"/>
  <c r="O1099" i="42" s="1"/>
  <c r="Q1095" i="42" s="1" a="1"/>
  <c r="K1117" i="42"/>
  <c r="O1109" i="42" s="1"/>
  <c r="O1100" i="42"/>
  <c r="L1117" i="42"/>
  <c r="O1108" i="42" s="1"/>
  <c r="ID38" i="55"/>
  <c r="ID41" i="55"/>
  <c r="ID40" i="55"/>
  <c r="ID39" i="55"/>
  <c r="ID34" i="55"/>
  <c r="ID35" i="55"/>
  <c r="ID37" i="55"/>
  <c r="ID36" i="55"/>
  <c r="ID33" i="55"/>
  <c r="IG6" i="55" a="1"/>
  <c r="IM12" i="55" l="1"/>
  <c r="IH9" i="55"/>
  <c r="IO14" i="55"/>
  <c r="IJ11" i="55"/>
  <c r="IN7" i="55"/>
  <c r="IO12" i="55"/>
  <c r="IH8" i="55"/>
  <c r="IL11" i="55"/>
  <c r="IN6" i="55"/>
  <c r="II10" i="55"/>
  <c r="IN14" i="55"/>
  <c r="IH10" i="55"/>
  <c r="IJ14" i="55"/>
  <c r="IM9" i="55"/>
  <c r="II14" i="55"/>
  <c r="IK9" i="55"/>
  <c r="IL7" i="55"/>
  <c r="IJ6" i="55"/>
  <c r="IO9" i="55"/>
  <c r="IL8" i="55"/>
  <c r="IL13" i="55"/>
  <c r="IK6" i="55"/>
  <c r="IM8" i="55"/>
  <c r="IJ9" i="55"/>
  <c r="IG8" i="55"/>
  <c r="IM6" i="55"/>
  <c r="IL6" i="55"/>
  <c r="IH6" i="55"/>
  <c r="IJ12" i="55"/>
  <c r="IM14" i="55"/>
  <c r="IN11" i="55"/>
  <c r="II8" i="55"/>
  <c r="IG14" i="55"/>
  <c r="IK10" i="55"/>
  <c r="IO6" i="55"/>
  <c r="IM11" i="55"/>
  <c r="IG7" i="55"/>
  <c r="IJ10" i="55"/>
  <c r="IN13" i="55"/>
  <c r="IG9" i="55"/>
  <c r="IM13" i="55"/>
  <c r="IO8" i="55"/>
  <c r="II13" i="55"/>
  <c r="IK8" i="55"/>
  <c r="IG13" i="55"/>
  <c r="IJ8" i="55"/>
  <c r="IH12" i="55"/>
  <c r="IG11" i="55"/>
  <c r="IK13" i="55"/>
  <c r="IL14" i="55"/>
  <c r="IK14" i="55"/>
  <c r="IO10" i="55"/>
  <c r="IJ7" i="55"/>
  <c r="IH13" i="55"/>
  <c r="IL9" i="55"/>
  <c r="IG6" i="55"/>
  <c r="IL10" i="55"/>
  <c r="IO13" i="55"/>
  <c r="II9" i="55"/>
  <c r="IL12" i="55"/>
  <c r="IO7" i="55"/>
  <c r="IK12" i="55"/>
  <c r="IM7" i="55"/>
  <c r="IG12" i="55"/>
  <c r="II7" i="55"/>
  <c r="IO11" i="55"/>
  <c r="IH7" i="55"/>
  <c r="IK7" i="55"/>
  <c r="II6" i="55"/>
  <c r="IN8" i="55"/>
  <c r="IN9" i="55"/>
  <c r="IG10" i="55"/>
  <c r="II12" i="55"/>
  <c r="IH14" i="55"/>
  <c r="IN12" i="55"/>
  <c r="IK11" i="55"/>
  <c r="II11" i="55"/>
  <c r="IN10" i="55"/>
  <c r="IM10" i="55"/>
  <c r="IH11" i="55"/>
  <c r="IJ13" i="55"/>
  <c r="O1110" i="42"/>
  <c r="N1113" i="42" s="1"/>
  <c r="O1112" i="42" s="1"/>
  <c r="Q1102" i="42"/>
  <c r="Q1100" i="42"/>
  <c r="Q1098" i="42"/>
  <c r="Q1096" i="42"/>
  <c r="R1103" i="42"/>
  <c r="R1101" i="42"/>
  <c r="R1099" i="42"/>
  <c r="R1097" i="42"/>
  <c r="R1095" i="42"/>
  <c r="R1102" i="42"/>
  <c r="R1098" i="42"/>
  <c r="Q1101" i="42"/>
  <c r="Q1097" i="42"/>
  <c r="Q1099" i="42"/>
  <c r="R1096" i="42"/>
  <c r="Q1103" i="42"/>
  <c r="Q1095" i="42"/>
  <c r="R1100" i="42"/>
  <c r="ID43" i="55"/>
  <c r="IG19" i="55" a="1"/>
  <c r="IL28" i="55" l="1"/>
  <c r="IL22" i="55"/>
  <c r="IG22" i="55"/>
  <c r="IJ28" i="55"/>
  <c r="IK27" i="55"/>
  <c r="IG26" i="55"/>
  <c r="IJ26" i="55"/>
  <c r="II23" i="55"/>
  <c r="IK19" i="55"/>
  <c r="IM23" i="55"/>
  <c r="IM24" i="55"/>
  <c r="IH20" i="55"/>
  <c r="IG21" i="55"/>
  <c r="II25" i="55"/>
  <c r="IM20" i="55"/>
  <c r="IJ20" i="55"/>
  <c r="IG23" i="55"/>
  <c r="IM25" i="55"/>
  <c r="IO28" i="55"/>
  <c r="IJ25" i="55"/>
  <c r="IN21" i="55"/>
  <c r="IH25" i="55"/>
  <c r="IH21" i="55"/>
  <c r="IO26" i="55"/>
  <c r="IO22" i="55"/>
  <c r="IH19" i="55"/>
  <c r="IN24" i="55"/>
  <c r="IN20" i="55"/>
  <c r="IM27" i="55"/>
  <c r="IK23" i="55"/>
  <c r="IM19" i="55"/>
  <c r="IK25" i="55"/>
  <c r="IJ21" i="55"/>
  <c r="IG24" i="55"/>
  <c r="IG27" i="55"/>
  <c r="IG25" i="55"/>
  <c r="IG28" i="55"/>
  <c r="IK24" i="55"/>
  <c r="IK28" i="55"/>
  <c r="IH24" i="55"/>
  <c r="II20" i="55"/>
  <c r="IO25" i="55"/>
  <c r="IO21" i="55"/>
  <c r="IO27" i="55"/>
  <c r="IN23" i="55"/>
  <c r="IO19" i="55"/>
  <c r="IL26" i="55"/>
  <c r="IK22" i="55"/>
  <c r="IM28" i="55"/>
  <c r="IJ24" i="55"/>
  <c r="IK20" i="55"/>
  <c r="IM26" i="55"/>
  <c r="II19" i="55"/>
  <c r="IN27" i="55"/>
  <c r="II28" i="55"/>
  <c r="IH27" i="55"/>
  <c r="IL23" i="55"/>
  <c r="II27" i="55"/>
  <c r="IH23" i="55"/>
  <c r="IJ19" i="55"/>
  <c r="IO24" i="55"/>
  <c r="IO20" i="55"/>
  <c r="IN26" i="55"/>
  <c r="IN22" i="55"/>
  <c r="IG19" i="55"/>
  <c r="IL25" i="55"/>
  <c r="IK21" i="55"/>
  <c r="IL27" i="55"/>
  <c r="IJ23" i="55"/>
  <c r="IL19" i="55"/>
  <c r="IL21" i="55"/>
  <c r="IN19" i="55"/>
  <c r="IJ27" i="55"/>
  <c r="II26" i="55"/>
  <c r="IM22" i="55"/>
  <c r="IH26" i="55"/>
  <c r="IH22" i="55"/>
  <c r="IH28" i="55"/>
  <c r="IO23" i="55"/>
  <c r="IG20" i="55"/>
  <c r="IN25" i="55"/>
  <c r="IM21" i="55"/>
  <c r="IN28" i="55"/>
  <c r="IL24" i="55"/>
  <c r="IL20" i="55"/>
  <c r="IK26" i="55"/>
  <c r="IJ22" i="55"/>
  <c r="II21" i="55"/>
  <c r="II24" i="55"/>
  <c r="II22" i="55"/>
  <c r="N1112" i="42"/>
  <c r="O1113" i="42" s="1"/>
  <c r="D1108" i="42" a="1"/>
  <c r="D1116" i="42" s="1"/>
  <c r="C1108" i="42" a="1"/>
  <c r="C1109" i="42" s="1"/>
  <c r="Q1108" i="42" l="1" a="1"/>
  <c r="R1115" i="42" s="1"/>
  <c r="C1110" i="42"/>
  <c r="C1114" i="42"/>
  <c r="C1116" i="42"/>
  <c r="D1113" i="42"/>
  <c r="C1112" i="42"/>
  <c r="D1115" i="42"/>
  <c r="C1115" i="42"/>
  <c r="D1109" i="42"/>
  <c r="D1108" i="42"/>
  <c r="C1108" i="42"/>
  <c r="C1113" i="42"/>
  <c r="D1110" i="42"/>
  <c r="D1112" i="42"/>
  <c r="C1111" i="42"/>
  <c r="D1114" i="42"/>
  <c r="D1111" i="42"/>
  <c r="IL35" i="55"/>
  <c r="IL39" i="55"/>
  <c r="IL34" i="55"/>
  <c r="IL33" i="55"/>
  <c r="IL38" i="55"/>
  <c r="IL36" i="55"/>
  <c r="IL37" i="55"/>
  <c r="IL40" i="55"/>
  <c r="IL41" i="55"/>
  <c r="IH34" i="55"/>
  <c r="IH38" i="55"/>
  <c r="IH33" i="55"/>
  <c r="IH41" i="55"/>
  <c r="IH40" i="55"/>
  <c r="IH35" i="55"/>
  <c r="IH39" i="55"/>
  <c r="IH37" i="55"/>
  <c r="IH36" i="55"/>
  <c r="IM33" i="55"/>
  <c r="IM37" i="55"/>
  <c r="IM36" i="55"/>
  <c r="IM38" i="55"/>
  <c r="IM34" i="55"/>
  <c r="IM41" i="55"/>
  <c r="IM39" i="55"/>
  <c r="IM35" i="55"/>
  <c r="IM40" i="55"/>
  <c r="IJ34" i="55"/>
  <c r="IJ33" i="55"/>
  <c r="IJ36" i="55"/>
  <c r="IJ37" i="55"/>
  <c r="IJ38" i="55"/>
  <c r="IJ41" i="55"/>
  <c r="IJ39" i="55"/>
  <c r="IJ40" i="55"/>
  <c r="IJ35" i="55"/>
  <c r="II33" i="55"/>
  <c r="II36" i="55"/>
  <c r="II40" i="55"/>
  <c r="II34" i="55"/>
  <c r="II39" i="55"/>
  <c r="II37" i="55"/>
  <c r="II38" i="55"/>
  <c r="II41" i="55"/>
  <c r="II35" i="55"/>
  <c r="IN40" i="55"/>
  <c r="IN36" i="55"/>
  <c r="IN34" i="55"/>
  <c r="IN38" i="55"/>
  <c r="IN35" i="55"/>
  <c r="IN41" i="55"/>
  <c r="IN39" i="55"/>
  <c r="IN33" i="55"/>
  <c r="IN37" i="55"/>
  <c r="IK38" i="55"/>
  <c r="IK35" i="55"/>
  <c r="IK33" i="55"/>
  <c r="IK34" i="55"/>
  <c r="IK37" i="55"/>
  <c r="IK39" i="55"/>
  <c r="IK36" i="55"/>
  <c r="IK41" i="55"/>
  <c r="IK40" i="55"/>
  <c r="IG39" i="55"/>
  <c r="IG35" i="55"/>
  <c r="IG37" i="55"/>
  <c r="IG41" i="55"/>
  <c r="IG40" i="55"/>
  <c r="IG33" i="55"/>
  <c r="IG36" i="55"/>
  <c r="IG38" i="55"/>
  <c r="IG34" i="55"/>
  <c r="IO41" i="55"/>
  <c r="IO40" i="55"/>
  <c r="IO35" i="55"/>
  <c r="IO39" i="55"/>
  <c r="IO36" i="55"/>
  <c r="IO34" i="55"/>
  <c r="IO33" i="55"/>
  <c r="IO37" i="55"/>
  <c r="IO38" i="55"/>
  <c r="Q1108" i="42" l="1"/>
  <c r="R1111" i="42"/>
  <c r="R1114" i="42"/>
  <c r="Q1116" i="42"/>
  <c r="Q1111" i="42"/>
  <c r="R1116" i="42"/>
  <c r="Q1109" i="42"/>
  <c r="Q1113" i="42"/>
  <c r="R1108" i="42"/>
  <c r="Q1115" i="42"/>
  <c r="R1112" i="42"/>
  <c r="R1109" i="42"/>
  <c r="R1110" i="42"/>
  <c r="Q1110" i="42"/>
  <c r="R1113" i="42"/>
  <c r="Q1112" i="42"/>
  <c r="Q1114" i="42"/>
  <c r="C1121" i="42" a="1"/>
  <c r="C1128" i="42" s="1"/>
  <c r="G1128" i="42" s="1"/>
  <c r="D1121" i="42" a="1"/>
  <c r="D1126" i="42" s="1"/>
  <c r="IP40" i="55"/>
  <c r="IP34" i="55"/>
  <c r="IP39" i="55"/>
  <c r="IP38" i="55"/>
  <c r="IP41" i="55"/>
  <c r="IP36" i="55"/>
  <c r="IP37" i="55"/>
  <c r="IP33" i="55"/>
  <c r="IP35" i="55"/>
  <c r="IS6" i="55" a="1"/>
  <c r="IV13" i="55" l="1"/>
  <c r="IZ9" i="55"/>
  <c r="IU6" i="55"/>
  <c r="IS12" i="55"/>
  <c r="IW8" i="55"/>
  <c r="IU13" i="55"/>
  <c r="IX8" i="55"/>
  <c r="IT13" i="55"/>
  <c r="IV8" i="55"/>
  <c r="IS13" i="55"/>
  <c r="IU8" i="55"/>
  <c r="IY11" i="55"/>
  <c r="JA6" i="55"/>
  <c r="IU11" i="55"/>
  <c r="IW6" i="55"/>
  <c r="IS11" i="55"/>
  <c r="IV6" i="55"/>
  <c r="IZ7" i="55"/>
  <c r="IX6" i="55"/>
  <c r="IY13" i="55"/>
  <c r="IW12" i="55"/>
  <c r="JA8" i="55"/>
  <c r="IY14" i="55"/>
  <c r="IT11" i="55"/>
  <c r="IX7" i="55"/>
  <c r="IT12" i="55"/>
  <c r="IV7" i="55"/>
  <c r="JA11" i="55"/>
  <c r="IU7" i="55"/>
  <c r="IZ11" i="55"/>
  <c r="IS7" i="55"/>
  <c r="IW10" i="55"/>
  <c r="IZ14" i="55"/>
  <c r="IS10" i="55"/>
  <c r="IX14" i="55"/>
  <c r="JA9" i="55"/>
  <c r="IY12" i="55"/>
  <c r="IW11" i="55"/>
  <c r="IV10" i="55"/>
  <c r="IS9" i="55"/>
  <c r="IX11" i="55"/>
  <c r="IS8" i="55"/>
  <c r="IZ13" i="55"/>
  <c r="IU10" i="55"/>
  <c r="IY6" i="55"/>
  <c r="JA10" i="55"/>
  <c r="IT6" i="55"/>
  <c r="IZ10" i="55"/>
  <c r="IS6" i="55"/>
  <c r="IX10" i="55"/>
  <c r="IS14" i="55"/>
  <c r="IU9" i="55"/>
  <c r="IX13" i="55"/>
  <c r="IZ8" i="55"/>
  <c r="IW13" i="55"/>
  <c r="IY8" i="55"/>
  <c r="JA7" i="55"/>
  <c r="IZ6" i="55"/>
  <c r="JA13" i="55"/>
  <c r="JA14" i="55"/>
  <c r="IU14" i="55"/>
  <c r="IV9" i="55"/>
  <c r="IX9" i="55"/>
  <c r="IT8" i="55"/>
  <c r="IW7" i="55"/>
  <c r="IT10" i="55"/>
  <c r="IV14" i="55"/>
  <c r="IU12" i="55"/>
  <c r="IY10" i="55"/>
  <c r="IW14" i="55"/>
  <c r="IT14" i="55"/>
  <c r="IV12" i="55"/>
  <c r="IX12" i="55"/>
  <c r="IT7" i="55"/>
  <c r="IY9" i="55"/>
  <c r="IW9" i="55"/>
  <c r="IY7" i="55"/>
  <c r="IV11" i="55"/>
  <c r="JA12" i="55"/>
  <c r="IZ12" i="55"/>
  <c r="IT9" i="55"/>
  <c r="A1121" i="42" a="1"/>
  <c r="A1127" i="42" s="1"/>
  <c r="F1127" i="42" s="1"/>
  <c r="B1121" i="42" a="1"/>
  <c r="B1126" i="42" s="1"/>
  <c r="C1122" i="42"/>
  <c r="G1122" i="42" s="1"/>
  <c r="C1126" i="42"/>
  <c r="G1126" i="42" s="1"/>
  <c r="C1121" i="42"/>
  <c r="G1121" i="42" s="1"/>
  <c r="D1125" i="42"/>
  <c r="C1129" i="42"/>
  <c r="G1129" i="42" s="1"/>
  <c r="C1127" i="42"/>
  <c r="G1127" i="42" s="1"/>
  <c r="C1123" i="42"/>
  <c r="G1123" i="42" s="1"/>
  <c r="D1122" i="42"/>
  <c r="C1125" i="42"/>
  <c r="G1125" i="42" s="1"/>
  <c r="C1124" i="42"/>
  <c r="G1124" i="42" s="1"/>
  <c r="D1128" i="42"/>
  <c r="D1124" i="42"/>
  <c r="D1123" i="42"/>
  <c r="D1129" i="42"/>
  <c r="D1127" i="42"/>
  <c r="D1121" i="42"/>
  <c r="B1125" i="42"/>
  <c r="A1128" i="42"/>
  <c r="F1128" i="42" s="1"/>
  <c r="A1124" i="42"/>
  <c r="F1124" i="42" s="1"/>
  <c r="A1123" i="42"/>
  <c r="F1123" i="42" s="1"/>
  <c r="A1122" i="42"/>
  <c r="F1122" i="42" s="1"/>
  <c r="A1129" i="42"/>
  <c r="F1129" i="42" s="1"/>
  <c r="A1126" i="42"/>
  <c r="F1126" i="42" s="1"/>
  <c r="A1125" i="42"/>
  <c r="F1125" i="42" s="1"/>
  <c r="IP43" i="55"/>
  <c r="IS19" i="55" a="1"/>
  <c r="IV25" i="55" l="1"/>
  <c r="IV19" i="55"/>
  <c r="IW26" i="55"/>
  <c r="IW22" i="55"/>
  <c r="IZ28" i="55"/>
  <c r="IU25" i="55"/>
  <c r="IY21" i="55"/>
  <c r="IX28" i="55"/>
  <c r="IS25" i="55"/>
  <c r="IW21" i="55"/>
  <c r="IY26" i="55"/>
  <c r="IX26" i="55"/>
  <c r="JA21" i="55"/>
  <c r="IV26" i="55"/>
  <c r="IX21" i="55"/>
  <c r="JA27" i="55"/>
  <c r="IV24" i="55"/>
  <c r="IZ20" i="55"/>
  <c r="IY27" i="55"/>
  <c r="IT24" i="55"/>
  <c r="IX20" i="55"/>
  <c r="IX25" i="55"/>
  <c r="IW25" i="55"/>
  <c r="IY20" i="55"/>
  <c r="IT25" i="55"/>
  <c r="IV20" i="55"/>
  <c r="JA28" i="55"/>
  <c r="IS27" i="55"/>
  <c r="IW23" i="55"/>
  <c r="JA19" i="55"/>
  <c r="IZ26" i="55"/>
  <c r="IU23" i="55"/>
  <c r="IY19" i="55"/>
  <c r="IW24" i="55"/>
  <c r="IU24" i="55"/>
  <c r="IW19" i="55"/>
  <c r="JA23" i="55"/>
  <c r="IZ21" i="55"/>
  <c r="IS28" i="55"/>
  <c r="IT26" i="55"/>
  <c r="IX22" i="55"/>
  <c r="IS19" i="55"/>
  <c r="JA25" i="55"/>
  <c r="IV22" i="55"/>
  <c r="IT28" i="55"/>
  <c r="IZ27" i="55"/>
  <c r="IS23" i="55"/>
  <c r="IW27" i="55"/>
  <c r="IZ22" i="55"/>
  <c r="IY28" i="55"/>
  <c r="IU19" i="55"/>
  <c r="IZ23" i="55"/>
  <c r="IT19" i="55"/>
  <c r="IY24" i="55"/>
  <c r="IS20" i="55"/>
  <c r="IX24" i="55"/>
  <c r="IZ19" i="55"/>
  <c r="IU27" i="55"/>
  <c r="IW20" i="55"/>
  <c r="IV27" i="55"/>
  <c r="IY22" i="55"/>
  <c r="IV28" i="55"/>
  <c r="IX23" i="55"/>
  <c r="IU28" i="55"/>
  <c r="IV23" i="55"/>
  <c r="IS22" i="55"/>
  <c r="IT20" i="55"/>
  <c r="IY23" i="55"/>
  <c r="IU21" i="55"/>
  <c r="IU26" i="55"/>
  <c r="IV21" i="55"/>
  <c r="IT27" i="55"/>
  <c r="IU22" i="55"/>
  <c r="JA26" i="55"/>
  <c r="IT22" i="55"/>
  <c r="IS26" i="55"/>
  <c r="IX19" i="55"/>
  <c r="IT23" i="55"/>
  <c r="IW28" i="55"/>
  <c r="JA20" i="55"/>
  <c r="IZ24" i="55"/>
  <c r="JA24" i="55"/>
  <c r="IU20" i="55"/>
  <c r="IZ25" i="55"/>
  <c r="IT21" i="55"/>
  <c r="IY25" i="55"/>
  <c r="IS21" i="55"/>
  <c r="JA22" i="55"/>
  <c r="IX27" i="55"/>
  <c r="IS24" i="55"/>
  <c r="B1124" i="42"/>
  <c r="A1121" i="42"/>
  <c r="B1127" i="42"/>
  <c r="B1128" i="42"/>
  <c r="B1121" i="42"/>
  <c r="B1129" i="42"/>
  <c r="B1122" i="42"/>
  <c r="B1123" i="42"/>
  <c r="B1134" i="42" s="1" a="1"/>
  <c r="D1134" i="42" a="1"/>
  <c r="D1140" i="42" s="1"/>
  <c r="G1140" i="42" s="1"/>
  <c r="B1131" i="42"/>
  <c r="F1121" i="42"/>
  <c r="I1127" i="42"/>
  <c r="J1127" i="42"/>
  <c r="I1129" i="42"/>
  <c r="J1129" i="42"/>
  <c r="J1124" i="42"/>
  <c r="I1124" i="42"/>
  <c r="I1125" i="42"/>
  <c r="J1125" i="42"/>
  <c r="I1122" i="42"/>
  <c r="J1122" i="42"/>
  <c r="J1128" i="42"/>
  <c r="I1128" i="42"/>
  <c r="I1126" i="42"/>
  <c r="J1126" i="42"/>
  <c r="J1123" i="42"/>
  <c r="I1123" i="42"/>
  <c r="D1142" i="42" l="1"/>
  <c r="G1142" i="42" s="1"/>
  <c r="D1135" i="42"/>
  <c r="G1135" i="42" s="1"/>
  <c r="D1134" i="42"/>
  <c r="G1134" i="42" s="1"/>
  <c r="D1139" i="42"/>
  <c r="G1139" i="42" s="1"/>
  <c r="D1138" i="42"/>
  <c r="G1138" i="42" s="1"/>
  <c r="D1136" i="42"/>
  <c r="G1136" i="42" s="1"/>
  <c r="D1137" i="42"/>
  <c r="G1137" i="42" s="1"/>
  <c r="D1141" i="42"/>
  <c r="G1141" i="42" s="1"/>
  <c r="B1140" i="42"/>
  <c r="B1136" i="42"/>
  <c r="B1139" i="42"/>
  <c r="B1135" i="42"/>
  <c r="B1137" i="42"/>
  <c r="B1142" i="42"/>
  <c r="B1134" i="42"/>
  <c r="B1138" i="42"/>
  <c r="B1141" i="42"/>
  <c r="L1126" i="42"/>
  <c r="K1126" i="42"/>
  <c r="L1122" i="42"/>
  <c r="K1122" i="42"/>
  <c r="L1123" i="42"/>
  <c r="K1123" i="42"/>
  <c r="K1128" i="42"/>
  <c r="L1128" i="42"/>
  <c r="L1127" i="42"/>
  <c r="K1127" i="42"/>
  <c r="L1125" i="42"/>
  <c r="K1125" i="42"/>
  <c r="L1129" i="42"/>
  <c r="K1129" i="42"/>
  <c r="J1121" i="42"/>
  <c r="J1130" i="42" s="1"/>
  <c r="I1121" i="42"/>
  <c r="K1124" i="42"/>
  <c r="L1124" i="42"/>
  <c r="IW40" i="55"/>
  <c r="IW39" i="55"/>
  <c r="IW35" i="55"/>
  <c r="IW33" i="55"/>
  <c r="IW34" i="55"/>
  <c r="IW36" i="55"/>
  <c r="IW41" i="55"/>
  <c r="IW37" i="55"/>
  <c r="IW38" i="55"/>
  <c r="IZ33" i="55"/>
  <c r="IZ35" i="55"/>
  <c r="IZ38" i="55"/>
  <c r="IZ41" i="55"/>
  <c r="IZ36" i="55"/>
  <c r="IZ39" i="55"/>
  <c r="IZ40" i="55"/>
  <c r="IZ37" i="55"/>
  <c r="IZ34" i="55"/>
  <c r="JA37" i="55"/>
  <c r="JA40" i="55"/>
  <c r="JA39" i="55"/>
  <c r="JA33" i="55"/>
  <c r="JA36" i="55"/>
  <c r="JA41" i="55"/>
  <c r="JA34" i="55"/>
  <c r="JA38" i="55"/>
  <c r="JA35" i="55"/>
  <c r="IS34" i="55"/>
  <c r="IS40" i="55"/>
  <c r="IS36" i="55"/>
  <c r="IS38" i="55"/>
  <c r="IS41" i="55"/>
  <c r="IS33" i="55"/>
  <c r="IS39" i="55"/>
  <c r="IS35" i="55"/>
  <c r="IS37" i="55"/>
  <c r="IU33" i="55"/>
  <c r="IU34" i="55"/>
  <c r="IU35" i="55"/>
  <c r="IU36" i="55"/>
  <c r="IU41" i="55"/>
  <c r="IU37" i="55"/>
  <c r="IU39" i="55"/>
  <c r="IU38" i="55"/>
  <c r="IU40" i="55"/>
  <c r="IT40" i="55"/>
  <c r="IT37" i="55"/>
  <c r="IT36" i="55"/>
  <c r="IT34" i="55"/>
  <c r="IT38" i="55"/>
  <c r="IT35" i="55"/>
  <c r="IT41" i="55"/>
  <c r="IT33" i="55"/>
  <c r="IT39" i="55"/>
  <c r="IX40" i="55"/>
  <c r="IX37" i="55"/>
  <c r="IX35" i="55"/>
  <c r="IX38" i="55"/>
  <c r="IX39" i="55"/>
  <c r="IX33" i="55"/>
  <c r="IX36" i="55"/>
  <c r="IX41" i="55"/>
  <c r="IX34" i="55"/>
  <c r="IV39" i="55"/>
  <c r="IV38" i="55"/>
  <c r="IV36" i="55"/>
  <c r="IV37" i="55"/>
  <c r="IV41" i="55"/>
  <c r="IV33" i="55"/>
  <c r="IV40" i="55"/>
  <c r="IV35" i="55"/>
  <c r="IV34" i="55"/>
  <c r="IY35" i="55"/>
  <c r="IY33" i="55"/>
  <c r="IY40" i="55"/>
  <c r="IY39" i="55"/>
  <c r="IY34" i="55"/>
  <c r="IY36" i="55"/>
  <c r="IY41" i="55"/>
  <c r="IY37" i="55"/>
  <c r="IY38" i="55"/>
  <c r="B1147" i="42" l="1" a="1"/>
  <c r="I1130" i="42"/>
  <c r="K1121" i="42"/>
  <c r="K1130" i="42" s="1"/>
  <c r="L1121" i="42"/>
  <c r="L1130" i="42" s="1"/>
  <c r="JB37" i="55"/>
  <c r="JB34" i="55"/>
  <c r="JB35" i="55"/>
  <c r="JB38" i="55"/>
  <c r="JB39" i="55"/>
  <c r="JB36" i="55"/>
  <c r="JB41" i="55"/>
  <c r="JB33" i="55"/>
  <c r="JB40" i="55"/>
  <c r="JE6" i="55" a="1"/>
  <c r="JH13" i="55" l="1"/>
  <c r="JL9" i="55"/>
  <c r="JE14" i="55"/>
  <c r="JI10" i="55"/>
  <c r="JM6" i="55"/>
  <c r="JE13" i="55"/>
  <c r="JJ13" i="55"/>
  <c r="JE10" i="55"/>
  <c r="JI6" i="55"/>
  <c r="JG9" i="55"/>
  <c r="JE12" i="55"/>
  <c r="JH6" i="55"/>
  <c r="JL8" i="55"/>
  <c r="JK11" i="55"/>
  <c r="JF6" i="55"/>
  <c r="JI9" i="55"/>
  <c r="JJ12" i="55"/>
  <c r="JK6" i="55"/>
  <c r="JG13" i="55"/>
  <c r="JI11" i="55"/>
  <c r="JK10" i="55"/>
  <c r="JH11" i="55"/>
  <c r="JM13" i="55"/>
  <c r="JM10" i="55"/>
  <c r="JJ10" i="55"/>
  <c r="JG10" i="55"/>
  <c r="JG7" i="55"/>
  <c r="JH14" i="55"/>
  <c r="JH8" i="55"/>
  <c r="JF11" i="55"/>
  <c r="JI12" i="55"/>
  <c r="JM8" i="55"/>
  <c r="JF13" i="55"/>
  <c r="JJ9" i="55"/>
  <c r="JE6" i="55"/>
  <c r="JF12" i="55"/>
  <c r="JK12" i="55"/>
  <c r="JF9" i="55"/>
  <c r="JF14" i="55"/>
  <c r="JK7" i="55"/>
  <c r="JH10" i="55"/>
  <c r="JK13" i="55"/>
  <c r="JI7" i="55"/>
  <c r="JF10" i="55"/>
  <c r="JJ14" i="55"/>
  <c r="JF8" i="55"/>
  <c r="JL10" i="55"/>
  <c r="JI8" i="55"/>
  <c r="JF7" i="55"/>
  <c r="JM9" i="55"/>
  <c r="JJ7" i="55"/>
  <c r="JJ11" i="55"/>
  <c r="JE8" i="55"/>
  <c r="JG12" i="55"/>
  <c r="JK8" i="55"/>
  <c r="JL14" i="55"/>
  <c r="JG11" i="55"/>
  <c r="JL11" i="55"/>
  <c r="JG8" i="55"/>
  <c r="JH12" i="55"/>
  <c r="JJ6" i="55"/>
  <c r="JE9" i="55"/>
  <c r="JM11" i="55"/>
  <c r="JG6" i="55"/>
  <c r="JJ8" i="55"/>
  <c r="JL12" i="55"/>
  <c r="JL6" i="55"/>
  <c r="JH9" i="55"/>
  <c r="JK14" i="55"/>
  <c r="JM12" i="55"/>
  <c r="JK9" i="55"/>
  <c r="JG14" i="55"/>
  <c r="JM14" i="55"/>
  <c r="JL7" i="55"/>
  <c r="JI14" i="55"/>
  <c r="JH7" i="55"/>
  <c r="JL13" i="55"/>
  <c r="JI13" i="55"/>
  <c r="JE11" i="55"/>
  <c r="JM7" i="55"/>
  <c r="JE7" i="55"/>
  <c r="JB43" i="55"/>
  <c r="O1122" i="42"/>
  <c r="O1121" i="42"/>
  <c r="B1154" i="42"/>
  <c r="F1154" i="42" s="1"/>
  <c r="B1150" i="42"/>
  <c r="F1150" i="42" s="1"/>
  <c r="B1153" i="42"/>
  <c r="F1153" i="42" s="1"/>
  <c r="B1149" i="42"/>
  <c r="F1149" i="42" s="1"/>
  <c r="B1148" i="42"/>
  <c r="F1148" i="42" s="1"/>
  <c r="B1155" i="42"/>
  <c r="F1155" i="42" s="1"/>
  <c r="B1147" i="42"/>
  <c r="F1147" i="42" s="1"/>
  <c r="B1151" i="42"/>
  <c r="F1151" i="42" s="1"/>
  <c r="B1152" i="42"/>
  <c r="F1152" i="42" s="1"/>
  <c r="JE19" i="55" a="1"/>
  <c r="JK28" i="55" l="1"/>
  <c r="JE27" i="55"/>
  <c r="JG25" i="55"/>
  <c r="JI23" i="55"/>
  <c r="JK21" i="55"/>
  <c r="JM19" i="55"/>
  <c r="JL28" i="55"/>
  <c r="JH26" i="55"/>
  <c r="JJ24" i="55"/>
  <c r="JL22" i="55"/>
  <c r="JE21" i="55"/>
  <c r="JG19" i="55"/>
  <c r="JG26" i="55"/>
  <c r="JK22" i="55"/>
  <c r="JF19" i="55"/>
  <c r="JI25" i="55"/>
  <c r="JM21" i="55"/>
  <c r="JF28" i="55"/>
  <c r="JI24" i="55"/>
  <c r="JM20" i="55"/>
  <c r="JF20" i="55"/>
  <c r="JE28" i="55"/>
  <c r="JK23" i="55"/>
  <c r="JE23" i="55"/>
  <c r="JE20" i="55"/>
  <c r="JF27" i="55"/>
  <c r="JK25" i="55"/>
  <c r="JH24" i="55"/>
  <c r="JL24" i="55"/>
  <c r="JL21" i="55"/>
  <c r="JM28" i="55"/>
  <c r="JG27" i="55"/>
  <c r="JH20" i="55"/>
  <c r="JI27" i="55"/>
  <c r="JE19" i="55"/>
  <c r="JF26" i="55"/>
  <c r="JI19" i="55"/>
  <c r="JJ26" i="55"/>
  <c r="JJ23" i="55"/>
  <c r="JF22" i="55"/>
  <c r="JL20" i="55"/>
  <c r="JM27" i="55"/>
  <c r="JG21" i="55"/>
  <c r="JJ22" i="55"/>
  <c r="JH28" i="55"/>
  <c r="JH25" i="55"/>
  <c r="JM23" i="55"/>
  <c r="JE22" i="55"/>
  <c r="JJ25" i="55"/>
  <c r="JJ19" i="55"/>
  <c r="JF23" i="55"/>
  <c r="JK26" i="55"/>
  <c r="JJ20" i="55"/>
  <c r="JF24" i="55"/>
  <c r="JK27" i="55"/>
  <c r="JK20" i="55"/>
  <c r="JG24" i="55"/>
  <c r="JL27" i="55"/>
  <c r="JH19" i="55"/>
  <c r="JM22" i="55"/>
  <c r="JI26" i="55"/>
  <c r="JI20" i="55"/>
  <c r="JE24" i="55"/>
  <c r="JJ27" i="55"/>
  <c r="JI21" i="55"/>
  <c r="JE25" i="55"/>
  <c r="JJ28" i="55"/>
  <c r="JJ21" i="55"/>
  <c r="JF25" i="55"/>
  <c r="JG20" i="55"/>
  <c r="JL23" i="55"/>
  <c r="JH27" i="55"/>
  <c r="JH21" i="55"/>
  <c r="JM24" i="55"/>
  <c r="JI28" i="55"/>
  <c r="JH22" i="55"/>
  <c r="JM25" i="55"/>
  <c r="JI22" i="55"/>
  <c r="JE26" i="55"/>
  <c r="JF21" i="55"/>
  <c r="JK24" i="55"/>
  <c r="JG28" i="55"/>
  <c r="JG22" i="55"/>
  <c r="JL25" i="55"/>
  <c r="JK19" i="55"/>
  <c r="JG23" i="55"/>
  <c r="JL26" i="55"/>
  <c r="JL19" i="55"/>
  <c r="JH23" i="55"/>
  <c r="JM26" i="55"/>
  <c r="O1123" i="42"/>
  <c r="N1126" i="42" s="1"/>
  <c r="O1125" i="42" s="1"/>
  <c r="N1125" i="42" l="1"/>
  <c r="O1126" i="42" s="1"/>
  <c r="Q1121" i="42" s="1" a="1"/>
  <c r="Q1129" i="42" s="1"/>
  <c r="JG36" i="55"/>
  <c r="JG38" i="55"/>
  <c r="JG40" i="55"/>
  <c r="JG37" i="55"/>
  <c r="JG34" i="55"/>
  <c r="JG35" i="55"/>
  <c r="JG41" i="55"/>
  <c r="JG33" i="55"/>
  <c r="JG39" i="55"/>
  <c r="JK39" i="55"/>
  <c r="JK38" i="55"/>
  <c r="JK41" i="55"/>
  <c r="JK36" i="55"/>
  <c r="JK40" i="55"/>
  <c r="JK35" i="55"/>
  <c r="JK33" i="55"/>
  <c r="JK37" i="55"/>
  <c r="JK34" i="55"/>
  <c r="JH36" i="55"/>
  <c r="JH41" i="55"/>
  <c r="JH37" i="55"/>
  <c r="JH38" i="55"/>
  <c r="JH35" i="55"/>
  <c r="JH40" i="55"/>
  <c r="JH34" i="55"/>
  <c r="JH39" i="55"/>
  <c r="JH33" i="55"/>
  <c r="JM37" i="55"/>
  <c r="JM36" i="55"/>
  <c r="JM34" i="55"/>
  <c r="JM39" i="55"/>
  <c r="JM41" i="55"/>
  <c r="JM35" i="55"/>
  <c r="JM33" i="55"/>
  <c r="JM38" i="55"/>
  <c r="JM40" i="55"/>
  <c r="JJ37" i="55"/>
  <c r="JJ38" i="55"/>
  <c r="JJ33" i="55"/>
  <c r="JJ34" i="55"/>
  <c r="JJ36" i="55"/>
  <c r="JJ35" i="55"/>
  <c r="JJ40" i="55"/>
  <c r="JJ39" i="55"/>
  <c r="JJ41" i="55"/>
  <c r="JF34" i="55"/>
  <c r="JF39" i="55"/>
  <c r="JF36" i="55"/>
  <c r="JF33" i="55"/>
  <c r="JF41" i="55"/>
  <c r="JF38" i="55"/>
  <c r="JF37" i="55"/>
  <c r="JF40" i="55"/>
  <c r="JF35" i="55"/>
  <c r="JI39" i="55"/>
  <c r="JI41" i="55"/>
  <c r="JI33" i="55"/>
  <c r="JI37" i="55"/>
  <c r="JI34" i="55"/>
  <c r="JI38" i="55"/>
  <c r="JI35" i="55"/>
  <c r="JI40" i="55"/>
  <c r="JI36" i="55"/>
  <c r="JE40" i="55"/>
  <c r="JE38" i="55"/>
  <c r="JE35" i="55"/>
  <c r="JE34" i="55"/>
  <c r="JE37" i="55"/>
  <c r="JE33" i="55"/>
  <c r="JE41" i="55"/>
  <c r="JE39" i="55"/>
  <c r="JE36" i="55"/>
  <c r="JL35" i="55"/>
  <c r="JL34" i="55"/>
  <c r="JL36" i="55"/>
  <c r="JL33" i="55"/>
  <c r="JL40" i="55"/>
  <c r="JL37" i="55"/>
  <c r="JL41" i="55"/>
  <c r="JL39" i="55"/>
  <c r="JL38" i="55"/>
  <c r="Q1124" i="42" l="1"/>
  <c r="Q1128" i="42"/>
  <c r="R1124" i="42"/>
  <c r="R1126" i="42"/>
  <c r="R1121" i="42"/>
  <c r="R1128" i="42"/>
  <c r="R1125" i="42"/>
  <c r="Q1121" i="42"/>
  <c r="R1129" i="42"/>
  <c r="Q1123" i="42"/>
  <c r="Q1122" i="42"/>
  <c r="Q1125" i="42"/>
  <c r="R1123" i="42"/>
  <c r="Q1126" i="42"/>
  <c r="Q1127" i="42"/>
  <c r="R1127" i="42"/>
  <c r="R1122" i="42"/>
  <c r="JN36" i="55"/>
  <c r="JN40" i="55"/>
  <c r="JN37" i="55"/>
  <c r="JN34" i="55"/>
  <c r="JN41" i="55"/>
  <c r="JN35" i="55"/>
  <c r="JN39" i="55"/>
  <c r="JN33" i="55"/>
  <c r="JN38" i="55"/>
  <c r="JQ6" i="55" a="1"/>
  <c r="JQ14" i="55" l="1"/>
  <c r="JU10" i="55"/>
  <c r="JY6" i="55"/>
  <c r="JY12" i="55"/>
  <c r="JT9" i="55"/>
  <c r="JV14" i="55"/>
  <c r="JQ11" i="55"/>
  <c r="JU7" i="55"/>
  <c r="JU12" i="55"/>
  <c r="JY8" i="55"/>
  <c r="JY13" i="55"/>
  <c r="JX6" i="55"/>
  <c r="JS8" i="55"/>
  <c r="JY9" i="55"/>
  <c r="JU11" i="55"/>
  <c r="JT14" i="55"/>
  <c r="JS7" i="55"/>
  <c r="JX8" i="55"/>
  <c r="JS11" i="55"/>
  <c r="JW7" i="55"/>
  <c r="JR13" i="55"/>
  <c r="JV9" i="55"/>
  <c r="JQ6" i="55"/>
  <c r="JQ12" i="55"/>
  <c r="JU8" i="55"/>
  <c r="JW13" i="55"/>
  <c r="JR10" i="55"/>
  <c r="JV6" i="55"/>
  <c r="JV11" i="55"/>
  <c r="JQ8" i="55"/>
  <c r="JR12" i="55"/>
  <c r="JV13" i="55"/>
  <c r="JU6" i="55"/>
  <c r="JR8" i="55"/>
  <c r="JW9" i="55"/>
  <c r="JV12" i="55"/>
  <c r="JR14" i="55"/>
  <c r="JQ7" i="55"/>
  <c r="JY10" i="55"/>
  <c r="JU14" i="55"/>
  <c r="JS12" i="55"/>
  <c r="JW8" i="55"/>
  <c r="JW14" i="55"/>
  <c r="JR11" i="55"/>
  <c r="JV7" i="55"/>
  <c r="JX12" i="55"/>
  <c r="JS9" i="55"/>
  <c r="JS14" i="55"/>
  <c r="JW10" i="55"/>
  <c r="JR7" i="55"/>
  <c r="JT10" i="55"/>
  <c r="JX11" i="55"/>
  <c r="JU13" i="55"/>
  <c r="JT6" i="55"/>
  <c r="JY7" i="55"/>
  <c r="JX10" i="55"/>
  <c r="JT12" i="55"/>
  <c r="JQ13" i="55"/>
  <c r="JU9" i="55"/>
  <c r="JT7" i="55"/>
  <c r="JT11" i="55"/>
  <c r="JW6" i="55"/>
  <c r="JX9" i="55"/>
  <c r="JW11" i="55"/>
  <c r="JV10" i="55"/>
  <c r="JS10" i="55"/>
  <c r="JQ10" i="55"/>
  <c r="JR9" i="55"/>
  <c r="JX7" i="55"/>
  <c r="JY11" i="55"/>
  <c r="JS6" i="55"/>
  <c r="JS13" i="55"/>
  <c r="JW12" i="55"/>
  <c r="JX13" i="55"/>
  <c r="JT8" i="55"/>
  <c r="JV8" i="55"/>
  <c r="JR6" i="55"/>
  <c r="JX14" i="55"/>
  <c r="JY14" i="55"/>
  <c r="JT13" i="55"/>
  <c r="JQ9" i="55"/>
  <c r="A1134" i="42" a="1"/>
  <c r="A1142" i="42" s="1"/>
  <c r="F1142" i="42" s="1"/>
  <c r="C1134" i="42" a="1"/>
  <c r="C1139" i="42" s="1"/>
  <c r="JN43" i="55"/>
  <c r="JQ19" i="55" a="1"/>
  <c r="JW28" i="55" l="1"/>
  <c r="JW27" i="55"/>
  <c r="JY24" i="55"/>
  <c r="JS22" i="55"/>
  <c r="JR27" i="55"/>
  <c r="JU24" i="55"/>
  <c r="JV20" i="55"/>
  <c r="JX26" i="55"/>
  <c r="JQ20" i="55"/>
  <c r="JT25" i="55"/>
  <c r="JW19" i="55"/>
  <c r="JR23" i="55"/>
  <c r="JT22" i="55"/>
  <c r="JU20" i="55"/>
  <c r="JX25" i="55"/>
  <c r="JY25" i="55"/>
  <c r="JQ24" i="55"/>
  <c r="JX21" i="55"/>
  <c r="JW22" i="55"/>
  <c r="JQ28" i="55"/>
  <c r="JU28" i="55"/>
  <c r="JS26" i="55"/>
  <c r="JR24" i="55"/>
  <c r="JQ25" i="55"/>
  <c r="JY20" i="55"/>
  <c r="JT21" i="55"/>
  <c r="JR19" i="55"/>
  <c r="JV28" i="55"/>
  <c r="JW26" i="55"/>
  <c r="JU21" i="55"/>
  <c r="JV19" i="55"/>
  <c r="JS23" i="55"/>
  <c r="JV27" i="55"/>
  <c r="JV23" i="55"/>
  <c r="JU22" i="55"/>
  <c r="JQ26" i="55"/>
  <c r="JQ19" i="55"/>
  <c r="JV22" i="55"/>
  <c r="JR26" i="55"/>
  <c r="JR20" i="55"/>
  <c r="JW23" i="55"/>
  <c r="JS27" i="55"/>
  <c r="JR21" i="55"/>
  <c r="JW24" i="55"/>
  <c r="JS28" i="55"/>
  <c r="JR22" i="55"/>
  <c r="JW25" i="55"/>
  <c r="JX19" i="55"/>
  <c r="JT23" i="55"/>
  <c r="JY26" i="55"/>
  <c r="JY19" i="55"/>
  <c r="JU23" i="55"/>
  <c r="JQ27" i="55"/>
  <c r="JQ21" i="55"/>
  <c r="JV24" i="55"/>
  <c r="JR28" i="55"/>
  <c r="JQ22" i="55"/>
  <c r="JV25" i="55"/>
  <c r="JU19" i="55"/>
  <c r="JQ23" i="55"/>
  <c r="JV26" i="55"/>
  <c r="JW20" i="55"/>
  <c r="JS24" i="55"/>
  <c r="JX27" i="55"/>
  <c r="JX20" i="55"/>
  <c r="JT24" i="55"/>
  <c r="JY27" i="55"/>
  <c r="JY21" i="55"/>
  <c r="JU25" i="55"/>
  <c r="JT19" i="55"/>
  <c r="JY22" i="55"/>
  <c r="JU26" i="55"/>
  <c r="JT20" i="55"/>
  <c r="JY23" i="55"/>
  <c r="JU27" i="55"/>
  <c r="JV21" i="55"/>
  <c r="JR25" i="55"/>
  <c r="JX28" i="55"/>
  <c r="JW21" i="55"/>
  <c r="JS25" i="55"/>
  <c r="JY28" i="55"/>
  <c r="JS19" i="55"/>
  <c r="JX22" i="55"/>
  <c r="JT26" i="55"/>
  <c r="JS20" i="55"/>
  <c r="JX23" i="55"/>
  <c r="JT27" i="55"/>
  <c r="JS21" i="55"/>
  <c r="JX24" i="55"/>
  <c r="JT28" i="55"/>
  <c r="A1140" i="42"/>
  <c r="F1140" i="42" s="1"/>
  <c r="J1140" i="42" s="1"/>
  <c r="A1137" i="42"/>
  <c r="F1137" i="42" s="1"/>
  <c r="C1140" i="42"/>
  <c r="A1136" i="42"/>
  <c r="F1136" i="42" s="1"/>
  <c r="I1136" i="42" s="1"/>
  <c r="A1139" i="42"/>
  <c r="F1139" i="42" s="1"/>
  <c r="J1139" i="42" s="1"/>
  <c r="C1134" i="42"/>
  <c r="A1141" i="42"/>
  <c r="F1141" i="42" s="1"/>
  <c r="I1141" i="42" s="1"/>
  <c r="C1138" i="42"/>
  <c r="A1134" i="42"/>
  <c r="B1144" i="42" s="1"/>
  <c r="C1135" i="42"/>
  <c r="C1137" i="42"/>
  <c r="C1141" i="42"/>
  <c r="C1136" i="42"/>
  <c r="C1142" i="42"/>
  <c r="A1138" i="42"/>
  <c r="F1138" i="42" s="1"/>
  <c r="I1138" i="42" s="1"/>
  <c r="A1135" i="42"/>
  <c r="F1135" i="42" s="1"/>
  <c r="I1135" i="42" s="1"/>
  <c r="C1147" i="42" a="1"/>
  <c r="F1134" i="42"/>
  <c r="J1137" i="42"/>
  <c r="I1137" i="42"/>
  <c r="J1142" i="42"/>
  <c r="I1142" i="42"/>
  <c r="J1135" i="42" l="1"/>
  <c r="L1135" i="42" s="1"/>
  <c r="J1136" i="42"/>
  <c r="J1141" i="42"/>
  <c r="L1141" i="42" s="1"/>
  <c r="J1138" i="42"/>
  <c r="I1139" i="42"/>
  <c r="K1139" i="42" s="1"/>
  <c r="I1140" i="42"/>
  <c r="K1140" i="42" s="1"/>
  <c r="K1141" i="42"/>
  <c r="K1142" i="42"/>
  <c r="L1142" i="42"/>
  <c r="K1135" i="42"/>
  <c r="L1139" i="42"/>
  <c r="K1136" i="42"/>
  <c r="L1136" i="42"/>
  <c r="L1140" i="42"/>
  <c r="L1137" i="42"/>
  <c r="K1137" i="42"/>
  <c r="L1138" i="42"/>
  <c r="K1138" i="42"/>
  <c r="J1134" i="42"/>
  <c r="J1143" i="42" s="1"/>
  <c r="I1134" i="42"/>
  <c r="C1152" i="42"/>
  <c r="G1152" i="42" s="1"/>
  <c r="C1148" i="42"/>
  <c r="G1148" i="42" s="1"/>
  <c r="C1155" i="42"/>
  <c r="G1155" i="42" s="1"/>
  <c r="C1151" i="42"/>
  <c r="G1151" i="42" s="1"/>
  <c r="C1147" i="42"/>
  <c r="G1147" i="42" s="1"/>
  <c r="C1154" i="42"/>
  <c r="G1154" i="42" s="1"/>
  <c r="C1153" i="42"/>
  <c r="G1153" i="42" s="1"/>
  <c r="C1150" i="42"/>
  <c r="G1150" i="42" s="1"/>
  <c r="C1149" i="42"/>
  <c r="G1149" i="42" s="1"/>
  <c r="JS39" i="55"/>
  <c r="JS41" i="55"/>
  <c r="JS33" i="55"/>
  <c r="JS40" i="55"/>
  <c r="JS36" i="55"/>
  <c r="JS35" i="55"/>
  <c r="JS38" i="55"/>
  <c r="JS37" i="55"/>
  <c r="JS34" i="55"/>
  <c r="JU38" i="55"/>
  <c r="JU37" i="55"/>
  <c r="JU40" i="55"/>
  <c r="JU33" i="55"/>
  <c r="JU36" i="55"/>
  <c r="JU39" i="55"/>
  <c r="JU35" i="55"/>
  <c r="JU41" i="55"/>
  <c r="JU34" i="55"/>
  <c r="JT34" i="55"/>
  <c r="JT33" i="55"/>
  <c r="JT37" i="55"/>
  <c r="JT40" i="55"/>
  <c r="JT38" i="55"/>
  <c r="JT41" i="55"/>
  <c r="JT39" i="55"/>
  <c r="JT35" i="55"/>
  <c r="JT36" i="55"/>
  <c r="JW36" i="55"/>
  <c r="JW39" i="55"/>
  <c r="JW34" i="55"/>
  <c r="JW37" i="55"/>
  <c r="JW41" i="55"/>
  <c r="JW33" i="55"/>
  <c r="JW40" i="55"/>
  <c r="JW35" i="55"/>
  <c r="JW38" i="55"/>
  <c r="JR38" i="55"/>
  <c r="JR37" i="55"/>
  <c r="JR33" i="55"/>
  <c r="JR35" i="55"/>
  <c r="JR39" i="55"/>
  <c r="JR41" i="55"/>
  <c r="JR34" i="55"/>
  <c r="JR36" i="55"/>
  <c r="JR40" i="55"/>
  <c r="JX38" i="55"/>
  <c r="JX41" i="55"/>
  <c r="JX33" i="55"/>
  <c r="JX39" i="55"/>
  <c r="JX35" i="55"/>
  <c r="JX37" i="55"/>
  <c r="JX40" i="55"/>
  <c r="JX36" i="55"/>
  <c r="JX34" i="55"/>
  <c r="JQ33" i="55"/>
  <c r="JQ40" i="55"/>
  <c r="JQ35" i="55"/>
  <c r="JQ39" i="55"/>
  <c r="JQ34" i="55"/>
  <c r="JQ41" i="55"/>
  <c r="JQ37" i="55"/>
  <c r="JQ36" i="55"/>
  <c r="JQ38" i="55"/>
  <c r="JY39" i="55"/>
  <c r="JY36" i="55"/>
  <c r="JY34" i="55"/>
  <c r="JY41" i="55"/>
  <c r="JY37" i="55"/>
  <c r="JY40" i="55"/>
  <c r="JY38" i="55"/>
  <c r="JY33" i="55"/>
  <c r="JY35" i="55"/>
  <c r="JV40" i="55"/>
  <c r="JV41" i="55"/>
  <c r="JV37" i="55"/>
  <c r="JV33" i="55"/>
  <c r="JV36" i="55"/>
  <c r="JV34" i="55"/>
  <c r="JV39" i="55"/>
  <c r="JV35" i="55"/>
  <c r="JV38" i="55"/>
  <c r="JZ40" i="55" l="1"/>
  <c r="JZ41" i="55"/>
  <c r="J1149" i="42"/>
  <c r="I1149" i="42"/>
  <c r="I1147" i="42"/>
  <c r="J1147" i="42"/>
  <c r="J1152" i="42"/>
  <c r="I1152" i="42"/>
  <c r="I1150" i="42"/>
  <c r="J1150" i="42"/>
  <c r="J1151" i="42"/>
  <c r="I1151" i="42"/>
  <c r="L1134" i="42"/>
  <c r="L1143" i="42" s="1"/>
  <c r="I1143" i="42"/>
  <c r="K1134" i="42"/>
  <c r="K1143" i="42" s="1"/>
  <c r="I1153" i="42"/>
  <c r="J1153" i="42"/>
  <c r="J1155" i="42"/>
  <c r="I1155" i="42"/>
  <c r="I1154" i="42"/>
  <c r="J1154" i="42"/>
  <c r="J1148" i="42"/>
  <c r="I1148" i="42"/>
  <c r="JZ38" i="55"/>
  <c r="JZ34" i="55"/>
  <c r="JZ33" i="55"/>
  <c r="JZ36" i="55"/>
  <c r="JZ39" i="55"/>
  <c r="JZ37" i="55"/>
  <c r="JZ35" i="55"/>
  <c r="DF17" i="40" a="1"/>
  <c r="DH20" i="40" s="1"/>
  <c r="KC6" i="55" a="1"/>
  <c r="KI14" i="55" l="1"/>
  <c r="KD11" i="55"/>
  <c r="KH7" i="55"/>
  <c r="KJ12" i="55"/>
  <c r="KE9" i="55"/>
  <c r="KG14" i="55"/>
  <c r="KK10" i="55"/>
  <c r="KF7" i="55"/>
  <c r="KH12" i="55"/>
  <c r="KC9" i="55"/>
  <c r="KK14" i="55"/>
  <c r="KF11" i="55"/>
  <c r="KJ7" i="55"/>
  <c r="KK13" i="55"/>
  <c r="KF13" i="55"/>
  <c r="KE13" i="55"/>
  <c r="KC13" i="55"/>
  <c r="KD12" i="55"/>
  <c r="KH11" i="55"/>
  <c r="KF12" i="55"/>
  <c r="KI7" i="55"/>
  <c r="KG8" i="55"/>
  <c r="KD10" i="55"/>
  <c r="KJ11" i="55"/>
  <c r="KG13" i="55"/>
  <c r="KF6" i="55"/>
  <c r="KI8" i="55"/>
  <c r="KJ6" i="55"/>
  <c r="KD6" i="55"/>
  <c r="KD14" i="55"/>
  <c r="KK7" i="55"/>
  <c r="KJ13" i="55"/>
  <c r="KE10" i="55"/>
  <c r="KI6" i="55"/>
  <c r="KK11" i="55"/>
  <c r="KF8" i="55"/>
  <c r="KH13" i="55"/>
  <c r="KC10" i="55"/>
  <c r="KG6" i="55"/>
  <c r="KI11" i="55"/>
  <c r="KD8" i="55"/>
  <c r="KC14" i="55"/>
  <c r="KG10" i="55"/>
  <c r="KK6" i="55"/>
  <c r="KG11" i="55"/>
  <c r="KE11" i="55"/>
  <c r="KI10" i="55"/>
  <c r="KH10" i="55"/>
  <c r="KI9" i="55"/>
  <c r="KG9" i="55"/>
  <c r="KF10" i="55"/>
  <c r="KK12" i="55"/>
  <c r="KF9" i="55"/>
  <c r="KH14" i="55"/>
  <c r="KC11" i="55"/>
  <c r="KG7" i="55"/>
  <c r="KI12" i="55"/>
  <c r="KD9" i="55"/>
  <c r="KF14" i="55"/>
  <c r="KJ10" i="55"/>
  <c r="KE7" i="55"/>
  <c r="KD13" i="55"/>
  <c r="KH9" i="55"/>
  <c r="KC6" i="55"/>
  <c r="KK8" i="55"/>
  <c r="KJ8" i="55"/>
  <c r="KH8" i="55"/>
  <c r="KC8" i="55"/>
  <c r="KD7" i="55"/>
  <c r="KC7" i="55"/>
  <c r="KJ9" i="55"/>
  <c r="KC12" i="55"/>
  <c r="KI13" i="55"/>
  <c r="KH6" i="55"/>
  <c r="KE8" i="55"/>
  <c r="KK9" i="55"/>
  <c r="KE12" i="55"/>
  <c r="KJ14" i="55"/>
  <c r="KE6" i="55"/>
  <c r="KE14" i="55"/>
  <c r="KG12" i="55"/>
  <c r="J1156" i="42"/>
  <c r="O1134" i="42"/>
  <c r="L1150" i="42"/>
  <c r="K1150" i="42"/>
  <c r="L1147" i="42"/>
  <c r="K1147" i="42"/>
  <c r="I1156" i="42"/>
  <c r="L1154" i="42"/>
  <c r="K1154" i="42"/>
  <c r="K1153" i="42"/>
  <c r="L1153" i="42"/>
  <c r="K1151" i="42"/>
  <c r="L1151" i="42"/>
  <c r="K1152" i="42"/>
  <c r="L1152" i="42"/>
  <c r="L1149" i="42"/>
  <c r="K1149" i="42"/>
  <c r="K1148" i="42"/>
  <c r="L1148" i="42"/>
  <c r="K1155" i="42"/>
  <c r="L1155" i="42"/>
  <c r="O1135" i="42"/>
  <c r="JZ43" i="55"/>
  <c r="DH19" i="40"/>
  <c r="DF17" i="40"/>
  <c r="DI18" i="40"/>
  <c r="DF20" i="40"/>
  <c r="DI20" i="40"/>
  <c r="DG17" i="40"/>
  <c r="DH18" i="40"/>
  <c r="DI17" i="40"/>
  <c r="DG18" i="40"/>
  <c r="DH17" i="40"/>
  <c r="DF19" i="40"/>
  <c r="DI19" i="40"/>
  <c r="DG19" i="40"/>
  <c r="DG20" i="40"/>
  <c r="DF18" i="40"/>
  <c r="DR12" i="40" a="1"/>
  <c r="KC19" i="55" a="1"/>
  <c r="KI26" i="55" l="1"/>
  <c r="KC26" i="55"/>
  <c r="KG23" i="55"/>
  <c r="KI28" i="55"/>
  <c r="KH20" i="55"/>
  <c r="KK19" i="55"/>
  <c r="KH25" i="55"/>
  <c r="KG26" i="55"/>
  <c r="KG21" i="55"/>
  <c r="KH26" i="55"/>
  <c r="KC23" i="55"/>
  <c r="KG19" i="55"/>
  <c r="KF25" i="55"/>
  <c r="KF21" i="55"/>
  <c r="KE27" i="55"/>
  <c r="KE23" i="55"/>
  <c r="KD19" i="55"/>
  <c r="KD25" i="55"/>
  <c r="KC21" i="55"/>
  <c r="KK27" i="55"/>
  <c r="KJ23" i="55"/>
  <c r="KJ19" i="55"/>
  <c r="KJ25" i="55"/>
  <c r="KI21" i="55"/>
  <c r="KG24" i="55"/>
  <c r="KH27" i="55"/>
  <c r="KI27" i="55"/>
  <c r="KH22" i="55"/>
  <c r="KH28" i="55"/>
  <c r="KC24" i="55"/>
  <c r="KI25" i="55"/>
  <c r="KD22" i="55"/>
  <c r="KG28" i="55"/>
  <c r="KF24" i="55"/>
  <c r="KE20" i="55"/>
  <c r="KE26" i="55"/>
  <c r="KE22" i="55"/>
  <c r="KD28" i="55"/>
  <c r="KD24" i="55"/>
  <c r="KC20" i="55"/>
  <c r="KK26" i="55"/>
  <c r="KJ22" i="55"/>
  <c r="KJ28" i="55"/>
  <c r="KI24" i="55"/>
  <c r="KI20" i="55"/>
  <c r="KC27" i="55"/>
  <c r="KF19" i="55"/>
  <c r="KH19" i="55"/>
  <c r="KG25" i="55"/>
  <c r="KG20" i="55"/>
  <c r="KK20" i="55"/>
  <c r="KF28" i="55"/>
  <c r="KJ24" i="55"/>
  <c r="KE21" i="55"/>
  <c r="KF27" i="55"/>
  <c r="KF23" i="55"/>
  <c r="KE19" i="55"/>
  <c r="KE25" i="55"/>
  <c r="KD21" i="55"/>
  <c r="KD27" i="55"/>
  <c r="KD23" i="55"/>
  <c r="KC19" i="55"/>
  <c r="KK25" i="55"/>
  <c r="KJ21" i="55"/>
  <c r="KJ27" i="55"/>
  <c r="KI23" i="55"/>
  <c r="KI19" i="55"/>
  <c r="KK21" i="55"/>
  <c r="KG22" i="55"/>
  <c r="KC28" i="55"/>
  <c r="KK22" i="55"/>
  <c r="KH23" i="55"/>
  <c r="KG27" i="55"/>
  <c r="KK23" i="55"/>
  <c r="KF20" i="55"/>
  <c r="KF26" i="55"/>
  <c r="KF22" i="55"/>
  <c r="KE28" i="55"/>
  <c r="KE24" i="55"/>
  <c r="KD20" i="55"/>
  <c r="KD26" i="55"/>
  <c r="KC22" i="55"/>
  <c r="KK28" i="55"/>
  <c r="KK24" i="55"/>
  <c r="KJ20" i="55"/>
  <c r="KJ26" i="55"/>
  <c r="KI22" i="55"/>
  <c r="KH21" i="55"/>
  <c r="KH24" i="55"/>
  <c r="KC25" i="55"/>
  <c r="DR15" i="40"/>
  <c r="DT12" i="40"/>
  <c r="DS15" i="40"/>
  <c r="DS12" i="40"/>
  <c r="DS14" i="40"/>
  <c r="DS13" i="40"/>
  <c r="DR14" i="40"/>
  <c r="DT14" i="40"/>
  <c r="DR12" i="40"/>
  <c r="DU14" i="40"/>
  <c r="DU12" i="40"/>
  <c r="DT13" i="40"/>
  <c r="DT15" i="40"/>
  <c r="DU13" i="40"/>
  <c r="DU15" i="40"/>
  <c r="DR13" i="40"/>
  <c r="K1156" i="42"/>
  <c r="O1136" i="42"/>
  <c r="L1156" i="42"/>
  <c r="DF26" i="40" l="1" a="1"/>
  <c r="DH33" i="40" s="1"/>
  <c r="N1139" i="42"/>
  <c r="O1138" i="42" s="1"/>
  <c r="N1138" i="42"/>
  <c r="KK38" i="55"/>
  <c r="KK40" i="55"/>
  <c r="KK35" i="55"/>
  <c r="KK39" i="55"/>
  <c r="KK33" i="55"/>
  <c r="KK37" i="55"/>
  <c r="KK34" i="55"/>
  <c r="KK36" i="55"/>
  <c r="KK41" i="55"/>
  <c r="KE36" i="55"/>
  <c r="KE39" i="55"/>
  <c r="KE37" i="55"/>
  <c r="KE33" i="55"/>
  <c r="KE38" i="55"/>
  <c r="KE40" i="55"/>
  <c r="KE35" i="55"/>
  <c r="KE41" i="55"/>
  <c r="KE34" i="55"/>
  <c r="KF37" i="55"/>
  <c r="KF36" i="55"/>
  <c r="KF38" i="55"/>
  <c r="KF40" i="55"/>
  <c r="KF33" i="55"/>
  <c r="KF39" i="55"/>
  <c r="KF35" i="55"/>
  <c r="KF41" i="55"/>
  <c r="KF34" i="55"/>
  <c r="KC38" i="55"/>
  <c r="KC41" i="55"/>
  <c r="KC35" i="55"/>
  <c r="KC36" i="55"/>
  <c r="KC34" i="55"/>
  <c r="KC37" i="55"/>
  <c r="KC40" i="55"/>
  <c r="KC39" i="55"/>
  <c r="KC33" i="55"/>
  <c r="KH37" i="55"/>
  <c r="KH34" i="55"/>
  <c r="KH39" i="55"/>
  <c r="KH35" i="55"/>
  <c r="KH41" i="55"/>
  <c r="KH38" i="55"/>
  <c r="KH40" i="55"/>
  <c r="KH33" i="55"/>
  <c r="KH36" i="55"/>
  <c r="KD38" i="55"/>
  <c r="KD35" i="55"/>
  <c r="KD37" i="55"/>
  <c r="KD39" i="55"/>
  <c r="KD33" i="55"/>
  <c r="KD40" i="55"/>
  <c r="KD36" i="55"/>
  <c r="KD34" i="55"/>
  <c r="KD41" i="55"/>
  <c r="KG35" i="55"/>
  <c r="KG41" i="55"/>
  <c r="KG39" i="55"/>
  <c r="KG38" i="55"/>
  <c r="KG37" i="55"/>
  <c r="KG40" i="55"/>
  <c r="KG36" i="55"/>
  <c r="KG34" i="55"/>
  <c r="KG33" i="55"/>
  <c r="KJ37" i="55"/>
  <c r="KJ41" i="55"/>
  <c r="KJ36" i="55"/>
  <c r="KJ33" i="55"/>
  <c r="KJ35" i="55"/>
  <c r="KJ39" i="55"/>
  <c r="KJ38" i="55"/>
  <c r="KJ40" i="55"/>
  <c r="KJ34" i="55"/>
  <c r="KI35" i="55"/>
  <c r="KI38" i="55"/>
  <c r="KI36" i="55"/>
  <c r="KI40" i="55"/>
  <c r="KI37" i="55"/>
  <c r="KI33" i="55"/>
  <c r="KI41" i="55"/>
  <c r="KI39" i="55"/>
  <c r="KI34" i="55"/>
  <c r="DH29" i="40" l="1"/>
  <c r="DH26" i="40"/>
  <c r="DG26" i="40"/>
  <c r="DI29" i="40"/>
  <c r="DG33" i="40"/>
  <c r="DG27" i="40"/>
  <c r="DF34" i="40"/>
  <c r="DG32" i="40"/>
  <c r="DF26" i="40"/>
  <c r="DH27" i="40"/>
  <c r="DI31" i="40"/>
  <c r="DI26" i="40"/>
  <c r="DG34" i="40"/>
  <c r="DI34" i="40"/>
  <c r="DH31" i="40"/>
  <c r="DI27" i="40"/>
  <c r="DI33" i="40"/>
  <c r="DH32" i="40"/>
  <c r="DF31" i="40"/>
  <c r="DI32" i="40"/>
  <c r="DF30" i="40"/>
  <c r="DI28" i="40"/>
  <c r="DF29" i="40"/>
  <c r="DG30" i="40"/>
  <c r="DF33" i="40"/>
  <c r="DH30" i="40"/>
  <c r="DG31" i="40"/>
  <c r="DF28" i="40"/>
  <c r="DH28" i="40"/>
  <c r="DG29" i="40"/>
  <c r="DF27" i="40"/>
  <c r="DI30" i="40"/>
  <c r="DG28" i="40"/>
  <c r="DF32" i="40"/>
  <c r="DH34" i="40"/>
  <c r="O1139" i="42"/>
  <c r="Q1134" i="42" s="1" a="1"/>
  <c r="KL33" i="55"/>
  <c r="KL38" i="55"/>
  <c r="KL39" i="55"/>
  <c r="KL36" i="55"/>
  <c r="KL40" i="55"/>
  <c r="KL35" i="55"/>
  <c r="KL34" i="55"/>
  <c r="KL37" i="55"/>
  <c r="KL41" i="55"/>
  <c r="DR26" i="40" a="1"/>
  <c r="KO6" i="55" a="1"/>
  <c r="KU12" i="55" l="1"/>
  <c r="KP9" i="55"/>
  <c r="KR14" i="55"/>
  <c r="KV10" i="55"/>
  <c r="KQ7" i="55"/>
  <c r="KS12" i="55"/>
  <c r="KW8" i="55"/>
  <c r="KP14" i="55"/>
  <c r="KT10" i="55"/>
  <c r="KO7" i="55"/>
  <c r="KW12" i="55"/>
  <c r="KR9" i="55"/>
  <c r="KT14" i="55"/>
  <c r="KO11" i="55"/>
  <c r="KS7" i="55"/>
  <c r="KV7" i="55"/>
  <c r="KO14" i="55"/>
  <c r="KR10" i="55"/>
  <c r="KP12" i="55"/>
  <c r="KT9" i="55"/>
  <c r="KV11" i="55"/>
  <c r="KQ8" i="55"/>
  <c r="KS13" i="55"/>
  <c r="KW9" i="55"/>
  <c r="KR6" i="55"/>
  <c r="KT11" i="55"/>
  <c r="KO8" i="55"/>
  <c r="KQ13" i="55"/>
  <c r="KU9" i="55"/>
  <c r="KP6" i="55"/>
  <c r="KO12" i="55"/>
  <c r="KS8" i="55"/>
  <c r="KU13" i="55"/>
  <c r="KP10" i="55"/>
  <c r="KT6" i="55"/>
  <c r="KV14" i="55"/>
  <c r="KS10" i="55"/>
  <c r="KV6" i="55"/>
  <c r="KT8" i="55"/>
  <c r="KO6" i="55"/>
  <c r="KS14" i="55"/>
  <c r="KW10" i="55"/>
  <c r="KR7" i="55"/>
  <c r="KT12" i="55"/>
  <c r="KO9" i="55"/>
  <c r="KQ14" i="55"/>
  <c r="KU10" i="55"/>
  <c r="KP7" i="55"/>
  <c r="KR12" i="55"/>
  <c r="KV8" i="55"/>
  <c r="KU14" i="55"/>
  <c r="KP11" i="55"/>
  <c r="KT7" i="55"/>
  <c r="KV12" i="55"/>
  <c r="KQ9" i="55"/>
  <c r="KW14" i="55"/>
  <c r="KQ11" i="55"/>
  <c r="KW6" i="55"/>
  <c r="KQ12" i="55"/>
  <c r="KP13" i="55"/>
  <c r="KS9" i="55"/>
  <c r="KO10" i="55"/>
  <c r="KR13" i="55"/>
  <c r="KW7" i="55"/>
  <c r="KW11" i="55"/>
  <c r="KW13" i="55"/>
  <c r="KT13" i="55"/>
  <c r="KS11" i="55"/>
  <c r="KU7" i="55"/>
  <c r="KS6" i="55"/>
  <c r="KV9" i="55"/>
  <c r="KV13" i="55"/>
  <c r="KR8" i="55"/>
  <c r="KU8" i="55"/>
  <c r="KU11" i="55"/>
  <c r="KQ6" i="55"/>
  <c r="KQ10" i="55"/>
  <c r="KR11" i="55"/>
  <c r="KO13" i="55"/>
  <c r="KP8" i="55"/>
  <c r="KU6" i="55"/>
  <c r="DO26" i="40" a="1"/>
  <c r="DO29" i="40" s="1"/>
  <c r="R1142" i="42"/>
  <c r="R1140" i="42"/>
  <c r="R1138" i="42"/>
  <c r="R1136" i="42"/>
  <c r="R1134" i="42"/>
  <c r="Q1142" i="42"/>
  <c r="Q1140" i="42"/>
  <c r="Q1138" i="42"/>
  <c r="Q1136" i="42"/>
  <c r="Q1134" i="42"/>
  <c r="Q1141" i="42"/>
  <c r="Q1137" i="42"/>
  <c r="R1139" i="42"/>
  <c r="R1135" i="42"/>
  <c r="R1141" i="42"/>
  <c r="Q1139" i="42"/>
  <c r="R1137" i="42"/>
  <c r="Q1135" i="42"/>
  <c r="KL43" i="55"/>
  <c r="DU112" i="40"/>
  <c r="DT77" i="40"/>
  <c r="DR79" i="40"/>
  <c r="DT84" i="40"/>
  <c r="DS58" i="40"/>
  <c r="DS106" i="40"/>
  <c r="DR76" i="40"/>
  <c r="DS139" i="40"/>
  <c r="DR82" i="40"/>
  <c r="DS103" i="40"/>
  <c r="DR119" i="40"/>
  <c r="DS122" i="40"/>
  <c r="DT66" i="40"/>
  <c r="DR89" i="40"/>
  <c r="DU39" i="40"/>
  <c r="DT54" i="40"/>
  <c r="DU34" i="40"/>
  <c r="DT133" i="40"/>
  <c r="DR41" i="40"/>
  <c r="DR98" i="40"/>
  <c r="DS97" i="40"/>
  <c r="DS71" i="40"/>
  <c r="DT88" i="40"/>
  <c r="DU64" i="40"/>
  <c r="DT59" i="40"/>
  <c r="DU90" i="40"/>
  <c r="DU66" i="40"/>
  <c r="DT100" i="40"/>
  <c r="DU44" i="40"/>
  <c r="DU101" i="40"/>
  <c r="DT134" i="40"/>
  <c r="DS94" i="40"/>
  <c r="DT36" i="40"/>
  <c r="DR70" i="40"/>
  <c r="DU58" i="40"/>
  <c r="DR36" i="40"/>
  <c r="DS133" i="40"/>
  <c r="DR126" i="40"/>
  <c r="DR42" i="40"/>
  <c r="DR110" i="40"/>
  <c r="DS61" i="40"/>
  <c r="DT96" i="40"/>
  <c r="DS105" i="40"/>
  <c r="DS91" i="40"/>
  <c r="DU77" i="40"/>
  <c r="DS135" i="40"/>
  <c r="DU127" i="40"/>
  <c r="DR27" i="40"/>
  <c r="DT118" i="40"/>
  <c r="DR46" i="40"/>
  <c r="DS42" i="40"/>
  <c r="DS36" i="40"/>
  <c r="DT90" i="40"/>
  <c r="DR65" i="40"/>
  <c r="DT30" i="40"/>
  <c r="DU65" i="40"/>
  <c r="DS144" i="40"/>
  <c r="DU108" i="40"/>
  <c r="DS112" i="40"/>
  <c r="DR130" i="40"/>
  <c r="DS35" i="40"/>
  <c r="DU144" i="40"/>
  <c r="DR133" i="40"/>
  <c r="DS138" i="40"/>
  <c r="DR83" i="40"/>
  <c r="DR106" i="40"/>
  <c r="DS88" i="40"/>
  <c r="DT56" i="40"/>
  <c r="DS29" i="40"/>
  <c r="DU67" i="40"/>
  <c r="DT48" i="40"/>
  <c r="DR137" i="40"/>
  <c r="DT115" i="40"/>
  <c r="DS145" i="40"/>
  <c r="DS104" i="40"/>
  <c r="DT67" i="40"/>
  <c r="DU117" i="40"/>
  <c r="DT105" i="40"/>
  <c r="DS118" i="40"/>
  <c r="DT123" i="40"/>
  <c r="DU109" i="40"/>
  <c r="DS92" i="40"/>
  <c r="DS90" i="40"/>
  <c r="DS64" i="40"/>
  <c r="DR29" i="40"/>
  <c r="DS70" i="40"/>
  <c r="DT125" i="40"/>
  <c r="DR94" i="40"/>
  <c r="DS55" i="40"/>
  <c r="DR117" i="40"/>
  <c r="DS115" i="40"/>
  <c r="DT40" i="40"/>
  <c r="DT79" i="40"/>
  <c r="DR58" i="40"/>
  <c r="DT107" i="40"/>
  <c r="DR96" i="40"/>
  <c r="DS28" i="40"/>
  <c r="DU142" i="40"/>
  <c r="DT58" i="40"/>
  <c r="DS89" i="40"/>
  <c r="DT91" i="40"/>
  <c r="DS48" i="40"/>
  <c r="DU27" i="40"/>
  <c r="DR140" i="40"/>
  <c r="DT139" i="40"/>
  <c r="DU63" i="40"/>
  <c r="DR45" i="40"/>
  <c r="DU100" i="40"/>
  <c r="DT68" i="40"/>
  <c r="DR74" i="40"/>
  <c r="DR108" i="40"/>
  <c r="DU56" i="40"/>
  <c r="DT75" i="40"/>
  <c r="DU59" i="40"/>
  <c r="DS143" i="40"/>
  <c r="DT87" i="40"/>
  <c r="DU133" i="40"/>
  <c r="DT121" i="40"/>
  <c r="DR52" i="40"/>
  <c r="DT41" i="40"/>
  <c r="DU129" i="40"/>
  <c r="DS67" i="40"/>
  <c r="DS99" i="40"/>
  <c r="DT80" i="40"/>
  <c r="DS132" i="40"/>
  <c r="DT140" i="40"/>
  <c r="DT28" i="40"/>
  <c r="DS121" i="40"/>
  <c r="DR31" i="40"/>
  <c r="DR75" i="40"/>
  <c r="DR59" i="40"/>
  <c r="DU122" i="40"/>
  <c r="DS124" i="40"/>
  <c r="DT138" i="40"/>
  <c r="DU123" i="40"/>
  <c r="DS119" i="40"/>
  <c r="DR86" i="40"/>
  <c r="DS65" i="40"/>
  <c r="DT60" i="40"/>
  <c r="DT95" i="40"/>
  <c r="DU125" i="40"/>
  <c r="DR30" i="40"/>
  <c r="DS82" i="40"/>
  <c r="DU106" i="40"/>
  <c r="DR103" i="40"/>
  <c r="DS76" i="40"/>
  <c r="DS128" i="40"/>
  <c r="DU51" i="40"/>
  <c r="DR69" i="40"/>
  <c r="DT86" i="40"/>
  <c r="DU55" i="40"/>
  <c r="DS93" i="40"/>
  <c r="DT98" i="40"/>
  <c r="DS44" i="40"/>
  <c r="DS127" i="40"/>
  <c r="DR132" i="40"/>
  <c r="DR60" i="40"/>
  <c r="DS51" i="40"/>
  <c r="DT114" i="40"/>
  <c r="DT38" i="40"/>
  <c r="DR112" i="40"/>
  <c r="DU52" i="40"/>
  <c r="DR72" i="40"/>
  <c r="DR28" i="40"/>
  <c r="DU134" i="40"/>
  <c r="DR56" i="40"/>
  <c r="DT78" i="40"/>
  <c r="DS39" i="40"/>
  <c r="DR38" i="40"/>
  <c r="DR109" i="40"/>
  <c r="DR125" i="40"/>
  <c r="DR127" i="40"/>
  <c r="DU139" i="40"/>
  <c r="DT108" i="40"/>
  <c r="DT53" i="40"/>
  <c r="DU31" i="40"/>
  <c r="DT46" i="40"/>
  <c r="DR141" i="40"/>
  <c r="DR90" i="40"/>
  <c r="DT111" i="40"/>
  <c r="DU93" i="40"/>
  <c r="DS45" i="40"/>
  <c r="DR84" i="40"/>
  <c r="DU130" i="40"/>
  <c r="DS74" i="40"/>
  <c r="DS30" i="40"/>
  <c r="DU118" i="40"/>
  <c r="DT136" i="40"/>
  <c r="DS40" i="40"/>
  <c r="DR95" i="40"/>
  <c r="DR80" i="40"/>
  <c r="DU132" i="40"/>
  <c r="DT137" i="40"/>
  <c r="DT141" i="40"/>
  <c r="DR81" i="40"/>
  <c r="DR91" i="40"/>
  <c r="DS107" i="40"/>
  <c r="DU79" i="40"/>
  <c r="DR53" i="40"/>
  <c r="DU28" i="40"/>
  <c r="DR107" i="40"/>
  <c r="DS95" i="40"/>
  <c r="DR104" i="40"/>
  <c r="DU46" i="40"/>
  <c r="DT49" i="40"/>
  <c r="DS123" i="40"/>
  <c r="DR102" i="40"/>
  <c r="DU110" i="40"/>
  <c r="DR40" i="40"/>
  <c r="DR99" i="40"/>
  <c r="DU62" i="40"/>
  <c r="DT45" i="40"/>
  <c r="DS108" i="40"/>
  <c r="DU68" i="40"/>
  <c r="DR51" i="40"/>
  <c r="DS101" i="40"/>
  <c r="DU41" i="40"/>
  <c r="DR121" i="40"/>
  <c r="DS84" i="40"/>
  <c r="DR57" i="40"/>
  <c r="DS50" i="40"/>
  <c r="DR144" i="40"/>
  <c r="DS47" i="40"/>
  <c r="DU70" i="40"/>
  <c r="DR97" i="40"/>
  <c r="DU135" i="40"/>
  <c r="DS37" i="40"/>
  <c r="DS87" i="40"/>
  <c r="DS73" i="40"/>
  <c r="DS113" i="40"/>
  <c r="DU111" i="40"/>
  <c r="DU97" i="40"/>
  <c r="DT122" i="40"/>
  <c r="DT103" i="40"/>
  <c r="DR101" i="40"/>
  <c r="DS142" i="40"/>
  <c r="DU124" i="40"/>
  <c r="DT109" i="40"/>
  <c r="DS117" i="40"/>
  <c r="DU72" i="40"/>
  <c r="DR49" i="40"/>
  <c r="DS69" i="40"/>
  <c r="DR136" i="40"/>
  <c r="DS62" i="40"/>
  <c r="DT31" i="40"/>
  <c r="DS81" i="40"/>
  <c r="DR142" i="40"/>
  <c r="DU126" i="40"/>
  <c r="DT32" i="40"/>
  <c r="DR64" i="40"/>
  <c r="DU78" i="40"/>
  <c r="DR44" i="40"/>
  <c r="DU92" i="40"/>
  <c r="DS53" i="40"/>
  <c r="DU81" i="40"/>
  <c r="DS136" i="40"/>
  <c r="DR33" i="40"/>
  <c r="DT97" i="40"/>
  <c r="DR123" i="40"/>
  <c r="DS79" i="40"/>
  <c r="DU80" i="40"/>
  <c r="DS49" i="40"/>
  <c r="DT76" i="40"/>
  <c r="DR118" i="40"/>
  <c r="DU140" i="40"/>
  <c r="DT85" i="40"/>
  <c r="DR77" i="40"/>
  <c r="DR71" i="40"/>
  <c r="DS130" i="40"/>
  <c r="DU32" i="40"/>
  <c r="DU54" i="40"/>
  <c r="DR26" i="40"/>
  <c r="DT55" i="40"/>
  <c r="DS66" i="40"/>
  <c r="DS63" i="40"/>
  <c r="DT132" i="40"/>
  <c r="DR128" i="40"/>
  <c r="DT63" i="40"/>
  <c r="DS57" i="40"/>
  <c r="DT106" i="40"/>
  <c r="DR78" i="40"/>
  <c r="DT130" i="40"/>
  <c r="DR32" i="40"/>
  <c r="DR143" i="40"/>
  <c r="DU53" i="40"/>
  <c r="DT44" i="40"/>
  <c r="DU119" i="40"/>
  <c r="DU47" i="40"/>
  <c r="DT120" i="40"/>
  <c r="DU96" i="40"/>
  <c r="DT113" i="40"/>
  <c r="DU107" i="40"/>
  <c r="DU69" i="40"/>
  <c r="DR124" i="40"/>
  <c r="DR68" i="40"/>
  <c r="DR145" i="40"/>
  <c r="DT61" i="40"/>
  <c r="DT50" i="40"/>
  <c r="DT71" i="40"/>
  <c r="DT116" i="40"/>
  <c r="DS100" i="40"/>
  <c r="DS43" i="40"/>
  <c r="DU91" i="40"/>
  <c r="DR115" i="40"/>
  <c r="DT110" i="40"/>
  <c r="DT112" i="40"/>
  <c r="DU102" i="40"/>
  <c r="DT47" i="40"/>
  <c r="DT34" i="40"/>
  <c r="DU76" i="40"/>
  <c r="DT89" i="40"/>
  <c r="DS86" i="40"/>
  <c r="DU30" i="40"/>
  <c r="DU98" i="40"/>
  <c r="DU26" i="40"/>
  <c r="DR135" i="40"/>
  <c r="DT69" i="40"/>
  <c r="DR111" i="40"/>
  <c r="DR62" i="40"/>
  <c r="DR34" i="40"/>
  <c r="DT72" i="40"/>
  <c r="DT143" i="40"/>
  <c r="DS125" i="40"/>
  <c r="DR134" i="40"/>
  <c r="DU73" i="40"/>
  <c r="DT99" i="40"/>
  <c r="DU45" i="40"/>
  <c r="DU38" i="40"/>
  <c r="DR39" i="40"/>
  <c r="DT73" i="40"/>
  <c r="DS72" i="40"/>
  <c r="DR47" i="40"/>
  <c r="DT102" i="40"/>
  <c r="DU75" i="40"/>
  <c r="DS59" i="40"/>
  <c r="DS83" i="40"/>
  <c r="DS129" i="40"/>
  <c r="DS141" i="40"/>
  <c r="DU95" i="40"/>
  <c r="DS32" i="40"/>
  <c r="DT64" i="40"/>
  <c r="DU115" i="40"/>
  <c r="DS96" i="40"/>
  <c r="DT74" i="40"/>
  <c r="DR35" i="40"/>
  <c r="DU89" i="40"/>
  <c r="DS126" i="40"/>
  <c r="DT119" i="40"/>
  <c r="DT43" i="40"/>
  <c r="DU88" i="40"/>
  <c r="DR105" i="40"/>
  <c r="DT93" i="40"/>
  <c r="DS68" i="40"/>
  <c r="DR54" i="40"/>
  <c r="DU105" i="40"/>
  <c r="DU74" i="40"/>
  <c r="DU128" i="40"/>
  <c r="DR100" i="40"/>
  <c r="DR43" i="40"/>
  <c r="DS85" i="40"/>
  <c r="DU37" i="40"/>
  <c r="DT131" i="40"/>
  <c r="DS34" i="40"/>
  <c r="DR73" i="40"/>
  <c r="DU43" i="40"/>
  <c r="DU50" i="40"/>
  <c r="DS78" i="40"/>
  <c r="DT82" i="40"/>
  <c r="DS56" i="40"/>
  <c r="DS137" i="40"/>
  <c r="DR93" i="40"/>
  <c r="DR61" i="40"/>
  <c r="DT81" i="40"/>
  <c r="DU84" i="40"/>
  <c r="DS114" i="40"/>
  <c r="DS26" i="40"/>
  <c r="DU33" i="40"/>
  <c r="DT33" i="40"/>
  <c r="DT129" i="40"/>
  <c r="DT145" i="40"/>
  <c r="DS98" i="40"/>
  <c r="DU40" i="40"/>
  <c r="DS116" i="40"/>
  <c r="DR114" i="40"/>
  <c r="DR138" i="40"/>
  <c r="DT124" i="40"/>
  <c r="DS131" i="40"/>
  <c r="DS102" i="40"/>
  <c r="DR67" i="40"/>
  <c r="DU104" i="40"/>
  <c r="DR92" i="40"/>
  <c r="DT57" i="40"/>
  <c r="DR122" i="40"/>
  <c r="DT27" i="40"/>
  <c r="DR87" i="40"/>
  <c r="DU137" i="40"/>
  <c r="DU86" i="40"/>
  <c r="DT26" i="40"/>
  <c r="DS52" i="40"/>
  <c r="DT70" i="40"/>
  <c r="DS31" i="40"/>
  <c r="DU60" i="40"/>
  <c r="DU29" i="40"/>
  <c r="DS27" i="40"/>
  <c r="DS60" i="40"/>
  <c r="DR120" i="40"/>
  <c r="DT42" i="40"/>
  <c r="DU36" i="40"/>
  <c r="DU138" i="40"/>
  <c r="DU114" i="40"/>
  <c r="DU61" i="40"/>
  <c r="DU99" i="40"/>
  <c r="DS41" i="40"/>
  <c r="DT39" i="40"/>
  <c r="DT101" i="40"/>
  <c r="DU103" i="40"/>
  <c r="DT29" i="40"/>
  <c r="DU113" i="40"/>
  <c r="DR50" i="40"/>
  <c r="DR63" i="40"/>
  <c r="DS109" i="40"/>
  <c r="DR85" i="40"/>
  <c r="DU83" i="40"/>
  <c r="DR139" i="40"/>
  <c r="DT94" i="40"/>
  <c r="DU57" i="40"/>
  <c r="DT135" i="40"/>
  <c r="DT92" i="40"/>
  <c r="DU87" i="40"/>
  <c r="DU116" i="40"/>
  <c r="DU136" i="40"/>
  <c r="DU49" i="40"/>
  <c r="DR48" i="40"/>
  <c r="DT37" i="40"/>
  <c r="DU143" i="40"/>
  <c r="DU42" i="40"/>
  <c r="DT104" i="40"/>
  <c r="DT142" i="40"/>
  <c r="DU131" i="40"/>
  <c r="DU48" i="40"/>
  <c r="DT144" i="40"/>
  <c r="DU94" i="40"/>
  <c r="DS80" i="40"/>
  <c r="DS33" i="40"/>
  <c r="DS77" i="40"/>
  <c r="DT52" i="40"/>
  <c r="DR131" i="40"/>
  <c r="DT117" i="40"/>
  <c r="DR37" i="40"/>
  <c r="DU145" i="40"/>
  <c r="DT83" i="40"/>
  <c r="DS75" i="40"/>
  <c r="DR113" i="40"/>
  <c r="DR55" i="40"/>
  <c r="DU35" i="40"/>
  <c r="DS54" i="40"/>
  <c r="DT126" i="40"/>
  <c r="DT128" i="40"/>
  <c r="DU85" i="40"/>
  <c r="DS120" i="40"/>
  <c r="DT35" i="40"/>
  <c r="DT127" i="40"/>
  <c r="DT65" i="40"/>
  <c r="DU141" i="40"/>
  <c r="DU121" i="40"/>
  <c r="DR116" i="40"/>
  <c r="DS110" i="40"/>
  <c r="DS140" i="40"/>
  <c r="DR66" i="40"/>
  <c r="DR129" i="40"/>
  <c r="DU82" i="40"/>
  <c r="DT62" i="40"/>
  <c r="DU120" i="40"/>
  <c r="DU71" i="40"/>
  <c r="DS111" i="40"/>
  <c r="DS134" i="40"/>
  <c r="DT51" i="40"/>
  <c r="DS38" i="40"/>
  <c r="DR88" i="40"/>
  <c r="DS46" i="40"/>
  <c r="KO19" i="55" a="1"/>
  <c r="DY26" i="40" a="1"/>
  <c r="EB29" i="40" l="1"/>
  <c r="EA29" i="40"/>
  <c r="EA26" i="40"/>
  <c r="DY26" i="40"/>
  <c r="DY27" i="40"/>
  <c r="EA27" i="40"/>
  <c r="EB28" i="40"/>
  <c r="DZ28" i="40"/>
  <c r="DZ29" i="40"/>
  <c r="EB26" i="40"/>
  <c r="DZ26" i="40"/>
  <c r="DZ27" i="40"/>
  <c r="DY29" i="40"/>
  <c r="EB27" i="40"/>
  <c r="EA28" i="40"/>
  <c r="DY28" i="40"/>
  <c r="KR28" i="55"/>
  <c r="KW27" i="55"/>
  <c r="KW23" i="55"/>
  <c r="KT20" i="55"/>
  <c r="KT26" i="55"/>
  <c r="KV22" i="55"/>
  <c r="KS19" i="55"/>
  <c r="KS26" i="55"/>
  <c r="KQ25" i="55"/>
  <c r="KU21" i="55"/>
  <c r="KT21" i="55"/>
  <c r="KO24" i="55"/>
  <c r="KP25" i="55"/>
  <c r="KW22" i="55"/>
  <c r="KP28" i="55"/>
  <c r="KT19" i="55"/>
  <c r="KS20" i="55"/>
  <c r="KU19" i="55"/>
  <c r="KQ24" i="55"/>
  <c r="KV19" i="55"/>
  <c r="KR24" i="55"/>
  <c r="KW28" i="55"/>
  <c r="KR25" i="55"/>
  <c r="KV21" i="55"/>
  <c r="KU28" i="55"/>
  <c r="KT28" i="55"/>
  <c r="KO25" i="55"/>
  <c r="KS21" i="55"/>
  <c r="KR23" i="55"/>
  <c r="KS28" i="55"/>
  <c r="KP21" i="55"/>
  <c r="KV25" i="55"/>
  <c r="KS22" i="55"/>
  <c r="KS27" i="55"/>
  <c r="KR19" i="55"/>
  <c r="KV23" i="55"/>
  <c r="KU20" i="55"/>
  <c r="KS25" i="55"/>
  <c r="KV20" i="55"/>
  <c r="KT25" i="55"/>
  <c r="KO28" i="55"/>
  <c r="KS24" i="55"/>
  <c r="KW20" i="55"/>
  <c r="KV27" i="55"/>
  <c r="KU27" i="55"/>
  <c r="KP24" i="55"/>
  <c r="KW19" i="55"/>
  <c r="KT24" i="55"/>
  <c r="KQ22" i="55"/>
  <c r="KR27" i="55"/>
  <c r="KQ19" i="55"/>
  <c r="KU23" i="55"/>
  <c r="KR20" i="55"/>
  <c r="KW24" i="55"/>
  <c r="KW21" i="55"/>
  <c r="KU26" i="55"/>
  <c r="KO22" i="55"/>
  <c r="KO27" i="55"/>
  <c r="KP27" i="55"/>
  <c r="KT23" i="55"/>
  <c r="KO20" i="55"/>
  <c r="KW26" i="55"/>
  <c r="KV26" i="55"/>
  <c r="KQ23" i="55"/>
  <c r="KO21" i="55"/>
  <c r="KU25" i="55"/>
  <c r="KO19" i="55"/>
  <c r="KS23" i="55"/>
  <c r="KV28" i="55"/>
  <c r="KQ20" i="55"/>
  <c r="KV24" i="55"/>
  <c r="KR21" i="55"/>
  <c r="KR26" i="55"/>
  <c r="KO23" i="55"/>
  <c r="KQ28" i="55"/>
  <c r="KP23" i="55"/>
  <c r="KQ26" i="55"/>
  <c r="KU22" i="55"/>
  <c r="KP19" i="55"/>
  <c r="KO26" i="55"/>
  <c r="KW25" i="55"/>
  <c r="KR22" i="55"/>
  <c r="KP22" i="55"/>
  <c r="KQ27" i="55"/>
  <c r="KP20" i="55"/>
  <c r="KU24" i="55"/>
  <c r="KQ21" i="55"/>
  <c r="KP26" i="55"/>
  <c r="KT22" i="55"/>
  <c r="KT27" i="55"/>
  <c r="DO26" i="40"/>
  <c r="DO28" i="40"/>
  <c r="DO27" i="40"/>
  <c r="DS147" i="40" a="1"/>
  <c r="DT147" i="40" a="1"/>
  <c r="DT147" i="40" s="1"/>
  <c r="A1147" i="42" a="1"/>
  <c r="D1147" i="42" a="1"/>
  <c r="DS148" i="40"/>
  <c r="DS147" i="40"/>
  <c r="DR147" i="40"/>
  <c r="DR148" i="40"/>
  <c r="ED26" i="40" s="1" a="1"/>
  <c r="DU148" i="40"/>
  <c r="DU147" i="40"/>
  <c r="DT148" i="40"/>
  <c r="EE40" i="40" l="1"/>
  <c r="EE50" i="40"/>
  <c r="EE79" i="40"/>
  <c r="EE51" i="40"/>
  <c r="EE141" i="40"/>
  <c r="EF96" i="40"/>
  <c r="EE120" i="40"/>
  <c r="EE63" i="40"/>
  <c r="EE35" i="40"/>
  <c r="EG49" i="40"/>
  <c r="EE126" i="40"/>
  <c r="EG101" i="40"/>
  <c r="EF68" i="40"/>
  <c r="EF61" i="40"/>
  <c r="EF59" i="40"/>
  <c r="EF49" i="40"/>
  <c r="EG79" i="40"/>
  <c r="EG134" i="40"/>
  <c r="EF115" i="40"/>
  <c r="EF32" i="40"/>
  <c r="ED122" i="40"/>
  <c r="ED30" i="40"/>
  <c r="EG75" i="40"/>
  <c r="EE110" i="40"/>
  <c r="ED35" i="40"/>
  <c r="ED58" i="40"/>
  <c r="EG32" i="40"/>
  <c r="EF66" i="40"/>
  <c r="EF139" i="40"/>
  <c r="ED107" i="40"/>
  <c r="EG69" i="40"/>
  <c r="EF126" i="40"/>
  <c r="EG112" i="40"/>
  <c r="EG117" i="40"/>
  <c r="EG128" i="40"/>
  <c r="EG138" i="40"/>
  <c r="EG121" i="40"/>
  <c r="EG108" i="40"/>
  <c r="EG142" i="40"/>
  <c r="ED99" i="40"/>
  <c r="ED124" i="40"/>
  <c r="ED100" i="40"/>
  <c r="ED76" i="40"/>
  <c r="ED52" i="40"/>
  <c r="ED142" i="40"/>
  <c r="ED54" i="40"/>
  <c r="EG145" i="40"/>
  <c r="ED45" i="40"/>
  <c r="ED101" i="40"/>
  <c r="ED92" i="40"/>
  <c r="EG44" i="40"/>
  <c r="EG129" i="40"/>
  <c r="ED38" i="40"/>
  <c r="EG80" i="40"/>
  <c r="ED82" i="40"/>
  <c r="EG77" i="40"/>
  <c r="ED29" i="40"/>
  <c r="ED86" i="40"/>
  <c r="EG139" i="40"/>
  <c r="EG140" i="40"/>
  <c r="EG30" i="40"/>
  <c r="EG43" i="40"/>
  <c r="EF94" i="40"/>
  <c r="EG120" i="40"/>
  <c r="EG144" i="40"/>
  <c r="ED74" i="40"/>
  <c r="EG52" i="40"/>
  <c r="EG135" i="40"/>
  <c r="EG76" i="40"/>
  <c r="EG115" i="40"/>
  <c r="EG84" i="40"/>
  <c r="EG113" i="40"/>
  <c r="ED119" i="40"/>
  <c r="ED90" i="40"/>
  <c r="ED105" i="40"/>
  <c r="EE39" i="40"/>
  <c r="EG125" i="40"/>
  <c r="EG124" i="40"/>
  <c r="ED78" i="40"/>
  <c r="ED39" i="40"/>
  <c r="EG33" i="40"/>
  <c r="EG87" i="40"/>
  <c r="ED89" i="40"/>
  <c r="ED117" i="40"/>
  <c r="EG59" i="40"/>
  <c r="EF141" i="40"/>
  <c r="ED64" i="40"/>
  <c r="EG98" i="40"/>
  <c r="EG88" i="40"/>
  <c r="EG104" i="40"/>
  <c r="ED85" i="40"/>
  <c r="EG39" i="40"/>
  <c r="ED53" i="40"/>
  <c r="ED93" i="40"/>
  <c r="D1154" i="42"/>
  <c r="D1150" i="42"/>
  <c r="D1153" i="42"/>
  <c r="D1149" i="42"/>
  <c r="D1152" i="42"/>
  <c r="D1151" i="42"/>
  <c r="D1155" i="42"/>
  <c r="D1148" i="42"/>
  <c r="D1147" i="42"/>
  <c r="A1152" i="42"/>
  <c r="A1148" i="42"/>
  <c r="A1155" i="42"/>
  <c r="A1151" i="42"/>
  <c r="A1147" i="42"/>
  <c r="A1150" i="42"/>
  <c r="A1149" i="42"/>
  <c r="A1154" i="42"/>
  <c r="A1153" i="42"/>
  <c r="EE67" i="40"/>
  <c r="EE138" i="40"/>
  <c r="EG34" i="40"/>
  <c r="EE144" i="40"/>
  <c r="EG109" i="40"/>
  <c r="EG133" i="40"/>
  <c r="ED60" i="40"/>
  <c r="EG93" i="40"/>
  <c r="EG41" i="40"/>
  <c r="EG92" i="40"/>
  <c r="EG53" i="40"/>
  <c r="EG73" i="40"/>
  <c r="EG37" i="40"/>
  <c r="EG86" i="40"/>
  <c r="EG90" i="40"/>
  <c r="EG67" i="40"/>
  <c r="EG63" i="40"/>
  <c r="ED75" i="40"/>
  <c r="ED141" i="40"/>
  <c r="EG68" i="40"/>
  <c r="EG96" i="40"/>
  <c r="ED111" i="40"/>
  <c r="EG89" i="40"/>
  <c r="EG50" i="40"/>
  <c r="ED129" i="40"/>
  <c r="EG127" i="40"/>
  <c r="ED81" i="40"/>
  <c r="EG81" i="40"/>
  <c r="EE125" i="40"/>
  <c r="EE131" i="40"/>
  <c r="ED137" i="40"/>
  <c r="EG136" i="40"/>
  <c r="EG57" i="40"/>
  <c r="EG71" i="40"/>
  <c r="EG66" i="40"/>
  <c r="EG111" i="40"/>
  <c r="EG40" i="40"/>
  <c r="EG60" i="40"/>
  <c r="EG94" i="40"/>
  <c r="EG58" i="40"/>
  <c r="EG26" i="40"/>
  <c r="EE94" i="40"/>
  <c r="EE89" i="40"/>
  <c r="EE61" i="40"/>
  <c r="EE55" i="40"/>
  <c r="EE130" i="40"/>
  <c r="EE145" i="40"/>
  <c r="EE88" i="40"/>
  <c r="EE82" i="40"/>
  <c r="EE132" i="40"/>
  <c r="EE74" i="40"/>
  <c r="EE103" i="40"/>
  <c r="EE115" i="40"/>
  <c r="ED125" i="40"/>
  <c r="ED51" i="40"/>
  <c r="EE78" i="40"/>
  <c r="ED50" i="40"/>
  <c r="ED110" i="40"/>
  <c r="ED140" i="40"/>
  <c r="EF79" i="40"/>
  <c r="EF98" i="40"/>
  <c r="EF122" i="40"/>
  <c r="EF144" i="40"/>
  <c r="EF65" i="40"/>
  <c r="EF121" i="40"/>
  <c r="EF104" i="40"/>
  <c r="EF81" i="40"/>
  <c r="EF64" i="40"/>
  <c r="EF34" i="40"/>
  <c r="EF31" i="40"/>
  <c r="EF91" i="40"/>
  <c r="EF90" i="40"/>
  <c r="EF43" i="40"/>
  <c r="EF143" i="40"/>
  <c r="EF112" i="40"/>
  <c r="EF63" i="40"/>
  <c r="EF97" i="40"/>
  <c r="EF86" i="40"/>
  <c r="EF138" i="40"/>
  <c r="EF133" i="40"/>
  <c r="EF77" i="40"/>
  <c r="EF29" i="40"/>
  <c r="EF72" i="40"/>
  <c r="EF110" i="40"/>
  <c r="EF120" i="40"/>
  <c r="EF55" i="40"/>
  <c r="EF137" i="40"/>
  <c r="EF46" i="40"/>
  <c r="EF75" i="40"/>
  <c r="EF118" i="40"/>
  <c r="EF36" i="40"/>
  <c r="EF105" i="40"/>
  <c r="EF51" i="40"/>
  <c r="EF35" i="40"/>
  <c r="EF102" i="40"/>
  <c r="EF69" i="40"/>
  <c r="EE77" i="40"/>
  <c r="EE76" i="40"/>
  <c r="EE45" i="40"/>
  <c r="EE113" i="40"/>
  <c r="EE53" i="40"/>
  <c r="EE43" i="40"/>
  <c r="EE42" i="40"/>
  <c r="EE99" i="40"/>
  <c r="EE128" i="40"/>
  <c r="EE72" i="40"/>
  <c r="EE111" i="40"/>
  <c r="EE101" i="40"/>
  <c r="ED83" i="40"/>
  <c r="EE28" i="40"/>
  <c r="ED31" i="40"/>
  <c r="ED103" i="40"/>
  <c r="ED112" i="40"/>
  <c r="ED40" i="40"/>
  <c r="ED97" i="40"/>
  <c r="ED49" i="40"/>
  <c r="ED33" i="40"/>
  <c r="EE129" i="40"/>
  <c r="EE68" i="40"/>
  <c r="EE56" i="40"/>
  <c r="ED138" i="40"/>
  <c r="EE31" i="40"/>
  <c r="ED48" i="40"/>
  <c r="ED37" i="40"/>
  <c r="ED70" i="40"/>
  <c r="ED46" i="40"/>
  <c r="ED106" i="40"/>
  <c r="EE92" i="40"/>
  <c r="ED56" i="40"/>
  <c r="EE30" i="40"/>
  <c r="EE95" i="40"/>
  <c r="ED121" i="40"/>
  <c r="EE69" i="40"/>
  <c r="ED120" i="40"/>
  <c r="ED55" i="40"/>
  <c r="EE38" i="40"/>
  <c r="ED42" i="40"/>
  <c r="EE112" i="40"/>
  <c r="EE118" i="40"/>
  <c r="ED108" i="40"/>
  <c r="ED59" i="40"/>
  <c r="EE127" i="40"/>
  <c r="ED84" i="40"/>
  <c r="ED104" i="40"/>
  <c r="EE47" i="40"/>
  <c r="EE117" i="40"/>
  <c r="ED123" i="40"/>
  <c r="ED32" i="40"/>
  <c r="EE59" i="40"/>
  <c r="ED43" i="40"/>
  <c r="EE114" i="40"/>
  <c r="ED87" i="40"/>
  <c r="EE80" i="40"/>
  <c r="EE139" i="40"/>
  <c r="EE91" i="40"/>
  <c r="EE64" i="40"/>
  <c r="EE119" i="40"/>
  <c r="EE87" i="40"/>
  <c r="EE100" i="40"/>
  <c r="EE98" i="40"/>
  <c r="EE41" i="40"/>
  <c r="EE135" i="40"/>
  <c r="EE66" i="40"/>
  <c r="EE104" i="40"/>
  <c r="EE84" i="40"/>
  <c r="EE57" i="40"/>
  <c r="EE58" i="40"/>
  <c r="EE97" i="40"/>
  <c r="EE133" i="40"/>
  <c r="EE29" i="40"/>
  <c r="EE124" i="40"/>
  <c r="ED69" i="40"/>
  <c r="EE107" i="40"/>
  <c r="EE108" i="40"/>
  <c r="EE73" i="40"/>
  <c r="ED128" i="40"/>
  <c r="ED67" i="40"/>
  <c r="EE60" i="40"/>
  <c r="EE109" i="40"/>
  <c r="ED113" i="40"/>
  <c r="ED66" i="40"/>
  <c r="EE106" i="40"/>
  <c r="EE71" i="40"/>
  <c r="ED126" i="40"/>
  <c r="ED65" i="40"/>
  <c r="EE70" i="40"/>
  <c r="EE48" i="40"/>
  <c r="EE65" i="40"/>
  <c r="EE44" i="40"/>
  <c r="ED109" i="40"/>
  <c r="ED95" i="40"/>
  <c r="EE123" i="40"/>
  <c r="ED144" i="40"/>
  <c r="EE81" i="40"/>
  <c r="EE49" i="40"/>
  <c r="EE137" i="40"/>
  <c r="EG114" i="40"/>
  <c r="EG116" i="40"/>
  <c r="ED116" i="40"/>
  <c r="ED79" i="40"/>
  <c r="ED41" i="40"/>
  <c r="EE105" i="40"/>
  <c r="ED133" i="40"/>
  <c r="EE90" i="40"/>
  <c r="EE143" i="40"/>
  <c r="EG123" i="40"/>
  <c r="ED72" i="40"/>
  <c r="ED80" i="40"/>
  <c r="ED102" i="40"/>
  <c r="EE37" i="40"/>
  <c r="ED136" i="40"/>
  <c r="ED77" i="40"/>
  <c r="ED68" i="40"/>
  <c r="ED62" i="40"/>
  <c r="EE96" i="40"/>
  <c r="EE34" i="40"/>
  <c r="EE116" i="40"/>
  <c r="EE52" i="40"/>
  <c r="ED131" i="40"/>
  <c r="EE122" i="40"/>
  <c r="EE36" i="40"/>
  <c r="ED94" i="40"/>
  <c r="EE93" i="40"/>
  <c r="EE62" i="40"/>
  <c r="EE83" i="40"/>
  <c r="KT33" i="55"/>
  <c r="KT38" i="55"/>
  <c r="KT39" i="55"/>
  <c r="KT37" i="55"/>
  <c r="KT40" i="55"/>
  <c r="KT35" i="55"/>
  <c r="KT41" i="55"/>
  <c r="KT36" i="55"/>
  <c r="KT34" i="55"/>
  <c r="EF99" i="40"/>
  <c r="EG27" i="40"/>
  <c r="EG118" i="40"/>
  <c r="EG78" i="40"/>
  <c r="EG54" i="40"/>
  <c r="EG119" i="40"/>
  <c r="EG143" i="40"/>
  <c r="EG82" i="40"/>
  <c r="ED98" i="40"/>
  <c r="ED91" i="40"/>
  <c r="KR40" i="55"/>
  <c r="KR37" i="55"/>
  <c r="KR38" i="55"/>
  <c r="KR41" i="55"/>
  <c r="KR34" i="55"/>
  <c r="KR39" i="55"/>
  <c r="KR36" i="55"/>
  <c r="KR33" i="55"/>
  <c r="KR35" i="55"/>
  <c r="EG29" i="40"/>
  <c r="KO40" i="55"/>
  <c r="KO41" i="55"/>
  <c r="KO37" i="55"/>
  <c r="KO36" i="55"/>
  <c r="KO35" i="55"/>
  <c r="KO33" i="55"/>
  <c r="KO38" i="55"/>
  <c r="KO39" i="55"/>
  <c r="KO34" i="55"/>
  <c r="KV40" i="55"/>
  <c r="KV33" i="55"/>
  <c r="KV34" i="55"/>
  <c r="KV41" i="55"/>
  <c r="KV39" i="55"/>
  <c r="KV38" i="55"/>
  <c r="KV37" i="55"/>
  <c r="KV36" i="55"/>
  <c r="KV35" i="55"/>
  <c r="KQ41" i="55"/>
  <c r="KQ40" i="55"/>
  <c r="KQ34" i="55"/>
  <c r="KQ35" i="55"/>
  <c r="KQ37" i="55"/>
  <c r="KQ38" i="55"/>
  <c r="KQ39" i="55"/>
  <c r="KQ33" i="55"/>
  <c r="KQ36" i="55"/>
  <c r="KS34" i="55"/>
  <c r="KS37" i="55"/>
  <c r="KS36" i="55"/>
  <c r="KS41" i="55"/>
  <c r="KS39" i="55"/>
  <c r="KS40" i="55"/>
  <c r="KS33" i="55"/>
  <c r="KS38" i="55"/>
  <c r="KS35" i="55"/>
  <c r="EG55" i="40"/>
  <c r="EG62" i="40"/>
  <c r="EG102" i="40"/>
  <c r="EG95" i="40"/>
  <c r="EG105" i="40"/>
  <c r="ED36" i="40"/>
  <c r="ED28" i="40"/>
  <c r="KU34" i="55"/>
  <c r="KU40" i="55"/>
  <c r="KU35" i="55"/>
  <c r="KU39" i="55"/>
  <c r="KU33" i="55"/>
  <c r="KU38" i="55"/>
  <c r="KU37" i="55"/>
  <c r="KU41" i="55"/>
  <c r="KU36" i="55"/>
  <c r="KW40" i="55"/>
  <c r="KW35" i="55"/>
  <c r="KW34" i="55"/>
  <c r="KW36" i="55"/>
  <c r="KW33" i="55"/>
  <c r="KW41" i="55"/>
  <c r="KW38" i="55"/>
  <c r="KW39" i="55"/>
  <c r="KW37" i="55"/>
  <c r="KP40" i="55"/>
  <c r="KP36" i="55"/>
  <c r="KP34" i="55"/>
  <c r="KP38" i="55"/>
  <c r="KP37" i="55"/>
  <c r="KP33" i="55"/>
  <c r="KP35" i="55"/>
  <c r="KP41" i="55"/>
  <c r="KP39" i="55"/>
  <c r="EF39" i="40"/>
  <c r="EF52" i="40"/>
  <c r="EF127" i="40"/>
  <c r="EF60" i="40"/>
  <c r="EF71" i="40"/>
  <c r="EF83" i="40"/>
  <c r="EG64" i="40"/>
  <c r="EG65" i="40"/>
  <c r="EF41" i="40"/>
  <c r="EG130" i="40"/>
  <c r="EG28" i="40"/>
  <c r="EG97" i="40"/>
  <c r="EG126" i="40"/>
  <c r="ED118" i="40"/>
  <c r="EG47" i="40"/>
  <c r="ED115" i="40"/>
  <c r="ED34" i="40"/>
  <c r="EF93" i="40"/>
  <c r="EF82" i="40"/>
  <c r="EF57" i="40"/>
  <c r="EG36" i="40"/>
  <c r="ED139" i="40"/>
  <c r="EE33" i="40"/>
  <c r="EG141" i="40"/>
  <c r="EE46" i="40"/>
  <c r="EF103" i="40"/>
  <c r="EF85" i="40"/>
  <c r="EF130" i="40"/>
  <c r="EF50" i="40"/>
  <c r="EF73" i="40"/>
  <c r="EF131" i="40"/>
  <c r="EF33" i="40"/>
  <c r="EF27" i="40"/>
  <c r="EF37" i="40"/>
  <c r="EF134" i="40"/>
  <c r="EF107" i="40"/>
  <c r="EF28" i="40"/>
  <c r="EF114" i="40"/>
  <c r="EF53" i="40"/>
  <c r="EG91" i="40"/>
  <c r="EG45" i="40"/>
  <c r="EF42" i="40"/>
  <c r="EG83" i="40"/>
  <c r="EG131" i="40"/>
  <c r="EG35" i="40"/>
  <c r="EF100" i="40"/>
  <c r="ED130" i="40"/>
  <c r="EF67" i="40"/>
  <c r="EF40" i="40"/>
  <c r="EG100" i="40"/>
  <c r="EF80" i="40"/>
  <c r="EF95" i="40"/>
  <c r="ED132" i="40"/>
  <c r="ED127" i="40"/>
  <c r="EF136" i="40"/>
  <c r="EG46" i="40"/>
  <c r="ED57" i="40"/>
  <c r="EE142" i="40"/>
  <c r="ED44" i="40"/>
  <c r="ED71" i="40"/>
  <c r="EF132" i="40"/>
  <c r="EG107" i="40"/>
  <c r="EF47" i="40"/>
  <c r="ED134" i="40"/>
  <c r="EE32" i="40"/>
  <c r="EG74" i="40"/>
  <c r="ED61" i="40"/>
  <c r="EF145" i="40"/>
  <c r="EG137" i="40"/>
  <c r="EG99" i="40"/>
  <c r="EF92" i="40"/>
  <c r="EF117" i="40"/>
  <c r="EE140" i="40"/>
  <c r="EF140" i="40"/>
  <c r="EF108" i="40"/>
  <c r="EF109" i="40"/>
  <c r="EF44" i="40"/>
  <c r="EF26" i="40"/>
  <c r="EF142" i="40"/>
  <c r="EF58" i="40"/>
  <c r="EF113" i="40"/>
  <c r="EF129" i="40"/>
  <c r="EG61" i="40"/>
  <c r="EF135" i="40"/>
  <c r="EG85" i="40"/>
  <c r="ED88" i="40"/>
  <c r="EF54" i="40"/>
  <c r="ED27" i="40"/>
  <c r="EF123" i="40"/>
  <c r="ED96" i="40"/>
  <c r="EG56" i="40"/>
  <c r="EE121" i="40"/>
  <c r="EG106" i="40"/>
  <c r="EF38" i="40"/>
  <c r="EG31" i="40"/>
  <c r="EG132" i="40"/>
  <c r="EG110" i="40"/>
  <c r="EG70" i="40"/>
  <c r="EG72" i="40"/>
  <c r="EE136" i="40"/>
  <c r="ED26" i="40"/>
  <c r="EF106" i="40"/>
  <c r="ED145" i="40"/>
  <c r="EE86" i="40"/>
  <c r="EG38" i="40"/>
  <c r="EF74" i="40"/>
  <c r="EE85" i="40"/>
  <c r="EE26" i="40"/>
  <c r="ED114" i="40"/>
  <c r="EF70" i="40"/>
  <c r="EG103" i="40"/>
  <c r="EG42" i="40"/>
  <c r="EE75" i="40"/>
  <c r="EF62" i="40"/>
  <c r="EF124" i="40"/>
  <c r="EF128" i="40"/>
  <c r="EF88" i="40"/>
  <c r="EF30" i="40"/>
  <c r="EF48" i="40"/>
  <c r="EF125" i="40"/>
  <c r="EF78" i="40"/>
  <c r="EF76" i="40"/>
  <c r="EF89" i="40"/>
  <c r="EF101" i="40"/>
  <c r="EF84" i="40"/>
  <c r="EF56" i="40"/>
  <c r="EF87" i="40"/>
  <c r="EG122" i="40"/>
  <c r="EG51" i="40"/>
  <c r="EF111" i="40"/>
  <c r="EF45" i="40"/>
  <c r="ED143" i="40"/>
  <c r="EF116" i="40"/>
  <c r="ED135" i="40"/>
  <c r="ED47" i="40"/>
  <c r="EF119" i="40"/>
  <c r="ED73" i="40"/>
  <c r="EE102" i="40"/>
  <c r="EE27" i="40"/>
  <c r="ED63" i="40"/>
  <c r="EG48" i="40"/>
  <c r="EE54" i="40"/>
  <c r="EE134" i="40"/>
  <c r="EK26" i="40" a="1"/>
  <c r="EL28" i="40" l="1"/>
  <c r="EM28" i="40"/>
  <c r="EL27" i="40"/>
  <c r="EM29" i="40"/>
  <c r="EM27" i="40"/>
  <c r="EM26" i="40"/>
  <c r="EL29" i="40"/>
  <c r="EK29" i="40"/>
  <c r="EK26" i="40"/>
  <c r="EN26" i="40"/>
  <c r="EN27" i="40"/>
  <c r="EL26" i="40"/>
  <c r="EN29" i="40"/>
  <c r="EK28" i="40"/>
  <c r="EN28" i="40"/>
  <c r="EK27" i="40"/>
  <c r="EE147" i="40" a="1"/>
  <c r="EF147" i="40" a="1"/>
  <c r="B1157" i="42"/>
  <c r="A1160" i="42" a="1"/>
  <c r="D1160" i="42" a="1"/>
  <c r="KX38" i="55"/>
  <c r="KX33" i="55"/>
  <c r="KX41" i="55"/>
  <c r="KX37" i="55"/>
  <c r="EG147" i="40"/>
  <c r="KX34" i="55"/>
  <c r="KX35" i="55"/>
  <c r="KX40" i="55"/>
  <c r="KX39" i="55"/>
  <c r="KX36" i="55"/>
  <c r="ED148" i="40"/>
  <c r="ED147" i="40"/>
  <c r="EG148" i="40"/>
  <c r="EE148" i="40"/>
  <c r="EE147" i="40"/>
  <c r="EF147" i="40"/>
  <c r="EF148" i="40"/>
  <c r="LA6" i="55" a="1"/>
  <c r="LC14" i="55" l="1"/>
  <c r="LG10" i="55"/>
  <c r="LB7" i="55"/>
  <c r="LD12" i="55"/>
  <c r="LH8" i="55"/>
  <c r="LI14" i="55"/>
  <c r="LD11" i="55"/>
  <c r="LH7" i="55"/>
  <c r="LI13" i="55"/>
  <c r="LD10" i="55"/>
  <c r="LH6" i="55"/>
  <c r="LH11" i="55"/>
  <c r="LC8" i="55"/>
  <c r="LE13" i="55"/>
  <c r="LI9" i="55"/>
  <c r="LD6" i="55"/>
  <c r="LC9" i="55"/>
  <c r="LD8" i="55"/>
  <c r="LG13" i="55"/>
  <c r="LE7" i="55"/>
  <c r="LF14" i="55"/>
  <c r="LD13" i="55"/>
  <c r="LH9" i="55"/>
  <c r="LC6" i="55"/>
  <c r="LE11" i="55"/>
  <c r="LI7" i="55"/>
  <c r="LA14" i="55"/>
  <c r="LE10" i="55"/>
  <c r="LI6" i="55"/>
  <c r="LA13" i="55"/>
  <c r="LE9" i="55"/>
  <c r="LE14" i="55"/>
  <c r="LI10" i="55"/>
  <c r="LD7" i="55"/>
  <c r="LF12" i="55"/>
  <c r="LA9" i="55"/>
  <c r="LI12" i="55"/>
  <c r="LA12" i="55"/>
  <c r="LH13" i="55"/>
  <c r="LB10" i="55"/>
  <c r="LG14" i="55"/>
  <c r="LE12" i="55"/>
  <c r="LI8" i="55"/>
  <c r="LB14" i="55"/>
  <c r="LF10" i="55"/>
  <c r="LA7" i="55"/>
  <c r="LB13" i="55"/>
  <c r="LF9" i="55"/>
  <c r="LA6" i="55"/>
  <c r="LB12" i="55"/>
  <c r="LF8" i="55"/>
  <c r="LF13" i="55"/>
  <c r="LA10" i="55"/>
  <c r="LE6" i="55"/>
  <c r="LG11" i="55"/>
  <c r="LB8" i="55"/>
  <c r="LD9" i="55"/>
  <c r="LE8" i="55"/>
  <c r="LC10" i="55"/>
  <c r="LF6" i="55"/>
  <c r="LB11" i="55"/>
  <c r="LC13" i="55"/>
  <c r="LG8" i="55"/>
  <c r="LG12" i="55"/>
  <c r="LC7" i="55"/>
  <c r="LF7" i="55"/>
  <c r="LA8" i="55"/>
  <c r="LG7" i="55"/>
  <c r="LG6" i="55"/>
  <c r="LG9" i="55"/>
  <c r="LH14" i="55"/>
  <c r="LB9" i="55"/>
  <c r="LH12" i="55"/>
  <c r="LA11" i="55"/>
  <c r="LF11" i="55"/>
  <c r="LB6" i="55"/>
  <c r="LC11" i="55"/>
  <c r="LD14" i="55"/>
  <c r="LI11" i="55"/>
  <c r="LC12" i="55"/>
  <c r="LH10" i="55"/>
  <c r="D1168" i="42"/>
  <c r="G1168" i="42" s="1"/>
  <c r="D1164" i="42"/>
  <c r="G1164" i="42" s="1"/>
  <c r="D1160" i="42"/>
  <c r="G1160" i="42" s="1"/>
  <c r="D1167" i="42"/>
  <c r="G1167" i="42" s="1"/>
  <c r="D1163" i="42"/>
  <c r="G1163" i="42" s="1"/>
  <c r="D1162" i="42"/>
  <c r="G1162" i="42" s="1"/>
  <c r="D1161" i="42"/>
  <c r="G1161" i="42" s="1"/>
  <c r="D1166" i="42"/>
  <c r="G1166" i="42" s="1"/>
  <c r="D1165" i="42"/>
  <c r="G1165" i="42" s="1"/>
  <c r="A1166" i="42"/>
  <c r="A1162" i="42"/>
  <c r="A1165" i="42"/>
  <c r="A1161" i="42"/>
  <c r="A1168" i="42"/>
  <c r="A1160" i="42"/>
  <c r="A1167" i="42"/>
  <c r="A1164" i="42"/>
  <c r="A1163" i="42"/>
  <c r="O1147" i="42"/>
  <c r="O1148" i="42"/>
  <c r="KX43" i="55"/>
  <c r="LA19" i="55" a="1"/>
  <c r="LG28" i="55" l="1"/>
  <c r="LB25" i="55"/>
  <c r="LH20" i="55"/>
  <c r="LC24" i="55"/>
  <c r="LG20" i="55"/>
  <c r="LF23" i="55"/>
  <c r="LD21" i="55"/>
  <c r="LI27" i="55"/>
  <c r="LI19" i="55"/>
  <c r="LH27" i="55"/>
  <c r="LI24" i="55"/>
  <c r="LI21" i="55"/>
  <c r="LE28" i="55"/>
  <c r="LE25" i="55"/>
  <c r="LB19" i="55"/>
  <c r="LC19" i="55"/>
  <c r="LC22" i="55"/>
  <c r="LG22" i="55"/>
  <c r="LE23" i="55"/>
  <c r="LC26" i="55"/>
  <c r="LA27" i="55"/>
  <c r="LD26" i="55"/>
  <c r="LF19" i="55"/>
  <c r="LC25" i="55"/>
  <c r="LA21" i="55"/>
  <c r="LI26" i="55"/>
  <c r="LF21" i="55"/>
  <c r="LB27" i="55"/>
  <c r="LI25" i="55"/>
  <c r="LD22" i="55"/>
  <c r="LD28" i="55"/>
  <c r="LH24" i="55"/>
  <c r="LC21" i="55"/>
  <c r="LD27" i="55"/>
  <c r="LH23" i="55"/>
  <c r="LC20" i="55"/>
  <c r="LB23" i="55"/>
  <c r="LH28" i="55"/>
  <c r="LA19" i="55"/>
  <c r="LF24" i="55"/>
  <c r="LI20" i="55"/>
  <c r="LG26" i="55"/>
  <c r="LF22" i="55"/>
  <c r="LB28" i="55"/>
  <c r="LH22" i="55"/>
  <c r="LF28" i="55"/>
  <c r="LA25" i="55"/>
  <c r="LE21" i="55"/>
  <c r="LE27" i="55"/>
  <c r="LI23" i="55"/>
  <c r="LD20" i="55"/>
  <c r="LE26" i="55"/>
  <c r="LI22" i="55"/>
  <c r="LD19" i="55"/>
  <c r="LE24" i="55"/>
  <c r="LE20" i="55"/>
  <c r="LB26" i="55"/>
  <c r="LE22" i="55"/>
  <c r="LA28" i="55"/>
  <c r="LA24" i="55"/>
  <c r="LD24" i="55"/>
  <c r="LG27" i="55"/>
  <c r="LB24" i="55"/>
  <c r="LF20" i="55"/>
  <c r="LF26" i="55"/>
  <c r="LA23" i="55"/>
  <c r="LE19" i="55"/>
  <c r="LF25" i="55"/>
  <c r="LA22" i="55"/>
  <c r="LB20" i="55"/>
  <c r="LA26" i="55"/>
  <c r="LH21" i="55"/>
  <c r="LF27" i="55"/>
  <c r="LG23" i="55"/>
  <c r="LH19" i="55"/>
  <c r="LD25" i="55"/>
  <c r="LA20" i="55"/>
  <c r="LH25" i="55"/>
  <c r="LH26" i="55"/>
  <c r="LC23" i="55"/>
  <c r="LG19" i="55"/>
  <c r="LG25" i="55"/>
  <c r="LB22" i="55"/>
  <c r="LC28" i="55"/>
  <c r="LG24" i="55"/>
  <c r="LB21" i="55"/>
  <c r="LG21" i="55"/>
  <c r="LC27" i="55"/>
  <c r="LD23" i="55"/>
  <c r="LI28" i="55"/>
  <c r="O1149" i="42"/>
  <c r="B1170" i="42"/>
  <c r="A1173" i="42" a="1"/>
  <c r="A1180" i="42" l="1"/>
  <c r="A1176" i="42"/>
  <c r="A1179" i="42"/>
  <c r="A1175" i="42"/>
  <c r="A1181" i="42"/>
  <c r="A1173" i="42"/>
  <c r="A1178" i="42"/>
  <c r="A1174" i="42"/>
  <c r="A1177" i="42"/>
  <c r="N1152" i="42"/>
  <c r="O1151" i="42" s="1"/>
  <c r="N1151" i="42"/>
  <c r="LA35" i="55"/>
  <c r="LA37" i="55"/>
  <c r="LA41" i="55"/>
  <c r="LA39" i="55"/>
  <c r="LA38" i="55"/>
  <c r="LA34" i="55"/>
  <c r="LA40" i="55"/>
  <c r="LA33" i="55"/>
  <c r="LA36" i="55"/>
  <c r="LH41" i="55"/>
  <c r="LH36" i="55"/>
  <c r="LH37" i="55"/>
  <c r="LH33" i="55"/>
  <c r="LH39" i="55"/>
  <c r="LH35" i="55"/>
  <c r="LH40" i="55"/>
  <c r="LH34" i="55"/>
  <c r="LH38" i="55"/>
  <c r="LI34" i="55"/>
  <c r="LI39" i="55"/>
  <c r="LI36" i="55"/>
  <c r="LI41" i="55"/>
  <c r="LI38" i="55"/>
  <c r="LI35" i="55"/>
  <c r="LI37" i="55"/>
  <c r="LI40" i="55"/>
  <c r="LI33" i="55"/>
  <c r="LC35" i="55"/>
  <c r="LC36" i="55"/>
  <c r="LC37" i="55"/>
  <c r="LC38" i="55"/>
  <c r="LC39" i="55"/>
  <c r="LC40" i="55"/>
  <c r="LC34" i="55"/>
  <c r="LC33" i="55"/>
  <c r="LC41" i="55"/>
  <c r="LE33" i="55"/>
  <c r="LE35" i="55"/>
  <c r="LE37" i="55"/>
  <c r="LE41" i="55"/>
  <c r="LE36" i="55"/>
  <c r="LE39" i="55"/>
  <c r="LE40" i="55"/>
  <c r="LE34" i="55"/>
  <c r="LE38" i="55"/>
  <c r="LF36" i="55"/>
  <c r="LF41" i="55"/>
  <c r="LF33" i="55"/>
  <c r="LF39" i="55"/>
  <c r="LF37" i="55"/>
  <c r="LF34" i="55"/>
  <c r="LF40" i="55"/>
  <c r="LF35" i="55"/>
  <c r="LF38" i="55"/>
  <c r="LB38" i="55"/>
  <c r="LB35" i="55"/>
  <c r="LB37" i="55"/>
  <c r="LB40" i="55"/>
  <c r="LB36" i="55"/>
  <c r="LB34" i="55"/>
  <c r="LB39" i="55"/>
  <c r="LB33" i="55"/>
  <c r="LB41" i="55"/>
  <c r="LD39" i="55"/>
  <c r="LD41" i="55"/>
  <c r="LD36" i="55"/>
  <c r="LD37" i="55"/>
  <c r="LD38" i="55"/>
  <c r="LD40" i="55"/>
  <c r="LD35" i="55"/>
  <c r="LD33" i="55"/>
  <c r="LD34" i="55"/>
  <c r="LG38" i="55"/>
  <c r="LG37" i="55"/>
  <c r="LG39" i="55"/>
  <c r="LG41" i="55"/>
  <c r="LG40" i="55"/>
  <c r="LG35" i="55"/>
  <c r="LG34" i="55"/>
  <c r="LG33" i="55"/>
  <c r="LG36" i="55"/>
  <c r="O1152" i="42" l="1"/>
  <c r="Q1147" i="42" s="1" a="1"/>
  <c r="B1183" i="42"/>
  <c r="A1186" i="42" a="1"/>
  <c r="LJ39" i="55"/>
  <c r="LJ41" i="55"/>
  <c r="LJ34" i="55"/>
  <c r="LJ37" i="55"/>
  <c r="LJ33" i="55"/>
  <c r="LJ40" i="55"/>
  <c r="LJ36" i="55"/>
  <c r="LJ38" i="55"/>
  <c r="LJ35" i="55"/>
  <c r="LM6" i="55" a="1"/>
  <c r="LU14" i="55" l="1"/>
  <c r="LP11" i="55"/>
  <c r="LT7" i="55"/>
  <c r="LU13" i="55"/>
  <c r="LP10" i="55"/>
  <c r="LT6" i="55"/>
  <c r="LM12" i="55"/>
  <c r="LQ8" i="55"/>
  <c r="LS13" i="55"/>
  <c r="LN10" i="55"/>
  <c r="LR6" i="55"/>
  <c r="LR11" i="55"/>
  <c r="LM8" i="55"/>
  <c r="LO13" i="55"/>
  <c r="LS9" i="55"/>
  <c r="LN6" i="55"/>
  <c r="LP14" i="55"/>
  <c r="LM10" i="55"/>
  <c r="LP6" i="55"/>
  <c r="LN8" i="55"/>
  <c r="LM9" i="55"/>
  <c r="LR13" i="55"/>
  <c r="LM14" i="55"/>
  <c r="LQ10" i="55"/>
  <c r="LU6" i="55"/>
  <c r="LM13" i="55"/>
  <c r="LQ9" i="55"/>
  <c r="LS14" i="55"/>
  <c r="LN11" i="55"/>
  <c r="LR7" i="55"/>
  <c r="LT12" i="55"/>
  <c r="LO9" i="55"/>
  <c r="LO14" i="55"/>
  <c r="LS10" i="55"/>
  <c r="LN7" i="55"/>
  <c r="LP12" i="55"/>
  <c r="LT8" i="55"/>
  <c r="LQ14" i="55"/>
  <c r="LT10" i="55"/>
  <c r="LQ6" i="55"/>
  <c r="LT11" i="55"/>
  <c r="LS12" i="55"/>
  <c r="LN13" i="55"/>
  <c r="LR9" i="55"/>
  <c r="LM6" i="55"/>
  <c r="LN12" i="55"/>
  <c r="LR8" i="55"/>
  <c r="LT13" i="55"/>
  <c r="LO10" i="55"/>
  <c r="LS6" i="55"/>
  <c r="LU11" i="55"/>
  <c r="LP8" i="55"/>
  <c r="LP13" i="55"/>
  <c r="LT9" i="55"/>
  <c r="LO6" i="55"/>
  <c r="LQ11" i="55"/>
  <c r="LU7" i="55"/>
  <c r="LU10" i="55"/>
  <c r="LO7" i="55"/>
  <c r="LQ13" i="55"/>
  <c r="LO8" i="55"/>
  <c r="LR12" i="55"/>
  <c r="LO12" i="55"/>
  <c r="LS8" i="55"/>
  <c r="LT14" i="55"/>
  <c r="LO11" i="55"/>
  <c r="LS7" i="55"/>
  <c r="LU12" i="55"/>
  <c r="LP9" i="55"/>
  <c r="LR14" i="55"/>
  <c r="LM11" i="55"/>
  <c r="LQ7" i="55"/>
  <c r="LQ12" i="55"/>
  <c r="LU8" i="55"/>
  <c r="LN14" i="55"/>
  <c r="LR10" i="55"/>
  <c r="LM7" i="55"/>
  <c r="LP7" i="55"/>
  <c r="LU9" i="55"/>
  <c r="LS11" i="55"/>
  <c r="LN9" i="55"/>
  <c r="A1194" i="42"/>
  <c r="F1194" i="42" s="1"/>
  <c r="A1190" i="42"/>
  <c r="F1190" i="42" s="1"/>
  <c r="A1186" i="42"/>
  <c r="A1193" i="42"/>
  <c r="F1193" i="42" s="1"/>
  <c r="A1189" i="42"/>
  <c r="F1189" i="42" s="1"/>
  <c r="A1187" i="42"/>
  <c r="F1187" i="42" s="1"/>
  <c r="A1192" i="42"/>
  <c r="F1192" i="42" s="1"/>
  <c r="A1191" i="42"/>
  <c r="F1191" i="42" s="1"/>
  <c r="A1188" i="42"/>
  <c r="F1188" i="42" s="1"/>
  <c r="Q1154" i="42"/>
  <c r="Q1152" i="42"/>
  <c r="Q1150" i="42"/>
  <c r="Q1148" i="42"/>
  <c r="R1155" i="42"/>
  <c r="R1153" i="42"/>
  <c r="R1151" i="42"/>
  <c r="R1149" i="42"/>
  <c r="R1147" i="42"/>
  <c r="Q1153" i="42"/>
  <c r="Q1149" i="42"/>
  <c r="R1152" i="42"/>
  <c r="R1148" i="42"/>
  <c r="Q1151" i="42"/>
  <c r="R1150" i="42"/>
  <c r="Q1155" i="42"/>
  <c r="R1154" i="42"/>
  <c r="Q1147" i="42"/>
  <c r="LJ43" i="55"/>
  <c r="LM19" i="55" a="1"/>
  <c r="LS28" i="55" l="1"/>
  <c r="LU24" i="55"/>
  <c r="LP26" i="55"/>
  <c r="LR20" i="55"/>
  <c r="LN22" i="55"/>
  <c r="LP23" i="55"/>
  <c r="LS27" i="55"/>
  <c r="LO19" i="55"/>
  <c r="LS20" i="55"/>
  <c r="LR26" i="55"/>
  <c r="LP22" i="55"/>
  <c r="LN28" i="55"/>
  <c r="LM24" i="55"/>
  <c r="LN24" i="55"/>
  <c r="LO24" i="55"/>
  <c r="LP20" i="55"/>
  <c r="LU25" i="55"/>
  <c r="LO28" i="55"/>
  <c r="LS24" i="55"/>
  <c r="LN21" i="55"/>
  <c r="LM28" i="55"/>
  <c r="LQ24" i="55"/>
  <c r="LU20" i="55"/>
  <c r="LU27" i="55"/>
  <c r="LP24" i="55"/>
  <c r="LT20" i="55"/>
  <c r="LU21" i="55"/>
  <c r="LR27" i="55"/>
  <c r="LO22" i="55"/>
  <c r="LT27" i="55"/>
  <c r="LU23" i="55"/>
  <c r="LS19" i="55"/>
  <c r="LQ25" i="55"/>
  <c r="LT19" i="55"/>
  <c r="LS25" i="55"/>
  <c r="LN20" i="55"/>
  <c r="LT25" i="55"/>
  <c r="LR21" i="55"/>
  <c r="LQ27" i="55"/>
  <c r="LP27" i="55"/>
  <c r="LT23" i="55"/>
  <c r="LO20" i="55"/>
  <c r="LN27" i="55"/>
  <c r="LR23" i="55"/>
  <c r="LM20" i="55"/>
  <c r="LM27" i="55"/>
  <c r="LQ23" i="55"/>
  <c r="LU19" i="55"/>
  <c r="LO23" i="55"/>
  <c r="LS23" i="55"/>
  <c r="LR19" i="55"/>
  <c r="LN25" i="55"/>
  <c r="LO21" i="55"/>
  <c r="LT26" i="55"/>
  <c r="LP21" i="55"/>
  <c r="LU26" i="55"/>
  <c r="LQ21" i="55"/>
  <c r="LO27" i="55"/>
  <c r="LN23" i="55"/>
  <c r="LQ26" i="55"/>
  <c r="LU22" i="55"/>
  <c r="LP19" i="55"/>
  <c r="LO26" i="55"/>
  <c r="LS22" i="55"/>
  <c r="LN19" i="55"/>
  <c r="LN26" i="55"/>
  <c r="LR22" i="55"/>
  <c r="LM19" i="55"/>
  <c r="LT24" i="55"/>
  <c r="LQ19" i="55"/>
  <c r="LM25" i="55"/>
  <c r="LM21" i="55"/>
  <c r="LS26" i="55"/>
  <c r="LQ22" i="55"/>
  <c r="LP28" i="55"/>
  <c r="LT22" i="55"/>
  <c r="LQ28" i="55"/>
  <c r="LM23" i="55"/>
  <c r="LR28" i="55"/>
  <c r="LR24" i="55"/>
  <c r="LR25" i="55"/>
  <c r="LM22" i="55"/>
  <c r="LU28" i="55"/>
  <c r="LP25" i="55"/>
  <c r="LT21" i="55"/>
  <c r="LT28" i="55"/>
  <c r="LO25" i="55"/>
  <c r="LS21" i="55"/>
  <c r="LQ20" i="55"/>
  <c r="LM26" i="55"/>
  <c r="B1160" i="42" a="1"/>
  <c r="B1196" i="42"/>
  <c r="F1186" i="42"/>
  <c r="C1160" i="42" a="1"/>
  <c r="C1166" i="42" l="1"/>
  <c r="C1162" i="42"/>
  <c r="C1165" i="42"/>
  <c r="C1161" i="42"/>
  <c r="C1164" i="42"/>
  <c r="C1163" i="42"/>
  <c r="C1160" i="42"/>
  <c r="C1168" i="42"/>
  <c r="C1167" i="42"/>
  <c r="B1168" i="42"/>
  <c r="F1168" i="42" s="1"/>
  <c r="B1164" i="42"/>
  <c r="F1164" i="42" s="1"/>
  <c r="B1160" i="42"/>
  <c r="F1160" i="42" s="1"/>
  <c r="B1167" i="42"/>
  <c r="F1167" i="42" s="1"/>
  <c r="B1163" i="42"/>
  <c r="F1163" i="42" s="1"/>
  <c r="B1166" i="42"/>
  <c r="F1166" i="42" s="1"/>
  <c r="B1165" i="42"/>
  <c r="F1165" i="42" s="1"/>
  <c r="B1161" i="42"/>
  <c r="F1161" i="42" s="1"/>
  <c r="B1162" i="42"/>
  <c r="F1162" i="42" s="1"/>
  <c r="LN41" i="55"/>
  <c r="LN36" i="55"/>
  <c r="LN35" i="55"/>
  <c r="LN37" i="55"/>
  <c r="LN40" i="55"/>
  <c r="LN34" i="55"/>
  <c r="LN33" i="55"/>
  <c r="LN39" i="55"/>
  <c r="LN38" i="55"/>
  <c r="LU40" i="55"/>
  <c r="LU36" i="55"/>
  <c r="LU41" i="55"/>
  <c r="LU34" i="55"/>
  <c r="LU39" i="55"/>
  <c r="LU33" i="55"/>
  <c r="LU35" i="55"/>
  <c r="LU38" i="55"/>
  <c r="LU37" i="55"/>
  <c r="LR40" i="55"/>
  <c r="LR36" i="55"/>
  <c r="LR34" i="55"/>
  <c r="LR38" i="55"/>
  <c r="LR35" i="55"/>
  <c r="LR41" i="55"/>
  <c r="LR37" i="55"/>
  <c r="LR39" i="55"/>
  <c r="LR33" i="55"/>
  <c r="LO37" i="55"/>
  <c r="LO38" i="55"/>
  <c r="LO35" i="55"/>
  <c r="LO39" i="55"/>
  <c r="LO40" i="55"/>
  <c r="LO41" i="55"/>
  <c r="LO36" i="55"/>
  <c r="LO33" i="55"/>
  <c r="LO34" i="55"/>
  <c r="LM38" i="55"/>
  <c r="LM33" i="55"/>
  <c r="LM39" i="55"/>
  <c r="LM41" i="55"/>
  <c r="LM34" i="55"/>
  <c r="LM37" i="55"/>
  <c r="LM36" i="55"/>
  <c r="LM40" i="55"/>
  <c r="LM35" i="55"/>
  <c r="LP38" i="55"/>
  <c r="LP40" i="55"/>
  <c r="LP41" i="55"/>
  <c r="LP33" i="55"/>
  <c r="LP35" i="55"/>
  <c r="LP34" i="55"/>
  <c r="LP37" i="55"/>
  <c r="LP39" i="55"/>
  <c r="LP36" i="55"/>
  <c r="LQ34" i="55"/>
  <c r="LQ40" i="55"/>
  <c r="LQ38" i="55"/>
  <c r="LQ35" i="55"/>
  <c r="LQ33" i="55"/>
  <c r="LQ41" i="55"/>
  <c r="LQ37" i="55"/>
  <c r="LQ36" i="55"/>
  <c r="LQ39" i="55"/>
  <c r="LS35" i="55"/>
  <c r="LS36" i="55"/>
  <c r="LS39" i="55"/>
  <c r="LS41" i="55"/>
  <c r="LS34" i="55"/>
  <c r="LS38" i="55"/>
  <c r="LS40" i="55"/>
  <c r="LS33" i="55"/>
  <c r="LS37" i="55"/>
  <c r="LT35" i="55"/>
  <c r="LT39" i="55"/>
  <c r="LT37" i="55"/>
  <c r="LT40" i="55"/>
  <c r="LT34" i="55"/>
  <c r="LT41" i="55"/>
  <c r="LT36" i="55"/>
  <c r="LT38" i="55"/>
  <c r="LT33" i="55"/>
  <c r="C1173" i="42" l="1" a="1"/>
  <c r="C1179" i="42" s="1"/>
  <c r="F1179" i="42" s="1"/>
  <c r="J1161" i="42"/>
  <c r="I1161" i="42"/>
  <c r="J1167" i="42"/>
  <c r="I1167" i="42"/>
  <c r="J1165" i="42"/>
  <c r="I1165" i="42"/>
  <c r="J1166" i="42"/>
  <c r="I1166" i="42"/>
  <c r="J1164" i="42"/>
  <c r="I1164" i="42"/>
  <c r="J1160" i="42"/>
  <c r="I1160" i="42"/>
  <c r="I1162" i="42"/>
  <c r="J1162" i="42"/>
  <c r="J1163" i="42"/>
  <c r="I1163" i="42"/>
  <c r="J1168" i="42"/>
  <c r="I1168" i="42"/>
  <c r="LV40" i="55"/>
  <c r="LV41" i="55"/>
  <c r="LV36" i="55"/>
  <c r="LV39" i="55"/>
  <c r="LV37" i="55"/>
  <c r="LV33" i="55"/>
  <c r="LV35" i="55"/>
  <c r="LV34" i="55"/>
  <c r="LV38" i="55"/>
  <c r="LY6" i="55" a="1"/>
  <c r="MF13" i="55" l="1"/>
  <c r="MA10" i="55"/>
  <c r="ME6" i="55"/>
  <c r="MG11" i="55"/>
  <c r="MB8" i="55"/>
  <c r="MD13" i="55"/>
  <c r="LY10" i="55"/>
  <c r="MC6" i="55"/>
  <c r="ME11" i="55"/>
  <c r="LZ8" i="55"/>
  <c r="LY14" i="55"/>
  <c r="MC10" i="55"/>
  <c r="MG6" i="55"/>
  <c r="LY13" i="55"/>
  <c r="MC9" i="55"/>
  <c r="MC12" i="55"/>
  <c r="MD11" i="55"/>
  <c r="MB13" i="55"/>
  <c r="ME9" i="55"/>
  <c r="ME10" i="55"/>
  <c r="MG12" i="55"/>
  <c r="MB9" i="55"/>
  <c r="MD14" i="55"/>
  <c r="LY11" i="55"/>
  <c r="MC7" i="55"/>
  <c r="ME12" i="55"/>
  <c r="LZ9" i="55"/>
  <c r="MB14" i="55"/>
  <c r="MF10" i="55"/>
  <c r="MA7" i="55"/>
  <c r="LZ13" i="55"/>
  <c r="MD9" i="55"/>
  <c r="LY6" i="55"/>
  <c r="LZ12" i="55"/>
  <c r="MD8" i="55"/>
  <c r="MG8" i="55"/>
  <c r="LY8" i="55"/>
  <c r="MF9" i="55"/>
  <c r="LZ6" i="55"/>
  <c r="LZ7" i="55"/>
  <c r="LZ11" i="55"/>
  <c r="MD7" i="55"/>
  <c r="MA9" i="55"/>
  <c r="MG10" i="55"/>
  <c r="MD12" i="55"/>
  <c r="MG14" i="55"/>
  <c r="MF7" i="55"/>
  <c r="MB10" i="55"/>
  <c r="MF8" i="55"/>
  <c r="MG7" i="55"/>
  <c r="LZ14" i="55"/>
  <c r="LY12" i="55"/>
  <c r="MC8" i="55"/>
  <c r="ME13" i="55"/>
  <c r="LZ10" i="55"/>
  <c r="MD6" i="55"/>
  <c r="MF11" i="55"/>
  <c r="MA8" i="55"/>
  <c r="MC13" i="55"/>
  <c r="MG9" i="55"/>
  <c r="MB6" i="55"/>
  <c r="MA12" i="55"/>
  <c r="ME8" i="55"/>
  <c r="MF14" i="55"/>
  <c r="MA11" i="55"/>
  <c r="ME7" i="55"/>
  <c r="MB12" i="55"/>
  <c r="MC11" i="55"/>
  <c r="MA6" i="55"/>
  <c r="MA14" i="55"/>
  <c r="LY7" i="55"/>
  <c r="ME14" i="55"/>
  <c r="MF12" i="55"/>
  <c r="MC14" i="55"/>
  <c r="MB7" i="55"/>
  <c r="LY9" i="55"/>
  <c r="MB11" i="55"/>
  <c r="MG13" i="55"/>
  <c r="MF6" i="55"/>
  <c r="MA13" i="55"/>
  <c r="MD10" i="55"/>
  <c r="C1177" i="42"/>
  <c r="F1177" i="42" s="1"/>
  <c r="C1176" i="42"/>
  <c r="F1176" i="42" s="1"/>
  <c r="C1173" i="42"/>
  <c r="F1173" i="42" s="1"/>
  <c r="C1174" i="42"/>
  <c r="F1174" i="42" s="1"/>
  <c r="C1180" i="42"/>
  <c r="F1180" i="42" s="1"/>
  <c r="C1178" i="42"/>
  <c r="F1178" i="42" s="1"/>
  <c r="C1175" i="42"/>
  <c r="F1175" i="42" s="1"/>
  <c r="C1181" i="42"/>
  <c r="F1181" i="42" s="1"/>
  <c r="L1167" i="42"/>
  <c r="K1167" i="42"/>
  <c r="L1168" i="42"/>
  <c r="K1168" i="42"/>
  <c r="L1162" i="42"/>
  <c r="K1162" i="42"/>
  <c r="L1164" i="42"/>
  <c r="K1164" i="42"/>
  <c r="L1163" i="42"/>
  <c r="K1163" i="42"/>
  <c r="I1169" i="42"/>
  <c r="K1160" i="42"/>
  <c r="L1160" i="42"/>
  <c r="L1165" i="42"/>
  <c r="K1165" i="42"/>
  <c r="L1161" i="42"/>
  <c r="K1161" i="42"/>
  <c r="J1169" i="42"/>
  <c r="L1166" i="42"/>
  <c r="K1166" i="42"/>
  <c r="LV43" i="55"/>
  <c r="LY19" i="55" a="1"/>
  <c r="ME28" i="55" l="1"/>
  <c r="MC22" i="55"/>
  <c r="MG21" i="55"/>
  <c r="LZ28" i="55"/>
  <c r="MC27" i="55"/>
  <c r="ME24" i="55"/>
  <c r="MC19" i="55"/>
  <c r="MB20" i="55"/>
  <c r="LY21" i="55"/>
  <c r="MB25" i="55"/>
  <c r="MA26" i="55"/>
  <c r="MD26" i="55"/>
  <c r="MB23" i="55"/>
  <c r="MF23" i="55"/>
  <c r="LZ19" i="55"/>
  <c r="LY22" i="55"/>
  <c r="MF27" i="55"/>
  <c r="ME23" i="55"/>
  <c r="MF19" i="55"/>
  <c r="MC25" i="55"/>
  <c r="LY20" i="55"/>
  <c r="MD25" i="55"/>
  <c r="MG22" i="55"/>
  <c r="LZ26" i="55"/>
  <c r="MD22" i="55"/>
  <c r="LY19" i="55"/>
  <c r="MG25" i="55"/>
  <c r="MB22" i="55"/>
  <c r="MC28" i="55"/>
  <c r="MG24" i="55"/>
  <c r="MB21" i="55"/>
  <c r="MF21" i="55"/>
  <c r="MB27" i="55"/>
  <c r="MD23" i="55"/>
  <c r="MB19" i="55"/>
  <c r="LZ25" i="55"/>
  <c r="LZ21" i="55"/>
  <c r="MG26" i="55"/>
  <c r="MA21" i="55"/>
  <c r="LZ27" i="55"/>
  <c r="MC24" i="55"/>
  <c r="MF28" i="55"/>
  <c r="MA25" i="55"/>
  <c r="ME21" i="55"/>
  <c r="MD28" i="55"/>
  <c r="LY25" i="55"/>
  <c r="MC21" i="55"/>
  <c r="MD27" i="55"/>
  <c r="LY24" i="55"/>
  <c r="MC20" i="55"/>
  <c r="LY23" i="55"/>
  <c r="MG28" i="55"/>
  <c r="MA19" i="55"/>
  <c r="MF24" i="55"/>
  <c r="MG20" i="55"/>
  <c r="MC26" i="55"/>
  <c r="ME22" i="55"/>
  <c r="MA28" i="55"/>
  <c r="MF22" i="55"/>
  <c r="MB28" i="55"/>
  <c r="LZ20" i="55"/>
  <c r="ME25" i="55"/>
  <c r="MG27" i="55"/>
  <c r="MB24" i="55"/>
  <c r="MF20" i="55"/>
  <c r="ME27" i="55"/>
  <c r="LZ24" i="55"/>
  <c r="MD20" i="55"/>
  <c r="ME26" i="55"/>
  <c r="LZ23" i="55"/>
  <c r="MD19" i="55"/>
  <c r="MD24" i="55"/>
  <c r="ME20" i="55"/>
  <c r="MB26" i="55"/>
  <c r="LZ22" i="55"/>
  <c r="LY28" i="55"/>
  <c r="MG23" i="55"/>
  <c r="MA24" i="55"/>
  <c r="MD21" i="55"/>
  <c r="MA27" i="55"/>
  <c r="LY27" i="55"/>
  <c r="MC23" i="55"/>
  <c r="MG19" i="55"/>
  <c r="MF26" i="55"/>
  <c r="MA23" i="55"/>
  <c r="ME19" i="55"/>
  <c r="MF25" i="55"/>
  <c r="MA22" i="55"/>
  <c r="MA20" i="55"/>
  <c r="LY26" i="55"/>
  <c r="L1169" i="42"/>
  <c r="O1160" i="42" s="1"/>
  <c r="K1169" i="42"/>
  <c r="O1161" i="42" s="1"/>
  <c r="O1162" i="42" l="1"/>
  <c r="N1165" i="42" s="1"/>
  <c r="O1164" i="42" s="1"/>
  <c r="ME35" i="55"/>
  <c r="ME37" i="55"/>
  <c r="ME38" i="55"/>
  <c r="ME40" i="55"/>
  <c r="ME33" i="55"/>
  <c r="ME41" i="55"/>
  <c r="ME39" i="55"/>
  <c r="ME36" i="55"/>
  <c r="ME34" i="55"/>
  <c r="MC39" i="55"/>
  <c r="MC41" i="55"/>
  <c r="MC37" i="55"/>
  <c r="MC35" i="55"/>
  <c r="MC40" i="55"/>
  <c r="MC36" i="55"/>
  <c r="MC38" i="55"/>
  <c r="MC34" i="55"/>
  <c r="MC33" i="55"/>
  <c r="MD33" i="55"/>
  <c r="MD34" i="55"/>
  <c r="MD40" i="55"/>
  <c r="MD39" i="55"/>
  <c r="MD35" i="55"/>
  <c r="MD41" i="55"/>
  <c r="MD38" i="55"/>
  <c r="MD36" i="55"/>
  <c r="MD37" i="55"/>
  <c r="MB41" i="55"/>
  <c r="MB34" i="55"/>
  <c r="MB40" i="55"/>
  <c r="MB35" i="55"/>
  <c r="MB39" i="55"/>
  <c r="MB37" i="55"/>
  <c r="MB33" i="55"/>
  <c r="MB36" i="55"/>
  <c r="MB38" i="55"/>
  <c r="MF35" i="55"/>
  <c r="MF34" i="55"/>
  <c r="MF36" i="55"/>
  <c r="MF37" i="55"/>
  <c r="MF33" i="55"/>
  <c r="MF38" i="55"/>
  <c r="MF39" i="55"/>
  <c r="MF41" i="55"/>
  <c r="MF40" i="55"/>
  <c r="MA37" i="55"/>
  <c r="MA40" i="55"/>
  <c r="MA41" i="55"/>
  <c r="MA38" i="55"/>
  <c r="MA36" i="55"/>
  <c r="MA34" i="55"/>
  <c r="MA39" i="55"/>
  <c r="MA33" i="55"/>
  <c r="MA35" i="55"/>
  <c r="MG34" i="55"/>
  <c r="MG37" i="55"/>
  <c r="MG36" i="55"/>
  <c r="MG40" i="55"/>
  <c r="MG41" i="55"/>
  <c r="MG35" i="55"/>
  <c r="MG39" i="55"/>
  <c r="MG33" i="55"/>
  <c r="MG38" i="55"/>
  <c r="LZ41" i="55"/>
  <c r="LZ34" i="55"/>
  <c r="LZ33" i="55"/>
  <c r="LZ35" i="55"/>
  <c r="LZ40" i="55"/>
  <c r="LZ39" i="55"/>
  <c r="LZ37" i="55"/>
  <c r="LZ38" i="55"/>
  <c r="LZ36" i="55"/>
  <c r="LY34" i="55"/>
  <c r="LY37" i="55"/>
  <c r="LY33" i="55"/>
  <c r="LY41" i="55"/>
  <c r="LY36" i="55"/>
  <c r="LY39" i="55"/>
  <c r="LY38" i="55"/>
  <c r="LY40" i="55"/>
  <c r="LY35" i="55"/>
  <c r="N1164" i="42" l="1"/>
  <c r="O1165" i="42" s="1"/>
  <c r="Q1160" i="42" s="1" a="1"/>
  <c r="MH40" i="55"/>
  <c r="MH41" i="55"/>
  <c r="MH33" i="55"/>
  <c r="MH38" i="55"/>
  <c r="MH39" i="55"/>
  <c r="MH37" i="55"/>
  <c r="MH35" i="55"/>
  <c r="MH36" i="55"/>
  <c r="MH34" i="55"/>
  <c r="MK6" i="55" a="1"/>
  <c r="MN14" i="55" l="1"/>
  <c r="MR10" i="55"/>
  <c r="MM7" i="55"/>
  <c r="MQ12" i="55"/>
  <c r="MP8" i="55"/>
  <c r="MP13" i="55"/>
  <c r="MO9" i="55"/>
  <c r="MO14" i="55"/>
  <c r="MN10" i="55"/>
  <c r="MM6" i="55"/>
  <c r="MM11" i="55"/>
  <c r="ML7" i="55"/>
  <c r="MS12" i="55"/>
  <c r="MR8" i="55"/>
  <c r="MR13" i="55"/>
  <c r="MQ9" i="55"/>
  <c r="ML11" i="55"/>
  <c r="ML14" i="55"/>
  <c r="MK10" i="55"/>
  <c r="MS7" i="55"/>
  <c r="MK13" i="55"/>
  <c r="MN8" i="55"/>
  <c r="MS10" i="55"/>
  <c r="MK11" i="55"/>
  <c r="MK8" i="55"/>
  <c r="MR14" i="55"/>
  <c r="MK14" i="55"/>
  <c r="ML13" i="55"/>
  <c r="MO13" i="55"/>
  <c r="MS9" i="55"/>
  <c r="MN6" i="55"/>
  <c r="MP11" i="55"/>
  <c r="MP7" i="55"/>
  <c r="MO12" i="55"/>
  <c r="MO8" i="55"/>
  <c r="MN13" i="55"/>
  <c r="MN9" i="55"/>
  <c r="MM14" i="55"/>
  <c r="MM10" i="55"/>
  <c r="ML6" i="55"/>
  <c r="MS11" i="55"/>
  <c r="MR7" i="55"/>
  <c r="MR12" i="55"/>
  <c r="MQ8" i="55"/>
  <c r="MK7" i="55"/>
  <c r="ML10" i="55"/>
  <c r="ML12" i="55"/>
  <c r="ML9" i="55"/>
  <c r="MP12" i="55"/>
  <c r="MK9" i="55"/>
  <c r="MQ14" i="55"/>
  <c r="MP10" i="55"/>
  <c r="MP6" i="55"/>
  <c r="MO11" i="55"/>
  <c r="MN12" i="55"/>
  <c r="MM13" i="55"/>
  <c r="MM9" i="55"/>
  <c r="MS14" i="55"/>
  <c r="MR6" i="55"/>
  <c r="MR11" i="55"/>
  <c r="MK6" i="55"/>
  <c r="MQ6" i="55"/>
  <c r="MO7" i="55"/>
  <c r="MQ7" i="55"/>
  <c r="MS8" i="55"/>
  <c r="MQ10" i="55"/>
  <c r="MK12" i="55"/>
  <c r="MQ11" i="55"/>
  <c r="ML8" i="55"/>
  <c r="MQ13" i="55"/>
  <c r="MP9" i="55"/>
  <c r="MP14" i="55"/>
  <c r="MO10" i="55"/>
  <c r="MO6" i="55"/>
  <c r="MN11" i="55"/>
  <c r="MN7" i="55"/>
  <c r="MM12" i="55"/>
  <c r="MM8" i="55"/>
  <c r="MS13" i="55"/>
  <c r="MR9" i="55"/>
  <c r="MS6" i="55"/>
  <c r="R1167" i="42"/>
  <c r="R1165" i="42"/>
  <c r="R1163" i="42"/>
  <c r="R1161" i="42"/>
  <c r="Q1167" i="42"/>
  <c r="Q1165" i="42"/>
  <c r="Q1163" i="42"/>
  <c r="Q1161" i="42"/>
  <c r="R1168" i="42"/>
  <c r="R1164" i="42"/>
  <c r="R1160" i="42"/>
  <c r="Q1168" i="42"/>
  <c r="Q1164" i="42"/>
  <c r="Q1160" i="42"/>
  <c r="R1162" i="42"/>
  <c r="Q1162" i="42"/>
  <c r="R1166" i="42"/>
  <c r="Q1166" i="42"/>
  <c r="MH43" i="55"/>
  <c r="MK19" i="55" a="1"/>
  <c r="MP27" i="55" l="1"/>
  <c r="MQ27" i="55"/>
  <c r="MQ23" i="55"/>
  <c r="MK20" i="55"/>
  <c r="MK26" i="55"/>
  <c r="ML22" i="55"/>
  <c r="MR21" i="55"/>
  <c r="ML28" i="55"/>
  <c r="MN20" i="55"/>
  <c r="MQ25" i="55"/>
  <c r="MK24" i="55"/>
  <c r="MP20" i="55"/>
  <c r="MN28" i="55"/>
  <c r="MK19" i="55"/>
  <c r="MP26" i="55"/>
  <c r="MQ24" i="55"/>
  <c r="MM21" i="55"/>
  <c r="MO21" i="55"/>
  <c r="MQ21" i="55"/>
  <c r="MN22" i="55"/>
  <c r="MR20" i="55"/>
  <c r="MP28" i="55"/>
  <c r="ML19" i="55"/>
  <c r="MQ26" i="55"/>
  <c r="MK23" i="55"/>
  <c r="MM23" i="55"/>
  <c r="MP23" i="55"/>
  <c r="MM24" i="55"/>
  <c r="MP22" i="55"/>
  <c r="MS20" i="55"/>
  <c r="MQ28" i="55"/>
  <c r="MK25" i="55"/>
  <c r="MN25" i="55"/>
  <c r="MP25" i="55"/>
  <c r="MN27" i="55"/>
  <c r="MN26" i="55"/>
  <c r="MP24" i="55"/>
  <c r="MO19" i="55"/>
  <c r="MS19" i="55"/>
  <c r="MQ22" i="55"/>
  <c r="ML27" i="55"/>
  <c r="MQ19" i="55"/>
  <c r="MK27" i="55"/>
  <c r="MO23" i="55"/>
  <c r="MO22" i="55"/>
  <c r="MO26" i="55"/>
  <c r="ML20" i="55"/>
  <c r="MR23" i="55"/>
  <c r="MR27" i="55"/>
  <c r="MK22" i="55"/>
  <c r="MS25" i="55"/>
  <c r="MM22" i="55"/>
  <c r="MM26" i="55"/>
  <c r="ML26" i="55"/>
  <c r="MR19" i="55"/>
  <c r="MN23" i="55"/>
  <c r="MO27" i="55"/>
  <c r="MK21" i="55"/>
  <c r="MR24" i="55"/>
  <c r="MS28" i="55"/>
  <c r="MN19" i="55"/>
  <c r="MS22" i="55"/>
  <c r="MS26" i="55"/>
  <c r="MP19" i="55"/>
  <c r="ML23" i="55"/>
  <c r="MM27" i="55"/>
  <c r="MR28" i="55"/>
  <c r="MM25" i="55"/>
  <c r="MQ20" i="55"/>
  <c r="MO24" i="55"/>
  <c r="MO28" i="55"/>
  <c r="MS21" i="55"/>
  <c r="MR25" i="55"/>
  <c r="MM20" i="55"/>
  <c r="MS23" i="55"/>
  <c r="MK28" i="55"/>
  <c r="MO20" i="55"/>
  <c r="ML24" i="55"/>
  <c r="MM28" i="55"/>
  <c r="MS27" i="55"/>
  <c r="MN24" i="55"/>
  <c r="MP21" i="55"/>
  <c r="MO25" i="55"/>
  <c r="MM19" i="55"/>
  <c r="MR22" i="55"/>
  <c r="MR26" i="55"/>
  <c r="ML21" i="55"/>
  <c r="MS24" i="55"/>
  <c r="MN21" i="55"/>
  <c r="ML25" i="55"/>
  <c r="D1173" i="42" a="1"/>
  <c r="D1178" i="42" s="1"/>
  <c r="G1178" i="42" s="1"/>
  <c r="B1173" i="42" a="1"/>
  <c r="B1177" i="42" s="1"/>
  <c r="B1179" i="42" l="1"/>
  <c r="B1173" i="42"/>
  <c r="D1176" i="42"/>
  <c r="G1176" i="42" s="1"/>
  <c r="I1176" i="42" s="1"/>
  <c r="D1175" i="42"/>
  <c r="G1175" i="42" s="1"/>
  <c r="I1175" i="42" s="1"/>
  <c r="B1175" i="42"/>
  <c r="B1174" i="42"/>
  <c r="D1177" i="42"/>
  <c r="G1177" i="42" s="1"/>
  <c r="J1177" i="42" s="1"/>
  <c r="B1176" i="42"/>
  <c r="B1178" i="42"/>
  <c r="D1181" i="42"/>
  <c r="G1181" i="42" s="1"/>
  <c r="J1181" i="42" s="1"/>
  <c r="B1181" i="42"/>
  <c r="D1180" i="42"/>
  <c r="G1180" i="42" s="1"/>
  <c r="J1180" i="42" s="1"/>
  <c r="D1174" i="42"/>
  <c r="G1174" i="42" s="1"/>
  <c r="I1174" i="42" s="1"/>
  <c r="B1180" i="42"/>
  <c r="D1179" i="42"/>
  <c r="G1179" i="42" s="1"/>
  <c r="I1179" i="42" s="1"/>
  <c r="D1173" i="42"/>
  <c r="G1173" i="42" s="1"/>
  <c r="J1173" i="42" s="1"/>
  <c r="I1178" i="42"/>
  <c r="J1178" i="42"/>
  <c r="MM33" i="55"/>
  <c r="MM40" i="55"/>
  <c r="MM35" i="55"/>
  <c r="MM41" i="55"/>
  <c r="MM34" i="55"/>
  <c r="MM38" i="55"/>
  <c r="MM36" i="55"/>
  <c r="MM37" i="55"/>
  <c r="MM39" i="55"/>
  <c r="MR41" i="55"/>
  <c r="MR35" i="55"/>
  <c r="MR33" i="55"/>
  <c r="MR37" i="55"/>
  <c r="MR40" i="55"/>
  <c r="MR38" i="55"/>
  <c r="MR39" i="55"/>
  <c r="MR34" i="55"/>
  <c r="MR36" i="55"/>
  <c r="MN39" i="55"/>
  <c r="MN38" i="55"/>
  <c r="MN36" i="55"/>
  <c r="MN34" i="55"/>
  <c r="MN33" i="55"/>
  <c r="MN35" i="55"/>
  <c r="MN37" i="55"/>
  <c r="MN41" i="55"/>
  <c r="MN40" i="55"/>
  <c r="MQ39" i="55"/>
  <c r="MQ41" i="55"/>
  <c r="MQ38" i="55"/>
  <c r="MQ37" i="55"/>
  <c r="MQ33" i="55"/>
  <c r="MQ40" i="55"/>
  <c r="MQ34" i="55"/>
  <c r="MQ35" i="55"/>
  <c r="MQ36" i="55"/>
  <c r="MK33" i="55"/>
  <c r="MK37" i="55"/>
  <c r="MK36" i="55"/>
  <c r="MK38" i="55"/>
  <c r="MK39" i="55"/>
  <c r="MK34" i="55"/>
  <c r="MK40" i="55"/>
  <c r="MK41" i="55"/>
  <c r="MK35" i="55"/>
  <c r="MP37" i="55"/>
  <c r="MP33" i="55"/>
  <c r="MP35" i="55"/>
  <c r="MP40" i="55"/>
  <c r="MP41" i="55"/>
  <c r="MP39" i="55"/>
  <c r="MP38" i="55"/>
  <c r="MP34" i="55"/>
  <c r="MP36" i="55"/>
  <c r="MS40" i="55"/>
  <c r="MS39" i="55"/>
  <c r="MS38" i="55"/>
  <c r="MS37" i="55"/>
  <c r="MS33" i="55"/>
  <c r="MS41" i="55"/>
  <c r="MS36" i="55"/>
  <c r="MS34" i="55"/>
  <c r="MS35" i="55"/>
  <c r="MO37" i="55"/>
  <c r="MO36" i="55"/>
  <c r="MO33" i="55"/>
  <c r="MO38" i="55"/>
  <c r="MO34" i="55"/>
  <c r="MO39" i="55"/>
  <c r="MO40" i="55"/>
  <c r="MO41" i="55"/>
  <c r="MO35" i="55"/>
  <c r="ML41" i="55"/>
  <c r="ML37" i="55"/>
  <c r="ML40" i="55"/>
  <c r="ML36" i="55"/>
  <c r="ML35" i="55"/>
  <c r="ML33" i="55"/>
  <c r="ML34" i="55"/>
  <c r="ML39" i="55"/>
  <c r="ML38" i="55"/>
  <c r="I1181" i="42" l="1"/>
  <c r="L1181" i="42" s="1"/>
  <c r="I1177" i="42"/>
  <c r="L1177" i="42" s="1"/>
  <c r="J1176" i="42"/>
  <c r="K1176" i="42" s="1"/>
  <c r="J1179" i="42"/>
  <c r="L1179" i="42" s="1"/>
  <c r="J1175" i="42"/>
  <c r="J1174" i="42"/>
  <c r="K1174" i="42" s="1"/>
  <c r="I1180" i="42"/>
  <c r="L1180" i="42" s="1"/>
  <c r="B1186" i="42" a="1"/>
  <c r="B1188" i="42" s="1"/>
  <c r="G1188" i="42" s="1"/>
  <c r="I1173" i="42"/>
  <c r="L1178" i="42"/>
  <c r="K1178" i="42"/>
  <c r="MT41" i="55"/>
  <c r="MT40" i="55"/>
  <c r="MT36" i="55"/>
  <c r="MT38" i="55"/>
  <c r="MT34" i="55"/>
  <c r="MT37" i="55"/>
  <c r="MT35" i="55"/>
  <c r="MT39" i="55"/>
  <c r="MT33" i="55"/>
  <c r="J1182" i="42" l="1"/>
  <c r="L1176" i="42"/>
  <c r="K1181" i="42"/>
  <c r="K1180" i="42"/>
  <c r="L1174" i="42"/>
  <c r="K1177" i="42"/>
  <c r="K1179" i="42"/>
  <c r="L1175" i="42"/>
  <c r="K1175" i="42"/>
  <c r="B1186" i="42"/>
  <c r="G1186" i="42" s="1"/>
  <c r="J1186" i="42" s="1"/>
  <c r="B1189" i="42"/>
  <c r="G1189" i="42" s="1"/>
  <c r="J1189" i="42" s="1"/>
  <c r="I1182" i="42"/>
  <c r="B1192" i="42"/>
  <c r="G1192" i="42" s="1"/>
  <c r="I1192" i="42" s="1"/>
  <c r="B1193" i="42"/>
  <c r="G1193" i="42" s="1"/>
  <c r="J1193" i="42" s="1"/>
  <c r="K1173" i="42"/>
  <c r="L1173" i="42"/>
  <c r="B1194" i="42"/>
  <c r="G1194" i="42" s="1"/>
  <c r="I1194" i="42" s="1"/>
  <c r="B1191" i="42"/>
  <c r="G1191" i="42" s="1"/>
  <c r="J1191" i="42" s="1"/>
  <c r="B1187" i="42"/>
  <c r="G1187" i="42" s="1"/>
  <c r="J1187" i="42" s="1"/>
  <c r="B1190" i="42"/>
  <c r="G1190" i="42" s="1"/>
  <c r="I1190" i="42" s="1"/>
  <c r="I1188" i="42"/>
  <c r="J1188" i="42"/>
  <c r="MT43" i="55"/>
  <c r="L1182" i="42" l="1"/>
  <c r="O1173" i="42" s="1"/>
  <c r="I1186" i="42"/>
  <c r="L1186" i="42" s="1"/>
  <c r="I1193" i="42"/>
  <c r="L1193" i="42" s="1"/>
  <c r="I1191" i="42"/>
  <c r="L1191" i="42" s="1"/>
  <c r="K1182" i="42"/>
  <c r="O1174" i="42" s="1"/>
  <c r="I1189" i="42"/>
  <c r="I1187" i="42"/>
  <c r="K1187" i="42" s="1"/>
  <c r="J1192" i="42"/>
  <c r="L1192" i="42" s="1"/>
  <c r="J1194" i="42"/>
  <c r="K1194" i="42" s="1"/>
  <c r="J1190" i="42"/>
  <c r="L1190" i="42" s="1"/>
  <c r="K1188" i="42"/>
  <c r="L1188" i="42"/>
  <c r="I1195" i="42" l="1"/>
  <c r="K1186" i="42"/>
  <c r="K1191" i="42"/>
  <c r="K1189" i="42"/>
  <c r="L1187" i="42"/>
  <c r="K1193" i="42"/>
  <c r="K1190" i="42"/>
  <c r="O1175" i="42"/>
  <c r="N1178" i="42" s="1"/>
  <c r="O1177" i="42" s="1"/>
  <c r="L1189" i="42"/>
  <c r="L1194" i="42"/>
  <c r="K1192" i="42"/>
  <c r="J1195" i="42"/>
  <c r="K1195" i="42" l="1"/>
  <c r="O1187" i="42" s="1"/>
  <c r="L1195" i="42"/>
  <c r="O1186" i="42" s="1"/>
  <c r="N1177" i="42"/>
  <c r="O1178" i="42" s="1"/>
  <c r="Q1173" i="42" s="1" a="1"/>
  <c r="R1180" i="42" s="1"/>
  <c r="O1188" i="42" l="1"/>
  <c r="N1190" i="42" s="1"/>
  <c r="O1191" i="42" s="1"/>
  <c r="Q1173" i="42"/>
  <c r="Q1175" i="42"/>
  <c r="Q1177" i="42"/>
  <c r="R1181" i="42"/>
  <c r="Q1178" i="42"/>
  <c r="R1174" i="42"/>
  <c r="Q1181" i="42"/>
  <c r="Q1180" i="42"/>
  <c r="R1173" i="42"/>
  <c r="R1177" i="42"/>
  <c r="R1175" i="42"/>
  <c r="Q1179" i="42"/>
  <c r="R1179" i="42"/>
  <c r="R1176" i="42"/>
  <c r="Q1174" i="42"/>
  <c r="R1178" i="42"/>
  <c r="D1186" i="42" s="1" a="1"/>
  <c r="Q1176" i="42"/>
  <c r="N1191" i="42" l="1"/>
  <c r="O1190" i="42" s="1"/>
  <c r="Q1186" i="42" s="1" a="1"/>
  <c r="C1186" i="42" a="1"/>
  <c r="C1191" i="42" s="1"/>
  <c r="D1192" i="42"/>
  <c r="D1188" i="42"/>
  <c r="D1191" i="42"/>
  <c r="D1187" i="42"/>
  <c r="D1189" i="42"/>
  <c r="D1194" i="42"/>
  <c r="D1186" i="42"/>
  <c r="D1193" i="42"/>
  <c r="D1190" i="42"/>
  <c r="Q1187" i="42" l="1"/>
  <c r="R1193" i="42"/>
  <c r="Q1188" i="42"/>
  <c r="R1191" i="42"/>
  <c r="R1194" i="42"/>
  <c r="Q1193" i="42"/>
  <c r="A1199" i="42" s="1" a="1"/>
  <c r="A1206" i="42" s="1"/>
  <c r="F1206" i="42" s="1"/>
  <c r="R1189" i="42"/>
  <c r="R1192" i="42"/>
  <c r="Q1190" i="42"/>
  <c r="Q1194" i="42"/>
  <c r="Q1191" i="42"/>
  <c r="R1190" i="42"/>
  <c r="R1187" i="42"/>
  <c r="R1188" i="42"/>
  <c r="Q1189" i="42"/>
  <c r="R1186" i="42"/>
  <c r="Q1192" i="42"/>
  <c r="Q1186" i="42"/>
  <c r="C1189" i="42"/>
  <c r="C1193" i="42"/>
  <c r="C1186" i="42"/>
  <c r="C1190" i="42"/>
  <c r="C1194" i="42"/>
  <c r="C1187" i="42"/>
  <c r="C1192" i="42"/>
  <c r="C1188" i="42"/>
  <c r="D1199" i="42" a="1"/>
  <c r="B1199" i="42" l="1" a="1"/>
  <c r="B1204" i="42" s="1"/>
  <c r="C1199" i="42" a="1"/>
  <c r="C1203" i="42" s="1"/>
  <c r="G1203" i="42" s="1"/>
  <c r="A1199" i="42"/>
  <c r="F1199" i="42" s="1"/>
  <c r="A1201" i="42"/>
  <c r="F1201" i="42" s="1"/>
  <c r="A1203" i="42"/>
  <c r="F1203" i="42" s="1"/>
  <c r="A1205" i="42"/>
  <c r="F1205" i="42" s="1"/>
  <c r="A1200" i="42"/>
  <c r="F1200" i="42" s="1"/>
  <c r="A1202" i="42"/>
  <c r="F1202" i="42" s="1"/>
  <c r="A1207" i="42"/>
  <c r="F1207" i="42" s="1"/>
  <c r="A1204" i="42"/>
  <c r="F1204" i="42" s="1"/>
  <c r="D1204" i="42"/>
  <c r="D1200" i="42"/>
  <c r="D1207" i="42"/>
  <c r="D1203" i="42"/>
  <c r="D1199" i="42"/>
  <c r="D1206" i="42"/>
  <c r="D1202" i="42"/>
  <c r="D1205" i="42"/>
  <c r="D1201" i="42"/>
  <c r="B1205" i="42" l="1"/>
  <c r="C1200" i="42"/>
  <c r="G1200" i="42" s="1"/>
  <c r="J1200" i="42" s="1"/>
  <c r="B1206" i="42"/>
  <c r="C1204" i="42"/>
  <c r="G1204" i="42" s="1"/>
  <c r="J1204" i="42" s="1"/>
  <c r="B1199" i="42"/>
  <c r="C1201" i="42"/>
  <c r="G1201" i="42" s="1"/>
  <c r="I1201" i="42" s="1"/>
  <c r="B1203" i="42"/>
  <c r="C1202" i="42"/>
  <c r="G1202" i="42" s="1"/>
  <c r="J1202" i="42" s="1"/>
  <c r="B1200" i="42"/>
  <c r="C1199" i="42"/>
  <c r="G1199" i="42" s="1"/>
  <c r="I1199" i="42" s="1"/>
  <c r="B1202" i="42"/>
  <c r="C1205" i="42"/>
  <c r="G1205" i="42" s="1"/>
  <c r="J1205" i="42" s="1"/>
  <c r="B1207" i="42"/>
  <c r="B1201" i="42"/>
  <c r="C1207" i="42"/>
  <c r="G1207" i="42" s="1"/>
  <c r="I1207" i="42" s="1"/>
  <c r="C1206" i="42"/>
  <c r="G1206" i="42" s="1"/>
  <c r="I1206" i="42" s="1"/>
  <c r="I1205" i="42"/>
  <c r="J1203" i="42"/>
  <c r="B1209" i="42"/>
  <c r="I1203" i="42"/>
  <c r="D1212" i="42" a="1"/>
  <c r="B1212" i="42" l="1" a="1"/>
  <c r="I1204" i="42"/>
  <c r="I1202" i="42"/>
  <c r="K1202" i="42" s="1"/>
  <c r="J1199" i="42"/>
  <c r="L1205" i="42"/>
  <c r="J1201" i="42"/>
  <c r="L1201" i="42" s="1"/>
  <c r="I1200" i="42"/>
  <c r="K1200" i="42" s="1"/>
  <c r="J1206" i="42"/>
  <c r="K1206" i="42" s="1"/>
  <c r="J1207" i="42"/>
  <c r="J1208" i="42" s="1"/>
  <c r="L1203" i="42"/>
  <c r="K1203" i="42"/>
  <c r="K1205" i="42"/>
  <c r="L1204" i="42"/>
  <c r="K1204" i="42"/>
  <c r="D1218" i="42"/>
  <c r="G1218" i="42" s="1"/>
  <c r="D1214" i="42"/>
  <c r="G1214" i="42" s="1"/>
  <c r="D1217" i="42"/>
  <c r="G1217" i="42" s="1"/>
  <c r="D1213" i="42"/>
  <c r="G1213" i="42" s="1"/>
  <c r="D1220" i="42"/>
  <c r="G1220" i="42" s="1"/>
  <c r="D1216" i="42"/>
  <c r="G1216" i="42" s="1"/>
  <c r="D1212" i="42"/>
  <c r="G1212" i="42" s="1"/>
  <c r="D1215" i="42"/>
  <c r="G1215" i="42" s="1"/>
  <c r="D1219" i="42"/>
  <c r="G1219" i="42" s="1"/>
  <c r="B1218" i="42"/>
  <c r="B1214" i="42"/>
  <c r="B1217" i="42"/>
  <c r="B1213" i="42"/>
  <c r="B1220" i="42"/>
  <c r="B1216" i="42"/>
  <c r="B1212" i="42"/>
  <c r="B1219" i="42"/>
  <c r="B1215" i="42"/>
  <c r="I1208" i="42"/>
  <c r="K1199" i="42"/>
  <c r="L1199" i="42"/>
  <c r="L1200" i="42" l="1"/>
  <c r="K1201" i="42"/>
  <c r="L1202" i="42"/>
  <c r="L1206" i="42"/>
  <c r="K1207" i="42"/>
  <c r="K1208" i="42" s="1"/>
  <c r="O1200" i="42" s="1"/>
  <c r="L1207" i="42"/>
  <c r="B1225" i="42" a="1"/>
  <c r="B1232" i="42" s="1"/>
  <c r="F1232" i="42" s="1"/>
  <c r="L1208" i="42" l="1"/>
  <c r="O1199" i="42" s="1"/>
  <c r="O1201" i="42"/>
  <c r="N1204" i="42" s="1"/>
  <c r="O1203" i="42" s="1"/>
  <c r="B1227" i="42"/>
  <c r="F1227" i="42" s="1"/>
  <c r="B1231" i="42"/>
  <c r="F1231" i="42" s="1"/>
  <c r="B1225" i="42"/>
  <c r="F1225" i="42" s="1"/>
  <c r="B1229" i="42"/>
  <c r="F1229" i="42" s="1"/>
  <c r="B1226" i="42"/>
  <c r="F1226" i="42" s="1"/>
  <c r="B1228" i="42"/>
  <c r="F1228" i="42" s="1"/>
  <c r="B1233" i="42"/>
  <c r="F1233" i="42" s="1"/>
  <c r="B1230" i="42"/>
  <c r="F1230" i="42" s="1"/>
  <c r="N1203" i="42" l="1"/>
  <c r="O1204" i="42" s="1"/>
  <c r="Q1199" i="42" l="1" a="1"/>
  <c r="Q1207" i="42" s="1"/>
  <c r="R1202" i="42" l="1"/>
  <c r="R1204" i="42"/>
  <c r="R1206" i="42"/>
  <c r="Q1202" i="42"/>
  <c r="Q1204" i="42"/>
  <c r="Q1199" i="42"/>
  <c r="R1199" i="42"/>
  <c r="R1207" i="42"/>
  <c r="R1201" i="42"/>
  <c r="Q1200" i="42"/>
  <c r="Q1201" i="42"/>
  <c r="Q1203" i="42"/>
  <c r="R1205" i="42"/>
  <c r="Q1206" i="42"/>
  <c r="Q1205" i="42"/>
  <c r="R1203" i="42"/>
  <c r="R1200" i="42"/>
  <c r="C1212" i="42" l="1" a="1"/>
  <c r="C1213" i="42" s="1"/>
  <c r="A1212" i="42" a="1"/>
  <c r="A1220" i="42" s="1"/>
  <c r="F1220" i="42" s="1"/>
  <c r="A1214" i="42" l="1"/>
  <c r="F1214" i="42" s="1"/>
  <c r="A1218" i="42"/>
  <c r="F1218" i="42" s="1"/>
  <c r="A1215" i="42"/>
  <c r="F1215" i="42" s="1"/>
  <c r="A1213" i="42"/>
  <c r="F1213" i="42" s="1"/>
  <c r="A1219" i="42"/>
  <c r="F1219" i="42" s="1"/>
  <c r="J1219" i="42" s="1"/>
  <c r="C1217" i="42"/>
  <c r="C1212" i="42"/>
  <c r="C1216" i="42"/>
  <c r="A1216" i="42"/>
  <c r="F1216" i="42" s="1"/>
  <c r="I1216" i="42" s="1"/>
  <c r="C1215" i="42"/>
  <c r="C1214" i="42"/>
  <c r="A1212" i="42"/>
  <c r="C1219" i="42"/>
  <c r="A1217" i="42"/>
  <c r="F1217" i="42" s="1"/>
  <c r="J1217" i="42" s="1"/>
  <c r="C1218" i="42"/>
  <c r="C1220" i="42"/>
  <c r="J1218" i="42"/>
  <c r="I1218" i="42"/>
  <c r="I1215" i="42"/>
  <c r="J1215" i="42"/>
  <c r="J1220" i="42"/>
  <c r="I1220" i="42"/>
  <c r="J1214" i="42"/>
  <c r="I1214" i="42"/>
  <c r="F1212" i="42"/>
  <c r="J1216" i="42"/>
  <c r="J1213" i="42"/>
  <c r="I1213" i="42"/>
  <c r="I1219" i="42"/>
  <c r="I1217" i="42" l="1"/>
  <c r="B1222" i="42"/>
  <c r="C1225" i="42" a="1"/>
  <c r="L1213" i="42"/>
  <c r="K1213" i="42"/>
  <c r="K1214" i="42"/>
  <c r="L1214" i="42"/>
  <c r="L1215" i="42"/>
  <c r="K1215" i="42"/>
  <c r="L1219" i="42"/>
  <c r="K1219" i="42"/>
  <c r="K1216" i="42"/>
  <c r="L1216" i="42"/>
  <c r="J1212" i="42"/>
  <c r="J1221" i="42" s="1"/>
  <c r="I1212" i="42"/>
  <c r="L1220" i="42"/>
  <c r="K1220" i="42"/>
  <c r="K1217" i="42"/>
  <c r="L1217" i="42"/>
  <c r="K1218" i="42"/>
  <c r="L1218" i="42"/>
  <c r="C1230" i="42" l="1"/>
  <c r="G1230" i="42" s="1"/>
  <c r="C1232" i="42"/>
  <c r="G1232" i="42" s="1"/>
  <c r="C1233" i="42"/>
  <c r="G1233" i="42" s="1"/>
  <c r="C1227" i="42"/>
  <c r="G1227" i="42" s="1"/>
  <c r="C1225" i="42"/>
  <c r="G1225" i="42" s="1"/>
  <c r="C1231" i="42"/>
  <c r="G1231" i="42" s="1"/>
  <c r="C1229" i="42"/>
  <c r="G1229" i="42" s="1"/>
  <c r="C1228" i="42"/>
  <c r="G1228" i="42" s="1"/>
  <c r="C1226" i="42"/>
  <c r="G1226" i="42" s="1"/>
  <c r="I1221" i="42"/>
  <c r="L1212" i="42"/>
  <c r="L1221" i="42" s="1"/>
  <c r="K1212" i="42"/>
  <c r="K1221" i="42" s="1"/>
  <c r="J1231" i="42" l="1"/>
  <c r="I1231" i="42"/>
  <c r="I1225" i="42"/>
  <c r="J1225" i="42"/>
  <c r="I1233" i="42"/>
  <c r="J1233" i="42"/>
  <c r="I1229" i="42"/>
  <c r="J1229" i="42"/>
  <c r="K1229" i="42" s="1"/>
  <c r="J1227" i="42"/>
  <c r="I1227" i="42"/>
  <c r="J1232" i="42"/>
  <c r="I1232" i="42"/>
  <c r="I1228" i="42"/>
  <c r="J1228" i="42"/>
  <c r="J1226" i="42"/>
  <c r="I1226" i="42"/>
  <c r="J1230" i="42"/>
  <c r="I1230" i="42"/>
  <c r="O1212" i="42"/>
  <c r="O1213" i="42"/>
  <c r="K1228" i="42" l="1"/>
  <c r="K1233" i="42"/>
  <c r="L1229" i="42"/>
  <c r="L1233" i="42"/>
  <c r="K1225" i="42"/>
  <c r="J1234" i="42"/>
  <c r="K1226" i="42"/>
  <c r="L1226" i="42"/>
  <c r="L1232" i="42"/>
  <c r="K1232" i="42"/>
  <c r="K1234" i="42" s="1"/>
  <c r="L1225" i="42"/>
  <c r="I1234" i="42"/>
  <c r="K1230" i="42"/>
  <c r="L1230" i="42"/>
  <c r="K1227" i="42"/>
  <c r="L1227" i="42"/>
  <c r="K1231" i="42"/>
  <c r="L1231" i="42"/>
  <c r="L1228" i="42"/>
  <c r="O1214" i="42"/>
  <c r="N1217" i="42" s="1"/>
  <c r="O1216" i="42" s="1"/>
  <c r="L1234" i="42" l="1"/>
  <c r="N1216" i="42"/>
  <c r="O1217" i="42" s="1"/>
  <c r="Q1212" i="42" s="1" a="1"/>
  <c r="R1220" i="42" l="1"/>
  <c r="R1218" i="42"/>
  <c r="R1216" i="42"/>
  <c r="R1214" i="42"/>
  <c r="R1212" i="42"/>
  <c r="Q1220" i="42"/>
  <c r="Q1218" i="42"/>
  <c r="Q1216" i="42"/>
  <c r="Q1214" i="42"/>
  <c r="Q1217" i="42"/>
  <c r="Q1213" i="42"/>
  <c r="R1219" i="42"/>
  <c r="R1215" i="42"/>
  <c r="Q1212" i="42"/>
  <c r="Q1219" i="42"/>
  <c r="Q1215" i="42"/>
  <c r="R1213" i="42"/>
  <c r="R1217" i="42"/>
  <c r="A1225" i="42" l="1" a="1"/>
  <c r="D1225" i="42" a="1"/>
  <c r="D1232" i="42" l="1"/>
  <c r="D1228" i="42"/>
  <c r="D1231" i="42"/>
  <c r="D1227" i="42"/>
  <c r="D1230" i="42"/>
  <c r="D1226" i="42"/>
  <c r="D1225" i="42"/>
  <c r="D1233" i="42"/>
  <c r="D1229" i="42"/>
  <c r="A1230" i="42"/>
  <c r="A1226" i="42"/>
  <c r="A1233" i="42"/>
  <c r="A1229" i="42"/>
  <c r="A1225" i="42"/>
  <c r="A1232" i="42"/>
  <c r="A1228" i="42"/>
  <c r="A1231" i="42"/>
  <c r="A1227" i="42"/>
  <c r="D1238" i="42" l="1" a="1"/>
  <c r="D1243" i="42" s="1"/>
  <c r="G1243" i="42" s="1"/>
  <c r="B1235" i="42"/>
  <c r="A1238" i="42" a="1"/>
  <c r="D1244" i="42" l="1"/>
  <c r="G1244" i="42" s="1"/>
  <c r="D1240" i="42"/>
  <c r="G1240" i="42" s="1"/>
  <c r="D1246" i="42"/>
  <c r="G1246" i="42" s="1"/>
  <c r="D1238" i="42"/>
  <c r="G1238" i="42" s="1"/>
  <c r="D1245" i="42"/>
  <c r="G1245" i="42" s="1"/>
  <c r="D1242" i="42"/>
  <c r="G1242" i="42" s="1"/>
  <c r="D1239" i="42"/>
  <c r="G1239" i="42" s="1"/>
  <c r="D1241" i="42"/>
  <c r="G1241" i="42" s="1"/>
  <c r="A1244" i="42"/>
  <c r="A1240" i="42"/>
  <c r="A1243" i="42"/>
  <c r="A1239" i="42"/>
  <c r="A1246" i="42"/>
  <c r="A1242" i="42"/>
  <c r="A1238" i="42"/>
  <c r="A1245" i="42"/>
  <c r="A1241" i="42"/>
  <c r="O1225" i="42"/>
  <c r="O1226" i="42"/>
  <c r="O1227" i="42" l="1"/>
  <c r="N1230" i="42" s="1"/>
  <c r="O1229" i="42" s="1"/>
  <c r="B1248" i="42"/>
  <c r="A1251" i="42" a="1"/>
  <c r="N1229" i="42" l="1"/>
  <c r="O1230" i="42" s="1"/>
  <c r="A1257" i="42"/>
  <c r="A1253" i="42"/>
  <c r="A1256" i="42"/>
  <c r="A1252" i="42"/>
  <c r="A1259" i="42"/>
  <c r="A1255" i="42"/>
  <c r="A1251" i="42"/>
  <c r="A1258" i="42"/>
  <c r="A1254" i="42"/>
  <c r="Q1225" i="42" l="1" a="1"/>
  <c r="Q1232" i="42" s="1"/>
  <c r="B1261" i="42"/>
  <c r="A1264" i="42" a="1"/>
  <c r="R1232" i="42" l="1"/>
  <c r="R1231" i="42"/>
  <c r="R1227" i="42"/>
  <c r="R1233" i="42"/>
  <c r="Q1229" i="42"/>
  <c r="Q1226" i="42"/>
  <c r="R1230" i="42"/>
  <c r="R1229" i="42"/>
  <c r="Q1225" i="42"/>
  <c r="Q1227" i="42"/>
  <c r="Q1231" i="42"/>
  <c r="Q1228" i="42"/>
  <c r="R1226" i="42"/>
  <c r="Q1233" i="42"/>
  <c r="Q1230" i="42"/>
  <c r="R1228" i="42"/>
  <c r="C1238" i="42" s="1" a="1"/>
  <c r="R1225" i="42"/>
  <c r="A1271" i="42"/>
  <c r="A1267" i="42"/>
  <c r="A1270" i="42"/>
  <c r="A1266" i="42"/>
  <c r="A1269" i="42"/>
  <c r="A1265" i="42"/>
  <c r="A1272" i="42"/>
  <c r="A1268" i="42"/>
  <c r="A1264" i="42"/>
  <c r="L4" i="42" s="1"/>
  <c r="Q4" i="42" s="1"/>
  <c r="Z4" i="42" s="1"/>
  <c r="B1238" i="42" l="1" a="1"/>
  <c r="F1268" i="42"/>
  <c r="L8" i="42"/>
  <c r="Q8" i="42" s="1"/>
  <c r="Z8" i="42" s="1"/>
  <c r="F1266" i="42"/>
  <c r="L6" i="42"/>
  <c r="Q6" i="42" s="1"/>
  <c r="Z6" i="42" s="1"/>
  <c r="F1272" i="42"/>
  <c r="L12" i="42"/>
  <c r="Q12" i="42" s="1"/>
  <c r="Z12" i="42" s="1"/>
  <c r="F1270" i="42"/>
  <c r="L10" i="42"/>
  <c r="Q10" i="42" s="1"/>
  <c r="Z10" i="42" s="1"/>
  <c r="F1265" i="42"/>
  <c r="L5" i="42"/>
  <c r="Q5" i="42" s="1"/>
  <c r="Z5" i="42" s="1"/>
  <c r="F1267" i="42"/>
  <c r="L7" i="42"/>
  <c r="Q7" i="42" s="1"/>
  <c r="Z7" i="42" s="1"/>
  <c r="F1269" i="42"/>
  <c r="L9" i="42"/>
  <c r="Q9" i="42" s="1"/>
  <c r="Z9" i="42" s="1"/>
  <c r="F1271" i="42"/>
  <c r="L11" i="42"/>
  <c r="Q11" i="42" s="1"/>
  <c r="Z11" i="42" s="1"/>
  <c r="C1244" i="42"/>
  <c r="C1240" i="42"/>
  <c r="C1243" i="42"/>
  <c r="C1239" i="42"/>
  <c r="C1246" i="42"/>
  <c r="C1242" i="42"/>
  <c r="C1238" i="42"/>
  <c r="C1241" i="42"/>
  <c r="C1245" i="42"/>
  <c r="B1246" i="42"/>
  <c r="F1246" i="42" s="1"/>
  <c r="B1242" i="42"/>
  <c r="F1242" i="42" s="1"/>
  <c r="B1238" i="42"/>
  <c r="F1238" i="42" s="1"/>
  <c r="B1245" i="42"/>
  <c r="F1245" i="42" s="1"/>
  <c r="B1241" i="42"/>
  <c r="F1241" i="42" s="1"/>
  <c r="B1244" i="42"/>
  <c r="F1244" i="42" s="1"/>
  <c r="B1240" i="42"/>
  <c r="F1240" i="42" s="1"/>
  <c r="B1243" i="42"/>
  <c r="F1243" i="42" s="1"/>
  <c r="B1239" i="42"/>
  <c r="F1239" i="42" s="1"/>
  <c r="B1274" i="42"/>
  <c r="F1264" i="42"/>
  <c r="J1244" i="42" l="1"/>
  <c r="I1244" i="42"/>
  <c r="J1240" i="42"/>
  <c r="I1240" i="42"/>
  <c r="I1242" i="42"/>
  <c r="J1242" i="42"/>
  <c r="I1239" i="42"/>
  <c r="J1239" i="42"/>
  <c r="I1241" i="42"/>
  <c r="J1241" i="42"/>
  <c r="J1246" i="42"/>
  <c r="I1246" i="42"/>
  <c r="J1238" i="42"/>
  <c r="I1238" i="42"/>
  <c r="C1251" i="42" a="1"/>
  <c r="I1243" i="42"/>
  <c r="J1243" i="42"/>
  <c r="I1245" i="42"/>
  <c r="J1245" i="42"/>
  <c r="K1242" i="42" l="1"/>
  <c r="L1242" i="42"/>
  <c r="C1257" i="42"/>
  <c r="F1257" i="42" s="1"/>
  <c r="C1253" i="42"/>
  <c r="F1253" i="42" s="1"/>
  <c r="C1256" i="42"/>
  <c r="F1256" i="42" s="1"/>
  <c r="C1252" i="42"/>
  <c r="F1252" i="42" s="1"/>
  <c r="C1259" i="42"/>
  <c r="F1259" i="42" s="1"/>
  <c r="C1255" i="42"/>
  <c r="F1255" i="42" s="1"/>
  <c r="C1251" i="42"/>
  <c r="F1251" i="42" s="1"/>
  <c r="C1258" i="42"/>
  <c r="F1258" i="42" s="1"/>
  <c r="C1254" i="42"/>
  <c r="F1254" i="42" s="1"/>
  <c r="K1246" i="42"/>
  <c r="L1246" i="42"/>
  <c r="L1240" i="42"/>
  <c r="K1240" i="42"/>
  <c r="L1245" i="42"/>
  <c r="K1245" i="42"/>
  <c r="I1247" i="42"/>
  <c r="K1238" i="42"/>
  <c r="L1238" i="42"/>
  <c r="K1239" i="42"/>
  <c r="L1239" i="42"/>
  <c r="K1243" i="42"/>
  <c r="L1243" i="42"/>
  <c r="K1241" i="42"/>
  <c r="L1241" i="42"/>
  <c r="J1247" i="42"/>
  <c r="K1244" i="42"/>
  <c r="L1244" i="42"/>
  <c r="L1247" i="42" l="1"/>
  <c r="O1238" i="42" s="1"/>
  <c r="K1247" i="42"/>
  <c r="O1239" i="42" s="1"/>
  <c r="O1240" i="42" l="1"/>
  <c r="N1243" i="42" s="1"/>
  <c r="O1242" i="42" s="1"/>
  <c r="N1242" i="42" l="1"/>
  <c r="O1243" i="42" s="1"/>
  <c r="Q1238" i="42" s="1" a="1"/>
  <c r="Q1245" i="42" l="1"/>
  <c r="Q1243" i="42"/>
  <c r="Q1241" i="42"/>
  <c r="Q1239" i="42"/>
  <c r="Q1246" i="42"/>
  <c r="Q1244" i="42"/>
  <c r="Q1242" i="42"/>
  <c r="Q1240" i="42"/>
  <c r="Q1238" i="42"/>
  <c r="R1245" i="42"/>
  <c r="R1241" i="42"/>
  <c r="R1244" i="42"/>
  <c r="R1240" i="42"/>
  <c r="R1243" i="42"/>
  <c r="R1239" i="42"/>
  <c r="R1246" i="42"/>
  <c r="R1242" i="42"/>
  <c r="R1238" i="42"/>
  <c r="D1251" i="42" l="1" a="1"/>
  <c r="B1251" i="42" a="1"/>
  <c r="B1259" i="42" l="1"/>
  <c r="B1255" i="42"/>
  <c r="B1251" i="42"/>
  <c r="B1258" i="42"/>
  <c r="B1254" i="42"/>
  <c r="B1257" i="42"/>
  <c r="B1253" i="42"/>
  <c r="B1256" i="42"/>
  <c r="B1252" i="42"/>
  <c r="D1259" i="42"/>
  <c r="G1259" i="42" s="1"/>
  <c r="D1255" i="42"/>
  <c r="G1255" i="42" s="1"/>
  <c r="D1251" i="42"/>
  <c r="G1251" i="42" s="1"/>
  <c r="D1258" i="42"/>
  <c r="G1258" i="42" s="1"/>
  <c r="D1254" i="42"/>
  <c r="G1254" i="42" s="1"/>
  <c r="D1257" i="42"/>
  <c r="G1257" i="42" s="1"/>
  <c r="D1253" i="42"/>
  <c r="G1253" i="42" s="1"/>
  <c r="D1252" i="42"/>
  <c r="G1252" i="42" s="1"/>
  <c r="D1256" i="42"/>
  <c r="G1256" i="42" s="1"/>
  <c r="B1264" i="42" l="1" a="1"/>
  <c r="B1269" i="42" s="1"/>
  <c r="I1256" i="42"/>
  <c r="J1256" i="42"/>
  <c r="I1254" i="42"/>
  <c r="J1254" i="42"/>
  <c r="J1259" i="42"/>
  <c r="I1259" i="42"/>
  <c r="J1253" i="42"/>
  <c r="I1253" i="42"/>
  <c r="J1251" i="42"/>
  <c r="I1251" i="42"/>
  <c r="J1257" i="42"/>
  <c r="I1257" i="42"/>
  <c r="I1255" i="42"/>
  <c r="J1255" i="42"/>
  <c r="J1252" i="42"/>
  <c r="I1252" i="42"/>
  <c r="I1258" i="42"/>
  <c r="J1258" i="42"/>
  <c r="B1270" i="42" l="1"/>
  <c r="M10" i="42" s="1"/>
  <c r="R10" i="42" s="1"/>
  <c r="AA10" i="42" s="1"/>
  <c r="B1271" i="42"/>
  <c r="M11" i="42" s="1"/>
  <c r="R11" i="42" s="1"/>
  <c r="AA11" i="42" s="1"/>
  <c r="B1268" i="42"/>
  <c r="M8" i="42" s="1"/>
  <c r="R8" i="42" s="1"/>
  <c r="AA8" i="42" s="1"/>
  <c r="B1272" i="42"/>
  <c r="G1272" i="42" s="1"/>
  <c r="I1272" i="42" s="1"/>
  <c r="B1267" i="42"/>
  <c r="G1267" i="42" s="1"/>
  <c r="B1265" i="42"/>
  <c r="G1265" i="42" s="1"/>
  <c r="J1265" i="42" s="1"/>
  <c r="B1266" i="42"/>
  <c r="G1266" i="42" s="1"/>
  <c r="B1264" i="42"/>
  <c r="G1264" i="42" s="1"/>
  <c r="J1264" i="42" s="1"/>
  <c r="G1270" i="42"/>
  <c r="J1270" i="42" s="1"/>
  <c r="G1268" i="42"/>
  <c r="I1268" i="42" s="1"/>
  <c r="G1269" i="42"/>
  <c r="I1269" i="42" s="1"/>
  <c r="M9" i="42"/>
  <c r="R9" i="42" s="1"/>
  <c r="AA9" i="42" s="1"/>
  <c r="L1254" i="42"/>
  <c r="K1254" i="42"/>
  <c r="L1251" i="42"/>
  <c r="K1251" i="42"/>
  <c r="I1260" i="42"/>
  <c r="L1255" i="42"/>
  <c r="K1255" i="42"/>
  <c r="J1260" i="42"/>
  <c r="L1256" i="42"/>
  <c r="K1256" i="42"/>
  <c r="I1270" i="42"/>
  <c r="L1259" i="42"/>
  <c r="K1259" i="42"/>
  <c r="L1258" i="42"/>
  <c r="K1258" i="42"/>
  <c r="L1252" i="42"/>
  <c r="K1252" i="42"/>
  <c r="L1257" i="42"/>
  <c r="K1257" i="42"/>
  <c r="L1253" i="42"/>
  <c r="K1253" i="42"/>
  <c r="I1267" i="42" l="1"/>
  <c r="J1267" i="42"/>
  <c r="M7" i="42"/>
  <c r="R7" i="42" s="1"/>
  <c r="AA7" i="42" s="1"/>
  <c r="G1271" i="42"/>
  <c r="I1271" i="42" s="1"/>
  <c r="J1269" i="42"/>
  <c r="M12" i="42"/>
  <c r="R12" i="42" s="1"/>
  <c r="AA12" i="42" s="1"/>
  <c r="M4" i="42"/>
  <c r="R4" i="42" s="1"/>
  <c r="AA4" i="42" s="1"/>
  <c r="M5" i="42"/>
  <c r="R5" i="42" s="1"/>
  <c r="AA5" i="42" s="1"/>
  <c r="I1266" i="42"/>
  <c r="J1266" i="42"/>
  <c r="M6" i="42"/>
  <c r="R6" i="42" s="1"/>
  <c r="AA6" i="42" s="1"/>
  <c r="I1265" i="42"/>
  <c r="K1265" i="42" s="1"/>
  <c r="J1272" i="42"/>
  <c r="L1272" i="42" s="1"/>
  <c r="J1268" i="42"/>
  <c r="L1268" i="42" s="1"/>
  <c r="I1264" i="42"/>
  <c r="L1264" i="42" s="1"/>
  <c r="K1267" i="42"/>
  <c r="K1260" i="42"/>
  <c r="O1252" i="42" s="1"/>
  <c r="L1270" i="42"/>
  <c r="K1270" i="42"/>
  <c r="L1269" i="42"/>
  <c r="K1269" i="42"/>
  <c r="L1260" i="42"/>
  <c r="O1251" i="42" s="1"/>
  <c r="L1267" i="42" l="1"/>
  <c r="J1271" i="42"/>
  <c r="K1271" i="42" s="1"/>
  <c r="L1266" i="42"/>
  <c r="K1272" i="42"/>
  <c r="K1268" i="42"/>
  <c r="K1266" i="42"/>
  <c r="L1265" i="42"/>
  <c r="K1264" i="42"/>
  <c r="I1273" i="42"/>
  <c r="O1253" i="42"/>
  <c r="J1273" i="42" l="1"/>
  <c r="L1271" i="42"/>
  <c r="L1273" i="42" s="1"/>
  <c r="O1264" i="42" s="1"/>
  <c r="K1273" i="42"/>
  <c r="O1265" i="42" s="1"/>
  <c r="N1255" i="42"/>
  <c r="N1256" i="42"/>
  <c r="O1255" i="42" s="1"/>
  <c r="O1266" i="42" l="1"/>
  <c r="N1269" i="42" s="1"/>
  <c r="O1268" i="42" s="1"/>
  <c r="O1256" i="42"/>
  <c r="Q1251" i="42" a="1"/>
  <c r="N1268" i="42" l="1"/>
  <c r="O1269" i="42" s="1"/>
  <c r="R1258" i="42"/>
  <c r="R1256" i="42"/>
  <c r="R1254" i="42"/>
  <c r="R1252" i="42"/>
  <c r="Q1258" i="42"/>
  <c r="Q1256" i="42"/>
  <c r="Q1254" i="42"/>
  <c r="Q1252" i="42"/>
  <c r="R1259" i="42"/>
  <c r="R1257" i="42"/>
  <c r="R1255" i="42"/>
  <c r="R1253" i="42"/>
  <c r="R1251" i="42"/>
  <c r="Q1259" i="42"/>
  <c r="Q1251" i="42"/>
  <c r="Q1257" i="42"/>
  <c r="Q1255" i="42"/>
  <c r="Q1253" i="42"/>
  <c r="Q1264" i="42" l="1" a="1"/>
  <c r="Q1272" i="42" s="1"/>
  <c r="D1264" i="42" a="1"/>
  <c r="D1269" i="42" s="1"/>
  <c r="O9" i="42" s="1"/>
  <c r="T9" i="42" s="1"/>
  <c r="AC9" i="42" s="1"/>
  <c r="C1264" i="42" a="1"/>
  <c r="R1272" i="42" l="1"/>
  <c r="R1268" i="42"/>
  <c r="Q1265" i="42"/>
  <c r="Q1267" i="42"/>
  <c r="R1267" i="42"/>
  <c r="R1269" i="42"/>
  <c r="R1271" i="42"/>
  <c r="Q1264" i="42"/>
  <c r="R1266" i="42"/>
  <c r="Q1266" i="42"/>
  <c r="Q1268" i="42"/>
  <c r="Q1269" i="42"/>
  <c r="R1270" i="42"/>
  <c r="Q1271" i="42"/>
  <c r="Q1270" i="42"/>
  <c r="R1264" i="42"/>
  <c r="R1265" i="42"/>
  <c r="D1266" i="42"/>
  <c r="O6" i="42" s="1"/>
  <c r="T6" i="42" s="1"/>
  <c r="AC6" i="42" s="1"/>
  <c r="D1264" i="42"/>
  <c r="O4" i="42" s="1"/>
  <c r="T4" i="42" s="1"/>
  <c r="AC4" i="42" s="1"/>
  <c r="D1268" i="42"/>
  <c r="O8" i="42" s="1"/>
  <c r="T8" i="42" s="1"/>
  <c r="AC8" i="42" s="1"/>
  <c r="D1270" i="42"/>
  <c r="O10" i="42" s="1"/>
  <c r="T10" i="42" s="1"/>
  <c r="AC10" i="42" s="1"/>
  <c r="D1267" i="42"/>
  <c r="O7" i="42" s="1"/>
  <c r="T7" i="42" s="1"/>
  <c r="AC7" i="42" s="1"/>
  <c r="D1272" i="42"/>
  <c r="O12" i="42" s="1"/>
  <c r="T12" i="42" s="1"/>
  <c r="AC12" i="42" s="1"/>
  <c r="D1271" i="42"/>
  <c r="O11" i="42" s="1"/>
  <c r="T11" i="42" s="1"/>
  <c r="AC11" i="42" s="1"/>
  <c r="D1265" i="42"/>
  <c r="O5" i="42" s="1"/>
  <c r="T5" i="42" s="1"/>
  <c r="AC5" i="42" s="1"/>
  <c r="C1271" i="42"/>
  <c r="N11" i="42" s="1"/>
  <c r="S11" i="42" s="1"/>
  <c r="AB11" i="42" s="1"/>
  <c r="C1267" i="42"/>
  <c r="N7" i="42" s="1"/>
  <c r="S7" i="42" s="1"/>
  <c r="AB7" i="42" s="1"/>
  <c r="C1270" i="42"/>
  <c r="N10" i="42" s="1"/>
  <c r="S10" i="42" s="1"/>
  <c r="AB10" i="42" s="1"/>
  <c r="C1266" i="42"/>
  <c r="N6" i="42" s="1"/>
  <c r="S6" i="42" s="1"/>
  <c r="AB6" i="42" s="1"/>
  <c r="C1269" i="42"/>
  <c r="N9" i="42" s="1"/>
  <c r="S9" i="42" s="1"/>
  <c r="AB9" i="42" s="1"/>
  <c r="C1265" i="42"/>
  <c r="N5" i="42" s="1"/>
  <c r="S5" i="42" s="1"/>
  <c r="AB5" i="42" s="1"/>
  <c r="C1268" i="42"/>
  <c r="N8" i="42" s="1"/>
  <c r="S8" i="42" s="1"/>
  <c r="AB8" i="42" s="1"/>
  <c r="C1264" i="42"/>
  <c r="N4" i="42" s="1"/>
  <c r="S4" i="42" s="1"/>
  <c r="AB4" i="42" s="1"/>
  <c r="C1272" i="42"/>
  <c r="N12" i="42" s="1"/>
  <c r="S12" i="42" s="1"/>
  <c r="AB12" i="42" s="1"/>
  <c r="V15" i="42" a="1"/>
  <c r="Y21" i="42" l="1"/>
  <c r="Y16" i="42"/>
  <c r="Z22" i="42"/>
  <c r="Y19" i="42"/>
  <c r="Y23" i="42"/>
  <c r="X18" i="42"/>
  <c r="Y22" i="42"/>
  <c r="AB17" i="42"/>
  <c r="X22" i="42"/>
  <c r="AA17" i="42"/>
  <c r="V22" i="42"/>
  <c r="Y17" i="42"/>
  <c r="AB21" i="42"/>
  <c r="X17" i="42"/>
  <c r="Z21" i="42"/>
  <c r="V17" i="42"/>
  <c r="AA15" i="42"/>
  <c r="W19" i="42"/>
  <c r="AB19" i="42"/>
  <c r="Z17" i="42"/>
  <c r="V18" i="42"/>
  <c r="X21" i="42"/>
  <c r="AA16" i="42"/>
  <c r="W21" i="42"/>
  <c r="Z16" i="42"/>
  <c r="AB20" i="42"/>
  <c r="X16" i="42"/>
  <c r="AA20" i="42"/>
  <c r="W16" i="42"/>
  <c r="Y20" i="42"/>
  <c r="AB15" i="42"/>
  <c r="AA18" i="42"/>
  <c r="W22" i="42"/>
  <c r="V23" i="42"/>
  <c r="W17" i="42"/>
  <c r="AB16" i="42"/>
  <c r="Z20" i="42"/>
  <c r="W20" i="42"/>
  <c r="Z15" i="42"/>
  <c r="Z26" i="42" s="1" a="1"/>
  <c r="AC26" i="42" s="1"/>
  <c r="V20" i="42"/>
  <c r="Y15" i="42"/>
  <c r="AA19" i="42"/>
  <c r="W15" i="42"/>
  <c r="Z19" i="42"/>
  <c r="V15" i="42"/>
  <c r="X19" i="42"/>
  <c r="V21" i="42"/>
  <c r="AA21" i="42"/>
  <c r="AB18" i="42"/>
  <c r="Y18" i="42"/>
  <c r="V16" i="42"/>
  <c r="X20" i="42"/>
  <c r="AC23" i="42"/>
  <c r="X23" i="42"/>
  <c r="AB22" i="42"/>
  <c r="X15" i="42"/>
  <c r="V19" i="42"/>
  <c r="Z18" i="42"/>
  <c r="W18" i="42"/>
  <c r="Z23" i="42"/>
  <c r="W23" i="42"/>
  <c r="AA22" i="42"/>
  <c r="AC18" i="42"/>
  <c r="AC22" i="42"/>
  <c r="AC15" i="42"/>
  <c r="AC19" i="42"/>
  <c r="AC16" i="42"/>
  <c r="AC20" i="42"/>
  <c r="AA23" i="42"/>
  <c r="AB23" i="42"/>
  <c r="AC17" i="42"/>
  <c r="AC21" i="42"/>
  <c r="AC27" i="42" l="1"/>
  <c r="Z26" i="42"/>
  <c r="AB29" i="42"/>
  <c r="AB28" i="42"/>
  <c r="AA29" i="42"/>
  <c r="AA28" i="42"/>
  <c r="AC28" i="42"/>
  <c r="AA26" i="42"/>
  <c r="Z27" i="42"/>
  <c r="Z29" i="42"/>
  <c r="Z28" i="42"/>
  <c r="AB27" i="42"/>
  <c r="AA27" i="42"/>
  <c r="AB26" i="42"/>
  <c r="AC29" i="42"/>
  <c r="Z32" i="42" a="1"/>
  <c r="AB38" i="42" s="1"/>
  <c r="AB32" i="42" l="1"/>
  <c r="AA36" i="42"/>
  <c r="AC32" i="42"/>
  <c r="Z38" i="42"/>
  <c r="Z37" i="42"/>
  <c r="AC35" i="42"/>
  <c r="Z32" i="42"/>
  <c r="AA34" i="42"/>
  <c r="AB33" i="42"/>
  <c r="AB40" i="42"/>
  <c r="AA39" i="42"/>
  <c r="AA35" i="42"/>
  <c r="Z36" i="42"/>
  <c r="AA32" i="42"/>
  <c r="AC37" i="42"/>
  <c r="AB36" i="42"/>
  <c r="AC39" i="42"/>
  <c r="AA33" i="42"/>
  <c r="AA38" i="42"/>
  <c r="Z33" i="42"/>
  <c r="AC34" i="42"/>
  <c r="Z39" i="42"/>
  <c r="AB39" i="42"/>
  <c r="AA37" i="42"/>
  <c r="Z34" i="42"/>
  <c r="AA40" i="42"/>
  <c r="Z35" i="42"/>
  <c r="AC36" i="42"/>
  <c r="AB34" i="42"/>
  <c r="AB35" i="42"/>
  <c r="AC33" i="42"/>
  <c r="Z40" i="42"/>
  <c r="AB37" i="42"/>
  <c r="AC40" i="42"/>
  <c r="AC38" i="42"/>
  <c r="V41" i="90" l="1" a="1"/>
  <c r="X42" i="90"/>
  <c r="V43" i="90"/>
  <c r="X44" i="90"/>
  <c r="V44" i="90"/>
  <c r="Y42" i="90"/>
  <c r="W44" i="90"/>
  <c r="W42" i="90"/>
  <c r="X43" i="90"/>
  <c r="Y44" i="90"/>
  <c r="Y43" i="90"/>
  <c r="V41" i="90"/>
  <c r="X41" i="90"/>
  <c r="V42" i="90"/>
  <c r="W41" i="90"/>
  <c r="Y41" i="90"/>
  <c r="W43" i="90"/>
  <c r="V23" i="90" a="1"/>
  <c r="Y25" i="90"/>
  <c r="X25" i="90"/>
  <c r="W25" i="90"/>
  <c r="V25" i="90"/>
  <c r="V24" i="90"/>
  <c r="AA23" i="90"/>
  <c r="Z23" i="90"/>
  <c r="Y23" i="90"/>
  <c r="AA27" i="90"/>
  <c r="Z28" i="90"/>
  <c r="X28" i="90"/>
  <c r="W28" i="90"/>
  <c r="V28" i="90"/>
  <c r="AA24" i="90"/>
  <c r="W23" i="90"/>
  <c r="X27" i="90"/>
  <c r="V27" i="90"/>
  <c r="AA26" i="90"/>
  <c r="Z26" i="90"/>
  <c r="Y26" i="90"/>
  <c r="Y28" i="90"/>
  <c r="X26" i="90"/>
  <c r="V26" i="90"/>
  <c r="X23" i="90"/>
  <c r="AA25" i="90"/>
  <c r="W24" i="90"/>
  <c r="Y27" i="90"/>
  <c r="Y24" i="90"/>
  <c r="Z25" i="90"/>
  <c r="X24" i="90"/>
  <c r="W27" i="90"/>
  <c r="W26" i="90"/>
  <c r="Z27" i="90"/>
  <c r="Z24" i="90"/>
  <c r="AA28" i="90"/>
  <c r="V23" i="90"/>
  <c r="V32" i="90" a="1"/>
  <c r="W36" i="90"/>
  <c r="V36" i="90"/>
  <c r="V35" i="90"/>
  <c r="Y32" i="90"/>
  <c r="W34" i="90"/>
  <c r="V33" i="90"/>
  <c r="V34" i="90"/>
  <c r="W32" i="90"/>
  <c r="X37" i="90"/>
  <c r="Y35" i="90"/>
  <c r="Y34" i="90"/>
  <c r="Y33" i="90"/>
  <c r="X35" i="90"/>
  <c r="X34" i="90"/>
  <c r="V32" i="90"/>
  <c r="X32" i="90"/>
  <c r="W33" i="90"/>
  <c r="X33" i="90"/>
  <c r="W35" i="90"/>
  <c r="AR46" i="90" a="1"/>
  <c r="AU46" i="90"/>
  <c r="AS46" i="90"/>
  <c r="AT46" i="90"/>
  <c r="AR46" i="90"/>
  <c r="V37" i="90"/>
  <c r="W37" i="90"/>
  <c r="Y36" i="90"/>
  <c r="X36" i="90"/>
  <c r="Y37" i="90"/>
  <c r="S11" i="85"/>
  <c r="S13" i="85"/>
  <c r="AC26" i="90" a="1"/>
  <c r="AC20" i="90" a="1"/>
  <c r="AC12" i="90" a="1"/>
  <c r="AG31" i="90"/>
  <c r="AH30" i="90"/>
  <c r="AF28" i="90"/>
  <c r="AH29" i="90"/>
  <c r="AC29" i="90"/>
  <c r="AG28" i="90"/>
  <c r="AG27" i="90"/>
  <c r="AH26" i="90"/>
  <c r="AC31" i="90"/>
  <c r="AF23" i="90"/>
  <c r="AC23" i="90"/>
  <c r="AG21" i="90"/>
  <c r="AC22" i="90"/>
  <c r="AC21" i="90"/>
  <c r="AD20" i="90"/>
  <c r="AO25" i="90"/>
  <c r="AF15" i="90"/>
  <c r="AF16" i="90"/>
  <c r="AE14" i="90"/>
  <c r="AT16" i="90"/>
  <c r="AE15" i="90"/>
  <c r="AT17" i="90"/>
  <c r="AE16" i="90"/>
  <c r="AT18" i="90"/>
  <c r="AF13" i="90"/>
  <c r="AD28" i="90"/>
  <c r="AE29" i="90"/>
  <c r="AC30" i="90"/>
  <c r="AE30" i="90"/>
  <c r="AD31" i="90"/>
  <c r="AD29" i="90"/>
  <c r="AG26" i="90"/>
  <c r="AG30" i="90"/>
  <c r="AE26" i="90"/>
  <c r="AE21" i="90"/>
  <c r="AT26" i="90"/>
  <c r="AG20" i="90"/>
  <c r="AD23" i="90"/>
  <c r="AO28" i="90"/>
  <c r="AH22" i="90"/>
  <c r="AG22" i="90"/>
  <c r="AH21" i="90"/>
  <c r="AC17" i="90"/>
  <c r="AD17" i="90"/>
  <c r="AO19" i="90"/>
  <c r="AD16" i="90"/>
  <c r="AO18" i="90"/>
  <c r="AC15" i="90"/>
  <c r="AD15" i="90"/>
  <c r="AO17" i="90"/>
  <c r="AC14" i="90"/>
  <c r="AD14" i="90"/>
  <c r="AO16" i="90"/>
  <c r="AE28" i="90"/>
  <c r="AF26" i="90"/>
  <c r="AC26" i="90"/>
  <c r="AF31" i="90"/>
  <c r="AH27" i="90"/>
  <c r="AF30" i="90"/>
  <c r="AC27" i="90"/>
  <c r="AH28" i="90"/>
  <c r="AE31" i="90"/>
  <c r="AD21" i="90"/>
  <c r="AO26" i="90"/>
  <c r="AE23" i="90"/>
  <c r="AT28" i="90"/>
  <c r="AH23" i="90"/>
  <c r="AG23" i="90"/>
  <c r="AE20" i="90"/>
  <c r="AT25" i="90"/>
  <c r="AF22" i="90"/>
  <c r="AF17" i="90"/>
  <c r="AD12" i="90"/>
  <c r="AF14" i="90"/>
  <c r="AC16" i="90"/>
  <c r="AD13" i="90"/>
  <c r="AO15" i="90"/>
  <c r="AE13" i="90"/>
  <c r="AT15" i="90"/>
  <c r="AF27" i="90"/>
  <c r="AD27" i="90"/>
  <c r="AH31" i="90"/>
  <c r="AF29" i="90"/>
  <c r="AE27" i="90"/>
  <c r="AD36" i="90" a="1"/>
  <c r="AD37" i="90"/>
  <c r="AD36" i="90"/>
  <c r="AD38" i="90"/>
  <c r="AD30" i="90"/>
  <c r="AD26" i="90"/>
  <c r="AC28" i="90"/>
  <c r="AG29" i="90"/>
  <c r="AF21" i="90"/>
  <c r="AH20" i="90"/>
  <c r="AF20" i="90"/>
  <c r="AC20" i="90"/>
  <c r="AD22" i="90"/>
  <c r="AE22" i="90"/>
  <c r="AR42" i="90" a="1"/>
  <c r="AO27" i="90"/>
  <c r="AT27" i="90"/>
  <c r="AC13" i="90"/>
  <c r="AF12" i="90"/>
  <c r="AC12" i="90"/>
  <c r="AE12" i="90"/>
  <c r="AT14" i="90"/>
  <c r="AE17" i="90"/>
  <c r="AT19" i="90"/>
  <c r="AD39" i="90"/>
  <c r="AE36" i="90"/>
  <c r="AF36" i="90"/>
  <c r="AT44" i="90"/>
  <c r="AS44" i="90"/>
  <c r="AU42" i="90"/>
  <c r="AS43" i="90"/>
  <c r="AQ58" i="90" a="1"/>
  <c r="BB28" i="90"/>
  <c r="AU17" i="90"/>
  <c r="AV17" i="90"/>
  <c r="BA25" i="90"/>
  <c r="AU19" i="90"/>
  <c r="AV19" i="90"/>
  <c r="AP27" i="90"/>
  <c r="AP15" i="90"/>
  <c r="AW25" i="90"/>
  <c r="AX25" i="90"/>
  <c r="BA28" i="90"/>
  <c r="AU44" i="90"/>
  <c r="AR45" i="90"/>
  <c r="AU45" i="90"/>
  <c r="AR43" i="90"/>
  <c r="BB15" i="90"/>
  <c r="AO14" i="90"/>
  <c r="BA19" i="90"/>
  <c r="AW17" i="90"/>
  <c r="AX17" i="90"/>
  <c r="AU27" i="90"/>
  <c r="AV27" i="90"/>
  <c r="AW19" i="90"/>
  <c r="AX19" i="90"/>
  <c r="AW14" i="90"/>
  <c r="AX14" i="90"/>
  <c r="AR15" i="90"/>
  <c r="AS15" i="90"/>
  <c r="BB25" i="90"/>
  <c r="AR17" i="90"/>
  <c r="AS17" i="90"/>
  <c r="BA18" i="90"/>
  <c r="AR28" i="90"/>
  <c r="AS28" i="90"/>
  <c r="BA16" i="90"/>
  <c r="AU18" i="90"/>
  <c r="AV18" i="90"/>
  <c r="BB16" i="90"/>
  <c r="AU25" i="90"/>
  <c r="AV25" i="90"/>
  <c r="AP28" i="90"/>
  <c r="AP26" i="90"/>
  <c r="BB18" i="90"/>
  <c r="AU43" i="90"/>
  <c r="AT45" i="90"/>
  <c r="AT43" i="90"/>
  <c r="AS45" i="90"/>
  <c r="AU15" i="90"/>
  <c r="AV15" i="90"/>
  <c r="AW28" i="90"/>
  <c r="AX28" i="90"/>
  <c r="AP19" i="90"/>
  <c r="BB17" i="90"/>
  <c r="AW27" i="90"/>
  <c r="AX27" i="90"/>
  <c r="BB19" i="90"/>
  <c r="BB14" i="90"/>
  <c r="BA15" i="90"/>
  <c r="BA26" i="90"/>
  <c r="BA17" i="90"/>
  <c r="AR18" i="90"/>
  <c r="AS18" i="90"/>
  <c r="AU26" i="90"/>
  <c r="AV26" i="90"/>
  <c r="AP16" i="90"/>
  <c r="AW18" i="90"/>
  <c r="AX18" i="90"/>
  <c r="BA27" i="90"/>
  <c r="AR26" i="90"/>
  <c r="AS26" i="90"/>
  <c r="AW26" i="90"/>
  <c r="AX26" i="90"/>
  <c r="AU16" i="90"/>
  <c r="AV16" i="90"/>
  <c r="AP18" i="90"/>
  <c r="AW16" i="90"/>
  <c r="AX16" i="90"/>
  <c r="AR44" i="90"/>
  <c r="AS42" i="90"/>
  <c r="AR42" i="90"/>
  <c r="AT42" i="90"/>
  <c r="AW15" i="90"/>
  <c r="AX15" i="90"/>
  <c r="AU28" i="90"/>
  <c r="AV28" i="90"/>
  <c r="AR19" i="90"/>
  <c r="AS19" i="90"/>
  <c r="AP25" i="90"/>
  <c r="BB27" i="90"/>
  <c r="AU14" i="90"/>
  <c r="AV14" i="90"/>
  <c r="AP17" i="90"/>
  <c r="AR16" i="90"/>
  <c r="AS16" i="90"/>
  <c r="BB26" i="90"/>
  <c r="AQ28" i="90"/>
  <c r="BA14" i="90"/>
  <c r="BA40" i="90"/>
  <c r="BB41" i="90"/>
  <c r="AT36" i="90"/>
  <c r="AU36" i="90"/>
  <c r="AV36" i="90"/>
  <c r="BA48" i="90"/>
  <c r="AW62" i="90"/>
  <c r="AK18" i="90"/>
  <c r="AK19" i="90"/>
  <c r="AQ17" i="90"/>
  <c r="BA38" i="90"/>
  <c r="BA36" i="90"/>
  <c r="AV64" i="90"/>
  <c r="AW65" i="90"/>
  <c r="BA54" i="90"/>
  <c r="BB51" i="90"/>
  <c r="AT34" i="90"/>
  <c r="AU34" i="90"/>
  <c r="AV34" i="90"/>
  <c r="BB37" i="90"/>
  <c r="AK26" i="90"/>
  <c r="BB36" i="90"/>
  <c r="AT37" i="90"/>
  <c r="AU37" i="90"/>
  <c r="AV37" i="90"/>
  <c r="BB55" i="90"/>
  <c r="BB47" i="90"/>
  <c r="BB38" i="90"/>
  <c r="AK15" i="90"/>
  <c r="AK28" i="90"/>
  <c r="AK16" i="90"/>
  <c r="BB33" i="90"/>
  <c r="AS58" i="90"/>
  <c r="BB54" i="90"/>
  <c r="BA35" i="90"/>
  <c r="BB39" i="90"/>
  <c r="AQ18" i="90"/>
  <c r="AQ19" i="90"/>
  <c r="AK17" i="90"/>
  <c r="BA51" i="90"/>
  <c r="BA49" i="90"/>
  <c r="BA41" i="90"/>
  <c r="BB42" i="90"/>
  <c r="AO36" i="90"/>
  <c r="AP36" i="90"/>
  <c r="AQ25" i="90"/>
  <c r="AO34" i="90"/>
  <c r="AP34" i="90"/>
  <c r="BB50" i="90"/>
  <c r="AQ26" i="90"/>
  <c r="BB49" i="90"/>
  <c r="BA55" i="90"/>
  <c r="BA53" i="90"/>
  <c r="AV65" i="90"/>
  <c r="AR14" i="90"/>
  <c r="AS14" i="90"/>
  <c r="AQ16" i="90"/>
  <c r="BB46" i="90"/>
  <c r="AR58" i="90"/>
  <c r="BB35" i="90"/>
  <c r="BA37" i="90"/>
  <c r="AW63" i="90"/>
  <c r="AK27" i="90"/>
  <c r="AT35" i="90"/>
  <c r="AU35" i="90"/>
  <c r="AV35" i="90"/>
  <c r="AR27" i="90"/>
  <c r="AS27" i="90"/>
  <c r="BB34" i="90"/>
  <c r="BA47" i="90"/>
  <c r="AV62" i="90"/>
  <c r="AO35" i="90"/>
  <c r="AP35" i="90"/>
  <c r="AE37" i="90"/>
  <c r="AF37" i="90"/>
  <c r="AK25" i="90"/>
  <c r="BA52" i="90"/>
  <c r="BA42" i="90"/>
  <c r="AQ15" i="90"/>
  <c r="BA34" i="90"/>
  <c r="AE38" i="90"/>
  <c r="AP14" i="90"/>
  <c r="AV63" i="90"/>
  <c r="AW64" i="90"/>
  <c r="AQ58" i="90"/>
  <c r="BB48" i="90"/>
  <c r="BA50" i="90"/>
  <c r="BB40" i="90"/>
  <c r="AQ27" i="90"/>
  <c r="BB53" i="90"/>
  <c r="AR25" i="90"/>
  <c r="AS25" i="90"/>
  <c r="BA39" i="90"/>
  <c r="BB52" i="90"/>
  <c r="AO37" i="90"/>
  <c r="AP37" i="90"/>
  <c r="AQ37" i="90"/>
  <c r="AK35" i="90"/>
  <c r="AK34" i="90"/>
  <c r="BA46" i="90"/>
  <c r="AQ14" i="90"/>
  <c r="AK37" i="90"/>
  <c r="AQ35" i="90"/>
  <c r="AQ34" i="90"/>
  <c r="BA33" i="90"/>
  <c r="AM70" i="90"/>
  <c r="AN70" i="90"/>
  <c r="AP70" i="90"/>
  <c r="AQ70" i="90"/>
  <c r="AR70" i="90"/>
  <c r="AK36" i="90"/>
  <c r="AF38" i="90"/>
  <c r="AV66" i="90"/>
  <c r="AW66" i="90"/>
  <c r="AQ36" i="90"/>
  <c r="AK14" i="90"/>
  <c r="AO70" i="90"/>
  <c r="AK70" i="90"/>
</calcChain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<sst xmlns="http://schemas.openxmlformats.org/spreadsheetml/2006/main" count="6590" uniqueCount="1000">
  <si>
    <t>Public Debt</t>
  </si>
  <si>
    <t>Deficit</t>
  </si>
  <si>
    <t>Inflation</t>
  </si>
  <si>
    <t>Unemployment</t>
  </si>
  <si>
    <t> Austria</t>
  </si>
  <si>
    <t> Belgium</t>
  </si>
  <si>
    <t> Bulgaria</t>
  </si>
  <si>
    <t> Cyprus</t>
  </si>
  <si>
    <t> Czech Republic</t>
  </si>
  <si>
    <t> Denmark</t>
  </si>
  <si>
    <t> Estonia</t>
  </si>
  <si>
    <t> Finland</t>
  </si>
  <si>
    <t> France</t>
  </si>
  <si>
    <t> Germany</t>
  </si>
  <si>
    <t> Greece</t>
  </si>
  <si>
    <t> Hungary</t>
  </si>
  <si>
    <t> Ireland</t>
  </si>
  <si>
    <t> Italy</t>
  </si>
  <si>
    <t> Latvia</t>
  </si>
  <si>
    <t> Lithuania</t>
  </si>
  <si>
    <t> Luxembourg</t>
  </si>
  <si>
    <t> Malta</t>
  </si>
  <si>
    <t> Netherlands</t>
  </si>
  <si>
    <t> Poland</t>
  </si>
  <si>
    <t> Portugal</t>
  </si>
  <si>
    <t> Romania</t>
  </si>
  <si>
    <t> Slovakia</t>
  </si>
  <si>
    <t> Slovenia</t>
  </si>
  <si>
    <t> Spain</t>
  </si>
  <si>
    <t> Sweden</t>
  </si>
  <si>
    <t> United Kingdom</t>
  </si>
  <si>
    <t>GDP/capita</t>
  </si>
  <si>
    <t>Country</t>
  </si>
  <si>
    <t>European Union Statistics</t>
  </si>
  <si>
    <t>Mean</t>
  </si>
  <si>
    <t>Var</t>
  </si>
  <si>
    <t>Stdev</t>
  </si>
  <si>
    <t>Sample Covariance Matrix</t>
  </si>
  <si>
    <t>Population Covariance Matrix</t>
  </si>
  <si>
    <t>Correlation Matrix</t>
  </si>
  <si>
    <t>Hotelling T-square: One Sample</t>
  </si>
  <si>
    <t>Subject</t>
  </si>
  <si>
    <t>Style</t>
  </si>
  <si>
    <t>Comfort</t>
  </si>
  <si>
    <t>Durability</t>
  </si>
  <si>
    <t>Stability</t>
  </si>
  <si>
    <t>Cushion</t>
  </si>
  <si>
    <t>Goal</t>
  </si>
  <si>
    <t>mean</t>
  </si>
  <si>
    <t>stdev</t>
  </si>
  <si>
    <t>Sample Covariance Matrix (S)</t>
  </si>
  <si>
    <r>
      <t>T</t>
    </r>
    <r>
      <rPr>
        <vertAlign val="superscript"/>
        <sz val="11"/>
        <color theme="1"/>
        <rFont val="Calibri"/>
        <family val="2"/>
        <scheme val="minor"/>
      </rPr>
      <t>2</t>
    </r>
  </si>
  <si>
    <t>n</t>
  </si>
  <si>
    <t>k</t>
  </si>
  <si>
    <t>F</t>
  </si>
  <si>
    <t>df1</t>
  </si>
  <si>
    <t>df2</t>
  </si>
  <si>
    <t>α</t>
  </si>
  <si>
    <t>F-crit</t>
  </si>
  <si>
    <t>P-value</t>
  </si>
  <si>
    <t>sig</t>
  </si>
  <si>
    <t>s</t>
  </si>
  <si>
    <t>df</t>
  </si>
  <si>
    <t>t-crit</t>
  </si>
  <si>
    <t>t</t>
  </si>
  <si>
    <t>p-value</t>
  </si>
  <si>
    <t>lower</t>
  </si>
  <si>
    <t>upper</t>
  </si>
  <si>
    <t>Individual t-tests</t>
  </si>
  <si>
    <t>Simultaneous confidence intervals</t>
  </si>
  <si>
    <t>se</t>
  </si>
  <si>
    <t>goal</t>
  </si>
  <si>
    <t>ok</t>
  </si>
  <si>
    <t>=COUNT(B4:B28)</t>
  </si>
  <si>
    <t>=COUNT(B4:F4)</t>
  </si>
  <si>
    <t>=I18*MMULT(MMULT(TRANSPOSE(J4:J8-I4:I8),MINVERSE(H12:L16)),J4:J8-I4:I8)</t>
  </si>
  <si>
    <t>=I20*(I18-I19)/(I19*(I18-1))</t>
  </si>
  <si>
    <t>=I19</t>
  </si>
  <si>
    <t>=I18-I19</t>
  </si>
  <si>
    <t>=FINV(I24,I22,I23)</t>
  </si>
  <si>
    <t>=FDIST(I21,I22,I23)</t>
  </si>
  <si>
    <t>=IF(I26&lt;= I24,"yes","no")</t>
  </si>
  <si>
    <t>Bonferroni t-tests</t>
  </si>
  <si>
    <t>Comparison with goals (simultaneous confidence intervals)</t>
  </si>
  <si>
    <t>Comparison with goals (Bonferroni confidence intervals)</t>
  </si>
  <si>
    <t>Model 1</t>
  </si>
  <si>
    <t>Model 2</t>
  </si>
  <si>
    <t>Difference</t>
  </si>
  <si>
    <t>Hotelling T-square: Paired Sample</t>
  </si>
  <si>
    <t>Hotelling T-square: Independent Samples</t>
  </si>
  <si>
    <t>Drug</t>
  </si>
  <si>
    <t>Fever</t>
  </si>
  <si>
    <t>Pressure</t>
  </si>
  <si>
    <t>Aches</t>
  </si>
  <si>
    <t>Placebo</t>
  </si>
  <si>
    <t>=T2TEST(B4:F28,I4:I8,0)</t>
  </si>
  <si>
    <t>Diff</t>
  </si>
  <si>
    <t>Covariance - Drug</t>
  </si>
  <si>
    <t>Covariance - Placebo</t>
  </si>
  <si>
    <t>Covariance - Pooled</t>
  </si>
  <si>
    <t>Count</t>
  </si>
  <si>
    <t>Inverse of Pooled Covariance</t>
  </si>
  <si>
    <t>mean diff</t>
  </si>
  <si>
    <t>n1</t>
  </si>
  <si>
    <t>n2</t>
  </si>
  <si>
    <t>var1</t>
  </si>
  <si>
    <t>var2</t>
  </si>
  <si>
    <t>var</t>
  </si>
  <si>
    <t>Box's Test</t>
  </si>
  <si>
    <t>det</t>
  </si>
  <si>
    <t>ln det</t>
  </si>
  <si>
    <t>p</t>
  </si>
  <si>
    <t>Pooled</t>
  </si>
  <si>
    <t>M</t>
  </si>
  <si>
    <t>c</t>
  </si>
  <si>
    <t>χ2</t>
  </si>
  <si>
    <t>a+</t>
  </si>
  <si>
    <t>a-</t>
  </si>
  <si>
    <t>F+</t>
  </si>
  <si>
    <t>F-</t>
  </si>
  <si>
    <t>χ2-crit</t>
  </si>
  <si>
    <t>nn = n-1</t>
  </si>
  <si>
    <t>nn*ln det</t>
  </si>
  <si>
    <t>1/nn</t>
  </si>
  <si>
    <t>1/nn^2</t>
  </si>
  <si>
    <t>Means</t>
  </si>
  <si>
    <t>Supplemental functions</t>
  </si>
  <si>
    <t>Pooled Covariance Matrix</t>
  </si>
  <si>
    <t>Input</t>
  </si>
  <si>
    <t>=A5</t>
  </si>
  <si>
    <t>=A11</t>
  </si>
  <si>
    <t>F value</t>
  </si>
  <si>
    <t xml:space="preserve">Mahalanobis Distance </t>
  </si>
  <si>
    <t>T2</t>
  </si>
  <si>
    <t>D2</t>
  </si>
  <si>
    <t>=HotellingT2(B4:F28,I4:I8,0)</t>
  </si>
  <si>
    <t>=HotellingF(B4:F28,I4:I8,0)</t>
  </si>
  <si>
    <t>=Hotellingdf1(B4:F28,I4:I8,0)</t>
  </si>
  <si>
    <t>=Hotellingdf2(B4:F28,I4:I8,0)</t>
  </si>
  <si>
    <t>Min</t>
  </si>
  <si>
    <t>Q1-Min</t>
  </si>
  <si>
    <t>Med-Q1</t>
  </si>
  <si>
    <t>Q3-Med</t>
  </si>
  <si>
    <t>Max-Q3</t>
  </si>
  <si>
    <t>yield</t>
  </si>
  <si>
    <t>water</t>
  </si>
  <si>
    <t>herbicide</t>
  </si>
  <si>
    <t>MANOVA</t>
  </si>
  <si>
    <t>stat</t>
  </si>
  <si>
    <t>eta-sq</t>
  </si>
  <si>
    <t>Pillai Trace</t>
  </si>
  <si>
    <t>Wilk's Lambda</t>
  </si>
  <si>
    <t>Hotelling Trace</t>
  </si>
  <si>
    <t>Roy's Lg Root</t>
  </si>
  <si>
    <t>T</t>
  </si>
  <si>
    <t>H</t>
  </si>
  <si>
    <t>E</t>
  </si>
  <si>
    <t>Pooled covariance matrix</t>
  </si>
  <si>
    <t>loam</t>
  </si>
  <si>
    <t>sandy</t>
  </si>
  <si>
    <t>clay</t>
  </si>
  <si>
    <t>salty</t>
  </si>
  <si>
    <t>Water</t>
  </si>
  <si>
    <t>Yield</t>
  </si>
  <si>
    <t>Herbicide</t>
  </si>
  <si>
    <t>Total Mean and Group Means</t>
  </si>
  <si>
    <t>Group Means less Total Means</t>
  </si>
  <si>
    <t>count</t>
  </si>
  <si>
    <t>Total</t>
  </si>
  <si>
    <t>Calculation by Definition</t>
  </si>
  <si>
    <t>Using Covariance Matrix</t>
  </si>
  <si>
    <t>MANOVA - Data analysis tool</t>
  </si>
  <si>
    <t>MANOVA - Follow up ANOVA</t>
  </si>
  <si>
    <t>ANOVA: Single Factor</t>
  </si>
  <si>
    <t>DESCRIPTION</t>
  </si>
  <si>
    <t>Alpha</t>
  </si>
  <si>
    <t>Groups</t>
  </si>
  <si>
    <t>Sum</t>
  </si>
  <si>
    <t>Variance</t>
  </si>
  <si>
    <t>SS</t>
  </si>
  <si>
    <t>Std Err</t>
  </si>
  <si>
    <t>Lower</t>
  </si>
  <si>
    <t>Upper</t>
  </si>
  <si>
    <t>ANOVA</t>
  </si>
  <si>
    <t>Sources</t>
  </si>
  <si>
    <t>MS</t>
  </si>
  <si>
    <t>P value</t>
  </si>
  <si>
    <t>F crit</t>
  </si>
  <si>
    <t>RMSSE</t>
  </si>
  <si>
    <t>Omega Sq</t>
  </si>
  <si>
    <t>Between Groups</t>
  </si>
  <si>
    <t>Within Groups</t>
  </si>
  <si>
    <r>
      <t>HE</t>
    </r>
    <r>
      <rPr>
        <vertAlign val="superscript"/>
        <sz val="11"/>
        <color theme="1"/>
        <rFont val="Calibri"/>
        <family val="2"/>
        <scheme val="minor"/>
      </rPr>
      <t>-1</t>
    </r>
  </si>
  <si>
    <r>
      <t>HT</t>
    </r>
    <r>
      <rPr>
        <vertAlign val="superscript"/>
        <sz val="11"/>
        <color theme="1"/>
        <rFont val="Calibri"/>
        <family val="2"/>
        <scheme val="minor"/>
      </rPr>
      <t>-1</t>
    </r>
  </si>
  <si>
    <t>Wilks</t>
  </si>
  <si>
    <t>Hotel</t>
  </si>
  <si>
    <t>Pillai</t>
  </si>
  <si>
    <t>Roy</t>
  </si>
  <si>
    <t>Calculation of test statistics using eigenvalues</t>
  </si>
  <si>
    <t>Test statistics</t>
  </si>
  <si>
    <t>Hotelling</t>
  </si>
  <si>
    <t>PB Trace</t>
  </si>
  <si>
    <t>V</t>
  </si>
  <si>
    <t>m</t>
  </si>
  <si>
    <t>a</t>
  </si>
  <si>
    <t>b-numer</t>
  </si>
  <si>
    <t>b-denom</t>
  </si>
  <si>
    <t>u</t>
  </si>
  <si>
    <t>b</t>
  </si>
  <si>
    <t>Λ</t>
  </si>
  <si>
    <r>
      <t>Λ</t>
    </r>
    <r>
      <rPr>
        <vertAlign val="superscript"/>
        <sz val="11"/>
        <color theme="1"/>
        <rFont val="Calibri"/>
        <family val="2"/>
        <scheme val="minor"/>
      </rPr>
      <t xml:space="preserve">-1/b </t>
    </r>
    <r>
      <rPr>
        <sz val="11"/>
        <color theme="1"/>
        <rFont val="Calibri"/>
        <family val="2"/>
        <scheme val="minor"/>
      </rPr>
      <t>- 1</t>
    </r>
  </si>
  <si>
    <t>Outliers</t>
  </si>
  <si>
    <r>
      <t>D</t>
    </r>
    <r>
      <rPr>
        <vertAlign val="superscript"/>
        <sz val="11"/>
        <color theme="1"/>
        <rFont val="Calibri"/>
        <family val="2"/>
        <scheme val="minor"/>
      </rPr>
      <t>2</t>
    </r>
  </si>
  <si>
    <t>covariance matrix</t>
  </si>
  <si>
    <t>inverse of covariance matrix</t>
  </si>
  <si>
    <t>z-score</t>
  </si>
  <si>
    <t>total</t>
  </si>
  <si>
    <t>c^2/n</t>
  </si>
  <si>
    <t>H-contrast</t>
  </si>
  <si>
    <t>s.e.</t>
  </si>
  <si>
    <t>alpha</t>
  </si>
  <si>
    <t>Bonferroni confidence intervals</t>
  </si>
  <si>
    <t>Contrast</t>
  </si>
  <si>
    <t># sample</t>
  </si>
  <si>
    <t># dep</t>
  </si>
  <si>
    <t># indep</t>
  </si>
  <si>
    <t>effect</t>
  </si>
  <si>
    <t>Covariance Matrix</t>
  </si>
  <si>
    <t>D-sq</t>
  </si>
  <si>
    <t>Inverse of covariance Matrix</t>
  </si>
  <si>
    <t>Mean vector</t>
  </si>
  <si>
    <t>Correlation matrix</t>
  </si>
  <si>
    <t>SSCP Matrices</t>
  </si>
  <si>
    <t>Group Covariance Matrices</t>
  </si>
  <si>
    <t>Multiple ANOVA</t>
  </si>
  <si>
    <t>Outliers via Mahalanobis D-squared</t>
  </si>
  <si>
    <t>Group Means and Contrasts</t>
  </si>
  <si>
    <t>MANOVA - Extraction</t>
  </si>
  <si>
    <t>Extract group - clay</t>
  </si>
  <si>
    <t>Extract covariance - clay</t>
  </si>
  <si>
    <t>Extract pooled covariance matrix</t>
  </si>
  <si>
    <t>Extract data by group for water</t>
  </si>
  <si>
    <t>QQ Tables</t>
  </si>
  <si>
    <t>Std Dev</t>
  </si>
  <si>
    <t>Interval</t>
  </si>
  <si>
    <t>Data</t>
  </si>
  <si>
    <t>Std Norm</t>
  </si>
  <si>
    <t>Std Data</t>
  </si>
  <si>
    <t>MANOVA - Normality</t>
  </si>
  <si>
    <t>QQ Plot - Yield</t>
  </si>
  <si>
    <t>QQ Tables - Water x Clay</t>
  </si>
  <si>
    <t>Yield-Herbicide before deleting Series 1</t>
  </si>
  <si>
    <t>Manova - univariate outliers</t>
  </si>
  <si>
    <t>Extract herbicide</t>
  </si>
  <si>
    <t>Box Plot</t>
  </si>
  <si>
    <t>Outliers and Missing Data</t>
  </si>
  <si>
    <t># outliers</t>
  </si>
  <si>
    <t># blank</t>
  </si>
  <si>
    <t># non-num</t>
  </si>
  <si>
    <t>MANOVA - Normality (data analysis tool)</t>
  </si>
  <si>
    <t>Extract Data</t>
  </si>
  <si>
    <t>Descriptive Statistics</t>
  </si>
  <si>
    <t>Standard Error</t>
  </si>
  <si>
    <t>Median</t>
  </si>
  <si>
    <t>Mode</t>
  </si>
  <si>
    <t>Standard Deviation</t>
  </si>
  <si>
    <t>Sample Variance</t>
  </si>
  <si>
    <t>Kurtosis</t>
  </si>
  <si>
    <t>Skewness</t>
  </si>
  <si>
    <t>Range</t>
  </si>
  <si>
    <t>Maximum</t>
  </si>
  <si>
    <t>Minimum</t>
  </si>
  <si>
    <t>Geometric Mean</t>
  </si>
  <si>
    <t>Harmonic Mean</t>
  </si>
  <si>
    <t>AAD</t>
  </si>
  <si>
    <t>MAD</t>
  </si>
  <si>
    <t>IQR</t>
  </si>
  <si>
    <t>Shapiro-Wilk Test</t>
  </si>
  <si>
    <t>W</t>
  </si>
  <si>
    <t>normal</t>
  </si>
  <si>
    <t>Manova - multivariate outliers</t>
  </si>
  <si>
    <t>MANOVA - Contrasts</t>
  </si>
  <si>
    <t>MANOVA - All</t>
  </si>
  <si>
    <t>c2</t>
  </si>
  <si>
    <t>Concise Table of Contents</t>
  </si>
  <si>
    <t>Multivariate Real Statistics Using Excel - Examples Workbook</t>
  </si>
  <si>
    <t>Table of Contents</t>
  </si>
  <si>
    <t>Young</t>
  </si>
  <si>
    <t>Old</t>
  </si>
  <si>
    <t>nn = n -1</t>
  </si>
  <si>
    <t>Middle</t>
  </si>
  <si>
    <t>Using supplemental functions</t>
  </si>
  <si>
    <t>cov</t>
  </si>
  <si>
    <t>sample</t>
  </si>
  <si>
    <t>F Test</t>
  </si>
  <si>
    <t>Chi-square Test</t>
  </si>
  <si>
    <t>Manova - Box's Test</t>
  </si>
  <si>
    <t>Descriptive Multivariate Statistics</t>
  </si>
  <si>
    <t>Multivariate sample (Example 1)</t>
  </si>
  <si>
    <t>Covariance and correlation matrices (Example 2)</t>
  </si>
  <si>
    <t>Multivariate Normal Distribution</t>
  </si>
  <si>
    <t>Eigenvalues/eigenvectors for Sample Covariance Matrix</t>
  </si>
  <si>
    <t>Axes Lengths</t>
  </si>
  <si>
    <t>Unemploy</t>
  </si>
  <si>
    <t>λ</t>
  </si>
  <si>
    <t>length</t>
  </si>
  <si>
    <t>Volume of ellipse</t>
  </si>
  <si>
    <r>
      <t>2</t>
    </r>
    <r>
      <rPr>
        <sz val="11"/>
        <color theme="1"/>
        <rFont val="Calibri"/>
        <family val="2"/>
      </rPr>
      <t>π^(k/2)</t>
    </r>
  </si>
  <si>
    <r>
      <t>k</t>
    </r>
    <r>
      <rPr>
        <sz val="11"/>
        <color theme="1"/>
        <rFont val="Calibri"/>
        <family val="2"/>
      </rPr>
      <t>Γ(k/2)</t>
    </r>
  </si>
  <si>
    <t>|S|^(1/2)</t>
  </si>
  <si>
    <t>volume</t>
  </si>
  <si>
    <t>=CHIINV(U11,U10)</t>
  </si>
  <si>
    <t>=2*PI()^(U10/2)</t>
  </si>
  <si>
    <t>=U10*EXP(GAMMALN(U10/2))</t>
  </si>
  <si>
    <t>=COUNTA(B3,F3)</t>
  </si>
  <si>
    <t>χ2-crit^(k/2)</t>
  </si>
  <si>
    <t>=U12^(U10/2)</t>
  </si>
  <si>
    <t>=SQRT(MDETERM(H4:L8))</t>
  </si>
  <si>
    <t>=U14/U15*U16*U17</t>
  </si>
  <si>
    <t>Eigenvalue/vectors of covariance matrix (Figure 1)</t>
  </si>
  <si>
    <t>Confidence hyper-ellipse and eigenvalues</t>
  </si>
  <si>
    <t>Axes lengths (Figure 2)</t>
  </si>
  <si>
    <t>Volume of hyper-ellipe (Figure 3)</t>
  </si>
  <si>
    <t>One sample Hotelling's T-square</t>
  </si>
  <si>
    <t>One sample test (Example 1)</t>
  </si>
  <si>
    <t>Confidence interval (Example 2)</t>
  </si>
  <si>
    <t>Paired sample Hotelling's T-square</t>
  </si>
  <si>
    <t>Hotelling's T-square for two independent samples</t>
  </si>
  <si>
    <t>Paired sample test (Example 1)</t>
  </si>
  <si>
    <t>Two sample test (Example 1)</t>
  </si>
  <si>
    <t>Two sample test (Example 2)</t>
  </si>
  <si>
    <t>Additional information about two sample test</t>
  </si>
  <si>
    <t>Confidence intervals (Example 1)</t>
  </si>
  <si>
    <t>Effect size (Example 1)</t>
  </si>
  <si>
    <t>Box's Test (Figure 3)</t>
  </si>
  <si>
    <t>Two independent samples with unequal covariance matrices</t>
  </si>
  <si>
    <t>Box's Test (Example 1)</t>
  </si>
  <si>
    <t>Using supplemental function</t>
  </si>
  <si>
    <t>Repeat Example 2 of Hotelling's T-square for two independent samples</t>
  </si>
  <si>
    <t>Standard form of data (Figure 1)</t>
  </si>
  <si>
    <t>Chart of group/total means (Figure 3)</t>
  </si>
  <si>
    <t>SSCP matrices (Figure 5)</t>
  </si>
  <si>
    <t>Group/total means (Figure 2 and 4)</t>
  </si>
  <si>
    <t>Test statistics (Figure 6)</t>
  </si>
  <si>
    <t>Test statistics using eigenvalues (Figure 7)</t>
  </si>
  <si>
    <t>Test results (Figure 8)</t>
  </si>
  <si>
    <t>Basic Concepts</t>
  </si>
  <si>
    <t>Real Statistics Support</t>
  </si>
  <si>
    <t>Manova data analysis tool (Figure 2)</t>
  </si>
  <si>
    <t>Row and column extraction functions (Figure 3)</t>
  </si>
  <si>
    <t>Effect size</t>
  </si>
  <si>
    <t>Partial eta squared</t>
  </si>
  <si>
    <t>Manova Assumptions</t>
  </si>
  <si>
    <t>Tests for normality</t>
  </si>
  <si>
    <t>Test for multivariate outliers</t>
  </si>
  <si>
    <t>Test for univariate outliers</t>
  </si>
  <si>
    <t>Data analysis for normality</t>
  </si>
  <si>
    <t>Test for homogeneity of covariance matrices</t>
  </si>
  <si>
    <t>Anova Follow up</t>
  </si>
  <si>
    <t>Contrast Follow up</t>
  </si>
  <si>
    <t>Multivariate and univariate contrasts</t>
  </si>
  <si>
    <t>MANOVA data analysis tool (all features)</t>
  </si>
  <si>
    <t>ANOVA option of MANOVA data analysis tool</t>
  </si>
  <si>
    <t>Multiple Anova tests</t>
  </si>
  <si>
    <t>Detailed version of Box's Test (Example 1)</t>
  </si>
  <si>
    <t>Covariance matrix function (Example 2)</t>
  </si>
  <si>
    <t>Covariance matrix function (Example 1)</t>
  </si>
  <si>
    <t>Standard format MANOVA function (Example 3)</t>
  </si>
  <si>
    <t>Factor Analysis</t>
  </si>
  <si>
    <t>Principal Component Analysis</t>
  </si>
  <si>
    <t>Teacher Evaluation</t>
  </si>
  <si>
    <t>Expect</t>
  </si>
  <si>
    <t>Entertain</t>
  </si>
  <si>
    <t>Comm</t>
  </si>
  <si>
    <t>Expert</t>
  </si>
  <si>
    <t>Motivate</t>
  </si>
  <si>
    <t>Caring</t>
  </si>
  <si>
    <t>Charisma</t>
  </si>
  <si>
    <t>Passion</t>
  </si>
  <si>
    <t>Friendly</t>
  </si>
  <si>
    <t>Eigenvalues and Eigenvectors</t>
  </si>
  <si>
    <t>Reduced Model</t>
  </si>
  <si>
    <t>PC1</t>
  </si>
  <si>
    <t>PC2</t>
  </si>
  <si>
    <t>PC3</t>
  </si>
  <si>
    <t>PC4</t>
  </si>
  <si>
    <t>eValue</t>
  </si>
  <si>
    <t>%</t>
  </si>
  <si>
    <t>% Cum</t>
  </si>
  <si>
    <t>B</t>
  </si>
  <si>
    <t>X</t>
  </si>
  <si>
    <t>X'</t>
  </si>
  <si>
    <t>Y</t>
  </si>
  <si>
    <t>Rotation with original model</t>
  </si>
  <si>
    <t>skew</t>
  </si>
  <si>
    <t>kurt</t>
  </si>
  <si>
    <t>Scree Plot</t>
  </si>
  <si>
    <t>Haitovsky's Chi-square Test</t>
  </si>
  <si>
    <t>Error terms (full model)</t>
  </si>
  <si>
    <r>
      <t>LL</t>
    </r>
    <r>
      <rPr>
        <vertAlign val="superscript"/>
        <sz val="11"/>
        <color theme="1"/>
        <rFont val="Calibri"/>
        <family val="2"/>
        <scheme val="minor"/>
      </rPr>
      <t xml:space="preserve">T </t>
    </r>
    <r>
      <rPr>
        <sz val="11"/>
        <color theme="1"/>
        <rFont val="Calibri"/>
        <family val="2"/>
        <scheme val="minor"/>
      </rPr>
      <t>(full model)</t>
    </r>
  </si>
  <si>
    <r>
      <t>L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 (full model)</t>
    </r>
  </si>
  <si>
    <r>
      <t>L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 (reduced model)</t>
    </r>
  </si>
  <si>
    <t>Factor score matrix</t>
  </si>
  <si>
    <r>
      <t>V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L (reduced model)</t>
    </r>
  </si>
  <si>
    <r>
      <t>L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V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 xml:space="preserve"> (reduced model)</t>
    </r>
  </si>
  <si>
    <t>=MDETERM(B6:J14)</t>
  </si>
  <si>
    <t>=COUNT(B6:B14)</t>
  </si>
  <si>
    <t xml:space="preserve">df </t>
  </si>
  <si>
    <t>=Y6*(Y6-1)/2</t>
  </si>
  <si>
    <t>=(1+(2*Y6+5)/6-Y7)*LN(1-Y5)</t>
  </si>
  <si>
    <r>
      <t>(L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L)</t>
    </r>
    <r>
      <rPr>
        <vertAlign val="superscript"/>
        <sz val="11"/>
        <color theme="1"/>
        <rFont val="Calibri"/>
        <family val="2"/>
        <scheme val="minor"/>
      </rPr>
      <t xml:space="preserve">-1 </t>
    </r>
    <r>
      <rPr>
        <sz val="11"/>
        <color theme="1"/>
        <rFont val="Calibri"/>
        <family val="2"/>
        <scheme val="minor"/>
      </rPr>
      <t>L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(reduced model)</t>
    </r>
  </si>
  <si>
    <t>recall that 1st column was negated</t>
  </si>
  <si>
    <r>
      <t>(L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V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RV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L)</t>
    </r>
    <r>
      <rPr>
        <vertAlign val="superscript"/>
        <sz val="11"/>
        <color theme="1"/>
        <rFont val="Calibri"/>
        <family val="2"/>
        <scheme val="minor"/>
      </rPr>
      <t>-1/2</t>
    </r>
    <r>
      <rPr>
        <sz val="11"/>
        <color theme="1"/>
        <rFont val="Calibri"/>
        <family val="2"/>
        <scheme val="minor"/>
      </rPr>
      <t xml:space="preserve"> (reduced model)</t>
    </r>
  </si>
  <si>
    <t>=CHIDIST(Y9,Y8)</t>
  </si>
  <si>
    <t>H-crit</t>
  </si>
  <si>
    <t>=CHIINV(Y10,Y8)</t>
  </si>
  <si>
    <r>
      <t>L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V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RV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L (reduced model)</t>
    </r>
  </si>
  <si>
    <t>Eigenvalues and eigenvectors</t>
  </si>
  <si>
    <t>Error terms (reduced model)</t>
  </si>
  <si>
    <r>
      <t>LL</t>
    </r>
    <r>
      <rPr>
        <vertAlign val="superscript"/>
        <sz val="11"/>
        <color theme="1"/>
        <rFont val="Calibri"/>
        <family val="2"/>
        <scheme val="minor"/>
      </rPr>
      <t xml:space="preserve">T </t>
    </r>
    <r>
      <rPr>
        <sz val="11"/>
        <color theme="1"/>
        <rFont val="Calibri"/>
        <family val="2"/>
        <scheme val="minor"/>
      </rPr>
      <t>(reduced model)</t>
    </r>
  </si>
  <si>
    <r>
      <t>(L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L)</t>
    </r>
    <r>
      <rPr>
        <vertAlign val="superscript"/>
        <sz val="11"/>
        <color theme="1"/>
        <rFont val="Calibri"/>
        <family val="2"/>
        <scheme val="minor"/>
      </rPr>
      <t xml:space="preserve">-1 </t>
    </r>
    <r>
      <rPr>
        <sz val="11"/>
        <color theme="1"/>
        <rFont val="Calibri"/>
        <family val="2"/>
        <scheme val="minor"/>
      </rPr>
      <t>L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(full model)</t>
    </r>
  </si>
  <si>
    <t>Revised factor score matrix</t>
  </si>
  <si>
    <t>Factor scores for the sample</t>
  </si>
  <si>
    <r>
      <t>L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V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L (reduced model)</t>
    </r>
  </si>
  <si>
    <t>Factor scores for the sample (Bartlett's method)</t>
  </si>
  <si>
    <r>
      <t>(L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L)</t>
    </r>
    <r>
      <rPr>
        <vertAlign val="superscript"/>
        <sz val="11"/>
        <color theme="1"/>
        <rFont val="Calibri"/>
        <family val="2"/>
        <scheme val="minor"/>
      </rPr>
      <t xml:space="preserve">-1 </t>
    </r>
    <r>
      <rPr>
        <sz val="11"/>
        <color theme="1"/>
        <rFont val="Calibri"/>
        <family val="2"/>
        <scheme val="minor"/>
      </rPr>
      <t>L</t>
    </r>
    <r>
      <rPr>
        <vertAlign val="superscript"/>
        <sz val="11"/>
        <color theme="1"/>
        <rFont val="Calibri"/>
        <family val="2"/>
        <scheme val="minor"/>
      </rPr>
      <t xml:space="preserve">T </t>
    </r>
    <r>
      <rPr>
        <sz val="11"/>
        <color theme="1"/>
        <rFont val="Calibri"/>
        <family val="2"/>
        <scheme val="minor"/>
      </rPr>
      <t>(reduced model) - alt formulation</t>
    </r>
  </si>
  <si>
    <t>1st row now needs to be negated</t>
  </si>
  <si>
    <t xml:space="preserve"> </t>
  </si>
  <si>
    <t>Factor score matrix (Bartlett's method)</t>
  </si>
  <si>
    <t>Factor score matrix (Anderson-Rubin method)</t>
  </si>
  <si>
    <t>Factor scores for the sample (Anderson-Rubin method)</t>
  </si>
  <si>
    <t>Correlation matrix (Anderson-Rubin)</t>
  </si>
  <si>
    <t>Score for sample 1</t>
  </si>
  <si>
    <t>Sample 1</t>
  </si>
  <si>
    <t>X -meanX</t>
  </si>
  <si>
    <t>Loading factors (full model)</t>
  </si>
  <si>
    <t>Error terms (reduced model after rotation)</t>
  </si>
  <si>
    <r>
      <t>LL</t>
    </r>
    <r>
      <rPr>
        <vertAlign val="superscript"/>
        <sz val="11"/>
        <color theme="1"/>
        <rFont val="Calibri"/>
        <family val="2"/>
        <scheme val="minor"/>
      </rPr>
      <t xml:space="preserve">T </t>
    </r>
    <r>
      <rPr>
        <sz val="11"/>
        <color theme="1"/>
        <rFont val="Calibri"/>
        <family val="2"/>
        <scheme val="minor"/>
      </rPr>
      <t>(reduced model rotated)</t>
    </r>
  </si>
  <si>
    <r>
      <t>(L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L)</t>
    </r>
    <r>
      <rPr>
        <vertAlign val="superscript"/>
        <sz val="11"/>
        <color theme="1"/>
        <rFont val="Calibri"/>
        <family val="2"/>
        <scheme val="minor"/>
      </rPr>
      <t xml:space="preserve">-1 </t>
    </r>
    <r>
      <rPr>
        <sz val="11"/>
        <color theme="1"/>
        <rFont val="Calibri"/>
        <family val="2"/>
        <scheme val="minor"/>
      </rPr>
      <t>L</t>
    </r>
    <r>
      <rPr>
        <vertAlign val="superscript"/>
        <sz val="11"/>
        <color theme="1"/>
        <rFont val="Calibri"/>
        <family val="2"/>
        <scheme val="minor"/>
      </rPr>
      <t xml:space="preserve">T </t>
    </r>
    <r>
      <rPr>
        <sz val="11"/>
        <color theme="1"/>
        <rFont val="Calibri"/>
        <family val="2"/>
        <scheme val="minor"/>
      </rPr>
      <t>(full model) - alternative formulation</t>
    </r>
  </si>
  <si>
    <t>F scores</t>
  </si>
  <si>
    <t>Factor score matrix (alt calculation)</t>
  </si>
  <si>
    <t>Loading factors</t>
  </si>
  <si>
    <t>Varimax</t>
  </si>
  <si>
    <t>Reproduced correlation matrix (i.e. correlation matrix of reduced model)</t>
  </si>
  <si>
    <t>Spec Var</t>
  </si>
  <si>
    <t>Factor score matrix (Varimax)</t>
  </si>
  <si>
    <t>Rotation Matrix by Gaussian Elimination</t>
  </si>
  <si>
    <t>Calculation of V</t>
  </si>
  <si>
    <t>Before rotation</t>
  </si>
  <si>
    <t>ϕ</t>
  </si>
  <si>
    <r>
      <t>b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/</t>
    </r>
    <r>
      <rPr>
        <sz val="11"/>
        <color theme="1"/>
        <rFont val="Calibri"/>
        <family val="2"/>
      </rPr>
      <t>ϕ</t>
    </r>
  </si>
  <si>
    <t>sum</t>
  </si>
  <si>
    <t>sumsq</t>
  </si>
  <si>
    <t>diff</t>
  </si>
  <si>
    <t>After rotation</t>
  </si>
  <si>
    <t>Box's Test for Factor Analysis</t>
  </si>
  <si>
    <t>Identity Matrix</t>
  </si>
  <si>
    <t>Pooled Matrix</t>
  </si>
  <si>
    <t>Normalized</t>
  </si>
  <si>
    <t>Rotated</t>
  </si>
  <si>
    <t>Un-normalized</t>
  </si>
  <si>
    <t>ELIM</t>
  </si>
  <si>
    <t>A</t>
  </si>
  <si>
    <t>VARIMAX function</t>
  </si>
  <si>
    <t>v</t>
  </si>
  <si>
    <t>u^2-v^2</t>
  </si>
  <si>
    <t>uv</t>
  </si>
  <si>
    <t>angle</t>
  </si>
  <si>
    <t>d</t>
  </si>
  <si>
    <t>C</t>
  </si>
  <si>
    <t>D</t>
  </si>
  <si>
    <t>KMO</t>
  </si>
  <si>
    <t>R = Correlation Matrix</t>
  </si>
  <si>
    <r>
      <t>R</t>
    </r>
    <r>
      <rPr>
        <vertAlign val="superscript"/>
        <sz val="11"/>
        <color theme="1"/>
        <rFont val="Calibri"/>
        <family val="2"/>
        <scheme val="minor"/>
      </rPr>
      <t xml:space="preserve">-1 </t>
    </r>
    <r>
      <rPr>
        <sz val="11"/>
        <color theme="1"/>
        <rFont val="Calibri"/>
        <family val="2"/>
        <scheme val="minor"/>
      </rPr>
      <t>= Inverse of Correlation Matrix</t>
    </r>
  </si>
  <si>
    <t>sqrt diag</t>
  </si>
  <si>
    <t>Partial correlation matrix</t>
  </si>
  <si>
    <t>Principal Axis Factoring</t>
  </si>
  <si>
    <t>Revised Correlation Matrix</t>
  </si>
  <si>
    <t>Factor Matrix</t>
  </si>
  <si>
    <t>R = Correlation matrix</t>
  </si>
  <si>
    <t>P</t>
  </si>
  <si>
    <t>I</t>
  </si>
  <si>
    <r>
      <t>R</t>
    </r>
    <r>
      <rPr>
        <vertAlign val="superscript"/>
        <sz val="11"/>
        <color theme="1"/>
        <rFont val="Calibri"/>
        <family val="2"/>
        <scheme val="minor"/>
      </rPr>
      <t>-1</t>
    </r>
  </si>
  <si>
    <t>diag</t>
  </si>
  <si>
    <t>Square root of a matrix</t>
  </si>
  <si>
    <r>
      <t>CD</t>
    </r>
    <r>
      <rPr>
        <vertAlign val="superscript"/>
        <sz val="11"/>
        <color theme="1"/>
        <rFont val="Calibri"/>
        <family val="2"/>
        <scheme val="minor"/>
      </rPr>
      <t>1/2</t>
    </r>
    <r>
      <rPr>
        <sz val="11"/>
        <color theme="1"/>
        <rFont val="Calibri"/>
        <family val="2"/>
        <scheme val="minor"/>
      </rPr>
      <t>C</t>
    </r>
    <r>
      <rPr>
        <vertAlign val="superscript"/>
        <sz val="11"/>
        <color theme="1"/>
        <rFont val="Calibri"/>
        <family val="2"/>
        <scheme val="minor"/>
      </rPr>
      <t>T</t>
    </r>
  </si>
  <si>
    <t>Eigenvalues/vectors</t>
  </si>
  <si>
    <r>
      <t>D</t>
    </r>
    <r>
      <rPr>
        <vertAlign val="superscript"/>
        <sz val="11"/>
        <color theme="1"/>
        <rFont val="Calibri"/>
        <family val="2"/>
        <scheme val="minor"/>
      </rPr>
      <t>1/2</t>
    </r>
  </si>
  <si>
    <r>
      <t>C</t>
    </r>
    <r>
      <rPr>
        <vertAlign val="superscript"/>
        <sz val="11"/>
        <color theme="1"/>
        <rFont val="Calibri"/>
        <family val="2"/>
        <scheme val="minor"/>
      </rPr>
      <t>T</t>
    </r>
  </si>
  <si>
    <r>
      <t>CDC</t>
    </r>
    <r>
      <rPr>
        <vertAlign val="superscript"/>
        <sz val="11"/>
        <color theme="1"/>
        <rFont val="Calibri"/>
        <family val="2"/>
        <scheme val="minor"/>
      </rPr>
      <t>T</t>
    </r>
  </si>
  <si>
    <t>QR Factorization</t>
  </si>
  <si>
    <t>R</t>
  </si>
  <si>
    <t>QR</t>
  </si>
  <si>
    <t>Q</t>
  </si>
  <si>
    <r>
      <t>Q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Q</t>
    </r>
  </si>
  <si>
    <t>Factor Analysis - Principal Component Extraction</t>
  </si>
  <si>
    <t>Descriptive statistics</t>
  </si>
  <si>
    <t>Std dev</t>
  </si>
  <si>
    <t>Inverse of Correlation Matrix</t>
  </si>
  <si>
    <t>sqrt(diag)</t>
  </si>
  <si>
    <t>Partial Correlation Matrix</t>
  </si>
  <si>
    <t>Full Load Matrix</t>
  </si>
  <si>
    <t>Commun</t>
  </si>
  <si>
    <t>Cum %</t>
  </si>
  <si>
    <t>Factor Matrix (unrotated)</t>
  </si>
  <si>
    <t>Specific</t>
  </si>
  <si>
    <t>Factor Matrix (rotated Varimax)</t>
  </si>
  <si>
    <t>Reproduced Correlation Matrix</t>
  </si>
  <si>
    <t>Error Matrix</t>
  </si>
  <si>
    <t>Factor Scores Matrix - Regression Method</t>
  </si>
  <si>
    <t>Factor Scores Matrix - Bartlett's Method</t>
  </si>
  <si>
    <t>Factor Scores Matrix - Anderson-Rubin's Method</t>
  </si>
  <si>
    <t>Initial Communality Values</t>
  </si>
  <si>
    <t>Revised Communality Values</t>
  </si>
  <si>
    <t>Real Statistics Data Analysis Tool</t>
  </si>
  <si>
    <t>Factor Analysis - Principal Axis Extraction</t>
  </si>
  <si>
    <t>Real Statistics Data Analysis Tool - PCA Extraction</t>
  </si>
  <si>
    <t>Teacher evaluation example (Example 1)</t>
  </si>
  <si>
    <t>Factor Extraction</t>
  </si>
  <si>
    <t>Correlation Matrix (Figure 1)</t>
  </si>
  <si>
    <t>Eigenvalues and eigenvectors (Figure 2)</t>
  </si>
  <si>
    <t>Loading Factors, Full Model (Figure 3)</t>
  </si>
  <si>
    <t>Scree plot (Figure 1)</t>
  </si>
  <si>
    <t>Loading Factors, Reduced Model (Figure 2)</t>
  </si>
  <si>
    <t>Determing the Number of Factors</t>
  </si>
  <si>
    <t>Communalities and Specific Variance (Figure 3)</t>
  </si>
  <si>
    <t>Rotation</t>
  </si>
  <si>
    <t>Loading factors after Varimax rotation (Figure 1)</t>
  </si>
  <si>
    <t>Rotation matrix (Figure 2 and 3)</t>
  </si>
  <si>
    <t>Factor Scores</t>
  </si>
  <si>
    <t>Regression method (Figure 1, 2, 3)</t>
  </si>
  <si>
    <t>Bartlett's (Figure 4, 5)</t>
  </si>
  <si>
    <t>Anderson-Rubin's method (Figure 6, 7, 8)</t>
  </si>
  <si>
    <t>Validity of Correlation Matrix and Sample Size</t>
  </si>
  <si>
    <t>Reproduced Correlation Matrix (Figure 1)</t>
  </si>
  <si>
    <t>Error matrix (Reduced Model) (Figure 2)</t>
  </si>
  <si>
    <t>Bartlett's test (Figure 3)</t>
  </si>
  <si>
    <t>Bartlett's Test</t>
  </si>
  <si>
    <t>Inverse of Correlation Matrix (Figure 4)</t>
  </si>
  <si>
    <t>Partial Correlation Matrix (Figure 5)</t>
  </si>
  <si>
    <t>Haitovsky’s Test (Figure 8)</t>
  </si>
  <si>
    <t>Appendix</t>
  </si>
  <si>
    <t>Principal Component Extraction</t>
  </si>
  <si>
    <t>Principal Axis Extraction</t>
  </si>
  <si>
    <t>Real Statistics Data Analysis Tool - PAF Extraction (Communalities)</t>
  </si>
  <si>
    <t>Real Statistics Data Analysis Tool - PAF Extraction</t>
  </si>
  <si>
    <t xml:space="preserve">Iteration </t>
  </si>
  <si>
    <t>Iteration</t>
  </si>
  <si>
    <t>delta</t>
  </si>
  <si>
    <t>Initial</t>
  </si>
  <si>
    <t>Calculating revised communalities</t>
  </si>
  <si>
    <t>Calculating initial communalities</t>
  </si>
  <si>
    <t>Gram-Schmidt Process</t>
  </si>
  <si>
    <r>
      <t>Q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Q = I</t>
    </r>
  </si>
  <si>
    <t>Elim</t>
  </si>
  <si>
    <t>Spectral Decomposition</t>
  </si>
  <si>
    <r>
      <t>U = (CD</t>
    </r>
    <r>
      <rPr>
        <vertAlign val="superscript"/>
        <sz val="11"/>
        <color theme="1"/>
        <rFont val="Calibri"/>
        <family val="2"/>
        <scheme val="minor"/>
      </rPr>
      <t>1/2</t>
    </r>
    <r>
      <rPr>
        <sz val="11"/>
        <color theme="1"/>
        <rFont val="Calibri"/>
        <family val="2"/>
        <scheme val="minor"/>
      </rPr>
      <t>)</t>
    </r>
    <r>
      <rPr>
        <vertAlign val="superscript"/>
        <sz val="11"/>
        <color theme="1"/>
        <rFont val="Calibri"/>
        <family val="2"/>
        <scheme val="minor"/>
      </rPr>
      <t>T</t>
    </r>
  </si>
  <si>
    <r>
      <t>U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U</t>
    </r>
  </si>
  <si>
    <t>Eigen</t>
  </si>
  <si>
    <t>SVD</t>
  </si>
  <si>
    <r>
      <t>A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</t>
    </r>
  </si>
  <si>
    <r>
      <t>AA</t>
    </r>
    <r>
      <rPr>
        <vertAlign val="superscript"/>
        <sz val="11"/>
        <color theme="1"/>
        <rFont val="Calibri"/>
        <family val="2"/>
        <scheme val="minor"/>
      </rPr>
      <t>T</t>
    </r>
  </si>
  <si>
    <t>U</t>
  </si>
  <si>
    <r>
      <t>U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C</t>
    </r>
  </si>
  <si>
    <t>col D*</t>
  </si>
  <si>
    <t>D*</t>
  </si>
  <si>
    <r>
      <t>UDV</t>
    </r>
    <r>
      <rPr>
        <vertAlign val="superscript"/>
        <sz val="11"/>
        <color theme="1"/>
        <rFont val="Calibri"/>
        <family val="2"/>
        <scheme val="minor"/>
      </rPr>
      <t>T</t>
    </r>
  </si>
  <si>
    <r>
      <t>Q</t>
    </r>
    <r>
      <rPr>
        <vertAlign val="subscript"/>
        <sz val="11"/>
        <color theme="1"/>
        <rFont val="Calibri"/>
        <family val="2"/>
        <scheme val="minor"/>
      </rPr>
      <t>0</t>
    </r>
  </si>
  <si>
    <r>
      <t>R</t>
    </r>
    <r>
      <rPr>
        <vertAlign val="subscript"/>
        <sz val="11"/>
        <color theme="1"/>
        <rFont val="Calibri"/>
        <family val="2"/>
        <scheme val="minor"/>
      </rPr>
      <t>1</t>
    </r>
  </si>
  <si>
    <t>Column 1</t>
  </si>
  <si>
    <r>
      <t>D</t>
    </r>
    <r>
      <rPr>
        <vertAlign val="subscript"/>
        <sz val="11"/>
        <color theme="1"/>
        <rFont val="Calibri"/>
        <family val="2"/>
        <scheme val="minor"/>
      </rPr>
      <t>1</t>
    </r>
  </si>
  <si>
    <r>
      <t>V</t>
    </r>
    <r>
      <rPr>
        <vertAlign val="subscript"/>
        <sz val="11"/>
        <color theme="1"/>
        <rFont val="Calibri"/>
        <family val="2"/>
        <scheme val="minor"/>
      </rPr>
      <t>1</t>
    </r>
  </si>
  <si>
    <r>
      <t>P</t>
    </r>
    <r>
      <rPr>
        <vertAlign val="subscript"/>
        <sz val="11"/>
        <color theme="1"/>
        <rFont val="Calibri"/>
        <family val="2"/>
        <scheme val="minor"/>
      </rPr>
      <t>1</t>
    </r>
  </si>
  <si>
    <r>
      <t>Q</t>
    </r>
    <r>
      <rPr>
        <vertAlign val="subscript"/>
        <sz val="11"/>
        <color theme="1"/>
        <rFont val="Calibri"/>
        <family val="2"/>
        <scheme val="minor"/>
      </rPr>
      <t>1</t>
    </r>
  </si>
  <si>
    <t>AX</t>
  </si>
  <si>
    <t>cX</t>
  </si>
  <si>
    <t>len</t>
  </si>
  <si>
    <r>
      <t>R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= P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R</t>
    </r>
    <r>
      <rPr>
        <vertAlign val="subscript"/>
        <sz val="11"/>
        <color theme="1"/>
        <rFont val="Calibri"/>
        <family val="2"/>
        <scheme val="minor"/>
      </rPr>
      <t>1</t>
    </r>
  </si>
  <si>
    <t>Column 2</t>
  </si>
  <si>
    <r>
      <t>D</t>
    </r>
    <r>
      <rPr>
        <vertAlign val="subscript"/>
        <sz val="11"/>
        <color theme="1"/>
        <rFont val="Calibri"/>
        <family val="2"/>
        <scheme val="minor"/>
      </rPr>
      <t>2</t>
    </r>
  </si>
  <si>
    <r>
      <t>V</t>
    </r>
    <r>
      <rPr>
        <vertAlign val="subscript"/>
        <sz val="11"/>
        <color theme="1"/>
        <rFont val="Calibri"/>
        <family val="2"/>
        <scheme val="minor"/>
      </rPr>
      <t>2</t>
    </r>
  </si>
  <si>
    <r>
      <t>P</t>
    </r>
    <r>
      <rPr>
        <vertAlign val="subscript"/>
        <sz val="11"/>
        <color theme="1"/>
        <rFont val="Calibri"/>
        <family val="2"/>
        <scheme val="minor"/>
      </rPr>
      <t>2</t>
    </r>
  </si>
  <si>
    <r>
      <t>Q</t>
    </r>
    <r>
      <rPr>
        <vertAlign val="subscript"/>
        <sz val="11"/>
        <color theme="1"/>
        <rFont val="Calibri"/>
        <family val="2"/>
        <scheme val="minor"/>
      </rPr>
      <t>2</t>
    </r>
  </si>
  <si>
    <r>
      <t>R = R</t>
    </r>
    <r>
      <rPr>
        <vertAlign val="subscript"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= P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R</t>
    </r>
    <r>
      <rPr>
        <vertAlign val="subscript"/>
        <sz val="11"/>
        <color theme="1"/>
        <rFont val="Calibri"/>
        <family val="2"/>
        <scheme val="minor"/>
      </rPr>
      <t>2</t>
    </r>
  </si>
  <si>
    <r>
      <t>Q = Q</t>
    </r>
    <r>
      <rPr>
        <vertAlign val="subscript"/>
        <sz val="11"/>
        <color theme="1"/>
        <rFont val="Calibri"/>
        <family val="2"/>
        <scheme val="minor"/>
      </rPr>
      <t>2</t>
    </r>
    <r>
      <rPr>
        <vertAlign val="superscript"/>
        <sz val="11"/>
        <color theme="1"/>
        <rFont val="Calibri"/>
        <family val="2"/>
        <scheme val="minor"/>
      </rPr>
      <t>T</t>
    </r>
  </si>
  <si>
    <r>
      <t>Note Q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Q = I</t>
    </r>
  </si>
  <si>
    <t>QR = A</t>
  </si>
  <si>
    <t xml:space="preserve">note det Q = </t>
  </si>
  <si>
    <t>A = RQ</t>
  </si>
  <si>
    <t>Now some values of A are lower but others are higher</t>
  </si>
  <si>
    <t>In any  case it is clear that the eigenvalues are 4, 1 and 1</t>
  </si>
  <si>
    <t>Find the eigenvalues of the following matrix A</t>
  </si>
  <si>
    <t>eVECTORS</t>
  </si>
  <si>
    <t>B = B'Q</t>
  </si>
  <si>
    <t>Appendix (Linear Algebra and Advanced Matrix Topics)</t>
  </si>
  <si>
    <t>Singular Value Decomposition</t>
  </si>
  <si>
    <t>Orthogonal Vectors and Matrices</t>
  </si>
  <si>
    <t>Gram-Schmidt Process (Example 1)</t>
  </si>
  <si>
    <t>QR Factorization (Example 1)</t>
  </si>
  <si>
    <t>Solving Linear Equations using QR Factorization</t>
  </si>
  <si>
    <r>
      <t>Q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C</t>
    </r>
  </si>
  <si>
    <t>Solving linear equations (Example 2)</t>
  </si>
  <si>
    <t>Finding Eigenvalues/eigenvectors using eVECTORS (Example 4)</t>
  </si>
  <si>
    <t>Finding Eigenvalues/eigenvectors using Householder process (Example 3)</t>
  </si>
  <si>
    <t>QR Factorization (Example 5)</t>
  </si>
  <si>
    <t>Positive Definite Matrices</t>
  </si>
  <si>
    <t>Square Root of a Matrix (Example 1)</t>
  </si>
  <si>
    <t>Spectral Decomposition (Example 1)</t>
  </si>
  <si>
    <t>Singular Value Decomposition (Example 1)</t>
  </si>
  <si>
    <t>Varimax (Example 1)</t>
  </si>
  <si>
    <t>Partial Correlation Matrix (added example)</t>
  </si>
  <si>
    <t>Varimax (using ATN2)</t>
  </si>
  <si>
    <t>Solving Linear Equations using supplemental function</t>
  </si>
  <si>
    <t>Inverting a matrix</t>
  </si>
  <si>
    <t>QR Factorization and Linear Equations</t>
  </si>
  <si>
    <t>Using QRInverse function</t>
  </si>
  <si>
    <t>Using MINVERSE</t>
  </si>
  <si>
    <r>
      <t>A</t>
    </r>
    <r>
      <rPr>
        <vertAlign val="superscript"/>
        <sz val="11"/>
        <color theme="1"/>
        <rFont val="Calibri"/>
        <family val="2"/>
        <scheme val="minor"/>
      </rPr>
      <t>-1</t>
    </r>
  </si>
  <si>
    <t>=IF(Y9&gt;=Y12,"yes","no")</t>
  </si>
  <si>
    <t>Symmetric Matrices</t>
  </si>
  <si>
    <t>Real and imaginary eigenvalues (Example 1)</t>
  </si>
  <si>
    <t>Real and Imaginary Eigenvalues</t>
  </si>
  <si>
    <t>Eigenvalues</t>
  </si>
  <si>
    <t>Rotatation Matrix U</t>
  </si>
  <si>
    <r>
      <t>LU</t>
    </r>
    <r>
      <rPr>
        <vertAlign val="superscript"/>
        <sz val="11"/>
        <color theme="1"/>
        <rFont val="Calibri"/>
        <family val="2"/>
        <scheme val="minor"/>
      </rPr>
      <t>T</t>
    </r>
  </si>
  <si>
    <t>Rotation matrix is orthogonal</t>
  </si>
  <si>
    <t>Determinant of rotation matrix is +1</t>
  </si>
  <si>
    <t>Cholesky Decomposition</t>
  </si>
  <si>
    <t>Cholesky Decomposition (Example 1)</t>
  </si>
  <si>
    <t>L</t>
  </si>
  <si>
    <r>
      <t>LL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 xml:space="preserve"> = A</t>
    </r>
  </si>
  <si>
    <t>Kaiser-Meyer-Olkin (KMO) (Figure 6)</t>
  </si>
  <si>
    <t>Real Statistics capabilities</t>
  </si>
  <si>
    <t>Data analysis tool example</t>
  </si>
  <si>
    <t>Real Statistics data analysis tool</t>
  </si>
  <si>
    <t>Hotelling T-square Test</t>
  </si>
  <si>
    <t>Two-samples (equal covariance matrices)</t>
  </si>
  <si>
    <t>Before</t>
  </si>
  <si>
    <t>1 week</t>
  </si>
  <si>
    <t>2 weeks</t>
  </si>
  <si>
    <t>3 weeks</t>
  </si>
  <si>
    <t>Error</t>
  </si>
  <si>
    <t>Subjects</t>
  </si>
  <si>
    <t xml:space="preserve"> F crit</t>
  </si>
  <si>
    <t>Greenhouse and Geisser</t>
  </si>
  <si>
    <t>Huyhn and Feldt</t>
  </si>
  <si>
    <t>Repeated measures design using MANOVA</t>
  </si>
  <si>
    <t>W1-W0</t>
  </si>
  <si>
    <t>W2-W1</t>
  </si>
  <si>
    <t>W3-W2</t>
  </si>
  <si>
    <t>Hyp Mean</t>
  </si>
  <si>
    <t>One-sample test</t>
  </si>
  <si>
    <t>Repeated measures test</t>
  </si>
  <si>
    <t>Age</t>
  </si>
  <si>
    <t>Day 1</t>
  </si>
  <si>
    <t>Day 2</t>
  </si>
  <si>
    <t>Day 3</t>
  </si>
  <si>
    <t>Day 4</t>
  </si>
  <si>
    <t>Day 5</t>
  </si>
  <si>
    <t>Hotelling T-square: Independent Samples Data Analysis Tool</t>
  </si>
  <si>
    <t>Two-samples (unequal covariance matrices)</t>
  </si>
  <si>
    <t>T2-Repeated Measures</t>
  </si>
  <si>
    <t>Function</t>
  </si>
  <si>
    <t>GG epsilon</t>
  </si>
  <si>
    <t>HF epsilon</t>
  </si>
  <si>
    <t>Repeated measures design using Hotelling's T-square</t>
  </si>
  <si>
    <t>Reformatted Data</t>
  </si>
  <si>
    <t>Diff  1</t>
  </si>
  <si>
    <t>Diff  2</t>
  </si>
  <si>
    <t>Diff  3</t>
  </si>
  <si>
    <t>Diff  4</t>
  </si>
  <si>
    <t>Input in Excel Anova format</t>
  </si>
  <si>
    <t>Repeated Measures Design</t>
  </si>
  <si>
    <t>One Factor</t>
  </si>
  <si>
    <t>Using Hotelling's Test (Example 1)</t>
  </si>
  <si>
    <t>Two Factor</t>
  </si>
  <si>
    <t>Using MANOVA (Example 1)</t>
  </si>
  <si>
    <t>Using ANOVA (Example 2)</t>
  </si>
  <si>
    <t>Repeated measures design using MANOVA/ANOVA</t>
  </si>
  <si>
    <t>A1</t>
  </si>
  <si>
    <t>A2</t>
  </si>
  <si>
    <t>A3</t>
  </si>
  <si>
    <t>Q3</t>
  </si>
  <si>
    <t>B2</t>
  </si>
  <si>
    <t>B1</t>
  </si>
  <si>
    <t>T3</t>
  </si>
  <si>
    <t>P2</t>
  </si>
  <si>
    <t>P1</t>
  </si>
  <si>
    <t>λX</t>
  </si>
  <si>
    <r>
      <t>P</t>
    </r>
    <r>
      <rPr>
        <vertAlign val="superscript"/>
        <sz val="11"/>
        <color theme="1"/>
        <rFont val="Calibri"/>
        <family val="2"/>
        <scheme val="minor"/>
      </rPr>
      <t>T</t>
    </r>
    <r>
      <rPr>
        <sz val="11"/>
        <color theme="1"/>
        <rFont val="Calibri"/>
        <family val="2"/>
        <scheme val="minor"/>
      </rPr>
      <t>AP</t>
    </r>
  </si>
  <si>
    <t>Q3 aug</t>
  </si>
  <si>
    <t>TX</t>
  </si>
  <si>
    <t>Q2 aug</t>
  </si>
  <si>
    <t>Q2</t>
  </si>
  <si>
    <t>Eigenvalues/unit vectors</t>
  </si>
  <si>
    <t>SCHURQ function</t>
  </si>
  <si>
    <t>eVECT function</t>
  </si>
  <si>
    <t>eVECTfunction</t>
  </si>
  <si>
    <r>
      <t>QTQ</t>
    </r>
    <r>
      <rPr>
        <vertAlign val="superscript"/>
        <sz val="11"/>
        <color theme="1"/>
        <rFont val="Calibri"/>
        <family val="2"/>
        <scheme val="minor"/>
      </rPr>
      <t>T</t>
    </r>
  </si>
  <si>
    <t>SCHUR function</t>
  </si>
  <si>
    <t>T - alternative calculation</t>
  </si>
  <si>
    <t>Non-symmetric matrices</t>
  </si>
  <si>
    <t>Schur's factorization (Example 1)</t>
  </si>
  <si>
    <t>Eigenvectors (Example 2)</t>
  </si>
  <si>
    <t>Q of Spectral Decomposition</t>
  </si>
  <si>
    <t>D of Spectral Decomposition</t>
  </si>
  <si>
    <t>Eigenvalues/vectors (eVECTORS)</t>
  </si>
  <si>
    <t>Eigenvalues/vectors (eVECT)</t>
  </si>
  <si>
    <t>iter = 2000</t>
  </si>
  <si>
    <t>Matrix Data Analysis Tool</t>
  </si>
  <si>
    <t>Eigenvalues/vectors (QR Factorization)</t>
  </si>
  <si>
    <t>Eigenvalues/vectors (Schur's Factorization)</t>
  </si>
  <si>
    <t>Q of QR Factorization</t>
  </si>
  <si>
    <t>R of QR Factorization</t>
  </si>
  <si>
    <t>U of Singular Value Decomposition</t>
  </si>
  <si>
    <t>D of Singular Value Decomposition</t>
  </si>
  <si>
    <t>Q of Schur's Factorization</t>
  </si>
  <si>
    <t>T of Schur's Factorization</t>
  </si>
  <si>
    <t>V of Singular Value Decomposition</t>
  </si>
  <si>
    <r>
      <t>QDQ</t>
    </r>
    <r>
      <rPr>
        <vertAlign val="superscript"/>
        <sz val="11"/>
        <color theme="1"/>
        <rFont val="Calibri"/>
        <family val="2"/>
        <scheme val="minor"/>
      </rPr>
      <t>T</t>
    </r>
  </si>
  <si>
    <t>Real Statistics Matrix data analysis tool</t>
  </si>
  <si>
    <t>Symmetric matrix</t>
  </si>
  <si>
    <t>Non-symmetric matrix</t>
  </si>
  <si>
    <t>Real Statistics eVALUES, eVECTORS, eVECT functions</t>
  </si>
  <si>
    <t>Q = Q1</t>
  </si>
  <si>
    <t>T = T1</t>
  </si>
  <si>
    <t>K-means Algorithm</t>
  </si>
  <si>
    <t>Cluster</t>
  </si>
  <si>
    <t>Centroid</t>
  </si>
  <si>
    <t>Dist-sq</t>
  </si>
  <si>
    <t>SSE</t>
  </si>
  <si>
    <t>Converge</t>
  </si>
  <si>
    <t>Cluster Analysis data analysis tool</t>
  </si>
  <si>
    <t>iter</t>
  </si>
  <si>
    <t>Z</t>
  </si>
  <si>
    <t>K-means++</t>
  </si>
  <si>
    <r>
      <t>d</t>
    </r>
    <r>
      <rPr>
        <vertAlign val="subscript"/>
        <sz val="11"/>
        <color theme="1"/>
        <rFont val="Calibri"/>
        <family val="2"/>
        <scheme val="minor"/>
      </rPr>
      <t>1</t>
    </r>
    <r>
      <rPr>
        <sz val="11"/>
        <color theme="1"/>
        <rFont val="Calibri"/>
        <family val="2"/>
        <scheme val="minor"/>
      </rPr>
      <t>(x)</t>
    </r>
  </si>
  <si>
    <t>cum</t>
  </si>
  <si>
    <t>dist 3</t>
  </si>
  <si>
    <t>dist 14</t>
  </si>
  <si>
    <r>
      <t>d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(x)</t>
    </r>
  </si>
  <si>
    <t>centroid 1</t>
  </si>
  <si>
    <t>random</t>
  </si>
  <si>
    <t xml:space="preserve">centroid </t>
  </si>
  <si>
    <t>centroid</t>
  </si>
  <si>
    <t>Index</t>
  </si>
  <si>
    <t>dist-sq</t>
  </si>
  <si>
    <t>Cluster Analysis</t>
  </si>
  <si>
    <t>K-means Clustering</t>
  </si>
  <si>
    <t>Real Statistics Capabilities</t>
  </si>
  <si>
    <t>K-means clustering (Example 1)</t>
  </si>
  <si>
    <t>K-means clustering (Example 2)</t>
  </si>
  <si>
    <t>Setting initial clusters (Example 3)</t>
  </si>
  <si>
    <t>K-means++ clustering (Example 3)</t>
  </si>
  <si>
    <t>K-means++ clustering using Real Statistics data analysis tool (Example 4)</t>
  </si>
  <si>
    <t>Jenks Natural Breaks Optimization</t>
  </si>
  <si>
    <t>Manual steps (Example 1)</t>
  </si>
  <si>
    <t>Real Statistics function (Example 2)</t>
  </si>
  <si>
    <t>Map coloring</t>
  </si>
  <si>
    <t>Iterative approach and GVF function</t>
  </si>
  <si>
    <t>d*</t>
  </si>
  <si>
    <t>GVF</t>
  </si>
  <si>
    <t>left</t>
  </si>
  <si>
    <t>right</t>
  </si>
  <si>
    <t>devsq</t>
  </si>
  <si>
    <t>class</t>
  </si>
  <si>
    <t>Inverse of Covariance Matrix</t>
  </si>
  <si>
    <t>Bivariate Normal Distribution</t>
  </si>
  <si>
    <t>Generating random numbers</t>
  </si>
  <si>
    <t>Bivariate normal distribution</t>
  </si>
  <si>
    <t>sx</t>
  </si>
  <si>
    <t>sy</t>
  </si>
  <si>
    <t>r</t>
  </si>
  <si>
    <t>x</t>
  </si>
  <si>
    <t>y</t>
  </si>
  <si>
    <t>pdf</t>
  </si>
  <si>
    <t>mx</t>
  </si>
  <si>
    <t>my</t>
  </si>
  <si>
    <t>Cholesky</t>
  </si>
  <si>
    <t>bivar</t>
  </si>
  <si>
    <t>Distribution</t>
  </si>
  <si>
    <t>Mahalanobis Distance</t>
  </si>
  <si>
    <t>Dist</t>
  </si>
  <si>
    <t>Mardia's test</t>
  </si>
  <si>
    <t>Generating random vectors</t>
  </si>
  <si>
    <t>Testing for Multivariate Normality</t>
  </si>
  <si>
    <t>Mardia's Test</t>
  </si>
  <si>
    <t>Real Statistics function</t>
  </si>
  <si>
    <t>Discriminant Analysis</t>
  </si>
  <si>
    <t>Linear Discriminant Analysis (LDA)</t>
  </si>
  <si>
    <t>Linear Discriminant Analysis</t>
  </si>
  <si>
    <t>Predictions</t>
  </si>
  <si>
    <t>Classification (Confusion) Table</t>
  </si>
  <si>
    <t>Prior probabilities</t>
  </si>
  <si>
    <t>category</t>
  </si>
  <si>
    <t>π</t>
  </si>
  <si>
    <t>LN(π)</t>
  </si>
  <si>
    <t>Pooled covariance matrix S</t>
  </si>
  <si>
    <t>Misclassification probabilities</t>
  </si>
  <si>
    <t>Discriminant function (coefficients)</t>
  </si>
  <si>
    <t>correct</t>
  </si>
  <si>
    <t>% correct</t>
  </si>
  <si>
    <t>% missed</t>
  </si>
  <si>
    <t>Inverse of S</t>
  </si>
  <si>
    <t>constant</t>
  </si>
  <si>
    <t>Quadratic Discriminant Analysis (QDA)</t>
  </si>
  <si>
    <t>Quadratic Discriminant Analysis</t>
  </si>
  <si>
    <t>Inverses of Cov Matrices</t>
  </si>
  <si>
    <t>Iron</t>
  </si>
  <si>
    <t>Copper</t>
  </si>
  <si>
    <t>Determinants</t>
  </si>
  <si>
    <t>LN|det|</t>
  </si>
  <si>
    <t>Zinc</t>
  </si>
  <si>
    <t>Box Test</t>
  </si>
  <si>
    <t>Nickel</t>
  </si>
  <si>
    <t>Tin</t>
  </si>
  <si>
    <t>Priors</t>
  </si>
  <si>
    <t>Classification Table</t>
  </si>
  <si>
    <t>Categorization of Training Data</t>
  </si>
  <si>
    <t>prob</t>
  </si>
  <si>
    <t>LN(prob)</t>
  </si>
  <si>
    <t>Coefficients</t>
  </si>
  <si>
    <t>Summary Table</t>
  </si>
  <si>
    <t>const</t>
  </si>
  <si>
    <t>Real Statistics support for LDA</t>
  </si>
  <si>
    <t>Real Statistics support for QDA</t>
  </si>
  <si>
    <t>Real Statistics</t>
  </si>
  <si>
    <t>Correspondence Analysis</t>
  </si>
  <si>
    <t>Correspondence Analysis (Example 1)</t>
  </si>
  <si>
    <t>Proportional Matrix</t>
  </si>
  <si>
    <t>Apple</t>
  </si>
  <si>
    <t>Samsung</t>
  </si>
  <si>
    <t>Nokia</t>
  </si>
  <si>
    <t>Huawei</t>
  </si>
  <si>
    <r>
      <t>D</t>
    </r>
    <r>
      <rPr>
        <vertAlign val="subscript"/>
        <sz val="11"/>
        <color theme="1"/>
        <rFont val="Calibri"/>
        <family val="2"/>
        <scheme val="minor"/>
      </rPr>
      <t>r</t>
    </r>
  </si>
  <si>
    <t>CARowFactors</t>
  </si>
  <si>
    <t>CAColFactors</t>
  </si>
  <si>
    <t>screen</t>
  </si>
  <si>
    <t>price</t>
  </si>
  <si>
    <t>design</t>
  </si>
  <si>
    <t>battery</t>
  </si>
  <si>
    <t>software</t>
  </si>
  <si>
    <t>camera</t>
  </si>
  <si>
    <r>
      <t>A = D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PD</t>
    </r>
    <r>
      <rPr>
        <vertAlign val="subscript"/>
        <sz val="11"/>
        <color theme="1"/>
        <rFont val="Calibri"/>
        <family val="2"/>
        <scheme val="minor"/>
      </rPr>
      <t>c</t>
    </r>
  </si>
  <si>
    <r>
      <t>Coordinate Matrix F = D</t>
    </r>
    <r>
      <rPr>
        <vertAlign val="subscript"/>
        <sz val="11"/>
        <color theme="1"/>
        <rFont val="Calibri"/>
        <family val="2"/>
        <scheme val="minor"/>
      </rPr>
      <t>r</t>
    </r>
    <r>
      <rPr>
        <sz val="11"/>
        <color theme="1"/>
        <rFont val="Calibri"/>
        <family val="2"/>
        <scheme val="minor"/>
      </rPr>
      <t>UD</t>
    </r>
  </si>
  <si>
    <t>Plot Details for Rows</t>
  </si>
  <si>
    <t>Expected Values</t>
  </si>
  <si>
    <t>Chi-Square Test</t>
  </si>
  <si>
    <r>
      <t>D</t>
    </r>
    <r>
      <rPr>
        <vertAlign val="subscript"/>
        <sz val="11"/>
        <color theme="1"/>
        <rFont val="Calibri"/>
        <family val="2"/>
        <scheme val="minor"/>
      </rPr>
      <t>c</t>
    </r>
  </si>
  <si>
    <t>Axis 1</t>
  </si>
  <si>
    <t>Axis 2</t>
  </si>
  <si>
    <t>Quality</t>
  </si>
  <si>
    <t>Mass</t>
  </si>
  <si>
    <t>Distance</t>
  </si>
  <si>
    <t>Inertia</t>
  </si>
  <si>
    <t>Factor</t>
  </si>
  <si>
    <t>COR</t>
  </si>
  <si>
    <t>Angle</t>
  </si>
  <si>
    <t>CRT</t>
  </si>
  <si>
    <t>Factor 1</t>
  </si>
  <si>
    <t>Factor 2</t>
  </si>
  <si>
    <t>SUMMARY</t>
  </si>
  <si>
    <t>scr</t>
  </si>
  <si>
    <t>Rows</t>
  </si>
  <si>
    <t>Cols</t>
  </si>
  <si>
    <t>pri</t>
  </si>
  <si>
    <t>des</t>
  </si>
  <si>
    <t>bat</t>
  </si>
  <si>
    <t>CHI-SQUARE</t>
  </si>
  <si>
    <t>sof</t>
  </si>
  <si>
    <t>chi-sq</t>
  </si>
  <si>
    <t>x-crit</t>
  </si>
  <si>
    <t>Cramer V</t>
  </si>
  <si>
    <r>
      <t>Coordinate Matrix G = D</t>
    </r>
    <r>
      <rPr>
        <vertAlign val="subscript"/>
        <sz val="11"/>
        <color theme="1"/>
        <rFont val="Calibri"/>
        <family val="2"/>
        <scheme val="minor"/>
      </rPr>
      <t>c</t>
    </r>
    <r>
      <rPr>
        <sz val="11"/>
        <color theme="1"/>
        <rFont val="Calibri"/>
        <family val="2"/>
        <scheme val="minor"/>
      </rPr>
      <t>VD</t>
    </r>
    <r>
      <rPr>
        <vertAlign val="superscript"/>
        <sz val="11"/>
        <color theme="1"/>
        <rFont val="Calibri"/>
        <family val="2"/>
        <scheme val="minor"/>
      </rPr>
      <t>T</t>
    </r>
  </si>
  <si>
    <t>cam</t>
  </si>
  <si>
    <t>Pearson's</t>
  </si>
  <si>
    <t>Column distances</t>
  </si>
  <si>
    <t>Max likelihood</t>
  </si>
  <si>
    <t>Plot Details for Columns</t>
  </si>
  <si>
    <t>χ2/n</t>
  </si>
  <si>
    <r>
      <t>DD</t>
    </r>
    <r>
      <rPr>
        <vertAlign val="superscript"/>
        <sz val="11"/>
        <color theme="1"/>
        <rFont val="Calibri"/>
        <family val="2"/>
        <scheme val="minor"/>
      </rPr>
      <t>T</t>
    </r>
  </si>
  <si>
    <t>APP</t>
  </si>
  <si>
    <t>SAM</t>
  </si>
  <si>
    <t>NOK</t>
  </si>
  <si>
    <t>HUA</t>
  </si>
  <si>
    <t>Row distances</t>
  </si>
  <si>
    <t>Plot Details for Supplementary Rows</t>
  </si>
  <si>
    <t>eValues</t>
  </si>
  <si>
    <t>cum %</t>
  </si>
  <si>
    <t>supplement</t>
  </si>
  <si>
    <t>factor cordinates</t>
  </si>
  <si>
    <t>CAEigen</t>
  </si>
  <si>
    <t>app</t>
  </si>
  <si>
    <t>sam</t>
  </si>
  <si>
    <t>nok</t>
  </si>
  <si>
    <t>hua</t>
  </si>
  <si>
    <t>diag(D)</t>
  </si>
  <si>
    <t>distance</t>
  </si>
  <si>
    <t>Supplementary column profile</t>
  </si>
  <si>
    <t>Factor coordinates</t>
  </si>
  <si>
    <t>NEW</t>
  </si>
  <si>
    <t>Std</t>
  </si>
  <si>
    <t>P Matrix</t>
  </si>
  <si>
    <t>Plot Details for Supplementary Column</t>
  </si>
  <si>
    <t>Correspondence Analysis Plots</t>
  </si>
  <si>
    <t>COR 1</t>
  </si>
  <si>
    <t>COR 2</t>
  </si>
  <si>
    <t>CTR 1</t>
  </si>
  <si>
    <t>CTR 2</t>
  </si>
  <si>
    <t>Supplementary Row Profiles</t>
  </si>
  <si>
    <t>Supplementary Row and Column Profiles</t>
  </si>
  <si>
    <t>New</t>
  </si>
  <si>
    <t>Combined Profiles</t>
  </si>
  <si>
    <t>Hotelling's T-square</t>
  </si>
  <si>
    <t>Solving linear equations using Real Statistics formula</t>
  </si>
  <si>
    <t>Inverting a matrix using Real Statistics formula (Example 6)</t>
  </si>
  <si>
    <t>Real Statistics formula</t>
  </si>
  <si>
    <t>cdf</t>
  </si>
  <si>
    <t>Volume</t>
  </si>
  <si>
    <t>Chart of an confidence ellipse</t>
  </si>
  <si>
    <t>Real Statistics confidence ellipse</t>
  </si>
  <si>
    <t>Confidence Ellipse</t>
  </si>
  <si>
    <t>eval</t>
  </si>
  <si>
    <t>X-Xbar</t>
  </si>
  <si>
    <t>Y-Ybar</t>
  </si>
  <si>
    <t>θ (rad)</t>
  </si>
  <si>
    <t>θ (deg)</t>
  </si>
  <si>
    <t>% inside</t>
  </si>
  <si>
    <t>inv cov</t>
  </si>
  <si>
    <t>trace</t>
  </si>
  <si>
    <t>eig1</t>
  </si>
  <si>
    <t>eig2</t>
  </si>
  <si>
    <t>x mean</t>
  </si>
  <si>
    <t>y mean</t>
  </si>
  <si>
    <t>Points on the ellipse</t>
  </si>
  <si>
    <t>Δ</t>
  </si>
  <si>
    <t>β</t>
  </si>
  <si>
    <t>1-β</t>
  </si>
  <si>
    <t>Two-way MANOVA</t>
  </si>
  <si>
    <t>Two-Way MANOVA</t>
  </si>
  <si>
    <t>Group Means and Interaction Contrasts</t>
  </si>
  <si>
    <t>gender</t>
  </si>
  <si>
    <t>economic</t>
  </si>
  <si>
    <t>kindness</t>
  </si>
  <si>
    <t>optimism</t>
  </si>
  <si>
    <t>male</t>
  </si>
  <si>
    <t>wealthy</t>
  </si>
  <si>
    <t>fact A</t>
  </si>
  <si>
    <t>part eta-sq</t>
  </si>
  <si>
    <t>Tot</t>
  </si>
  <si>
    <t>female</t>
  </si>
  <si>
    <t>middle</t>
  </si>
  <si>
    <t>Interaction-contrast</t>
  </si>
  <si>
    <t>poor</t>
  </si>
  <si>
    <t>Row (A)</t>
  </si>
  <si>
    <t>Res</t>
  </si>
  <si>
    <t>fact B</t>
  </si>
  <si>
    <t>Column (B)</t>
  </si>
  <si>
    <t>fact AB</t>
  </si>
  <si>
    <t>Interaction (AB)</t>
  </si>
  <si>
    <t>Two Factor MANOVA</t>
  </si>
  <si>
    <t>Example</t>
  </si>
  <si>
    <t>Power and Sample Size</t>
  </si>
  <si>
    <t>One-way MANOVA</t>
  </si>
  <si>
    <t>Power and sample size for one sample Hotelling's T-square</t>
  </si>
  <si>
    <t>Power and sample size for two sample Hotelling's T-square</t>
  </si>
  <si>
    <t>One-way MANOVA Power and Sample Size</t>
  </si>
  <si>
    <t>ncp</t>
  </si>
  <si>
    <r>
      <t>1-</t>
    </r>
    <r>
      <rPr>
        <sz val="11"/>
        <color theme="1"/>
        <rFont val="Calibri"/>
        <family val="2"/>
      </rPr>
      <t>β</t>
    </r>
  </si>
  <si>
    <t># of grps</t>
  </si>
  <si>
    <t># of dep</t>
  </si>
  <si>
    <t>η-sq</t>
  </si>
  <si>
    <t>part η-sq</t>
  </si>
  <si>
    <t>f-crit</t>
  </si>
  <si>
    <t>act pow</t>
  </si>
  <si>
    <t>Two-way MANOVA Power and Sample Size</t>
  </si>
  <si>
    <t># of A grps</t>
  </si>
  <si>
    <t># of B grps</t>
  </si>
  <si>
    <t>dfh</t>
  </si>
  <si>
    <t>dfe</t>
  </si>
  <si>
    <t xml:space="preserve">Power and sample size for one sample Hotelling's T-square </t>
  </si>
  <si>
    <t>act power</t>
  </si>
  <si>
    <t xml:space="preserve">Power and sample size for two sample Hotelling's T-square </t>
  </si>
  <si>
    <t>ratio</t>
  </si>
  <si>
    <t>Permutational MANOVA</t>
  </si>
  <si>
    <t>ANOVA example</t>
  </si>
  <si>
    <t>Permutational MANOVA for ANOVA</t>
  </si>
  <si>
    <t>Group</t>
  </si>
  <si>
    <t>Permutation MANOVA</t>
  </si>
  <si>
    <t>groups</t>
  </si>
  <si>
    <t>iterations</t>
  </si>
  <si>
    <t>Pseudo F</t>
  </si>
  <si>
    <t>Permutational MANOVA example</t>
  </si>
  <si>
    <t>Real Statistics analysis</t>
  </si>
  <si>
    <t>Σ</t>
  </si>
  <si>
    <t>N</t>
  </si>
  <si>
    <t>Group Means</t>
  </si>
  <si>
    <t>Copyright © 2013 - 2020 Charles Zaiontz</t>
  </si>
  <si>
    <t>univar</t>
  </si>
  <si>
    <t>Charles Zaiontz, 27 March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</si>
</sst>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164" formatCode="0.0"/>
    <numFmt numFmtId="165" formatCode="#,##0.0"/>
    <numFmt numFmtId="166" formatCode="0.0%"/>
    <numFmt numFmtId="167" formatCode="0.0000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7.5"/>
      <color rgb="FF000000"/>
      <name val="Calibri"/>
      <family val="2"/>
      <scheme val="minor"/>
    </font>
    <font>
      <sz val="10"/>
      <color rgb="FF00000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.5"/>
      <color theme="1"/>
      <name val="Cambria"/>
      <family val="1"/>
    </font>
    <font>
      <sz val="10"/>
      <name val="Arial"/>
      <family val="2"/>
    </font>
    <font>
      <b/>
      <sz val="10"/>
      <color indexed="12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F2F2F2"/>
        <bgColor indexed="64"/>
      </patternFill>
    </fill>
    <fill>
      <patternFill patternType="solid">
        <fgColor rgb="FFE0E0E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</fills>
  <borders count="100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/>
      <bottom/>
      <diagonal/>
    </border>
    <border>
      <left/>
      <right style="thin">
        <color indexed="8"/>
      </right>
      <top/>
      <bottom/>
      <diagonal/>
    </border>
    <border>
      <left style="thin">
        <color indexed="8"/>
      </left>
      <right/>
      <top/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/>
      <top style="double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indexed="8"/>
      </top>
      <bottom/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9" fontId="9" fillId="0" borderId="0" applyFont="0" applyFill="0" applyBorder="0" applyAlignment="0" applyProtection="0"/>
  </cellStyleXfs>
  <cellXfs count="451">
    <xf numFmtId="0" fontId="0" fillId="0" borderId="0" xfId="0"/>
    <xf numFmtId="0" fontId="2" fillId="2" borderId="0" xfId="0" applyFont="1" applyFill="1" applyBorder="1" applyAlignment="1">
      <alignment horizontal="center" vertical="center" wrapText="1"/>
    </xf>
    <xf numFmtId="0" fontId="1" fillId="0" borderId="0" xfId="0" applyFont="1" applyBorder="1"/>
    <xf numFmtId="0" fontId="0" fillId="0" borderId="0" xfId="0" applyFont="1" applyBorder="1"/>
    <xf numFmtId="0" fontId="3" fillId="0" borderId="0" xfId="0" applyFont="1" applyFill="1" applyBorder="1" applyAlignment="1">
      <alignment horizontal="right" vertical="center" wrapText="1"/>
    </xf>
    <xf numFmtId="0" fontId="3" fillId="0" borderId="2" xfId="0" applyFont="1" applyFill="1" applyBorder="1" applyAlignment="1">
      <alignment horizontal="right" vertical="center" wrapText="1"/>
    </xf>
    <xf numFmtId="0" fontId="3" fillId="0" borderId="7" xfId="0" applyFont="1" applyFill="1" applyBorder="1" applyAlignment="1">
      <alignment horizontal="right" vertical="center" wrapText="1"/>
    </xf>
    <xf numFmtId="0" fontId="2" fillId="2" borderId="0" xfId="0" applyFont="1" applyFill="1" applyBorder="1" applyAlignment="1">
      <alignment horizontal="left" vertical="center" wrapText="1"/>
    </xf>
    <xf numFmtId="0" fontId="0" fillId="0" borderId="0" xfId="0" applyFont="1" applyFill="1" applyBorder="1"/>
    <xf numFmtId="0" fontId="0" fillId="0" borderId="1" xfId="0" applyFont="1" applyBorder="1"/>
    <xf numFmtId="0" fontId="0" fillId="0" borderId="2" xfId="0" applyFont="1" applyBorder="1"/>
    <xf numFmtId="0" fontId="0" fillId="0" borderId="3" xfId="0" applyFont="1" applyBorder="1"/>
    <xf numFmtId="0" fontId="0" fillId="0" borderId="4" xfId="0" applyFont="1" applyBorder="1"/>
    <xf numFmtId="0" fontId="0" fillId="0" borderId="5" xfId="0" applyFont="1" applyBorder="1"/>
    <xf numFmtId="0" fontId="0" fillId="0" borderId="6" xfId="0" applyFont="1" applyBorder="1"/>
    <xf numFmtId="0" fontId="0" fillId="0" borderId="7" xfId="0" applyFont="1" applyBorder="1"/>
    <xf numFmtId="0" fontId="0" fillId="0" borderId="8" xfId="0" applyFont="1" applyBorder="1"/>
    <xf numFmtId="0" fontId="3" fillId="0" borderId="3" xfId="0" applyFont="1" applyFill="1" applyBorder="1" applyAlignment="1">
      <alignment horizontal="right" vertical="center" wrapText="1"/>
    </xf>
    <xf numFmtId="0" fontId="3" fillId="0" borderId="5" xfId="0" applyFont="1" applyFill="1" applyBorder="1" applyAlignment="1">
      <alignment horizontal="right" vertical="center" wrapText="1"/>
    </xf>
    <xf numFmtId="0" fontId="3" fillId="0" borderId="8" xfId="0" applyFont="1" applyFill="1" applyBorder="1" applyAlignment="1">
      <alignment horizontal="right" vertical="center" wrapText="1"/>
    </xf>
    <xf numFmtId="164" fontId="0" fillId="0" borderId="1" xfId="0" applyNumberFormat="1" applyFont="1" applyBorder="1"/>
    <xf numFmtId="164" fontId="0" fillId="0" borderId="2" xfId="0" applyNumberFormat="1" applyFont="1" applyBorder="1"/>
    <xf numFmtId="164" fontId="0" fillId="0" borderId="3" xfId="0" applyNumberFormat="1" applyFont="1" applyBorder="1"/>
    <xf numFmtId="164" fontId="0" fillId="0" borderId="4" xfId="0" applyNumberFormat="1" applyFont="1" applyBorder="1"/>
    <xf numFmtId="164" fontId="0" fillId="0" borderId="0" xfId="0" applyNumberFormat="1" applyFont="1" applyBorder="1"/>
    <xf numFmtId="164" fontId="0" fillId="0" borderId="5" xfId="0" applyNumberFormat="1" applyFont="1" applyBorder="1"/>
    <xf numFmtId="164" fontId="0" fillId="0" borderId="6" xfId="0" applyNumberFormat="1" applyFont="1" applyBorder="1"/>
    <xf numFmtId="164" fontId="0" fillId="0" borderId="7" xfId="0" applyNumberFormat="1" applyFont="1" applyBorder="1"/>
    <xf numFmtId="164" fontId="0" fillId="0" borderId="8" xfId="0" applyNumberFormat="1" applyFont="1" applyBorder="1"/>
    <xf numFmtId="165" fontId="3" fillId="0" borderId="1" xfId="0" applyNumberFormat="1" applyFont="1" applyFill="1" applyBorder="1" applyAlignment="1">
      <alignment horizontal="right" vertical="center" wrapText="1"/>
    </xf>
    <xf numFmtId="165" fontId="3" fillId="0" borderId="4" xfId="0" applyNumberFormat="1" applyFont="1" applyFill="1" applyBorder="1" applyAlignment="1">
      <alignment horizontal="right" vertical="center" wrapText="1"/>
    </xf>
    <xf numFmtId="165" fontId="3" fillId="0" borderId="6" xfId="0" applyNumberFormat="1" applyFont="1" applyFill="1" applyBorder="1" applyAlignment="1">
      <alignment horizontal="right" vertical="center" wrapText="1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1" fillId="0" borderId="0" xfId="0" applyFont="1"/>
    <xf numFmtId="0" fontId="0" fillId="0" borderId="1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Font="1"/>
    <xf numFmtId="0" fontId="0" fillId="0" borderId="0" xfId="0" applyAlignment="1">
      <alignment horizontal="right"/>
    </xf>
    <xf numFmtId="0" fontId="0" fillId="0" borderId="9" xfId="0" applyBorder="1"/>
    <xf numFmtId="0" fontId="0" fillId="0" borderId="10" xfId="0" applyBorder="1"/>
    <xf numFmtId="0" fontId="0" fillId="0" borderId="10" xfId="0" applyFont="1" applyFill="1" applyBorder="1"/>
    <xf numFmtId="0" fontId="0" fillId="0" borderId="11" xfId="0" applyBorder="1" applyAlignment="1">
      <alignment horizontal="right"/>
    </xf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0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0" xfId="0" applyFill="1" applyBorder="1"/>
    <xf numFmtId="0" fontId="0" fillId="0" borderId="12" xfId="0" applyBorder="1" applyAlignment="1">
      <alignment horizontal="right"/>
    </xf>
    <xf numFmtId="0" fontId="0" fillId="0" borderId="0" xfId="0" quotePrefix="1"/>
    <xf numFmtId="0" fontId="0" fillId="0" borderId="1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0" xfId="0" applyAlignment="1">
      <alignment horizontal="left"/>
    </xf>
    <xf numFmtId="0" fontId="5" fillId="0" borderId="0" xfId="0" applyFont="1"/>
    <xf numFmtId="0" fontId="0" fillId="0" borderId="2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7" xfId="0" applyBorder="1" applyAlignment="1">
      <alignment horizontal="center"/>
    </xf>
    <xf numFmtId="164" fontId="0" fillId="0" borderId="1" xfId="0" applyNumberFormat="1" applyBorder="1"/>
    <xf numFmtId="164" fontId="0" fillId="0" borderId="4" xfId="0" applyNumberFormat="1" applyBorder="1"/>
    <xf numFmtId="164" fontId="0" fillId="0" borderId="6" xfId="0" applyNumberFormat="1" applyBorder="1"/>
    <xf numFmtId="0" fontId="0" fillId="0" borderId="1" xfId="0" quotePrefix="1" applyBorder="1"/>
    <xf numFmtId="0" fontId="0" fillId="0" borderId="6" xfId="0" quotePrefix="1" applyBorder="1"/>
    <xf numFmtId="0" fontId="0" fillId="0" borderId="3" xfId="0" quotePrefix="1" applyBorder="1"/>
    <xf numFmtId="0" fontId="0" fillId="0" borderId="8" xfId="0" quotePrefix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19" xfId="0" applyBorder="1"/>
    <xf numFmtId="0" fontId="0" fillId="0" borderId="20" xfId="0" applyBorder="1"/>
    <xf numFmtId="0" fontId="0" fillId="0" borderId="21" xfId="0" applyBorder="1"/>
    <xf numFmtId="0" fontId="0" fillId="0" borderId="22" xfId="0" applyBorder="1"/>
    <xf numFmtId="0" fontId="0" fillId="0" borderId="24" xfId="0" applyBorder="1"/>
    <xf numFmtId="0" fontId="0" fillId="0" borderId="25" xfId="0" applyBorder="1"/>
    <xf numFmtId="0" fontId="0" fillId="0" borderId="26" xfId="0" applyBorder="1"/>
    <xf numFmtId="0" fontId="0" fillId="0" borderId="27" xfId="0" applyBorder="1"/>
    <xf numFmtId="0" fontId="6" fillId="0" borderId="28" xfId="0" applyFont="1" applyBorder="1" applyAlignment="1">
      <alignment horizontal="center"/>
    </xf>
    <xf numFmtId="0" fontId="0" fillId="0" borderId="29" xfId="0" applyBorder="1"/>
    <xf numFmtId="0" fontId="0" fillId="0" borderId="30" xfId="0" applyBorder="1"/>
    <xf numFmtId="0" fontId="0" fillId="0" borderId="31" xfId="0" applyBorder="1"/>
    <xf numFmtId="0" fontId="0" fillId="0" borderId="32" xfId="0" applyBorder="1"/>
    <xf numFmtId="0" fontId="0" fillId="0" borderId="33" xfId="0" applyBorder="1"/>
    <xf numFmtId="164" fontId="0" fillId="0" borderId="21" xfId="0" applyNumberFormat="1" applyBorder="1"/>
    <xf numFmtId="164" fontId="0" fillId="0" borderId="22" xfId="0" applyNumberFormat="1" applyBorder="1"/>
    <xf numFmtId="164" fontId="0" fillId="0" borderId="23" xfId="0" applyNumberFormat="1" applyBorder="1"/>
    <xf numFmtId="164" fontId="0" fillId="0" borderId="0" xfId="0" applyNumberFormat="1" applyBorder="1"/>
    <xf numFmtId="164" fontId="0" fillId="0" borderId="24" xfId="0" applyNumberFormat="1" applyBorder="1"/>
    <xf numFmtId="164" fontId="0" fillId="0" borderId="25" xfId="0" applyNumberFormat="1" applyBorder="1"/>
    <xf numFmtId="164" fontId="0" fillId="0" borderId="26" xfId="0" applyNumberFormat="1" applyBorder="1"/>
    <xf numFmtId="164" fontId="0" fillId="0" borderId="27" xfId="0" applyNumberFormat="1" applyBorder="1"/>
    <xf numFmtId="0" fontId="0" fillId="0" borderId="34" xfId="0" applyBorder="1"/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0" fillId="0" borderId="38" xfId="0" applyBorder="1"/>
    <xf numFmtId="0" fontId="0" fillId="0" borderId="0" xfId="0" applyFill="1" applyBorder="1" applyAlignment="1">
      <alignment horizontal="right"/>
    </xf>
    <xf numFmtId="164" fontId="0" fillId="0" borderId="12" xfId="0" applyNumberFormat="1" applyBorder="1"/>
    <xf numFmtId="164" fontId="0" fillId="0" borderId="34" xfId="0" applyNumberFormat="1" applyBorder="1"/>
    <xf numFmtId="164" fontId="0" fillId="0" borderId="35" xfId="0" applyNumberFormat="1" applyBorder="1"/>
    <xf numFmtId="164" fontId="0" fillId="0" borderId="36" xfId="0" applyNumberFormat="1" applyBorder="1"/>
    <xf numFmtId="164" fontId="0" fillId="0" borderId="37" xfId="0" applyNumberFormat="1" applyBorder="1"/>
    <xf numFmtId="164" fontId="0" fillId="0" borderId="38" xfId="0" applyNumberFormat="1" applyBorder="1"/>
    <xf numFmtId="164" fontId="0" fillId="0" borderId="7" xfId="0" applyNumberFormat="1" applyBorder="1"/>
    <xf numFmtId="164" fontId="0" fillId="0" borderId="8" xfId="0" applyNumberFormat="1" applyBorder="1"/>
    <xf numFmtId="0" fontId="0" fillId="0" borderId="0" xfId="0" applyNumberFormat="1"/>
    <xf numFmtId="0" fontId="0" fillId="0" borderId="23" xfId="0" applyBorder="1"/>
    <xf numFmtId="0" fontId="0" fillId="0" borderId="23" xfId="0" applyFont="1" applyBorder="1"/>
    <xf numFmtId="0" fontId="5" fillId="0" borderId="23" xfId="0" applyFont="1" applyBorder="1"/>
    <xf numFmtId="0" fontId="0" fillId="0" borderId="0" xfId="0" applyNumberFormat="1" applyFill="1" applyBorder="1"/>
    <xf numFmtId="0" fontId="0" fillId="3" borderId="32" xfId="0" applyFill="1" applyBorder="1"/>
    <xf numFmtId="0" fontId="0" fillId="3" borderId="33" xfId="0" applyFill="1" applyBorder="1"/>
    <xf numFmtId="0" fontId="0" fillId="0" borderId="39" xfId="0" applyBorder="1"/>
    <xf numFmtId="0" fontId="0" fillId="0" borderId="41" xfId="0" applyBorder="1"/>
    <xf numFmtId="0" fontId="0" fillId="0" borderId="42" xfId="0" applyBorder="1"/>
    <xf numFmtId="0" fontId="0" fillId="0" borderId="43" xfId="0" applyBorder="1"/>
    <xf numFmtId="0" fontId="0" fillId="3" borderId="43" xfId="0" applyFill="1" applyBorder="1"/>
    <xf numFmtId="164" fontId="0" fillId="0" borderId="44" xfId="0" applyNumberFormat="1" applyBorder="1"/>
    <xf numFmtId="164" fontId="0" fillId="0" borderId="45" xfId="0" applyNumberFormat="1" applyBorder="1"/>
    <xf numFmtId="164" fontId="0" fillId="0" borderId="46" xfId="0" applyNumberFormat="1" applyBorder="1"/>
    <xf numFmtId="0" fontId="0" fillId="0" borderId="47" xfId="0" applyBorder="1"/>
    <xf numFmtId="0" fontId="0" fillId="0" borderId="40" xfId="0" applyBorder="1"/>
    <xf numFmtId="0" fontId="0" fillId="0" borderId="48" xfId="0" applyBorder="1"/>
    <xf numFmtId="0" fontId="0" fillId="0" borderId="49" xfId="0" applyBorder="1"/>
    <xf numFmtId="0" fontId="0" fillId="0" borderId="50" xfId="0" applyBorder="1"/>
    <xf numFmtId="164" fontId="0" fillId="0" borderId="0" xfId="0" applyNumberFormat="1"/>
    <xf numFmtId="0" fontId="6" fillId="0" borderId="0" xfId="0" applyFont="1" applyAlignment="1">
      <alignment horizontal="center"/>
    </xf>
    <xf numFmtId="0" fontId="6" fillId="0" borderId="7" xfId="0" applyFont="1" applyBorder="1" applyAlignment="1">
      <alignment horizontal="center"/>
    </xf>
    <xf numFmtId="0" fontId="0" fillId="0" borderId="48" xfId="0" applyBorder="1" applyAlignment="1">
      <alignment horizontal="center"/>
    </xf>
    <xf numFmtId="0" fontId="0" fillId="0" borderId="51" xfId="0" applyBorder="1"/>
    <xf numFmtId="0" fontId="0" fillId="0" borderId="52" xfId="0" applyBorder="1"/>
    <xf numFmtId="0" fontId="0" fillId="0" borderId="53" xfId="0" applyBorder="1"/>
    <xf numFmtId="0" fontId="0" fillId="0" borderId="54" xfId="0" applyBorder="1"/>
    <xf numFmtId="0" fontId="0" fillId="0" borderId="55" xfId="0" applyBorder="1"/>
    <xf numFmtId="0" fontId="7" fillId="0" borderId="0" xfId="0" applyFont="1"/>
    <xf numFmtId="0" fontId="8" fillId="0" borderId="0" xfId="1"/>
    <xf numFmtId="0" fontId="0" fillId="0" borderId="40" xfId="0" applyFont="1" applyBorder="1"/>
    <xf numFmtId="0" fontId="0" fillId="0" borderId="48" xfId="0" applyFont="1" applyBorder="1"/>
    <xf numFmtId="0" fontId="0" fillId="0" borderId="49" xfId="0" applyFont="1" applyBorder="1"/>
    <xf numFmtId="0" fontId="0" fillId="0" borderId="56" xfId="0" applyBorder="1"/>
    <xf numFmtId="0" fontId="0" fillId="0" borderId="57" xfId="0" applyBorder="1"/>
    <xf numFmtId="0" fontId="0" fillId="0" borderId="58" xfId="0" applyBorder="1"/>
    <xf numFmtId="0" fontId="0" fillId="0" borderId="59" xfId="0" applyBorder="1"/>
    <xf numFmtId="0" fontId="0" fillId="0" borderId="60" xfId="0" applyBorder="1"/>
    <xf numFmtId="0" fontId="0" fillId="0" borderId="61" xfId="0" applyBorder="1"/>
    <xf numFmtId="0" fontId="0" fillId="0" borderId="62" xfId="0" applyBorder="1"/>
    <xf numFmtId="0" fontId="0" fillId="0" borderId="59" xfId="0" applyBorder="1" applyAlignment="1">
      <alignment horizontal="center"/>
    </xf>
    <xf numFmtId="166" fontId="0" fillId="0" borderId="57" xfId="2" applyNumberFormat="1" applyFont="1" applyBorder="1"/>
    <xf numFmtId="166" fontId="0" fillId="0" borderId="58" xfId="0" applyNumberFormat="1" applyBorder="1"/>
    <xf numFmtId="0" fontId="0" fillId="0" borderId="63" xfId="0" applyFill="1" applyBorder="1"/>
    <xf numFmtId="166" fontId="0" fillId="0" borderId="0" xfId="2" applyNumberFormat="1" applyFont="1" applyBorder="1"/>
    <xf numFmtId="166" fontId="0" fillId="0" borderId="24" xfId="0" applyNumberFormat="1" applyBorder="1"/>
    <xf numFmtId="166" fontId="0" fillId="0" borderId="26" xfId="2" applyNumberFormat="1" applyFont="1" applyBorder="1"/>
    <xf numFmtId="166" fontId="0" fillId="0" borderId="27" xfId="0" applyNumberFormat="1" applyBorder="1"/>
    <xf numFmtId="0" fontId="0" fillId="0" borderId="64" xfId="0" applyFill="1" applyBorder="1"/>
    <xf numFmtId="0" fontId="0" fillId="0" borderId="65" xfId="0" applyBorder="1"/>
    <xf numFmtId="0" fontId="0" fillId="0" borderId="63" xfId="0" applyBorder="1"/>
    <xf numFmtId="0" fontId="0" fillId="0" borderId="64" xfId="0" applyBorder="1"/>
    <xf numFmtId="0" fontId="0" fillId="0" borderId="0" xfId="0" applyFont="1" applyAlignment="1">
      <alignment horizontal="center"/>
    </xf>
    <xf numFmtId="0" fontId="0" fillId="0" borderId="56" xfId="0" applyFont="1" applyBorder="1"/>
    <xf numFmtId="0" fontId="0" fillId="0" borderId="57" xfId="0" applyFont="1" applyBorder="1"/>
    <xf numFmtId="0" fontId="0" fillId="0" borderId="58" xfId="0" applyFont="1" applyBorder="1"/>
    <xf numFmtId="0" fontId="0" fillId="0" borderId="24" xfId="0" applyFont="1" applyBorder="1"/>
    <xf numFmtId="0" fontId="0" fillId="0" borderId="25" xfId="0" applyFont="1" applyBorder="1"/>
    <xf numFmtId="0" fontId="0" fillId="0" borderId="26" xfId="0" applyFont="1" applyBorder="1"/>
    <xf numFmtId="0" fontId="0" fillId="0" borderId="27" xfId="0" applyFont="1" applyBorder="1"/>
    <xf numFmtId="0" fontId="0" fillId="0" borderId="64" xfId="0" applyBorder="1" applyAlignment="1">
      <alignment horizontal="right"/>
    </xf>
    <xf numFmtId="0" fontId="0" fillId="0" borderId="65" xfId="0" applyFill="1" applyBorder="1"/>
    <xf numFmtId="0" fontId="0" fillId="0" borderId="57" xfId="0" applyFill="1" applyBorder="1"/>
    <xf numFmtId="0" fontId="0" fillId="0" borderId="0" xfId="0" applyFill="1" applyBorder="1" applyAlignment="1">
      <alignment horizontal="center"/>
    </xf>
    <xf numFmtId="0" fontId="0" fillId="0" borderId="56" xfId="0" applyFill="1" applyBorder="1"/>
    <xf numFmtId="0" fontId="0" fillId="0" borderId="58" xfId="0" applyFill="1" applyBorder="1"/>
    <xf numFmtId="0" fontId="0" fillId="4" borderId="56" xfId="0" applyFill="1" applyBorder="1"/>
    <xf numFmtId="0" fontId="0" fillId="4" borderId="57" xfId="0" applyFill="1" applyBorder="1"/>
    <xf numFmtId="0" fontId="0" fillId="4" borderId="58" xfId="0" applyFill="1" applyBorder="1"/>
    <xf numFmtId="0" fontId="0" fillId="0" borderId="23" xfId="0" applyFill="1" applyBorder="1"/>
    <xf numFmtId="0" fontId="0" fillId="0" borderId="24" xfId="0" applyFill="1" applyBorder="1"/>
    <xf numFmtId="0" fontId="0" fillId="4" borderId="23" xfId="0" applyFill="1" applyBorder="1"/>
    <xf numFmtId="0" fontId="0" fillId="4" borderId="0" xfId="0" applyFill="1" applyBorder="1"/>
    <xf numFmtId="0" fontId="0" fillId="4" borderId="24" xfId="0" applyFill="1" applyBorder="1"/>
    <xf numFmtId="0" fontId="0" fillId="0" borderId="25" xfId="0" applyFill="1" applyBorder="1"/>
    <xf numFmtId="0" fontId="0" fillId="0" borderId="26" xfId="0" applyFill="1" applyBorder="1"/>
    <xf numFmtId="0" fontId="0" fillId="0" borderId="27" xfId="0" applyFill="1" applyBorder="1"/>
    <xf numFmtId="0" fontId="0" fillId="4" borderId="25" xfId="0" applyFill="1" applyBorder="1"/>
    <xf numFmtId="0" fontId="0" fillId="4" borderId="26" xfId="0" applyFill="1" applyBorder="1"/>
    <xf numFmtId="0" fontId="0" fillId="4" borderId="27" xfId="0" applyFill="1" applyBorder="1"/>
    <xf numFmtId="0" fontId="0" fillId="0" borderId="67" xfId="0" applyBorder="1"/>
    <xf numFmtId="0" fontId="0" fillId="0" borderId="68" xfId="0" applyBorder="1"/>
    <xf numFmtId="0" fontId="0" fillId="0" borderId="69" xfId="0" applyBorder="1"/>
    <xf numFmtId="0" fontId="0" fillId="0" borderId="70" xfId="0" applyBorder="1"/>
    <xf numFmtId="0" fontId="0" fillId="0" borderId="71" xfId="0" applyBorder="1"/>
    <xf numFmtId="0" fontId="0" fillId="0" borderId="72" xfId="0" applyBorder="1"/>
    <xf numFmtId="0" fontId="0" fillId="0" borderId="73" xfId="0" applyBorder="1"/>
    <xf numFmtId="0" fontId="0" fillId="0" borderId="66" xfId="0" applyBorder="1"/>
    <xf numFmtId="10" fontId="0" fillId="0" borderId="68" xfId="0" applyNumberFormat="1" applyBorder="1"/>
    <xf numFmtId="10" fontId="0" fillId="0" borderId="69" xfId="0" applyNumberFormat="1" applyBorder="1"/>
    <xf numFmtId="10" fontId="0" fillId="0" borderId="0" xfId="0" applyNumberFormat="1" applyBorder="1"/>
    <xf numFmtId="10" fontId="0" fillId="0" borderId="17" xfId="0" applyNumberFormat="1" applyBorder="1"/>
    <xf numFmtId="10" fontId="0" fillId="0" borderId="19" xfId="0" applyNumberFormat="1" applyBorder="1"/>
    <xf numFmtId="10" fontId="0" fillId="0" borderId="20" xfId="0" applyNumberFormat="1" applyBorder="1"/>
    <xf numFmtId="0" fontId="0" fillId="0" borderId="75" xfId="0" applyBorder="1"/>
    <xf numFmtId="0" fontId="0" fillId="0" borderId="76" xfId="0" applyBorder="1"/>
    <xf numFmtId="0" fontId="0" fillId="0" borderId="77" xfId="0" applyBorder="1"/>
    <xf numFmtId="0" fontId="0" fillId="0" borderId="78" xfId="0" applyFill="1" applyBorder="1"/>
    <xf numFmtId="0" fontId="0" fillId="0" borderId="10" xfId="0" applyFill="1" applyBorder="1"/>
    <xf numFmtId="0" fontId="0" fillId="0" borderId="74" xfId="0" applyBorder="1"/>
    <xf numFmtId="0" fontId="0" fillId="0" borderId="78" xfId="0" applyBorder="1"/>
    <xf numFmtId="0" fontId="0" fillId="0" borderId="24" xfId="0" applyBorder="1" applyAlignment="1">
      <alignment horizontal="right"/>
    </xf>
    <xf numFmtId="0" fontId="1" fillId="0" borderId="75" xfId="0" applyFont="1" applyBorder="1"/>
    <xf numFmtId="0" fontId="1" fillId="0" borderId="76" xfId="0" applyFont="1" applyBorder="1"/>
    <xf numFmtId="0" fontId="1" fillId="0" borderId="77" xfId="0" applyFont="1" applyBorder="1"/>
    <xf numFmtId="0" fontId="1" fillId="0" borderId="23" xfId="0" applyFont="1" applyBorder="1"/>
    <xf numFmtId="0" fontId="1" fillId="0" borderId="24" xfId="0" applyFont="1" applyBorder="1"/>
    <xf numFmtId="0" fontId="1" fillId="0" borderId="25" xfId="0" applyFont="1" applyBorder="1"/>
    <xf numFmtId="0" fontId="1" fillId="0" borderId="26" xfId="0" applyFont="1" applyBorder="1"/>
    <xf numFmtId="0" fontId="1" fillId="0" borderId="27" xfId="0" applyFont="1" applyBorder="1"/>
    <xf numFmtId="0" fontId="5" fillId="0" borderId="0" xfId="0" applyFont="1" applyAlignment="1">
      <alignment horizontal="center"/>
    </xf>
    <xf numFmtId="0" fontId="0" fillId="0" borderId="75" xfId="0" applyFont="1" applyBorder="1"/>
    <xf numFmtId="0" fontId="0" fillId="0" borderId="76" xfId="0" applyFont="1" applyBorder="1"/>
    <xf numFmtId="0" fontId="0" fillId="0" borderId="77" xfId="0" applyFont="1" applyBorder="1"/>
    <xf numFmtId="167" fontId="0" fillId="0" borderId="78" xfId="0" applyNumberFormat="1" applyFill="1" applyBorder="1"/>
    <xf numFmtId="167" fontId="0" fillId="0" borderId="10" xfId="0" applyNumberFormat="1" applyFill="1" applyBorder="1"/>
    <xf numFmtId="167" fontId="0" fillId="0" borderId="10" xfId="0" applyNumberFormat="1" applyBorder="1"/>
    <xf numFmtId="167" fontId="0" fillId="0" borderId="64" xfId="0" applyNumberFormat="1" applyBorder="1"/>
    <xf numFmtId="0" fontId="0" fillId="0" borderId="79" xfId="0" applyBorder="1"/>
    <xf numFmtId="0" fontId="0" fillId="0" borderId="80" xfId="0" applyBorder="1"/>
    <xf numFmtId="0" fontId="0" fillId="0" borderId="67" xfId="0" applyBorder="1" applyAlignment="1">
      <alignment horizontal="center"/>
    </xf>
    <xf numFmtId="0" fontId="0" fillId="0" borderId="81" xfId="0" applyBorder="1" applyAlignment="1">
      <alignment horizontal="center"/>
    </xf>
    <xf numFmtId="0" fontId="0" fillId="0" borderId="77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75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5" borderId="75" xfId="0" applyFill="1" applyBorder="1"/>
    <xf numFmtId="0" fontId="0" fillId="5" borderId="76" xfId="0" applyFill="1" applyBorder="1"/>
    <xf numFmtId="0" fontId="0" fillId="5" borderId="77" xfId="0" applyFill="1" applyBorder="1"/>
    <xf numFmtId="0" fontId="0" fillId="5" borderId="4" xfId="0" applyFill="1" applyBorder="1"/>
    <xf numFmtId="0" fontId="0" fillId="5" borderId="0" xfId="0" applyFill="1" applyBorder="1"/>
    <xf numFmtId="0" fontId="0" fillId="5" borderId="5" xfId="0" applyFill="1" applyBorder="1"/>
    <xf numFmtId="0" fontId="0" fillId="5" borderId="6" xfId="0" applyFill="1" applyBorder="1"/>
    <xf numFmtId="0" fontId="0" fillId="5" borderId="7" xfId="0" applyFill="1" applyBorder="1"/>
    <xf numFmtId="0" fontId="0" fillId="5" borderId="8" xfId="0" applyFill="1" applyBorder="1"/>
    <xf numFmtId="0" fontId="0" fillId="3" borderId="70" xfId="0" applyFill="1" applyBorder="1"/>
    <xf numFmtId="0" fontId="0" fillId="0" borderId="82" xfId="0" applyBorder="1"/>
    <xf numFmtId="0" fontId="0" fillId="0" borderId="83" xfId="0" applyBorder="1"/>
    <xf numFmtId="0" fontId="0" fillId="0" borderId="84" xfId="0" applyBorder="1"/>
    <xf numFmtId="0" fontId="0" fillId="0" borderId="85" xfId="0" applyBorder="1"/>
    <xf numFmtId="0" fontId="0" fillId="0" borderId="86" xfId="0" applyBorder="1"/>
    <xf numFmtId="0" fontId="0" fillId="0" borderId="87" xfId="0" applyBorder="1"/>
    <xf numFmtId="0" fontId="0" fillId="0" borderId="44" xfId="0" applyBorder="1"/>
    <xf numFmtId="0" fontId="0" fillId="0" borderId="45" xfId="0" applyBorder="1"/>
    <xf numFmtId="0" fontId="0" fillId="0" borderId="46" xfId="0" applyBorder="1"/>
    <xf numFmtId="0" fontId="1" fillId="0" borderId="0" xfId="0" applyFont="1" applyAlignment="1">
      <alignment horizontal="left"/>
    </xf>
    <xf numFmtId="0" fontId="0" fillId="0" borderId="40" xfId="0" applyBorder="1" applyAlignment="1">
      <alignment horizontal="center"/>
    </xf>
    <xf numFmtId="0" fontId="0" fillId="0" borderId="49" xfId="0" applyBorder="1" applyAlignment="1">
      <alignment horizontal="center"/>
    </xf>
    <xf numFmtId="0" fontId="0" fillId="0" borderId="51" xfId="0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63" xfId="0" applyBorder="1" applyAlignment="1">
      <alignment horizontal="center"/>
    </xf>
    <xf numFmtId="0" fontId="0" fillId="0" borderId="10" xfId="0" applyBorder="1" applyAlignment="1">
      <alignment horizontal="center"/>
    </xf>
    <xf numFmtId="0" fontId="0" fillId="0" borderId="88" xfId="0" applyBorder="1"/>
    <xf numFmtId="0" fontId="0" fillId="0" borderId="25" xfId="0" applyBorder="1" applyAlignment="1">
      <alignment horizontal="center"/>
    </xf>
    <xf numFmtId="0" fontId="0" fillId="0" borderId="64" xfId="0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11" xfId="0" applyBorder="1" applyAlignment="1">
      <alignment horizontal="center"/>
    </xf>
    <xf numFmtId="0" fontId="0" fillId="0" borderId="89" xfId="0" applyBorder="1"/>
    <xf numFmtId="0" fontId="0" fillId="0" borderId="5" xfId="0" applyFill="1" applyBorder="1" applyAlignment="1">
      <alignment horizontal="center"/>
    </xf>
    <xf numFmtId="0" fontId="11" fillId="0" borderId="0" xfId="0" applyFont="1" applyBorder="1"/>
    <xf numFmtId="0" fontId="0" fillId="0" borderId="90" xfId="0" applyBorder="1"/>
    <xf numFmtId="164" fontId="0" fillId="0" borderId="40" xfId="0" applyNumberFormat="1" applyBorder="1"/>
    <xf numFmtId="164" fontId="0" fillId="0" borderId="48" xfId="0" applyNumberFormat="1" applyBorder="1"/>
    <xf numFmtId="164" fontId="0" fillId="0" borderId="49" xfId="0" applyNumberFormat="1" applyBorder="1"/>
    <xf numFmtId="0" fontId="0" fillId="6" borderId="40" xfId="0" applyFill="1" applyBorder="1"/>
    <xf numFmtId="0" fontId="0" fillId="6" borderId="48" xfId="0" applyFill="1" applyBorder="1"/>
    <xf numFmtId="0" fontId="0" fillId="6" borderId="49" xfId="0" applyFill="1" applyBorder="1"/>
    <xf numFmtId="0" fontId="0" fillId="7" borderId="23" xfId="0" applyFill="1" applyBorder="1"/>
    <xf numFmtId="0" fontId="0" fillId="7" borderId="0" xfId="0" applyFill="1" applyBorder="1"/>
    <xf numFmtId="0" fontId="0" fillId="7" borderId="24" xfId="0" applyFill="1" applyBorder="1"/>
    <xf numFmtId="0" fontId="0" fillId="8" borderId="23" xfId="0" applyFill="1" applyBorder="1"/>
    <xf numFmtId="0" fontId="0" fillId="8" borderId="0" xfId="0" applyFill="1" applyBorder="1"/>
    <xf numFmtId="0" fontId="0" fillId="8" borderId="24" xfId="0" applyFill="1" applyBorder="1"/>
    <xf numFmtId="0" fontId="0" fillId="9" borderId="25" xfId="0" applyFill="1" applyBorder="1"/>
    <xf numFmtId="0" fontId="0" fillId="9" borderId="26" xfId="0" applyFill="1" applyBorder="1"/>
    <xf numFmtId="0" fontId="0" fillId="9" borderId="27" xfId="0" applyFill="1" applyBorder="1"/>
    <xf numFmtId="0" fontId="0" fillId="0" borderId="26" xfId="0" applyBorder="1" applyAlignment="1">
      <alignment horizontal="center"/>
    </xf>
    <xf numFmtId="0" fontId="0" fillId="0" borderId="52" xfId="0" applyBorder="1" applyAlignment="1">
      <alignment horizontal="center"/>
    </xf>
    <xf numFmtId="0" fontId="0" fillId="0" borderId="86" xfId="0" applyBorder="1" applyAlignment="1">
      <alignment horizontal="center"/>
    </xf>
    <xf numFmtId="0" fontId="0" fillId="0" borderId="40" xfId="0" applyNumberFormat="1" applyBorder="1"/>
    <xf numFmtId="0" fontId="0" fillId="0" borderId="48" xfId="0" applyNumberFormat="1" applyBorder="1"/>
    <xf numFmtId="0" fontId="0" fillId="0" borderId="49" xfId="0" applyNumberFormat="1" applyBorder="1"/>
    <xf numFmtId="0" fontId="0" fillId="0" borderId="91" xfId="0" applyBorder="1"/>
    <xf numFmtId="0" fontId="0" fillId="0" borderId="23" xfId="0" applyNumberFormat="1" applyBorder="1"/>
    <xf numFmtId="0" fontId="0" fillId="0" borderId="0" xfId="0" applyNumberFormat="1" applyBorder="1"/>
    <xf numFmtId="0" fontId="0" fillId="0" borderId="24" xfId="0" applyNumberFormat="1" applyBorder="1"/>
    <xf numFmtId="166" fontId="0" fillId="0" borderId="48" xfId="2" applyNumberFormat="1" applyFont="1" applyBorder="1"/>
    <xf numFmtId="166" fontId="0" fillId="0" borderId="49" xfId="2" applyNumberFormat="1" applyFont="1" applyBorder="1"/>
    <xf numFmtId="166" fontId="0" fillId="0" borderId="24" xfId="2" applyNumberFormat="1" applyFont="1" applyBorder="1"/>
    <xf numFmtId="166" fontId="0" fillId="0" borderId="27" xfId="2" applyNumberFormat="1" applyFont="1" applyBorder="1"/>
    <xf numFmtId="166" fontId="0" fillId="0" borderId="0" xfId="2" applyNumberFormat="1" applyFont="1"/>
    <xf numFmtId="0" fontId="0" fillId="0" borderId="25" xfId="0" applyNumberFormat="1" applyBorder="1"/>
    <xf numFmtId="0" fontId="0" fillId="0" borderId="26" xfId="0" applyNumberFormat="1" applyBorder="1"/>
    <xf numFmtId="0" fontId="0" fillId="0" borderId="27" xfId="0" applyNumberFormat="1" applyBorder="1"/>
    <xf numFmtId="164" fontId="0" fillId="0" borderId="52" xfId="0" applyNumberFormat="1" applyBorder="1"/>
    <xf numFmtId="0" fontId="0" fillId="0" borderId="53" xfId="0" applyBorder="1" applyAlignment="1">
      <alignment horizontal="center"/>
    </xf>
    <xf numFmtId="166" fontId="0" fillId="0" borderId="25" xfId="2" applyNumberFormat="1" applyFont="1" applyBorder="1"/>
    <xf numFmtId="166" fontId="0" fillId="0" borderId="0" xfId="0" applyNumberFormat="1"/>
    <xf numFmtId="166" fontId="0" fillId="0" borderId="51" xfId="2" applyNumberFormat="1" applyFont="1" applyFill="1" applyBorder="1" applyAlignment="1">
      <alignment horizontal="center"/>
    </xf>
    <xf numFmtId="166" fontId="0" fillId="0" borderId="63" xfId="2" applyNumberFormat="1" applyFont="1" applyFill="1" applyBorder="1" applyAlignment="1">
      <alignment horizontal="center"/>
    </xf>
    <xf numFmtId="166" fontId="0" fillId="0" borderId="64" xfId="2" applyNumberFormat="1" applyFont="1" applyFill="1" applyBorder="1" applyAlignment="1">
      <alignment horizontal="center"/>
    </xf>
    <xf numFmtId="0" fontId="0" fillId="0" borderId="43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33" xfId="0" applyBorder="1" applyAlignment="1">
      <alignment horizontal="center"/>
    </xf>
    <xf numFmtId="0" fontId="0" fillId="0" borderId="54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5" xfId="0" applyBorder="1" applyAlignment="1">
      <alignment horizontal="right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center" vertical="center"/>
    </xf>
    <xf numFmtId="0" fontId="0" fillId="0" borderId="40" xfId="0" applyBorder="1" applyAlignment="1">
      <alignment vertical="center"/>
    </xf>
    <xf numFmtId="0" fontId="0" fillId="0" borderId="86" xfId="0" applyBorder="1" applyAlignment="1">
      <alignment vertical="center"/>
    </xf>
    <xf numFmtId="0" fontId="0" fillId="0" borderId="87" xfId="0" applyBorder="1" applyAlignment="1">
      <alignment vertical="center"/>
    </xf>
    <xf numFmtId="10" fontId="0" fillId="0" borderId="0" xfId="0" applyNumberFormat="1" applyAlignment="1">
      <alignment vertical="center"/>
    </xf>
    <xf numFmtId="0" fontId="0" fillId="0" borderId="23" xfId="0" applyBorder="1" applyAlignment="1">
      <alignment vertical="center"/>
    </xf>
    <xf numFmtId="0" fontId="0" fillId="0" borderId="0" xfId="0" applyBorder="1" applyAlignment="1">
      <alignment vertical="center"/>
    </xf>
    <xf numFmtId="0" fontId="0" fillId="0" borderId="24" xfId="0" applyBorder="1" applyAlignment="1">
      <alignment vertical="center"/>
    </xf>
    <xf numFmtId="0" fontId="0" fillId="0" borderId="25" xfId="0" applyBorder="1" applyAlignment="1">
      <alignment vertical="center"/>
    </xf>
    <xf numFmtId="0" fontId="0" fillId="0" borderId="26" xfId="0" applyBorder="1" applyAlignment="1">
      <alignment vertical="center"/>
    </xf>
    <xf numFmtId="0" fontId="0" fillId="0" borderId="27" xfId="0" applyBorder="1" applyAlignment="1">
      <alignment vertical="center"/>
    </xf>
    <xf numFmtId="0" fontId="0" fillId="0" borderId="0" xfId="0" applyFill="1" applyBorder="1" applyAlignment="1">
      <alignment vertical="center"/>
    </xf>
    <xf numFmtId="0" fontId="0" fillId="0" borderId="0" xfId="0" applyAlignment="1">
      <alignment horizontal="right" vertical="center"/>
    </xf>
    <xf numFmtId="0" fontId="0" fillId="0" borderId="12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Fill="1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7" fillId="0" borderId="87" xfId="0" applyFont="1" applyBorder="1" applyAlignment="1">
      <alignment vertical="center"/>
    </xf>
    <xf numFmtId="0" fontId="7" fillId="0" borderId="86" xfId="0" applyFont="1" applyBorder="1" applyAlignment="1">
      <alignment vertical="center"/>
    </xf>
    <xf numFmtId="0" fontId="0" fillId="0" borderId="54" xfId="0" applyBorder="1" applyAlignment="1">
      <alignment vertical="center"/>
    </xf>
    <xf numFmtId="0" fontId="0" fillId="0" borderId="50" xfId="0" applyBorder="1" applyAlignment="1">
      <alignment vertical="center"/>
    </xf>
    <xf numFmtId="0" fontId="0" fillId="0" borderId="55" xfId="0" applyBorder="1" applyAlignment="1">
      <alignment vertical="center"/>
    </xf>
    <xf numFmtId="0" fontId="0" fillId="0" borderId="16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18" xfId="0" applyBorder="1" applyAlignment="1">
      <alignment vertical="center"/>
    </xf>
    <xf numFmtId="0" fontId="0" fillId="0" borderId="19" xfId="0" applyBorder="1" applyAlignment="1">
      <alignment vertical="center"/>
    </xf>
    <xf numFmtId="0" fontId="0" fillId="0" borderId="20" xfId="0" applyBorder="1" applyAlignment="1">
      <alignment vertical="center"/>
    </xf>
    <xf numFmtId="0" fontId="6" fillId="0" borderId="28" xfId="0" applyFont="1" applyBorder="1" applyAlignment="1">
      <alignment horizontal="center"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7" fillId="0" borderId="5" xfId="0" applyFont="1" applyBorder="1" applyAlignment="1">
      <alignment vertical="center"/>
    </xf>
    <xf numFmtId="0" fontId="7" fillId="0" borderId="0" xfId="0" applyFont="1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8" xfId="0" applyBorder="1" applyAlignment="1">
      <alignment vertical="center"/>
    </xf>
    <xf numFmtId="0" fontId="7" fillId="0" borderId="8" xfId="0" applyFont="1" applyBorder="1" applyAlignment="1">
      <alignment vertical="center"/>
    </xf>
    <xf numFmtId="0" fontId="7" fillId="0" borderId="7" xfId="0" applyFont="1" applyBorder="1" applyAlignment="1">
      <alignment vertical="center"/>
    </xf>
    <xf numFmtId="0" fontId="0" fillId="0" borderId="48" xfId="0" applyBorder="1" applyAlignment="1">
      <alignment vertical="center"/>
    </xf>
    <xf numFmtId="0" fontId="0" fillId="0" borderId="49" xfId="0" applyBorder="1" applyAlignment="1">
      <alignment vertical="center"/>
    </xf>
    <xf numFmtId="0" fontId="7" fillId="0" borderId="0" xfId="0" applyFont="1" applyFill="1" applyBorder="1" applyAlignment="1">
      <alignment vertical="center"/>
    </xf>
    <xf numFmtId="0" fontId="0" fillId="0" borderId="0" xfId="0" applyFont="1" applyFill="1" applyBorder="1" applyAlignment="1">
      <alignment vertical="center"/>
    </xf>
    <xf numFmtId="0" fontId="0" fillId="0" borderId="92" xfId="0" applyBorder="1" applyAlignment="1">
      <alignment vertical="center"/>
    </xf>
    <xf numFmtId="0" fontId="7" fillId="0" borderId="49" xfId="0" applyFont="1" applyBorder="1" applyAlignment="1">
      <alignment vertical="center"/>
    </xf>
    <xf numFmtId="0" fontId="7" fillId="0" borderId="48" xfId="0" applyFont="1" applyBorder="1" applyAlignment="1">
      <alignment vertical="center"/>
    </xf>
    <xf numFmtId="10" fontId="0" fillId="0" borderId="48" xfId="2" applyNumberFormat="1" applyFont="1" applyBorder="1"/>
    <xf numFmtId="10" fontId="0" fillId="0" borderId="49" xfId="0" applyNumberFormat="1" applyBorder="1"/>
    <xf numFmtId="10" fontId="0" fillId="0" borderId="0" xfId="2" applyNumberFormat="1" applyFont="1" applyBorder="1"/>
    <xf numFmtId="10" fontId="0" fillId="0" borderId="5" xfId="0" applyNumberFormat="1" applyBorder="1"/>
    <xf numFmtId="10" fontId="0" fillId="0" borderId="7" xfId="2" applyNumberFormat="1" applyFont="1" applyBorder="1"/>
    <xf numFmtId="10" fontId="0" fillId="0" borderId="8" xfId="0" applyNumberFormat="1" applyBorder="1"/>
    <xf numFmtId="0" fontId="0" fillId="0" borderId="4" xfId="0" applyFill="1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6" xfId="0" applyFill="1" applyBorder="1" applyAlignment="1">
      <alignment vertical="center"/>
    </xf>
    <xf numFmtId="0" fontId="0" fillId="0" borderId="8" xfId="0" applyFill="1" applyBorder="1" applyAlignment="1">
      <alignment vertical="center"/>
    </xf>
    <xf numFmtId="0" fontId="0" fillId="0" borderId="40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2" xfId="0" applyBorder="1" applyAlignment="1">
      <alignment vertical="center"/>
    </xf>
    <xf numFmtId="0" fontId="0" fillId="0" borderId="52" xfId="0" applyBorder="1" applyAlignment="1">
      <alignment vertical="center"/>
    </xf>
    <xf numFmtId="0" fontId="7" fillId="0" borderId="52" xfId="0" applyFont="1" applyBorder="1" applyAlignment="1">
      <alignment vertical="center"/>
    </xf>
    <xf numFmtId="0" fontId="7" fillId="0" borderId="53" xfId="0" applyFont="1" applyBorder="1" applyAlignment="1">
      <alignment vertical="center"/>
    </xf>
    <xf numFmtId="0" fontId="0" fillId="0" borderId="51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93" xfId="0" applyBorder="1"/>
    <xf numFmtId="2" fontId="0" fillId="0" borderId="52" xfId="0" applyNumberFormat="1" applyFill="1" applyBorder="1" applyAlignment="1">
      <alignment horizontal="center"/>
    </xf>
    <xf numFmtId="2" fontId="0" fillId="0" borderId="26" xfId="0" applyNumberFormat="1" applyFill="1" applyBorder="1" applyAlignment="1">
      <alignment horizontal="right"/>
    </xf>
    <xf numFmtId="2" fontId="12" fillId="0" borderId="0" xfId="0" applyNumberFormat="1" applyFont="1" applyFill="1" applyBorder="1" applyAlignment="1" applyProtection="1">
      <alignment horizontal="center"/>
      <protection locked="0"/>
    </xf>
    <xf numFmtId="0" fontId="0" fillId="0" borderId="94" xfId="0" applyBorder="1"/>
    <xf numFmtId="0" fontId="0" fillId="0" borderId="95" xfId="0" applyBorder="1"/>
    <xf numFmtId="2" fontId="0" fillId="0" borderId="0" xfId="0" applyNumberFormat="1" applyAlignment="1">
      <alignment horizontal="right"/>
    </xf>
    <xf numFmtId="2" fontId="12" fillId="0" borderId="0" xfId="0" applyNumberFormat="1" applyFont="1" applyFill="1" applyBorder="1" applyAlignment="1" applyProtection="1">
      <alignment horizontal="right"/>
      <protection locked="0"/>
    </xf>
    <xf numFmtId="2" fontId="0" fillId="0" borderId="12" xfId="0" applyNumberFormat="1" applyBorder="1"/>
    <xf numFmtId="2" fontId="0" fillId="0" borderId="53" xfId="0" applyNumberFormat="1" applyBorder="1"/>
    <xf numFmtId="0" fontId="0" fillId="0" borderId="96" xfId="0" applyBorder="1"/>
    <xf numFmtId="166" fontId="0" fillId="0" borderId="11" xfId="2" applyNumberFormat="1" applyFont="1" applyBorder="1"/>
    <xf numFmtId="2" fontId="12" fillId="0" borderId="26" xfId="0" applyNumberFormat="1" applyFont="1" applyFill="1" applyBorder="1" applyAlignment="1" applyProtection="1">
      <alignment horizontal="center"/>
      <protection locked="0"/>
    </xf>
    <xf numFmtId="2" fontId="13" fillId="0" borderId="0" xfId="0" applyNumberFormat="1" applyFont="1" applyFill="1" applyBorder="1" applyProtection="1">
      <protection locked="0"/>
    </xf>
    <xf numFmtId="2" fontId="0" fillId="0" borderId="26" xfId="0" applyNumberFormat="1" applyBorder="1" applyAlignment="1">
      <alignment horizontal="right"/>
    </xf>
    <xf numFmtId="2" fontId="12" fillId="0" borderId="26" xfId="0" applyNumberFormat="1" applyFont="1" applyFill="1" applyBorder="1" applyAlignment="1" applyProtection="1">
      <alignment horizontal="right"/>
      <protection locked="0"/>
    </xf>
    <xf numFmtId="166" fontId="0" fillId="0" borderId="33" xfId="0" applyNumberFormat="1" applyBorder="1"/>
    <xf numFmtId="2" fontId="12" fillId="0" borderId="7" xfId="0" applyNumberFormat="1" applyFont="1" applyFill="1" applyBorder="1" applyAlignment="1" applyProtection="1">
      <alignment horizontal="center"/>
      <protection locked="0"/>
    </xf>
    <xf numFmtId="2" fontId="0" fillId="0" borderId="43" xfId="0" applyNumberFormat="1" applyBorder="1"/>
    <xf numFmtId="2" fontId="0" fillId="0" borderId="33" xfId="0" applyNumberFormat="1" applyBorder="1"/>
    <xf numFmtId="0" fontId="6" fillId="0" borderId="52" xfId="0" applyFont="1" applyBorder="1" applyAlignment="1">
      <alignment horizontal="center"/>
    </xf>
    <xf numFmtId="0" fontId="5" fillId="0" borderId="0" xfId="0" applyFont="1" applyFill="1" applyBorder="1"/>
    <xf numFmtId="0" fontId="5" fillId="0" borderId="63" xfId="0" applyFont="1" applyFill="1" applyBorder="1"/>
    <xf numFmtId="1" fontId="0" fillId="0" borderId="0" xfId="0" applyNumberFormat="1" applyBorder="1" applyAlignment="1">
      <alignment horizontal="center"/>
    </xf>
    <xf numFmtId="1" fontId="0" fillId="0" borderId="44" xfId="0" applyNumberFormat="1" applyBorder="1"/>
    <xf numFmtId="1" fontId="0" fillId="0" borderId="46" xfId="0" applyNumberFormat="1" applyBorder="1"/>
    <xf numFmtId="1" fontId="0" fillId="0" borderId="7" xfId="0" applyNumberFormat="1" applyBorder="1" applyAlignment="1">
      <alignment horizontal="center"/>
    </xf>
    <xf numFmtId="0" fontId="0" fillId="0" borderId="97" xfId="0" applyBorder="1"/>
    <xf numFmtId="0" fontId="0" fillId="0" borderId="98" xfId="0" applyBorder="1"/>
    <xf numFmtId="164" fontId="0" fillId="0" borderId="51" xfId="0" applyNumberFormat="1" applyBorder="1" applyAlignment="1">
      <alignment horizontal="center"/>
    </xf>
    <xf numFmtId="164" fontId="0" fillId="0" borderId="63" xfId="0" applyNumberFormat="1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1" xfId="0" applyNumberFormat="1" applyBorder="1" applyAlignment="1">
      <alignment horizontal="center"/>
    </xf>
    <xf numFmtId="164" fontId="0" fillId="0" borderId="40" xfId="0" applyNumberFormat="1" applyBorder="1" applyAlignment="1">
      <alignment horizontal="center"/>
    </xf>
    <xf numFmtId="164" fontId="0" fillId="0" borderId="48" xfId="0" applyNumberFormat="1" applyBorder="1" applyAlignment="1">
      <alignment horizontal="center"/>
    </xf>
    <xf numFmtId="164" fontId="0" fillId="0" borderId="49" xfId="0" applyNumberFormat="1" applyBorder="1" applyAlignment="1">
      <alignment horizontal="center"/>
    </xf>
    <xf numFmtId="164" fontId="0" fillId="0" borderId="23" xfId="0" applyNumberFormat="1" applyBorder="1" applyAlignment="1">
      <alignment horizontal="center"/>
    </xf>
    <xf numFmtId="164" fontId="0" fillId="0" borderId="0" xfId="0" applyNumberFormat="1" applyBorder="1" applyAlignment="1">
      <alignment horizontal="center"/>
    </xf>
    <xf numFmtId="164" fontId="0" fillId="0" borderId="24" xfId="0" applyNumberFormat="1" applyBorder="1" applyAlignment="1">
      <alignment horizontal="center"/>
    </xf>
    <xf numFmtId="164" fontId="0" fillId="0" borderId="6" xfId="0" applyNumberFormat="1" applyBorder="1" applyAlignment="1">
      <alignment horizontal="center"/>
    </xf>
    <xf numFmtId="164" fontId="0" fillId="0" borderId="7" xfId="0" applyNumberFormat="1" applyBorder="1" applyAlignment="1">
      <alignment horizontal="center"/>
    </xf>
    <xf numFmtId="164" fontId="0" fillId="0" borderId="8" xfId="0" applyNumberFormat="1" applyBorder="1" applyAlignment="1">
      <alignment horizontal="center"/>
    </xf>
    <xf numFmtId="0" fontId="5" fillId="0" borderId="0" xfId="0" applyFont="1" applyAlignment="1">
      <alignment horizontal="right"/>
    </xf>
    <xf numFmtId="0" fontId="0" fillId="0" borderId="99" xfId="0" applyBorder="1"/>
    <xf numFmtId="0" fontId="0" fillId="0" borderId="12" xfId="0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0" fontId="0" fillId="0" borderId="53" xfId="0" applyBorder="1" applyAlignment="1">
      <alignment horizontal="center" vertical="center"/>
    </xf>
    <xf numFmtId="0" fontId="0" fillId="0" borderId="26" xfId="0" applyBorder="1" applyAlignment="1">
      <alignment horizontal="left"/>
    </xf>
  </cellXfs>
  <cellStyles count="3">
    <cellStyle name="Hiperlink" xfId="1" builtinId="8"/>
    <cellStyle name="Normal" xfId="0" builtinId="0"/>
    <cellStyle name="Porcentagem" xfId="2" builtinId="5"/>
  </cellStyles>
  <dxfs count="14">
    <dxf>
      <fill>
        <patternFill>
          <bgColor rgb="FF92D050"/>
        </patternFill>
      </fill>
    </dxf>
    <dxf>
      <fill>
        <patternFill>
          <bgColor rgb="FFFFFF0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76" Type="http://schemas.openxmlformats.org/officeDocument/2006/relationships/worksheet" Target="worksheets/sheet76.xml"/><Relationship Id="rId84" Type="http://schemas.openxmlformats.org/officeDocument/2006/relationships/worksheet" Target="worksheets/sheet84.xml"/><Relationship Id="rId89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worksheet" Target="worksheets/sheet79.xml"/><Relationship Id="rId87" Type="http://schemas.openxmlformats.org/officeDocument/2006/relationships/theme" Target="theme/theme1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90" Type="http://schemas.openxmlformats.org/officeDocument/2006/relationships/sheetMetadata" Target="metadata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worksheet" Target="worksheets/sheet80.xml"/><Relationship Id="rId85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83" Type="http://schemas.openxmlformats.org/officeDocument/2006/relationships/worksheet" Target="worksheets/sheet83.xml"/><Relationship Id="rId88" Type="http://schemas.openxmlformats.org/officeDocument/2006/relationships/styles" Target="styles.xml"/><Relationship Id="rId91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81" Type="http://schemas.openxmlformats.org/officeDocument/2006/relationships/worksheet" Target="worksheets/sheet81.xml"/><Relationship Id="rId86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Ellipse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Ellipse!$R$4:$R$24</c:f>
              <c:numCache>
                <c:formatCode>General</c:formatCode>
                <c:ptCount val="21"/>
                <c:pt idx="0">
                  <c:v>30.609374187993016</c:v>
                </c:pt>
                <c:pt idx="1">
                  <c:v>30.279638327073844</c:v>
                </c:pt>
                <c:pt idx="2">
                  <c:v>29.735467523625974</c:v>
                </c:pt>
                <c:pt idx="3">
                  <c:v>29.030129007351807</c:v>
                </c:pt>
                <c:pt idx="4">
                  <c:v>28.232666226606678</c:v>
                </c:pt>
                <c:pt idx="5">
                  <c:v>27.42114039461983</c:v>
                </c:pt>
                <c:pt idx="6">
                  <c:v>26.674989314059079</c:v>
                </c:pt>
                <c:pt idx="7">
                  <c:v>26.067251451429986</c:v>
                </c:pt>
                <c:pt idx="8">
                  <c:v>25.657416423085358</c:v>
                </c:pt>
                <c:pt idx="9">
                  <c:v>25.485601737088118</c:v>
                </c:pt>
                <c:pt idx="10">
                  <c:v>25.568625812006982</c:v>
                </c:pt>
                <c:pt idx="11">
                  <c:v>25.898361672926153</c:v>
                </c:pt>
                <c:pt idx="12">
                  <c:v>26.442532476374023</c:v>
                </c:pt>
                <c:pt idx="13">
                  <c:v>27.14787099264819</c:v>
                </c:pt>
                <c:pt idx="14">
                  <c:v>27.945333773393315</c:v>
                </c:pt>
                <c:pt idx="15">
                  <c:v>28.756859605380168</c:v>
                </c:pt>
                <c:pt idx="16">
                  <c:v>29.503010685940918</c:v>
                </c:pt>
                <c:pt idx="17">
                  <c:v>30.110748548570012</c:v>
                </c:pt>
                <c:pt idx="18">
                  <c:v>30.520583576914639</c:v>
                </c:pt>
                <c:pt idx="19">
                  <c:v>30.69239826291188</c:v>
                </c:pt>
                <c:pt idx="20">
                  <c:v>30.609374187993016</c:v>
                </c:pt>
              </c:numCache>
            </c:numRef>
          </c:xVal>
          <c:yVal>
            <c:numRef>
              <c:f>Ellipse!$S$4:$S$24</c:f>
              <c:numCache>
                <c:formatCode>General</c:formatCode>
                <c:ptCount val="21"/>
                <c:pt idx="0">
                  <c:v>16.67004955847538</c:v>
                </c:pt>
                <c:pt idx="1">
                  <c:v>16.829915325238847</c:v>
                </c:pt>
                <c:pt idx="2">
                  <c:v>16.777081000376636</c:v>
                </c:pt>
                <c:pt idx="3">
                  <c:v>16.516718375724651</c:v>
                </c:pt>
                <c:pt idx="4">
                  <c:v>16.074313559036895</c:v>
                </c:pt>
                <c:pt idx="5">
                  <c:v>15.493172216186384</c:v>
                </c:pt>
                <c:pt idx="6">
                  <c:v>14.830180510861144</c:v>
                </c:pt>
                <c:pt idx="7">
                  <c:v>14.150236690513244</c:v>
                </c:pt>
                <c:pt idx="8">
                  <c:v>13.519898393725503</c:v>
                </c:pt>
                <c:pt idx="9">
                  <c:v>13.000867524812664</c:v>
                </c:pt>
                <c:pt idx="10">
                  <c:v>12.64395044152462</c:v>
                </c:pt>
                <c:pt idx="11">
                  <c:v>12.484084674761153</c:v>
                </c:pt>
                <c:pt idx="12">
                  <c:v>12.536918999623364</c:v>
                </c:pt>
                <c:pt idx="13">
                  <c:v>12.79728162427535</c:v>
                </c:pt>
                <c:pt idx="14">
                  <c:v>13.239686440963103</c:v>
                </c:pt>
                <c:pt idx="15">
                  <c:v>13.820827783813616</c:v>
                </c:pt>
                <c:pt idx="16">
                  <c:v>14.483819489138856</c:v>
                </c:pt>
                <c:pt idx="17">
                  <c:v>15.163763309486756</c:v>
                </c:pt>
                <c:pt idx="18">
                  <c:v>15.794101606274497</c:v>
                </c:pt>
                <c:pt idx="19">
                  <c:v>16.313132475187338</c:v>
                </c:pt>
                <c:pt idx="20">
                  <c:v>16.67004955847538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0-958C-4D3F-9473-D36C569E2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349632"/>
        <c:axId val="333351552"/>
      </c:scatterChart>
      <c:scatterChart>
        <c:scatterStyle val="lineMarker"/>
        <c:varyColors val="0"/>
        <c:ser>
          <c:idx val="1"/>
          <c:order val="1"/>
          <c:tx>
            <c:v>Data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Ellipse!$A$4:$A$13</c:f>
              <c:numCache>
                <c:formatCode>0.00</c:formatCode>
                <c:ptCount val="10"/>
                <c:pt idx="0">
                  <c:v>27.11</c:v>
                </c:pt>
                <c:pt idx="1">
                  <c:v>26.77</c:v>
                </c:pt>
                <c:pt idx="2">
                  <c:v>27.35</c:v>
                </c:pt>
                <c:pt idx="3">
                  <c:v>29.2</c:v>
                </c:pt>
                <c:pt idx="4">
                  <c:v>27.44</c:v>
                </c:pt>
                <c:pt idx="5">
                  <c:v>26.16</c:v>
                </c:pt>
                <c:pt idx="6">
                  <c:v>26.25</c:v>
                </c:pt>
                <c:pt idx="7">
                  <c:v>31.21</c:v>
                </c:pt>
                <c:pt idx="8">
                  <c:v>29.34</c:v>
                </c:pt>
                <c:pt idx="9">
                  <c:v>30.06</c:v>
                </c:pt>
              </c:numCache>
            </c:numRef>
          </c:xVal>
          <c:yVal>
            <c:numRef>
              <c:f>Ellipse!$B$4:$B$13</c:f>
              <c:numCache>
                <c:formatCode>0.00</c:formatCode>
                <c:ptCount val="10"/>
                <c:pt idx="0">
                  <c:v>13.8</c:v>
                </c:pt>
                <c:pt idx="1">
                  <c:v>13.42</c:v>
                </c:pt>
                <c:pt idx="2">
                  <c:v>12.76</c:v>
                </c:pt>
                <c:pt idx="3">
                  <c:v>14.88</c:v>
                </c:pt>
                <c:pt idx="4">
                  <c:v>14.56</c:v>
                </c:pt>
                <c:pt idx="5">
                  <c:v>14.35</c:v>
                </c:pt>
                <c:pt idx="6">
                  <c:v>13.86</c:v>
                </c:pt>
                <c:pt idx="7">
                  <c:v>17.61</c:v>
                </c:pt>
                <c:pt idx="8">
                  <c:v>16.559999999999999</c:v>
                </c:pt>
                <c:pt idx="9">
                  <c:v>14.77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58C-4D3F-9473-D36C569E2D10}"/>
            </c:ext>
          </c:extLst>
        </c:ser>
        <c:ser>
          <c:idx val="2"/>
          <c:order val="2"/>
          <c:tx>
            <c:v>Mean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Ellipse!$D$8</c:f>
              <c:numCache>
                <c:formatCode>0.00</c:formatCode>
                <c:ptCount val="1"/>
                <c:pt idx="0">
                  <c:v>28.088999999999999</c:v>
                </c:pt>
              </c:numCache>
            </c:numRef>
          </c:xVal>
          <c:yVal>
            <c:numRef>
              <c:f>Ellipse!$E$8</c:f>
              <c:numCache>
                <c:formatCode>0.00</c:formatCode>
                <c:ptCount val="1"/>
                <c:pt idx="0">
                  <c:v>14.657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58C-4D3F-9473-D36C569E2D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349632"/>
        <c:axId val="333351552"/>
      </c:scatterChart>
      <c:valAx>
        <c:axId val="333349632"/>
        <c:scaling>
          <c:orientation val="minMax"/>
          <c:max val="32"/>
          <c:min val="25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3351552"/>
        <c:crosses val="autoZero"/>
        <c:crossBetween val="midCat"/>
      </c:valAx>
      <c:valAx>
        <c:axId val="333351552"/>
        <c:scaling>
          <c:orientation val="minMax"/>
          <c:max val="18"/>
          <c:min val="1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334963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GB"/>
              <a:t>Confidence Ellipse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xVal>
            <c:numRef>
              <c:f>'Ellipse 2'!$A$4:$A$13</c:f>
              <c:numCache>
                <c:formatCode>0.00</c:formatCode>
                <c:ptCount val="10"/>
                <c:pt idx="0">
                  <c:v>27.11</c:v>
                </c:pt>
                <c:pt idx="1">
                  <c:v>26.77</c:v>
                </c:pt>
                <c:pt idx="2">
                  <c:v>27.35</c:v>
                </c:pt>
                <c:pt idx="3">
                  <c:v>29.2</c:v>
                </c:pt>
                <c:pt idx="4">
                  <c:v>27.44</c:v>
                </c:pt>
                <c:pt idx="5">
                  <c:v>26.16</c:v>
                </c:pt>
                <c:pt idx="6">
                  <c:v>26.25</c:v>
                </c:pt>
                <c:pt idx="7">
                  <c:v>31.21</c:v>
                </c:pt>
                <c:pt idx="8">
                  <c:v>29.34</c:v>
                </c:pt>
                <c:pt idx="9">
                  <c:v>30.06</c:v>
                </c:pt>
              </c:numCache>
            </c:numRef>
          </c:xVal>
          <c:yVal>
            <c:numRef>
              <c:f>'Ellipse 2'!$B$4:$B$13</c:f>
              <c:numCache>
                <c:formatCode>0.00</c:formatCode>
                <c:ptCount val="10"/>
                <c:pt idx="0">
                  <c:v>13.8</c:v>
                </c:pt>
                <c:pt idx="1">
                  <c:v>13.42</c:v>
                </c:pt>
                <c:pt idx="2">
                  <c:v>12.76</c:v>
                </c:pt>
                <c:pt idx="3">
                  <c:v>14.88</c:v>
                </c:pt>
                <c:pt idx="4">
                  <c:v>14.56</c:v>
                </c:pt>
                <c:pt idx="5">
                  <c:v>14.35</c:v>
                </c:pt>
                <c:pt idx="6">
                  <c:v>13.86</c:v>
                </c:pt>
                <c:pt idx="7">
                  <c:v>17.61</c:v>
                </c:pt>
                <c:pt idx="8">
                  <c:v>16.559999999999999</c:v>
                </c:pt>
                <c:pt idx="9">
                  <c:v>14.77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18D2-4A3F-8DE2-C595CBCBB1A6}"/>
            </c:ext>
          </c:extLst>
        </c:ser>
        <c:ser>
          <c:idx val="2"/>
          <c:order val="2"/>
          <c:tx>
            <c:v>center</c:v>
          </c:tx>
          <c:spPr>
            <a:ln w="19050">
              <a:noFill/>
            </a:ln>
          </c:spPr>
          <c:xVal>
            <c:numRef>
              <c:f>'Ellipse 2'!$E$13</c:f>
              <c:numCache>
                <c:formatCode>0.00</c:formatCode>
                <c:ptCount val="1"/>
                <c:pt idx="0">
                  <c:v>28.088999999999999</c:v>
                </c:pt>
              </c:numCache>
            </c:numRef>
          </c:xVal>
          <c:yVal>
            <c:numRef>
              <c:f>'Ellipse 2'!$E$14</c:f>
              <c:numCache>
                <c:formatCode>0.00</c:formatCode>
                <c:ptCount val="1"/>
                <c:pt idx="0">
                  <c:v>14.657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8D2-4A3F-8DE2-C595CBCBB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514624"/>
        <c:axId val="333516160"/>
      </c:scatterChart>
      <c:scatterChart>
        <c:scatterStyle val="smoothMarker"/>
        <c:varyColors val="0"/>
        <c:ser>
          <c:idx val="1"/>
          <c:order val="1"/>
          <c:tx>
            <c:v>ellipse</c:v>
          </c:tx>
          <c:marker>
            <c:symbol val="none"/>
          </c:marker>
          <c:xVal>
            <c:numRef>
              <c:f>'Ellipse 2'!$E$19:$E$39</c:f>
              <c:numCache>
                <c:formatCode>General</c:formatCode>
                <c:ptCount val="21"/>
                <c:pt idx="0">
                  <c:v>32.201825287193088</c:v>
                </c:pt>
                <c:pt idx="1">
                  <c:v>31.663752014841947</c:v>
                </c:pt>
                <c:pt idx="2">
                  <c:v>30.775757108516242</c:v>
                </c:pt>
                <c:pt idx="3">
                  <c:v>29.624763696671444</c:v>
                </c:pt>
                <c:pt idx="4">
                  <c:v>28.323439033901579</c:v>
                </c:pt>
                <c:pt idx="5">
                  <c:v>26.999165845060631</c:v>
                </c:pt>
                <c:pt idx="6">
                  <c:v>25.781573216626199</c:v>
                </c:pt>
                <c:pt idx="7">
                  <c:v>24.789847598536134</c:v>
                </c:pt>
                <c:pt idx="8">
                  <c:v>24.121066004047773</c:v>
                </c:pt>
                <c:pt idx="9">
                  <c:v>23.840693435304999</c:v>
                </c:pt>
                <c:pt idx="10">
                  <c:v>23.976174712806909</c:v>
                </c:pt>
                <c:pt idx="11">
                  <c:v>24.51424798515805</c:v>
                </c:pt>
                <c:pt idx="12">
                  <c:v>25.402242891483755</c:v>
                </c:pt>
                <c:pt idx="13">
                  <c:v>26.553236303328553</c:v>
                </c:pt>
                <c:pt idx="14">
                  <c:v>27.854560966098418</c:v>
                </c:pt>
                <c:pt idx="15">
                  <c:v>29.178834154939366</c:v>
                </c:pt>
                <c:pt idx="16">
                  <c:v>30.396426783373798</c:v>
                </c:pt>
                <c:pt idx="17">
                  <c:v>31.388152401463859</c:v>
                </c:pt>
                <c:pt idx="18">
                  <c:v>32.056933995952221</c:v>
                </c:pt>
                <c:pt idx="19">
                  <c:v>32.337306564694998</c:v>
                </c:pt>
                <c:pt idx="20">
                  <c:v>32.201825287193088</c:v>
                </c:pt>
              </c:numCache>
            </c:numRef>
          </c:xVal>
          <c:yVal>
            <c:numRef>
              <c:f>'Ellipse 2'!$F$19:$F$39</c:f>
              <c:numCache>
                <c:formatCode>General</c:formatCode>
                <c:ptCount val="21"/>
                <c:pt idx="0">
                  <c:v>17.941957117841032</c:v>
                </c:pt>
                <c:pt idx="1">
                  <c:v>18.202831067127452</c:v>
                </c:pt>
                <c:pt idx="2">
                  <c:v>18.116614366305694</c:v>
                </c:pt>
                <c:pt idx="3">
                  <c:v>17.691746506759262</c:v>
                </c:pt>
                <c:pt idx="4">
                  <c:v>16.969816514809011</c:v>
                </c:pt>
                <c:pt idx="5">
                  <c:v>16.021491928049048</c:v>
                </c:pt>
                <c:pt idx="6">
                  <c:v>14.93960136439736</c:v>
                </c:pt>
                <c:pt idx="7">
                  <c:v>13.830047810198971</c:v>
                </c:pt>
                <c:pt idx="8">
                  <c:v>12.801442098053013</c:v>
                </c:pt>
                <c:pt idx="9">
                  <c:v>11.954471321781735</c:v>
                </c:pt>
                <c:pt idx="10">
                  <c:v>11.372042882158969</c:v>
                </c:pt>
                <c:pt idx="11">
                  <c:v>11.111168932872546</c:v>
                </c:pt>
                <c:pt idx="12">
                  <c:v>11.197385633694307</c:v>
                </c:pt>
                <c:pt idx="13">
                  <c:v>11.622253493240736</c:v>
                </c:pt>
                <c:pt idx="14">
                  <c:v>12.344183485190989</c:v>
                </c:pt>
                <c:pt idx="15">
                  <c:v>13.292508071950952</c:v>
                </c:pt>
                <c:pt idx="16">
                  <c:v>14.37439863560264</c:v>
                </c:pt>
                <c:pt idx="17">
                  <c:v>15.483952189801029</c:v>
                </c:pt>
                <c:pt idx="18">
                  <c:v>16.512557901946987</c:v>
                </c:pt>
                <c:pt idx="19">
                  <c:v>17.359528678218265</c:v>
                </c:pt>
                <c:pt idx="20">
                  <c:v>17.941957117841032</c:v>
                </c:pt>
              </c:numCache>
            </c:numRef>
          </c:yVal>
          <c:smooth val="1"/>
          <c:extLst xmlns:c16r2="http://schemas.microsoft.com/office/drawing/2015/06/chart">
            <c:ext xmlns:c16="http://schemas.microsoft.com/office/drawing/2014/chart" uri="{C3380CC4-5D6E-409C-BE32-E72D297353CC}">
              <c16:uniqueId val="{00000002-18D2-4A3F-8DE2-C595CBCBB1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3514624"/>
        <c:axId val="333516160"/>
      </c:scatterChart>
      <c:valAx>
        <c:axId val="333514624"/>
        <c:scaling>
          <c:orientation val="minMax"/>
          <c:max val="33"/>
          <c:min val="23"/>
        </c:scaling>
        <c:delete val="0"/>
        <c:axPos val="b"/>
        <c:numFmt formatCode="0.00" sourceLinked="1"/>
        <c:majorTickMark val="out"/>
        <c:minorTickMark val="none"/>
        <c:tickLblPos val="nextTo"/>
        <c:crossAx val="333516160"/>
        <c:crosses val="autoZero"/>
        <c:crossBetween val="midCat"/>
      </c:valAx>
      <c:valAx>
        <c:axId val="333516160"/>
        <c:scaling>
          <c:orientation val="minMax"/>
          <c:max val="19"/>
          <c:min val="10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33351462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Group Means less Total Mean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'Manova 1'!$F$15</c:f>
              <c:strCache>
                <c:ptCount val="1"/>
                <c:pt idx="0">
                  <c:v>loam</c:v>
                </c:pt>
              </c:strCache>
            </c:strRef>
          </c:tx>
          <c:cat>
            <c:strRef>
              <c:f>'Manova 1'!$G$14:$I$14</c:f>
              <c:strCache>
                <c:ptCount val="3"/>
                <c:pt idx="0">
                  <c:v>yield</c:v>
                </c:pt>
                <c:pt idx="1">
                  <c:v>water</c:v>
                </c:pt>
                <c:pt idx="2">
                  <c:v>herbicide</c:v>
                </c:pt>
              </c:strCache>
            </c:strRef>
          </c:cat>
          <c:val>
            <c:numRef>
              <c:f>'Manova 1'!$G$15:$I$15</c:f>
              <c:numCache>
                <c:formatCode>0.0</c:formatCode>
                <c:ptCount val="3"/>
                <c:pt idx="0">
                  <c:v>8.1031250000000128</c:v>
                </c:pt>
                <c:pt idx="1">
                  <c:v>1.5718749999999986</c:v>
                </c:pt>
                <c:pt idx="2">
                  <c:v>1.7156249999999993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C914-4B75-9335-0E7C79380866}"/>
            </c:ext>
          </c:extLst>
        </c:ser>
        <c:ser>
          <c:idx val="1"/>
          <c:order val="1"/>
          <c:tx>
            <c:strRef>
              <c:f>'Manova 1'!$F$16</c:f>
              <c:strCache>
                <c:ptCount val="1"/>
                <c:pt idx="0">
                  <c:v>sandy</c:v>
                </c:pt>
              </c:strCache>
            </c:strRef>
          </c:tx>
          <c:cat>
            <c:strRef>
              <c:f>'Manova 1'!$G$14:$I$14</c:f>
              <c:strCache>
                <c:ptCount val="3"/>
                <c:pt idx="0">
                  <c:v>yield</c:v>
                </c:pt>
                <c:pt idx="1">
                  <c:v>water</c:v>
                </c:pt>
                <c:pt idx="2">
                  <c:v>herbicide</c:v>
                </c:pt>
              </c:strCache>
            </c:strRef>
          </c:cat>
          <c:val>
            <c:numRef>
              <c:f>'Manova 1'!$G$16:$I$16</c:f>
              <c:numCache>
                <c:formatCode>0.0</c:formatCode>
                <c:ptCount val="3"/>
                <c:pt idx="0">
                  <c:v>0.96562500000000995</c:v>
                </c:pt>
                <c:pt idx="1">
                  <c:v>-2.9656249999999993</c:v>
                </c:pt>
                <c:pt idx="2">
                  <c:v>-0.32187499999999858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C914-4B75-9335-0E7C79380866}"/>
            </c:ext>
          </c:extLst>
        </c:ser>
        <c:ser>
          <c:idx val="2"/>
          <c:order val="2"/>
          <c:tx>
            <c:strRef>
              <c:f>'Manova 1'!$F$17</c:f>
              <c:strCache>
                <c:ptCount val="1"/>
                <c:pt idx="0">
                  <c:v>salty</c:v>
                </c:pt>
              </c:strCache>
            </c:strRef>
          </c:tx>
          <c:cat>
            <c:strRef>
              <c:f>'Manova 1'!$G$14:$I$14</c:f>
              <c:strCache>
                <c:ptCount val="3"/>
                <c:pt idx="0">
                  <c:v>yield</c:v>
                </c:pt>
                <c:pt idx="1">
                  <c:v>water</c:v>
                </c:pt>
                <c:pt idx="2">
                  <c:v>herbicide</c:v>
                </c:pt>
              </c:strCache>
            </c:strRef>
          </c:cat>
          <c:val>
            <c:numRef>
              <c:f>'Manova 1'!$G$17:$I$17</c:f>
              <c:numCache>
                <c:formatCode>0.0</c:formatCode>
                <c:ptCount val="3"/>
                <c:pt idx="0">
                  <c:v>-6.2968749999999929</c:v>
                </c:pt>
                <c:pt idx="1">
                  <c:v>-0.52812500000000284</c:v>
                </c:pt>
                <c:pt idx="2">
                  <c:v>-0.80937499999999929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C914-4B75-9335-0E7C79380866}"/>
            </c:ext>
          </c:extLst>
        </c:ser>
        <c:ser>
          <c:idx val="3"/>
          <c:order val="3"/>
          <c:tx>
            <c:strRef>
              <c:f>'Manova 1'!$F$18</c:f>
              <c:strCache>
                <c:ptCount val="1"/>
                <c:pt idx="0">
                  <c:v>clay</c:v>
                </c:pt>
              </c:strCache>
            </c:strRef>
          </c:tx>
          <c:cat>
            <c:strRef>
              <c:f>'Manova 1'!$G$14:$I$14</c:f>
              <c:strCache>
                <c:ptCount val="3"/>
                <c:pt idx="0">
                  <c:v>yield</c:v>
                </c:pt>
                <c:pt idx="1">
                  <c:v>water</c:v>
                </c:pt>
                <c:pt idx="2">
                  <c:v>herbicide</c:v>
                </c:pt>
              </c:strCache>
            </c:strRef>
          </c:cat>
          <c:val>
            <c:numRef>
              <c:f>'Manova 1'!$G$18:$I$18</c:f>
              <c:numCache>
                <c:formatCode>0.0</c:formatCode>
                <c:ptCount val="3"/>
                <c:pt idx="0">
                  <c:v>-2.7718749999999943</c:v>
                </c:pt>
                <c:pt idx="1">
                  <c:v>1.9218750000000071</c:v>
                </c:pt>
                <c:pt idx="2">
                  <c:v>-0.58437499999999876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C914-4B75-9335-0E7C793808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686080"/>
        <c:axId val="336687872"/>
      </c:lineChart>
      <c:catAx>
        <c:axId val="33668608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36687872"/>
        <c:crosses val="autoZero"/>
        <c:auto val="1"/>
        <c:lblAlgn val="ctr"/>
        <c:lblOffset val="100"/>
        <c:noMultiLvlLbl val="0"/>
      </c:catAx>
      <c:valAx>
        <c:axId val="33668787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336686080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Group Means</a:t>
            </a:r>
          </a:p>
        </c:rich>
      </c:tx>
      <c:layout/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'Manova 1'!$F$6</c:f>
              <c:strCache>
                <c:ptCount val="1"/>
                <c:pt idx="0">
                  <c:v>loam</c:v>
                </c:pt>
              </c:strCache>
            </c:strRef>
          </c:tx>
          <c:cat>
            <c:strRef>
              <c:f>'Manova 1'!$G$5:$I$5</c:f>
              <c:strCache>
                <c:ptCount val="3"/>
                <c:pt idx="0">
                  <c:v>yield</c:v>
                </c:pt>
                <c:pt idx="1">
                  <c:v>water</c:v>
                </c:pt>
                <c:pt idx="2">
                  <c:v>herbicide</c:v>
                </c:pt>
              </c:strCache>
            </c:strRef>
          </c:cat>
          <c:val>
            <c:numRef>
              <c:f>'Manova 1'!$G$6:$I$6</c:f>
              <c:numCache>
                <c:formatCode>General</c:formatCode>
                <c:ptCount val="3"/>
                <c:pt idx="0">
                  <c:v>69.712500000000006</c:v>
                </c:pt>
                <c:pt idx="1">
                  <c:v>32.737499999999997</c:v>
                </c:pt>
                <c:pt idx="2">
                  <c:v>6.3874999999999984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52F-425E-A2B3-F52C165BC594}"/>
            </c:ext>
          </c:extLst>
        </c:ser>
        <c:ser>
          <c:idx val="1"/>
          <c:order val="1"/>
          <c:tx>
            <c:strRef>
              <c:f>'Manova 1'!$F$7</c:f>
              <c:strCache>
                <c:ptCount val="1"/>
                <c:pt idx="0">
                  <c:v>sandy</c:v>
                </c:pt>
              </c:strCache>
            </c:strRef>
          </c:tx>
          <c:cat>
            <c:strRef>
              <c:f>'Manova 1'!$G$5:$I$5</c:f>
              <c:strCache>
                <c:ptCount val="3"/>
                <c:pt idx="0">
                  <c:v>yield</c:v>
                </c:pt>
                <c:pt idx="1">
                  <c:v>water</c:v>
                </c:pt>
                <c:pt idx="2">
                  <c:v>herbicide</c:v>
                </c:pt>
              </c:strCache>
            </c:strRef>
          </c:cat>
          <c:val>
            <c:numRef>
              <c:f>'Manova 1'!$G$7:$I$7</c:f>
              <c:numCache>
                <c:formatCode>General</c:formatCode>
                <c:ptCount val="3"/>
                <c:pt idx="0">
                  <c:v>62.575000000000003</c:v>
                </c:pt>
                <c:pt idx="1">
                  <c:v>28.2</c:v>
                </c:pt>
                <c:pt idx="2">
                  <c:v>4.3500000000000005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952F-425E-A2B3-F52C165BC594}"/>
            </c:ext>
          </c:extLst>
        </c:ser>
        <c:ser>
          <c:idx val="2"/>
          <c:order val="2"/>
          <c:tx>
            <c:strRef>
              <c:f>'Manova 1'!$F$8</c:f>
              <c:strCache>
                <c:ptCount val="1"/>
                <c:pt idx="0">
                  <c:v>salty</c:v>
                </c:pt>
              </c:strCache>
            </c:strRef>
          </c:tx>
          <c:cat>
            <c:strRef>
              <c:f>'Manova 1'!$G$5:$I$5</c:f>
              <c:strCache>
                <c:ptCount val="3"/>
                <c:pt idx="0">
                  <c:v>yield</c:v>
                </c:pt>
                <c:pt idx="1">
                  <c:v>water</c:v>
                </c:pt>
                <c:pt idx="2">
                  <c:v>herbicide</c:v>
                </c:pt>
              </c:strCache>
            </c:strRef>
          </c:cat>
          <c:val>
            <c:numRef>
              <c:f>'Manova 1'!$G$8:$I$8</c:f>
              <c:numCache>
                <c:formatCode>General</c:formatCode>
                <c:ptCount val="3"/>
                <c:pt idx="0">
                  <c:v>55.3125</c:v>
                </c:pt>
                <c:pt idx="1">
                  <c:v>30.637499999999996</c:v>
                </c:pt>
                <c:pt idx="2">
                  <c:v>3.8624999999999998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52F-425E-A2B3-F52C165BC594}"/>
            </c:ext>
          </c:extLst>
        </c:ser>
        <c:ser>
          <c:idx val="3"/>
          <c:order val="3"/>
          <c:tx>
            <c:strRef>
              <c:f>'Manova 1'!$F$9</c:f>
              <c:strCache>
                <c:ptCount val="1"/>
                <c:pt idx="0">
                  <c:v>clay</c:v>
                </c:pt>
              </c:strCache>
            </c:strRef>
          </c:tx>
          <c:cat>
            <c:strRef>
              <c:f>'Manova 1'!$G$5:$I$5</c:f>
              <c:strCache>
                <c:ptCount val="3"/>
                <c:pt idx="0">
                  <c:v>yield</c:v>
                </c:pt>
                <c:pt idx="1">
                  <c:v>water</c:v>
                </c:pt>
                <c:pt idx="2">
                  <c:v>herbicide</c:v>
                </c:pt>
              </c:strCache>
            </c:strRef>
          </c:cat>
          <c:val>
            <c:numRef>
              <c:f>'Manova 1'!$G$9:$I$9</c:f>
              <c:numCache>
                <c:formatCode>General</c:formatCode>
                <c:ptCount val="3"/>
                <c:pt idx="0">
                  <c:v>58.837499999999999</c:v>
                </c:pt>
                <c:pt idx="1">
                  <c:v>33.087500000000006</c:v>
                </c:pt>
                <c:pt idx="2">
                  <c:v>4.0875000000000004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3-952F-425E-A2B3-F52C165BC5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712448"/>
        <c:axId val="336713984"/>
      </c:lineChart>
      <c:catAx>
        <c:axId val="33671244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36713984"/>
        <c:crosses val="autoZero"/>
        <c:auto val="1"/>
        <c:lblAlgn val="ctr"/>
        <c:lblOffset val="100"/>
        <c:noMultiLvlLbl val="0"/>
      </c:catAx>
      <c:valAx>
        <c:axId val="3367139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671244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 Water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'Manova 1c'!$K$6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'Manova 1c'!$L$5:$O$5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1c'!$L$6:$O$6</c:f>
              <c:numCache>
                <c:formatCode>General</c:formatCode>
                <c:ptCount val="4"/>
                <c:pt idx="0">
                  <c:v>16.8</c:v>
                </c:pt>
                <c:pt idx="1">
                  <c:v>21.6</c:v>
                </c:pt>
                <c:pt idx="2">
                  <c:v>15.9</c:v>
                </c:pt>
                <c:pt idx="3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103A-4E39-AE14-725CF4527348}"/>
            </c:ext>
          </c:extLst>
        </c:ser>
        <c:ser>
          <c:idx val="1"/>
          <c:order val="1"/>
          <c:tx>
            <c:strRef>
              <c:f>'Manova 1c'!$K$7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'Manova 1c'!$L$5:$O$5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1c'!$L$7:$O$7</c:f>
              <c:numCache>
                <c:formatCode>General</c:formatCode>
                <c:ptCount val="4"/>
                <c:pt idx="0">
                  <c:v>8.9499999999999993</c:v>
                </c:pt>
                <c:pt idx="1">
                  <c:v>7.4499999999999993</c:v>
                </c:pt>
                <c:pt idx="2">
                  <c:v>11.275</c:v>
                </c:pt>
                <c:pt idx="3">
                  <c:v>5.2999999999999972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103A-4E39-AE14-725CF4527348}"/>
            </c:ext>
          </c:extLst>
        </c:ser>
        <c:ser>
          <c:idx val="2"/>
          <c:order val="2"/>
          <c:tx>
            <c:strRef>
              <c:f>'Manova 1c'!$K$8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'Manova 1c'!$L$5:$O$5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1c'!$L$8:$O$8</c:f>
              <c:numCache>
                <c:formatCode>General</c:formatCode>
                <c:ptCount val="4"/>
                <c:pt idx="0">
                  <c:v>6.2000000000000028</c:v>
                </c:pt>
                <c:pt idx="1">
                  <c:v>2.5500000000000007</c:v>
                </c:pt>
                <c:pt idx="2">
                  <c:v>1.5249999999999986</c:v>
                </c:pt>
                <c:pt idx="3">
                  <c:v>6.6000000000000014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103A-4E39-AE14-725CF4527348}"/>
            </c:ext>
          </c:extLst>
        </c:ser>
        <c:ser>
          <c:idx val="3"/>
          <c:order val="3"/>
          <c:tx>
            <c:strRef>
              <c:f>'Manova 1c'!$K$9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'Manova 1c'!$L$10:$O$10</c:f>
                <c:numCache>
                  <c:formatCode>General</c:formatCode>
                  <c:ptCount val="4"/>
                  <c:pt idx="0">
                    <c:v>15.100000000000001</c:v>
                  </c:pt>
                  <c:pt idx="1">
                    <c:v>9.3500000000000014</c:v>
                  </c:pt>
                  <c:pt idx="2">
                    <c:v>11.399999999999999</c:v>
                  </c:pt>
                  <c:pt idx="3">
                    <c:v>15.849999999999994</c:v>
                  </c:pt>
                </c:numCache>
              </c:numRef>
            </c:plus>
          </c:errBars>
          <c:cat>
            <c:strRef>
              <c:f>'Manova 1c'!$L$5:$O$5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1c'!$L$9:$O$9</c:f>
              <c:numCache>
                <c:formatCode>General</c:formatCode>
                <c:ptCount val="4"/>
                <c:pt idx="0">
                  <c:v>7.1499999999999986</c:v>
                </c:pt>
                <c:pt idx="1">
                  <c:v>4.1499999999999986</c:v>
                </c:pt>
                <c:pt idx="2">
                  <c:v>6.8000000000000007</c:v>
                </c:pt>
                <c:pt idx="3">
                  <c:v>6.0500000000000043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103A-4E39-AE14-725CF45273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165184"/>
        <c:axId val="341166720"/>
      </c:barChart>
      <c:catAx>
        <c:axId val="3411651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41166720"/>
        <c:crosses val="autoZero"/>
        <c:auto val="1"/>
        <c:lblAlgn val="ctr"/>
        <c:lblOffset val="100"/>
        <c:noMultiLvlLbl val="0"/>
      </c:catAx>
      <c:valAx>
        <c:axId val="34116672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1651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 Yield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'Manova 1c'!$K$20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'Manova 1c'!$L$19:$O$19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1c'!$L$20:$O$20</c:f>
              <c:numCache>
                <c:formatCode>General</c:formatCode>
                <c:ptCount val="4"/>
                <c:pt idx="0">
                  <c:v>46.3</c:v>
                </c:pt>
                <c:pt idx="1">
                  <c:v>50.2</c:v>
                </c:pt>
                <c:pt idx="2">
                  <c:v>45</c:v>
                </c:pt>
                <c:pt idx="3">
                  <c:v>50.5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FEC-41C4-AE50-E7DD3C7960B7}"/>
            </c:ext>
          </c:extLst>
        </c:ser>
        <c:ser>
          <c:idx val="1"/>
          <c:order val="1"/>
          <c:tx>
            <c:strRef>
              <c:f>'Manova 1c'!$K$21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'Manova 1c'!$L$19:$O$19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1c'!$L$21:$O$21</c:f>
              <c:numCache>
                <c:formatCode>General</c:formatCode>
                <c:ptCount val="4"/>
                <c:pt idx="0">
                  <c:v>5.4000000000000057</c:v>
                </c:pt>
                <c:pt idx="1">
                  <c:v>8.9249999999999972</c:v>
                </c:pt>
                <c:pt idx="2">
                  <c:v>1.375</c:v>
                </c:pt>
                <c:pt idx="3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7FEC-41C4-AE50-E7DD3C7960B7}"/>
            </c:ext>
          </c:extLst>
        </c:ser>
        <c:ser>
          <c:idx val="2"/>
          <c:order val="2"/>
          <c:tx>
            <c:strRef>
              <c:f>'Manova 1c'!$K$22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'Manova 1c'!$L$19:$O$19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1c'!$L$22:$O$22</c:f>
              <c:numCache>
                <c:formatCode>General</c:formatCode>
                <c:ptCount val="4"/>
                <c:pt idx="0">
                  <c:v>6.3999999999999986</c:v>
                </c:pt>
                <c:pt idx="1">
                  <c:v>6.4250000000000114</c:v>
                </c:pt>
                <c:pt idx="2">
                  <c:v>2.8250000000000028</c:v>
                </c:pt>
                <c:pt idx="3">
                  <c:v>5.1999999999999957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FEC-41C4-AE50-E7DD3C7960B7}"/>
            </c:ext>
          </c:extLst>
        </c:ser>
        <c:ser>
          <c:idx val="3"/>
          <c:order val="3"/>
          <c:tx>
            <c:strRef>
              <c:f>'Manova 1c'!$K$23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'Manova 1c'!$L$24:$O$24</c:f>
                <c:numCache>
                  <c:formatCode>General</c:formatCode>
                  <c:ptCount val="4"/>
                  <c:pt idx="0">
                    <c:v>16.950000000000003</c:v>
                  </c:pt>
                  <c:pt idx="1">
                    <c:v>16.549999999999997</c:v>
                  </c:pt>
                  <c:pt idx="2">
                    <c:v>11.399999999999991</c:v>
                  </c:pt>
                  <c:pt idx="3">
                    <c:v>9.9000000000000057</c:v>
                  </c:pt>
                </c:numCache>
              </c:numRef>
            </c:plus>
          </c:errBars>
          <c:cat>
            <c:strRef>
              <c:f>'Manova 1c'!$L$19:$O$19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1c'!$L$23:$O$23</c:f>
              <c:numCache>
                <c:formatCode>General</c:formatCode>
                <c:ptCount val="4"/>
                <c:pt idx="0">
                  <c:v>4.9499999999999957</c:v>
                </c:pt>
                <c:pt idx="1">
                  <c:v>13.999999999999986</c:v>
                </c:pt>
                <c:pt idx="2">
                  <c:v>15</c:v>
                </c:pt>
                <c:pt idx="3">
                  <c:v>4.3000000000000043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7FEC-41C4-AE50-E7DD3C7960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384192"/>
        <c:axId val="341410560"/>
      </c:barChart>
      <c:catAx>
        <c:axId val="34138419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41410560"/>
        <c:crosses val="autoZero"/>
        <c:auto val="1"/>
        <c:lblAlgn val="ctr"/>
        <c:lblOffset val="100"/>
        <c:noMultiLvlLbl val="0"/>
      </c:catAx>
      <c:valAx>
        <c:axId val="34141056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3841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 Herbicide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'Manova 1c'!$K$34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'Manova 1c'!$L$33:$O$33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1c'!$L$34:$O$34</c:f>
              <c:numCache>
                <c:formatCode>General</c:formatCode>
                <c:ptCount val="4"/>
                <c:pt idx="0">
                  <c:v>1.9</c:v>
                </c:pt>
                <c:pt idx="1">
                  <c:v>4.2</c:v>
                </c:pt>
                <c:pt idx="2">
                  <c:v>1.2</c:v>
                </c:pt>
                <c:pt idx="3">
                  <c:v>1.1000000000000001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4D7-4733-824A-DC2AF13DD558}"/>
            </c:ext>
          </c:extLst>
        </c:ser>
        <c:ser>
          <c:idx val="1"/>
          <c:order val="1"/>
          <c:tx>
            <c:strRef>
              <c:f>'Manova 1c'!$K$35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'Manova 1c'!$L$33:$O$33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1c'!$L$35:$O$35</c:f>
              <c:numCache>
                <c:formatCode>General</c:formatCode>
                <c:ptCount val="4"/>
                <c:pt idx="0">
                  <c:v>0.95000000000000018</c:v>
                </c:pt>
                <c:pt idx="1">
                  <c:v>0.54999999999999982</c:v>
                </c:pt>
                <c:pt idx="2">
                  <c:v>1.45</c:v>
                </c:pt>
                <c:pt idx="3">
                  <c:v>2.4250000000000003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4D7-4733-824A-DC2AF13DD558}"/>
            </c:ext>
          </c:extLst>
        </c:ser>
        <c:ser>
          <c:idx val="2"/>
          <c:order val="2"/>
          <c:tx>
            <c:strRef>
              <c:f>'Manova 1c'!$K$36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'Manova 1c'!$L$33:$O$33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1c'!$L$36:$O$36</c:f>
              <c:numCache>
                <c:formatCode>General</c:formatCode>
                <c:ptCount val="4"/>
                <c:pt idx="0">
                  <c:v>0.69999999999999973</c:v>
                </c:pt>
                <c:pt idx="1">
                  <c:v>1.0499999999999998</c:v>
                </c:pt>
                <c:pt idx="2">
                  <c:v>1.1999999999999997</c:v>
                </c:pt>
                <c:pt idx="3">
                  <c:v>1.2749999999999995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4D7-4733-824A-DC2AF13DD558}"/>
            </c:ext>
          </c:extLst>
        </c:ser>
        <c:ser>
          <c:idx val="3"/>
          <c:order val="3"/>
          <c:tx>
            <c:strRef>
              <c:f>'Manova 1c'!$K$37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'Manova 1c'!$L$38:$O$38</c:f>
                <c:numCache>
                  <c:formatCode>General</c:formatCode>
                  <c:ptCount val="4"/>
                  <c:pt idx="0">
                    <c:v>2.0750000000000002</c:v>
                  </c:pt>
                  <c:pt idx="1">
                    <c:v>4.6499999999999986</c:v>
                  </c:pt>
                  <c:pt idx="2">
                    <c:v>1.2249999999999996</c:v>
                  </c:pt>
                  <c:pt idx="3">
                    <c:v>1.7750000000000004</c:v>
                  </c:pt>
                </c:numCache>
              </c:numRef>
            </c:plus>
          </c:errBars>
          <c:cat>
            <c:strRef>
              <c:f>'Manova 1c'!$L$33:$O$33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1c'!$L$37:$O$37</c:f>
              <c:numCache>
                <c:formatCode>General</c:formatCode>
                <c:ptCount val="4"/>
                <c:pt idx="0">
                  <c:v>1.7750000000000004</c:v>
                </c:pt>
                <c:pt idx="1">
                  <c:v>1.2500000000000009</c:v>
                </c:pt>
                <c:pt idx="2">
                  <c:v>1.2250000000000005</c:v>
                </c:pt>
                <c:pt idx="3">
                  <c:v>0.32500000000000018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4D7-4733-824A-DC2AF13DD5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1709952"/>
        <c:axId val="341711488"/>
      </c:barChart>
      <c:catAx>
        <c:axId val="34170995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41711488"/>
        <c:crosses val="autoZero"/>
        <c:auto val="1"/>
        <c:lblAlgn val="ctr"/>
        <c:lblOffset val="100"/>
        <c:noMultiLvlLbl val="0"/>
      </c:catAx>
      <c:valAx>
        <c:axId val="34171148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170995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Yield-Water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'Manova 1c'!$B$4:$B$35</c:f>
              <c:numCache>
                <c:formatCode>0.0</c:formatCode>
                <c:ptCount val="32"/>
                <c:pt idx="0">
                  <c:v>76.7</c:v>
                </c:pt>
                <c:pt idx="1">
                  <c:v>60.5</c:v>
                </c:pt>
                <c:pt idx="2">
                  <c:v>96.1</c:v>
                </c:pt>
                <c:pt idx="3">
                  <c:v>88.1</c:v>
                </c:pt>
                <c:pt idx="4">
                  <c:v>50.2</c:v>
                </c:pt>
                <c:pt idx="5">
                  <c:v>55</c:v>
                </c:pt>
                <c:pt idx="6">
                  <c:v>65.400000000000006</c:v>
                </c:pt>
                <c:pt idx="7">
                  <c:v>65.7</c:v>
                </c:pt>
                <c:pt idx="8">
                  <c:v>67.3</c:v>
                </c:pt>
                <c:pt idx="9">
                  <c:v>61.3</c:v>
                </c:pt>
                <c:pt idx="10">
                  <c:v>58.2</c:v>
                </c:pt>
                <c:pt idx="11">
                  <c:v>76.900000000000006</c:v>
                </c:pt>
                <c:pt idx="12">
                  <c:v>66.900000000000006</c:v>
                </c:pt>
                <c:pt idx="13">
                  <c:v>55.4</c:v>
                </c:pt>
                <c:pt idx="14">
                  <c:v>50.5</c:v>
                </c:pt>
                <c:pt idx="15">
                  <c:v>64.099999999999994</c:v>
                </c:pt>
                <c:pt idx="16">
                  <c:v>62.8</c:v>
                </c:pt>
                <c:pt idx="17">
                  <c:v>45</c:v>
                </c:pt>
                <c:pt idx="18">
                  <c:v>47.8</c:v>
                </c:pt>
                <c:pt idx="19">
                  <c:v>75.599999999999994</c:v>
                </c:pt>
                <c:pt idx="20">
                  <c:v>46.6</c:v>
                </c:pt>
                <c:pt idx="21">
                  <c:v>50.6</c:v>
                </c:pt>
                <c:pt idx="22">
                  <c:v>45.7</c:v>
                </c:pt>
                <c:pt idx="23">
                  <c:v>68.400000000000006</c:v>
                </c:pt>
                <c:pt idx="24">
                  <c:v>52.5</c:v>
                </c:pt>
                <c:pt idx="25">
                  <c:v>80</c:v>
                </c:pt>
                <c:pt idx="26">
                  <c:v>54.7</c:v>
                </c:pt>
                <c:pt idx="27">
                  <c:v>63.5</c:v>
                </c:pt>
                <c:pt idx="28">
                  <c:v>46.3</c:v>
                </c:pt>
                <c:pt idx="29">
                  <c:v>61.5</c:v>
                </c:pt>
                <c:pt idx="30">
                  <c:v>62.9</c:v>
                </c:pt>
                <c:pt idx="31">
                  <c:v>49.3</c:v>
                </c:pt>
              </c:numCache>
            </c:numRef>
          </c:xVal>
          <c:yVal>
            <c:numRef>
              <c:f>'Manova 1c'!$C$4:$C$35</c:f>
              <c:numCache>
                <c:formatCode>0.0</c:formatCode>
                <c:ptCount val="32"/>
                <c:pt idx="0">
                  <c:v>29.5</c:v>
                </c:pt>
                <c:pt idx="1">
                  <c:v>32.1</c:v>
                </c:pt>
                <c:pt idx="2">
                  <c:v>40.700000000000003</c:v>
                </c:pt>
                <c:pt idx="3">
                  <c:v>45.1</c:v>
                </c:pt>
                <c:pt idx="4">
                  <c:v>34.1</c:v>
                </c:pt>
                <c:pt idx="5">
                  <c:v>31.1</c:v>
                </c:pt>
                <c:pt idx="6">
                  <c:v>21.6</c:v>
                </c:pt>
                <c:pt idx="7">
                  <c:v>27.7</c:v>
                </c:pt>
                <c:pt idx="8">
                  <c:v>48.3</c:v>
                </c:pt>
                <c:pt idx="9">
                  <c:v>28.9</c:v>
                </c:pt>
                <c:pt idx="10">
                  <c:v>42.5</c:v>
                </c:pt>
                <c:pt idx="11">
                  <c:v>20.399999999999999</c:v>
                </c:pt>
                <c:pt idx="12">
                  <c:v>23.9</c:v>
                </c:pt>
                <c:pt idx="13">
                  <c:v>29.1</c:v>
                </c:pt>
                <c:pt idx="14">
                  <c:v>18</c:v>
                </c:pt>
                <c:pt idx="15">
                  <c:v>14.5</c:v>
                </c:pt>
                <c:pt idx="16">
                  <c:v>25.9</c:v>
                </c:pt>
                <c:pt idx="17">
                  <c:v>15.9</c:v>
                </c:pt>
                <c:pt idx="18">
                  <c:v>36.1</c:v>
                </c:pt>
                <c:pt idx="19">
                  <c:v>27.7</c:v>
                </c:pt>
                <c:pt idx="20">
                  <c:v>46.9</c:v>
                </c:pt>
                <c:pt idx="21">
                  <c:v>29.7</c:v>
                </c:pt>
                <c:pt idx="22">
                  <c:v>27.6</c:v>
                </c:pt>
                <c:pt idx="23">
                  <c:v>35.299999999999997</c:v>
                </c:pt>
                <c:pt idx="24">
                  <c:v>39</c:v>
                </c:pt>
                <c:pt idx="25">
                  <c:v>54.2</c:v>
                </c:pt>
                <c:pt idx="26">
                  <c:v>32.1</c:v>
                </c:pt>
                <c:pt idx="27">
                  <c:v>25.6</c:v>
                </c:pt>
                <c:pt idx="28">
                  <c:v>31.8</c:v>
                </c:pt>
                <c:pt idx="29">
                  <c:v>16.8</c:v>
                </c:pt>
                <c:pt idx="30">
                  <c:v>25.8</c:v>
                </c:pt>
                <c:pt idx="31">
                  <c:v>39.4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6568-40DC-8F81-5C90B7547B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1744256"/>
        <c:axId val="341754240"/>
      </c:scatterChart>
      <c:valAx>
        <c:axId val="341744256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crossAx val="341754240"/>
        <c:crosses val="autoZero"/>
        <c:crossBetween val="midCat"/>
      </c:valAx>
      <c:valAx>
        <c:axId val="341754240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34174425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Water-Herbicide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'Manova 1c'!$C$50:$C$81</c:f>
              <c:numCache>
                <c:formatCode>0.0</c:formatCode>
                <c:ptCount val="32"/>
                <c:pt idx="0">
                  <c:v>29.5</c:v>
                </c:pt>
                <c:pt idx="1">
                  <c:v>32.1</c:v>
                </c:pt>
                <c:pt idx="2">
                  <c:v>40.700000000000003</c:v>
                </c:pt>
                <c:pt idx="3">
                  <c:v>45.1</c:v>
                </c:pt>
                <c:pt idx="4">
                  <c:v>34.1</c:v>
                </c:pt>
                <c:pt idx="5">
                  <c:v>31.1</c:v>
                </c:pt>
                <c:pt idx="6">
                  <c:v>21.6</c:v>
                </c:pt>
                <c:pt idx="7">
                  <c:v>27.7</c:v>
                </c:pt>
                <c:pt idx="8">
                  <c:v>48.3</c:v>
                </c:pt>
                <c:pt idx="9">
                  <c:v>28.9</c:v>
                </c:pt>
                <c:pt idx="10">
                  <c:v>42.5</c:v>
                </c:pt>
                <c:pt idx="11">
                  <c:v>20.399999999999999</c:v>
                </c:pt>
                <c:pt idx="12">
                  <c:v>23.9</c:v>
                </c:pt>
                <c:pt idx="13">
                  <c:v>29.1</c:v>
                </c:pt>
                <c:pt idx="14">
                  <c:v>18</c:v>
                </c:pt>
                <c:pt idx="15">
                  <c:v>14.5</c:v>
                </c:pt>
                <c:pt idx="16">
                  <c:v>25.9</c:v>
                </c:pt>
                <c:pt idx="17">
                  <c:v>15.9</c:v>
                </c:pt>
                <c:pt idx="18">
                  <c:v>36.1</c:v>
                </c:pt>
                <c:pt idx="19">
                  <c:v>27.7</c:v>
                </c:pt>
                <c:pt idx="20">
                  <c:v>46.9</c:v>
                </c:pt>
                <c:pt idx="21">
                  <c:v>29.7</c:v>
                </c:pt>
                <c:pt idx="22">
                  <c:v>27.6</c:v>
                </c:pt>
                <c:pt idx="23">
                  <c:v>35.299999999999997</c:v>
                </c:pt>
                <c:pt idx="24">
                  <c:v>39</c:v>
                </c:pt>
                <c:pt idx="25">
                  <c:v>54.2</c:v>
                </c:pt>
                <c:pt idx="26">
                  <c:v>32.1</c:v>
                </c:pt>
                <c:pt idx="27">
                  <c:v>25.6</c:v>
                </c:pt>
                <c:pt idx="28">
                  <c:v>31.8</c:v>
                </c:pt>
                <c:pt idx="29">
                  <c:v>16.8</c:v>
                </c:pt>
                <c:pt idx="30">
                  <c:v>25.8</c:v>
                </c:pt>
                <c:pt idx="31">
                  <c:v>39.4</c:v>
                </c:pt>
              </c:numCache>
            </c:numRef>
          </c:xVal>
          <c:yVal>
            <c:numRef>
              <c:f>'Manova 1c'!$D$50:$D$81</c:f>
              <c:numCache>
                <c:formatCode>0.0</c:formatCode>
                <c:ptCount val="32"/>
                <c:pt idx="0">
                  <c:v>7.5</c:v>
                </c:pt>
                <c:pt idx="1">
                  <c:v>6.3</c:v>
                </c:pt>
                <c:pt idx="2">
                  <c:v>4.2</c:v>
                </c:pt>
                <c:pt idx="3">
                  <c:v>4.9000000000000004</c:v>
                </c:pt>
                <c:pt idx="4">
                  <c:v>11.7</c:v>
                </c:pt>
                <c:pt idx="5">
                  <c:v>6.9</c:v>
                </c:pt>
                <c:pt idx="6">
                  <c:v>4.3</c:v>
                </c:pt>
                <c:pt idx="7">
                  <c:v>5.3</c:v>
                </c:pt>
                <c:pt idx="8">
                  <c:v>5.5</c:v>
                </c:pt>
                <c:pt idx="9">
                  <c:v>6.9</c:v>
                </c:pt>
                <c:pt idx="10">
                  <c:v>4.8</c:v>
                </c:pt>
                <c:pt idx="11">
                  <c:v>3</c:v>
                </c:pt>
                <c:pt idx="12">
                  <c:v>1.1000000000000001</c:v>
                </c:pt>
                <c:pt idx="13">
                  <c:v>5</c:v>
                </c:pt>
                <c:pt idx="14">
                  <c:v>4.8</c:v>
                </c:pt>
                <c:pt idx="15">
                  <c:v>3.7</c:v>
                </c:pt>
                <c:pt idx="16">
                  <c:v>2.9</c:v>
                </c:pt>
                <c:pt idx="17">
                  <c:v>1.2</c:v>
                </c:pt>
                <c:pt idx="18">
                  <c:v>4.0999999999999996</c:v>
                </c:pt>
                <c:pt idx="19">
                  <c:v>6.3</c:v>
                </c:pt>
                <c:pt idx="20">
                  <c:v>3.6</c:v>
                </c:pt>
                <c:pt idx="21">
                  <c:v>4.7</c:v>
                </c:pt>
                <c:pt idx="22">
                  <c:v>6.2</c:v>
                </c:pt>
                <c:pt idx="23">
                  <c:v>1.9</c:v>
                </c:pt>
                <c:pt idx="24">
                  <c:v>3.1</c:v>
                </c:pt>
                <c:pt idx="25">
                  <c:v>4</c:v>
                </c:pt>
                <c:pt idx="26">
                  <c:v>5.7</c:v>
                </c:pt>
                <c:pt idx="27">
                  <c:v>3</c:v>
                </c:pt>
                <c:pt idx="28">
                  <c:v>7.4</c:v>
                </c:pt>
                <c:pt idx="29">
                  <c:v>1.9</c:v>
                </c:pt>
                <c:pt idx="30">
                  <c:v>2.4</c:v>
                </c:pt>
                <c:pt idx="31">
                  <c:v>5.2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EAF-4ACC-BB60-E63D58C95B0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679360"/>
        <c:axId val="343680896"/>
      </c:scatterChart>
      <c:valAx>
        <c:axId val="343679360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crossAx val="343680896"/>
        <c:crosses val="autoZero"/>
        <c:crossBetween val="midCat"/>
      </c:valAx>
      <c:valAx>
        <c:axId val="343680896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343679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Yield-Herbicide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1"/>
          <c:order val="0"/>
          <c:spPr>
            <a:ln w="28575">
              <a:noFill/>
            </a:ln>
          </c:spPr>
          <c:xVal>
            <c:numRef>
              <c:f>'Manova 1c'!$B$50:$B$81</c:f>
              <c:numCache>
                <c:formatCode>0.0</c:formatCode>
                <c:ptCount val="32"/>
                <c:pt idx="0">
                  <c:v>76.7</c:v>
                </c:pt>
                <c:pt idx="1">
                  <c:v>60.5</c:v>
                </c:pt>
                <c:pt idx="2">
                  <c:v>96.1</c:v>
                </c:pt>
                <c:pt idx="3">
                  <c:v>88.1</c:v>
                </c:pt>
                <c:pt idx="4">
                  <c:v>50.2</c:v>
                </c:pt>
                <c:pt idx="5">
                  <c:v>55</c:v>
                </c:pt>
                <c:pt idx="6">
                  <c:v>65.400000000000006</c:v>
                </c:pt>
                <c:pt idx="7">
                  <c:v>65.7</c:v>
                </c:pt>
                <c:pt idx="8">
                  <c:v>67.3</c:v>
                </c:pt>
                <c:pt idx="9">
                  <c:v>61.3</c:v>
                </c:pt>
                <c:pt idx="10">
                  <c:v>58.2</c:v>
                </c:pt>
                <c:pt idx="11">
                  <c:v>76.900000000000006</c:v>
                </c:pt>
                <c:pt idx="12">
                  <c:v>66.900000000000006</c:v>
                </c:pt>
                <c:pt idx="13">
                  <c:v>55.4</c:v>
                </c:pt>
                <c:pt idx="14">
                  <c:v>50.5</c:v>
                </c:pt>
                <c:pt idx="15">
                  <c:v>64.099999999999994</c:v>
                </c:pt>
                <c:pt idx="16">
                  <c:v>62.8</c:v>
                </c:pt>
                <c:pt idx="17">
                  <c:v>45</c:v>
                </c:pt>
                <c:pt idx="18">
                  <c:v>47.8</c:v>
                </c:pt>
                <c:pt idx="19">
                  <c:v>75.599999999999994</c:v>
                </c:pt>
                <c:pt idx="20">
                  <c:v>46.6</c:v>
                </c:pt>
                <c:pt idx="21">
                  <c:v>50.6</c:v>
                </c:pt>
                <c:pt idx="22">
                  <c:v>45.7</c:v>
                </c:pt>
                <c:pt idx="23">
                  <c:v>68.400000000000006</c:v>
                </c:pt>
                <c:pt idx="24">
                  <c:v>52.5</c:v>
                </c:pt>
                <c:pt idx="25">
                  <c:v>80</c:v>
                </c:pt>
                <c:pt idx="26">
                  <c:v>54.7</c:v>
                </c:pt>
                <c:pt idx="27">
                  <c:v>63.5</c:v>
                </c:pt>
                <c:pt idx="28">
                  <c:v>46.3</c:v>
                </c:pt>
                <c:pt idx="29">
                  <c:v>61.5</c:v>
                </c:pt>
                <c:pt idx="30">
                  <c:v>62.9</c:v>
                </c:pt>
                <c:pt idx="31">
                  <c:v>49.3</c:v>
                </c:pt>
              </c:numCache>
            </c:numRef>
          </c:xVal>
          <c:yVal>
            <c:numRef>
              <c:f>'Manova 1c'!$D$50:$D$81</c:f>
              <c:numCache>
                <c:formatCode>0.0</c:formatCode>
                <c:ptCount val="32"/>
                <c:pt idx="0">
                  <c:v>7.5</c:v>
                </c:pt>
                <c:pt idx="1">
                  <c:v>6.3</c:v>
                </c:pt>
                <c:pt idx="2">
                  <c:v>4.2</c:v>
                </c:pt>
                <c:pt idx="3">
                  <c:v>4.9000000000000004</c:v>
                </c:pt>
                <c:pt idx="4">
                  <c:v>11.7</c:v>
                </c:pt>
                <c:pt idx="5">
                  <c:v>6.9</c:v>
                </c:pt>
                <c:pt idx="6">
                  <c:v>4.3</c:v>
                </c:pt>
                <c:pt idx="7">
                  <c:v>5.3</c:v>
                </c:pt>
                <c:pt idx="8">
                  <c:v>5.5</c:v>
                </c:pt>
                <c:pt idx="9">
                  <c:v>6.9</c:v>
                </c:pt>
                <c:pt idx="10">
                  <c:v>4.8</c:v>
                </c:pt>
                <c:pt idx="11">
                  <c:v>3</c:v>
                </c:pt>
                <c:pt idx="12">
                  <c:v>1.1000000000000001</c:v>
                </c:pt>
                <c:pt idx="13">
                  <c:v>5</c:v>
                </c:pt>
                <c:pt idx="14">
                  <c:v>4.8</c:v>
                </c:pt>
                <c:pt idx="15">
                  <c:v>3.7</c:v>
                </c:pt>
                <c:pt idx="16">
                  <c:v>2.9</c:v>
                </c:pt>
                <c:pt idx="17">
                  <c:v>1.2</c:v>
                </c:pt>
                <c:pt idx="18">
                  <c:v>4.0999999999999996</c:v>
                </c:pt>
                <c:pt idx="19">
                  <c:v>6.3</c:v>
                </c:pt>
                <c:pt idx="20">
                  <c:v>3.6</c:v>
                </c:pt>
                <c:pt idx="21">
                  <c:v>4.7</c:v>
                </c:pt>
                <c:pt idx="22">
                  <c:v>6.2</c:v>
                </c:pt>
                <c:pt idx="23">
                  <c:v>1.9</c:v>
                </c:pt>
                <c:pt idx="24">
                  <c:v>3.1</c:v>
                </c:pt>
                <c:pt idx="25">
                  <c:v>4</c:v>
                </c:pt>
                <c:pt idx="26">
                  <c:v>5.7</c:v>
                </c:pt>
                <c:pt idx="27">
                  <c:v>3</c:v>
                </c:pt>
                <c:pt idx="28">
                  <c:v>7.4</c:v>
                </c:pt>
                <c:pt idx="29">
                  <c:v>1.9</c:v>
                </c:pt>
                <c:pt idx="30">
                  <c:v>2.4</c:v>
                </c:pt>
                <c:pt idx="31">
                  <c:v>5.2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D31E-4FB3-90EE-C558420CB6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701376"/>
        <c:axId val="343702912"/>
      </c:scatterChart>
      <c:valAx>
        <c:axId val="343701376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crossAx val="343702912"/>
        <c:crosses val="autoZero"/>
        <c:crossBetween val="midCat"/>
      </c:valAx>
      <c:valAx>
        <c:axId val="343702912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343701376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'Manova 1c'!$AA$10:$AA$41</c:f>
              <c:numCache>
                <c:formatCode>General</c:formatCode>
                <c:ptCount val="32"/>
                <c:pt idx="0">
                  <c:v>45</c:v>
                </c:pt>
                <c:pt idx="1">
                  <c:v>45.7</c:v>
                </c:pt>
                <c:pt idx="2">
                  <c:v>46.3</c:v>
                </c:pt>
                <c:pt idx="3">
                  <c:v>46.6</c:v>
                </c:pt>
                <c:pt idx="4">
                  <c:v>47.8</c:v>
                </c:pt>
                <c:pt idx="5">
                  <c:v>49.3</c:v>
                </c:pt>
                <c:pt idx="6">
                  <c:v>50.2</c:v>
                </c:pt>
                <c:pt idx="7">
                  <c:v>50.5</c:v>
                </c:pt>
                <c:pt idx="8">
                  <c:v>50.6</c:v>
                </c:pt>
                <c:pt idx="9">
                  <c:v>52.5</c:v>
                </c:pt>
                <c:pt idx="10">
                  <c:v>54.7</c:v>
                </c:pt>
                <c:pt idx="11">
                  <c:v>55</c:v>
                </c:pt>
                <c:pt idx="12">
                  <c:v>55.4</c:v>
                </c:pt>
                <c:pt idx="13">
                  <c:v>58.2</c:v>
                </c:pt>
                <c:pt idx="14">
                  <c:v>60.5</c:v>
                </c:pt>
                <c:pt idx="15">
                  <c:v>61.3</c:v>
                </c:pt>
                <c:pt idx="16">
                  <c:v>61.5</c:v>
                </c:pt>
                <c:pt idx="17">
                  <c:v>62.8</c:v>
                </c:pt>
                <c:pt idx="18">
                  <c:v>62.9</c:v>
                </c:pt>
                <c:pt idx="19">
                  <c:v>63.5</c:v>
                </c:pt>
                <c:pt idx="20">
                  <c:v>64.099999999999994</c:v>
                </c:pt>
                <c:pt idx="21">
                  <c:v>65.400000000000006</c:v>
                </c:pt>
                <c:pt idx="22">
                  <c:v>65.7</c:v>
                </c:pt>
                <c:pt idx="23">
                  <c:v>66.900000000000006</c:v>
                </c:pt>
                <c:pt idx="24">
                  <c:v>67.3</c:v>
                </c:pt>
                <c:pt idx="25">
                  <c:v>68.400000000000006</c:v>
                </c:pt>
                <c:pt idx="26">
                  <c:v>75.599999999999994</c:v>
                </c:pt>
                <c:pt idx="27">
                  <c:v>76.7</c:v>
                </c:pt>
                <c:pt idx="28">
                  <c:v>76.900000000000006</c:v>
                </c:pt>
                <c:pt idx="29">
                  <c:v>80</c:v>
                </c:pt>
                <c:pt idx="30">
                  <c:v>88.1</c:v>
                </c:pt>
                <c:pt idx="31">
                  <c:v>96.1</c:v>
                </c:pt>
              </c:numCache>
            </c:numRef>
          </c:xVal>
          <c:yVal>
            <c:numRef>
              <c:f>'Manova 1c'!$AB$10:$AB$41</c:f>
              <c:numCache>
                <c:formatCode>General</c:formatCode>
                <c:ptCount val="32"/>
                <c:pt idx="0">
                  <c:v>-2.1538746940614555</c:v>
                </c:pt>
                <c:pt idx="1">
                  <c:v>-1.6759397227734436</c:v>
                </c:pt>
                <c:pt idx="2">
                  <c:v>-1.4177971379962682</c:v>
                </c:pt>
                <c:pt idx="3">
                  <c:v>-1.229858759216589</c:v>
                </c:pt>
                <c:pt idx="4">
                  <c:v>-1.0775155670402805</c:v>
                </c:pt>
                <c:pt idx="5">
                  <c:v>-0.94678175630104722</c:v>
                </c:pt>
                <c:pt idx="6">
                  <c:v>-0.83051087820540004</c:v>
                </c:pt>
                <c:pt idx="7">
                  <c:v>-0.72451438349236563</c:v>
                </c:pt>
                <c:pt idx="8">
                  <c:v>-0.62609901234642129</c:v>
                </c:pt>
                <c:pt idx="9">
                  <c:v>-0.5334097062412807</c:v>
                </c:pt>
                <c:pt idx="10">
                  <c:v>-0.44509652498551644</c:v>
                </c:pt>
                <c:pt idx="11">
                  <c:v>-0.36012989178956933</c:v>
                </c:pt>
                <c:pt idx="12">
                  <c:v>-0.27769043982157676</c:v>
                </c:pt>
                <c:pt idx="13">
                  <c:v>-0.19709908429431236</c:v>
                </c:pt>
                <c:pt idx="14">
                  <c:v>-0.11776987457909528</c:v>
                </c:pt>
                <c:pt idx="15">
                  <c:v>-3.9176085503097632E-2</c:v>
                </c:pt>
                <c:pt idx="16">
                  <c:v>3.9176085503097632E-2</c:v>
                </c:pt>
                <c:pt idx="17">
                  <c:v>0.11776987457909528</c:v>
                </c:pt>
                <c:pt idx="18">
                  <c:v>0.19709908429431236</c:v>
                </c:pt>
                <c:pt idx="19">
                  <c:v>0.27769043982157676</c:v>
                </c:pt>
                <c:pt idx="20">
                  <c:v>0.36012989178956933</c:v>
                </c:pt>
                <c:pt idx="21">
                  <c:v>0.44509652498551644</c:v>
                </c:pt>
                <c:pt idx="22">
                  <c:v>0.5334097062412807</c:v>
                </c:pt>
                <c:pt idx="23">
                  <c:v>0.62609901234642129</c:v>
                </c:pt>
                <c:pt idx="24">
                  <c:v>0.72451438349236563</c:v>
                </c:pt>
                <c:pt idx="25">
                  <c:v>0.83051087820540004</c:v>
                </c:pt>
                <c:pt idx="26">
                  <c:v>0.94678175630104722</c:v>
                </c:pt>
                <c:pt idx="27">
                  <c:v>1.0775155670402805</c:v>
                </c:pt>
                <c:pt idx="28">
                  <c:v>1.229858759216589</c:v>
                </c:pt>
                <c:pt idx="29">
                  <c:v>1.4177971379962682</c:v>
                </c:pt>
                <c:pt idx="30">
                  <c:v>1.6759397227734436</c:v>
                </c:pt>
                <c:pt idx="31">
                  <c:v>2.1538746940614555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3F0-4B7A-868B-E52FFCC266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748992"/>
        <c:axId val="343750912"/>
      </c:scatterChart>
      <c:valAx>
        <c:axId val="343748992"/>
        <c:scaling>
          <c:orientation val="minMax"/>
          <c:min val="4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750912"/>
        <c:crosses val="autoZero"/>
        <c:crossBetween val="midCat"/>
      </c:valAx>
      <c:valAx>
        <c:axId val="343750912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748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QQ Plot - Water x Clay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trendline>
            <c:name>Linear (Series1)</c:name>
            <c:trendlineType val="linear"/>
            <c:dispRSqr val="0"/>
            <c:dispEq val="0"/>
          </c:trendline>
          <c:xVal>
            <c:numRef>
              <c:f>'Manova 1c'!$AN$8:$AN$15</c:f>
              <c:numCache>
                <c:formatCode>General</c:formatCode>
                <c:ptCount val="8"/>
                <c:pt idx="0">
                  <c:v>16.8</c:v>
                </c:pt>
                <c:pt idx="1">
                  <c:v>25.6</c:v>
                </c:pt>
                <c:pt idx="2">
                  <c:v>25.8</c:v>
                </c:pt>
                <c:pt idx="3">
                  <c:v>31.8</c:v>
                </c:pt>
                <c:pt idx="4">
                  <c:v>32.1</c:v>
                </c:pt>
                <c:pt idx="5">
                  <c:v>39</c:v>
                </c:pt>
                <c:pt idx="6">
                  <c:v>39.4</c:v>
                </c:pt>
                <c:pt idx="7">
                  <c:v>54.2</c:v>
                </c:pt>
              </c:numCache>
            </c:numRef>
          </c:xVal>
          <c:yVal>
            <c:numRef>
              <c:f>'Manova 1c'!$AO$8:$AO$15</c:f>
              <c:numCache>
                <c:formatCode>General</c:formatCode>
                <c:ptCount val="8"/>
                <c:pt idx="0">
                  <c:v>-1.5341205443525459</c:v>
                </c:pt>
                <c:pt idx="1">
                  <c:v>-0.88714655901887607</c:v>
                </c:pt>
                <c:pt idx="2">
                  <c:v>-0.48877641111466941</c:v>
                </c:pt>
                <c:pt idx="3">
                  <c:v>-0.1573106846101707</c:v>
                </c:pt>
                <c:pt idx="4">
                  <c:v>0.1573106846101707</c:v>
                </c:pt>
                <c:pt idx="5">
                  <c:v>0.48877641111466941</c:v>
                </c:pt>
                <c:pt idx="6">
                  <c:v>0.88714655901887607</c:v>
                </c:pt>
                <c:pt idx="7">
                  <c:v>1.5341205443525465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EC32-4AEF-B8B3-8EA4F36A3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773184"/>
        <c:axId val="343775104"/>
      </c:scatterChart>
      <c:valAx>
        <c:axId val="343773184"/>
        <c:scaling>
          <c:orientation val="minMax"/>
          <c:min val="10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Data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775104"/>
        <c:crosses val="autoZero"/>
        <c:crossBetween val="midCat"/>
      </c:valAx>
      <c:valAx>
        <c:axId val="343775104"/>
        <c:scaling>
          <c:orientation val="minMax"/>
        </c:scaling>
        <c:delete val="0"/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Std Normal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34377318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>
              <a:noFill/>
            </a:ln>
          </c:spPr>
          <c:xVal>
            <c:numRef>
              <c:f>'Manova 1c'!$B$4:$B$35</c:f>
              <c:numCache>
                <c:formatCode>0.0</c:formatCode>
                <c:ptCount val="32"/>
                <c:pt idx="0">
                  <c:v>76.7</c:v>
                </c:pt>
                <c:pt idx="1">
                  <c:v>60.5</c:v>
                </c:pt>
                <c:pt idx="2">
                  <c:v>96.1</c:v>
                </c:pt>
                <c:pt idx="3">
                  <c:v>88.1</c:v>
                </c:pt>
                <c:pt idx="4">
                  <c:v>50.2</c:v>
                </c:pt>
                <c:pt idx="5">
                  <c:v>55</c:v>
                </c:pt>
                <c:pt idx="6">
                  <c:v>65.400000000000006</c:v>
                </c:pt>
                <c:pt idx="7">
                  <c:v>65.7</c:v>
                </c:pt>
                <c:pt idx="8">
                  <c:v>67.3</c:v>
                </c:pt>
                <c:pt idx="9">
                  <c:v>61.3</c:v>
                </c:pt>
                <c:pt idx="10">
                  <c:v>58.2</c:v>
                </c:pt>
                <c:pt idx="11">
                  <c:v>76.900000000000006</c:v>
                </c:pt>
                <c:pt idx="12">
                  <c:v>66.900000000000006</c:v>
                </c:pt>
                <c:pt idx="13">
                  <c:v>55.4</c:v>
                </c:pt>
                <c:pt idx="14">
                  <c:v>50.5</c:v>
                </c:pt>
                <c:pt idx="15">
                  <c:v>64.099999999999994</c:v>
                </c:pt>
                <c:pt idx="16">
                  <c:v>62.8</c:v>
                </c:pt>
                <c:pt idx="17">
                  <c:v>45</c:v>
                </c:pt>
                <c:pt idx="18">
                  <c:v>47.8</c:v>
                </c:pt>
                <c:pt idx="19">
                  <c:v>75.599999999999994</c:v>
                </c:pt>
                <c:pt idx="20">
                  <c:v>46.6</c:v>
                </c:pt>
                <c:pt idx="21">
                  <c:v>50.6</c:v>
                </c:pt>
                <c:pt idx="22">
                  <c:v>45.7</c:v>
                </c:pt>
                <c:pt idx="23">
                  <c:v>68.400000000000006</c:v>
                </c:pt>
                <c:pt idx="24">
                  <c:v>52.5</c:v>
                </c:pt>
                <c:pt idx="25">
                  <c:v>80</c:v>
                </c:pt>
                <c:pt idx="26">
                  <c:v>54.7</c:v>
                </c:pt>
                <c:pt idx="27">
                  <c:v>63.5</c:v>
                </c:pt>
                <c:pt idx="28">
                  <c:v>46.3</c:v>
                </c:pt>
                <c:pt idx="29">
                  <c:v>61.5</c:v>
                </c:pt>
                <c:pt idx="30">
                  <c:v>62.9</c:v>
                </c:pt>
                <c:pt idx="31">
                  <c:v>49.3</c:v>
                </c:pt>
              </c:numCache>
            </c:numRef>
          </c:xVal>
          <c:yVal>
            <c:numRef>
              <c:f>'Manova 1c'!$C$4:$C$35</c:f>
              <c:numCache>
                <c:formatCode>0.0</c:formatCode>
                <c:ptCount val="32"/>
                <c:pt idx="0">
                  <c:v>29.5</c:v>
                </c:pt>
                <c:pt idx="1">
                  <c:v>32.1</c:v>
                </c:pt>
                <c:pt idx="2">
                  <c:v>40.700000000000003</c:v>
                </c:pt>
                <c:pt idx="3">
                  <c:v>45.1</c:v>
                </c:pt>
                <c:pt idx="4">
                  <c:v>34.1</c:v>
                </c:pt>
                <c:pt idx="5">
                  <c:v>31.1</c:v>
                </c:pt>
                <c:pt idx="6">
                  <c:v>21.6</c:v>
                </c:pt>
                <c:pt idx="7">
                  <c:v>27.7</c:v>
                </c:pt>
                <c:pt idx="8">
                  <c:v>48.3</c:v>
                </c:pt>
                <c:pt idx="9">
                  <c:v>28.9</c:v>
                </c:pt>
                <c:pt idx="10">
                  <c:v>42.5</c:v>
                </c:pt>
                <c:pt idx="11">
                  <c:v>20.399999999999999</c:v>
                </c:pt>
                <c:pt idx="12">
                  <c:v>23.9</c:v>
                </c:pt>
                <c:pt idx="13">
                  <c:v>29.1</c:v>
                </c:pt>
                <c:pt idx="14">
                  <c:v>18</c:v>
                </c:pt>
                <c:pt idx="15">
                  <c:v>14.5</c:v>
                </c:pt>
                <c:pt idx="16">
                  <c:v>25.9</c:v>
                </c:pt>
                <c:pt idx="17">
                  <c:v>15.9</c:v>
                </c:pt>
                <c:pt idx="18">
                  <c:v>36.1</c:v>
                </c:pt>
                <c:pt idx="19">
                  <c:v>27.7</c:v>
                </c:pt>
                <c:pt idx="20">
                  <c:v>46.9</c:v>
                </c:pt>
                <c:pt idx="21">
                  <c:v>29.7</c:v>
                </c:pt>
                <c:pt idx="22">
                  <c:v>27.6</c:v>
                </c:pt>
                <c:pt idx="23">
                  <c:v>35.299999999999997</c:v>
                </c:pt>
                <c:pt idx="24">
                  <c:v>39</c:v>
                </c:pt>
                <c:pt idx="25">
                  <c:v>54.2</c:v>
                </c:pt>
                <c:pt idx="26">
                  <c:v>32.1</c:v>
                </c:pt>
                <c:pt idx="27">
                  <c:v>25.6</c:v>
                </c:pt>
                <c:pt idx="28">
                  <c:v>31.8</c:v>
                </c:pt>
                <c:pt idx="29">
                  <c:v>16.8</c:v>
                </c:pt>
                <c:pt idx="30">
                  <c:v>25.8</c:v>
                </c:pt>
                <c:pt idx="31">
                  <c:v>39.4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1E5-4339-A8DB-5A1A526A2A9E}"/>
            </c:ext>
          </c:extLst>
        </c:ser>
        <c:ser>
          <c:idx val="1"/>
          <c:order val="1"/>
          <c:spPr>
            <a:ln w="28575">
              <a:noFill/>
            </a:ln>
          </c:spPr>
          <c:xVal>
            <c:numRef>
              <c:f>'Manova 1c'!$B$4:$B$35</c:f>
              <c:numCache>
                <c:formatCode>0.0</c:formatCode>
                <c:ptCount val="32"/>
                <c:pt idx="0">
                  <c:v>76.7</c:v>
                </c:pt>
                <c:pt idx="1">
                  <c:v>60.5</c:v>
                </c:pt>
                <c:pt idx="2">
                  <c:v>96.1</c:v>
                </c:pt>
                <c:pt idx="3">
                  <c:v>88.1</c:v>
                </c:pt>
                <c:pt idx="4">
                  <c:v>50.2</c:v>
                </c:pt>
                <c:pt idx="5">
                  <c:v>55</c:v>
                </c:pt>
                <c:pt idx="6">
                  <c:v>65.400000000000006</c:v>
                </c:pt>
                <c:pt idx="7">
                  <c:v>65.7</c:v>
                </c:pt>
                <c:pt idx="8">
                  <c:v>67.3</c:v>
                </c:pt>
                <c:pt idx="9">
                  <c:v>61.3</c:v>
                </c:pt>
                <c:pt idx="10">
                  <c:v>58.2</c:v>
                </c:pt>
                <c:pt idx="11">
                  <c:v>76.900000000000006</c:v>
                </c:pt>
                <c:pt idx="12">
                  <c:v>66.900000000000006</c:v>
                </c:pt>
                <c:pt idx="13">
                  <c:v>55.4</c:v>
                </c:pt>
                <c:pt idx="14">
                  <c:v>50.5</c:v>
                </c:pt>
                <c:pt idx="15">
                  <c:v>64.099999999999994</c:v>
                </c:pt>
                <c:pt idx="16">
                  <c:v>62.8</c:v>
                </c:pt>
                <c:pt idx="17">
                  <c:v>45</c:v>
                </c:pt>
                <c:pt idx="18">
                  <c:v>47.8</c:v>
                </c:pt>
                <c:pt idx="19">
                  <c:v>75.599999999999994</c:v>
                </c:pt>
                <c:pt idx="20">
                  <c:v>46.6</c:v>
                </c:pt>
                <c:pt idx="21">
                  <c:v>50.6</c:v>
                </c:pt>
                <c:pt idx="22">
                  <c:v>45.7</c:v>
                </c:pt>
                <c:pt idx="23">
                  <c:v>68.400000000000006</c:v>
                </c:pt>
                <c:pt idx="24">
                  <c:v>52.5</c:v>
                </c:pt>
                <c:pt idx="25">
                  <c:v>80</c:v>
                </c:pt>
                <c:pt idx="26">
                  <c:v>54.7</c:v>
                </c:pt>
                <c:pt idx="27">
                  <c:v>63.5</c:v>
                </c:pt>
                <c:pt idx="28">
                  <c:v>46.3</c:v>
                </c:pt>
                <c:pt idx="29">
                  <c:v>61.5</c:v>
                </c:pt>
                <c:pt idx="30">
                  <c:v>62.9</c:v>
                </c:pt>
                <c:pt idx="31">
                  <c:v>49.3</c:v>
                </c:pt>
              </c:numCache>
            </c:numRef>
          </c:xVal>
          <c:yVal>
            <c:numRef>
              <c:f>'Manova 1c'!$D$4:$D$35</c:f>
              <c:numCache>
                <c:formatCode>0.0</c:formatCode>
                <c:ptCount val="32"/>
                <c:pt idx="0">
                  <c:v>7.5</c:v>
                </c:pt>
                <c:pt idx="1">
                  <c:v>6.3</c:v>
                </c:pt>
                <c:pt idx="2">
                  <c:v>4.2</c:v>
                </c:pt>
                <c:pt idx="3">
                  <c:v>4.9000000000000004</c:v>
                </c:pt>
                <c:pt idx="4">
                  <c:v>11.7</c:v>
                </c:pt>
                <c:pt idx="5">
                  <c:v>6.9</c:v>
                </c:pt>
                <c:pt idx="6">
                  <c:v>4.3</c:v>
                </c:pt>
                <c:pt idx="7">
                  <c:v>5.3</c:v>
                </c:pt>
                <c:pt idx="8">
                  <c:v>5.5</c:v>
                </c:pt>
                <c:pt idx="9">
                  <c:v>6.9</c:v>
                </c:pt>
                <c:pt idx="10">
                  <c:v>4.8</c:v>
                </c:pt>
                <c:pt idx="11">
                  <c:v>3</c:v>
                </c:pt>
                <c:pt idx="12">
                  <c:v>1.1000000000000001</c:v>
                </c:pt>
                <c:pt idx="13">
                  <c:v>5</c:v>
                </c:pt>
                <c:pt idx="14">
                  <c:v>4.8</c:v>
                </c:pt>
                <c:pt idx="15">
                  <c:v>3.7</c:v>
                </c:pt>
                <c:pt idx="16">
                  <c:v>2.9</c:v>
                </c:pt>
                <c:pt idx="17">
                  <c:v>1.2</c:v>
                </c:pt>
                <c:pt idx="18">
                  <c:v>4.0999999999999996</c:v>
                </c:pt>
                <c:pt idx="19">
                  <c:v>6.3</c:v>
                </c:pt>
                <c:pt idx="20">
                  <c:v>3.6</c:v>
                </c:pt>
                <c:pt idx="21">
                  <c:v>4.7</c:v>
                </c:pt>
                <c:pt idx="22">
                  <c:v>6.2</c:v>
                </c:pt>
                <c:pt idx="23">
                  <c:v>1.9</c:v>
                </c:pt>
                <c:pt idx="24">
                  <c:v>3.1</c:v>
                </c:pt>
                <c:pt idx="25">
                  <c:v>4</c:v>
                </c:pt>
                <c:pt idx="26">
                  <c:v>5.7</c:v>
                </c:pt>
                <c:pt idx="27">
                  <c:v>3</c:v>
                </c:pt>
                <c:pt idx="28">
                  <c:v>7.4</c:v>
                </c:pt>
                <c:pt idx="29">
                  <c:v>1.9</c:v>
                </c:pt>
                <c:pt idx="30">
                  <c:v>2.4</c:v>
                </c:pt>
                <c:pt idx="31">
                  <c:v>5.2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71E5-4339-A8DB-5A1A526A2A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3813120"/>
        <c:axId val="343823104"/>
      </c:scatterChart>
      <c:valAx>
        <c:axId val="343813120"/>
        <c:scaling>
          <c:orientation val="minMax"/>
        </c:scaling>
        <c:delete val="0"/>
        <c:axPos val="b"/>
        <c:numFmt formatCode="0.0" sourceLinked="1"/>
        <c:majorTickMark val="out"/>
        <c:minorTickMark val="none"/>
        <c:tickLblPos val="nextTo"/>
        <c:crossAx val="343823104"/>
        <c:crosses val="autoZero"/>
        <c:crossBetween val="midCat"/>
      </c:valAx>
      <c:valAx>
        <c:axId val="343823104"/>
        <c:scaling>
          <c:orientation val="minMax"/>
        </c:scaling>
        <c:delete val="0"/>
        <c:axPos val="l"/>
        <c:majorGridlines/>
        <c:numFmt formatCode="0.0" sourceLinked="1"/>
        <c:majorTickMark val="out"/>
        <c:minorTickMark val="none"/>
        <c:tickLblPos val="nextTo"/>
        <c:crossAx val="343813120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'Manova 1d'!$Q$4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'Manova 1d'!$R$3:$U$3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1d'!$R$4:$U$4</c:f>
              <c:numCache>
                <c:formatCode>General</c:formatCode>
                <c:ptCount val="4"/>
                <c:pt idx="0">
                  <c:v>16.8</c:v>
                </c:pt>
                <c:pt idx="1">
                  <c:v>21.6</c:v>
                </c:pt>
                <c:pt idx="2">
                  <c:v>15.9</c:v>
                </c:pt>
                <c:pt idx="3">
                  <c:v>14.5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63C0-47E3-AAC4-D5B6B8FC6082}"/>
            </c:ext>
          </c:extLst>
        </c:ser>
        <c:ser>
          <c:idx val="1"/>
          <c:order val="1"/>
          <c:tx>
            <c:strRef>
              <c:f>'Manova 1d'!$Q$5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'Manova 1d'!$R$3:$U$3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1d'!$R$5:$U$5</c:f>
              <c:numCache>
                <c:formatCode>General</c:formatCode>
                <c:ptCount val="4"/>
                <c:pt idx="0">
                  <c:v>8.9499999999999993</c:v>
                </c:pt>
                <c:pt idx="1">
                  <c:v>7.4499999999999993</c:v>
                </c:pt>
                <c:pt idx="2">
                  <c:v>11.275</c:v>
                </c:pt>
                <c:pt idx="3">
                  <c:v>5.2999999999999972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63C0-47E3-AAC4-D5B6B8FC6082}"/>
            </c:ext>
          </c:extLst>
        </c:ser>
        <c:ser>
          <c:idx val="2"/>
          <c:order val="2"/>
          <c:tx>
            <c:strRef>
              <c:f>'Manova 1d'!$Q$6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'Manova 1d'!$R$3:$U$3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1d'!$R$6:$U$6</c:f>
              <c:numCache>
                <c:formatCode>General</c:formatCode>
                <c:ptCount val="4"/>
                <c:pt idx="0">
                  <c:v>6.2000000000000028</c:v>
                </c:pt>
                <c:pt idx="1">
                  <c:v>2.5500000000000007</c:v>
                </c:pt>
                <c:pt idx="2">
                  <c:v>1.5249999999999986</c:v>
                </c:pt>
                <c:pt idx="3">
                  <c:v>6.6000000000000014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63C0-47E3-AAC4-D5B6B8FC6082}"/>
            </c:ext>
          </c:extLst>
        </c:ser>
        <c:ser>
          <c:idx val="3"/>
          <c:order val="3"/>
          <c:tx>
            <c:strRef>
              <c:f>'Manova 1d'!$Q$7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'Manova 1d'!$R$8:$U$8</c:f>
                <c:numCache>
                  <c:formatCode>General</c:formatCode>
                  <c:ptCount val="4"/>
                  <c:pt idx="0">
                    <c:v>15.100000000000001</c:v>
                  </c:pt>
                  <c:pt idx="1">
                    <c:v>9.3500000000000014</c:v>
                  </c:pt>
                  <c:pt idx="2">
                    <c:v>11.399999999999999</c:v>
                  </c:pt>
                  <c:pt idx="3">
                    <c:v>15.849999999999994</c:v>
                  </c:pt>
                </c:numCache>
              </c:numRef>
            </c:plus>
          </c:errBars>
          <c:cat>
            <c:strRef>
              <c:f>'Manova 1d'!$R$3:$U$3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1d'!$R$7:$U$7</c:f>
              <c:numCache>
                <c:formatCode>General</c:formatCode>
                <c:ptCount val="4"/>
                <c:pt idx="0">
                  <c:v>7.1499999999999986</c:v>
                </c:pt>
                <c:pt idx="1">
                  <c:v>4.1499999999999986</c:v>
                </c:pt>
                <c:pt idx="2">
                  <c:v>6.8000000000000007</c:v>
                </c:pt>
                <c:pt idx="3">
                  <c:v>6.0500000000000043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63C0-47E3-AAC4-D5B6B8FC60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4622976"/>
        <c:axId val="344624512"/>
      </c:barChart>
      <c:catAx>
        <c:axId val="34462297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44624512"/>
        <c:crosses val="autoZero"/>
        <c:auto val="1"/>
        <c:lblAlgn val="ctr"/>
        <c:lblOffset val="100"/>
        <c:noMultiLvlLbl val="0"/>
      </c:catAx>
      <c:valAx>
        <c:axId val="34462451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62297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'Manova 1d'!$Q$27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'Manova 1d'!$R$26:$U$26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1d'!$R$27:$U$27</c:f>
              <c:numCache>
                <c:formatCode>General</c:formatCode>
                <c:ptCount val="4"/>
                <c:pt idx="0">
                  <c:v>46.3</c:v>
                </c:pt>
                <c:pt idx="1">
                  <c:v>50.2</c:v>
                </c:pt>
                <c:pt idx="2">
                  <c:v>45</c:v>
                </c:pt>
                <c:pt idx="3">
                  <c:v>50.5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523-4D86-80D2-55F11A99BA86}"/>
            </c:ext>
          </c:extLst>
        </c:ser>
        <c:ser>
          <c:idx val="1"/>
          <c:order val="1"/>
          <c:tx>
            <c:strRef>
              <c:f>'Manova 1d'!$Q$28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'Manova 1d'!$R$26:$U$26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1d'!$R$28:$U$28</c:f>
              <c:numCache>
                <c:formatCode>General</c:formatCode>
                <c:ptCount val="4"/>
                <c:pt idx="0">
                  <c:v>5.4000000000000057</c:v>
                </c:pt>
                <c:pt idx="1">
                  <c:v>8.9249999999999972</c:v>
                </c:pt>
                <c:pt idx="2">
                  <c:v>1.375</c:v>
                </c:pt>
                <c:pt idx="3">
                  <c:v>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0523-4D86-80D2-55F11A99BA86}"/>
            </c:ext>
          </c:extLst>
        </c:ser>
        <c:ser>
          <c:idx val="2"/>
          <c:order val="2"/>
          <c:tx>
            <c:strRef>
              <c:f>'Manova 1d'!$Q$29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'Manova 1d'!$R$26:$U$26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1d'!$R$29:$U$29</c:f>
              <c:numCache>
                <c:formatCode>General</c:formatCode>
                <c:ptCount val="4"/>
                <c:pt idx="0">
                  <c:v>6.3999999999999986</c:v>
                </c:pt>
                <c:pt idx="1">
                  <c:v>6.4250000000000114</c:v>
                </c:pt>
                <c:pt idx="2">
                  <c:v>2.8250000000000028</c:v>
                </c:pt>
                <c:pt idx="3">
                  <c:v>5.1999999999999957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523-4D86-80D2-55F11A99BA86}"/>
            </c:ext>
          </c:extLst>
        </c:ser>
        <c:ser>
          <c:idx val="3"/>
          <c:order val="3"/>
          <c:tx>
            <c:strRef>
              <c:f>'Manova 1d'!$Q$30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'Manova 1d'!$R$31:$U$31</c:f>
                <c:numCache>
                  <c:formatCode>General</c:formatCode>
                  <c:ptCount val="4"/>
                  <c:pt idx="0">
                    <c:v>16.950000000000003</c:v>
                  </c:pt>
                  <c:pt idx="1">
                    <c:v>16.549999999999997</c:v>
                  </c:pt>
                  <c:pt idx="2">
                    <c:v>11.399999999999991</c:v>
                  </c:pt>
                  <c:pt idx="3">
                    <c:v>9.9000000000000057</c:v>
                  </c:pt>
                </c:numCache>
              </c:numRef>
            </c:plus>
          </c:errBars>
          <c:cat>
            <c:strRef>
              <c:f>'Manova 1d'!$R$26:$U$26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1d'!$R$30:$U$30</c:f>
              <c:numCache>
                <c:formatCode>General</c:formatCode>
                <c:ptCount val="4"/>
                <c:pt idx="0">
                  <c:v>4.9499999999999957</c:v>
                </c:pt>
                <c:pt idx="1">
                  <c:v>13.999999999999986</c:v>
                </c:pt>
                <c:pt idx="2">
                  <c:v>15</c:v>
                </c:pt>
                <c:pt idx="3">
                  <c:v>4.3000000000000043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0523-4D86-80D2-55F11A99B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4670208"/>
        <c:axId val="344671744"/>
      </c:barChart>
      <c:catAx>
        <c:axId val="34467020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44671744"/>
        <c:crosses val="autoZero"/>
        <c:auto val="1"/>
        <c:lblAlgn val="ctr"/>
        <c:lblOffset val="100"/>
        <c:noMultiLvlLbl val="0"/>
      </c:catAx>
      <c:valAx>
        <c:axId val="3446717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67020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'Manova 1d'!$Q$50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'Manova 1d'!$R$49:$U$49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1d'!$R$50:$U$50</c:f>
              <c:numCache>
                <c:formatCode>General</c:formatCode>
                <c:ptCount val="4"/>
                <c:pt idx="0">
                  <c:v>1.9</c:v>
                </c:pt>
                <c:pt idx="1">
                  <c:v>4.2</c:v>
                </c:pt>
                <c:pt idx="2">
                  <c:v>1.2</c:v>
                </c:pt>
                <c:pt idx="3">
                  <c:v>1.1000000000000001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1DA-47FE-80AF-31457024718A}"/>
            </c:ext>
          </c:extLst>
        </c:ser>
        <c:ser>
          <c:idx val="1"/>
          <c:order val="1"/>
          <c:tx>
            <c:strRef>
              <c:f>'Manova 1d'!$Q$51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'Manova 1d'!$R$49:$U$49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1d'!$R$51:$U$51</c:f>
              <c:numCache>
                <c:formatCode>General</c:formatCode>
                <c:ptCount val="4"/>
                <c:pt idx="0">
                  <c:v>0.95000000000000018</c:v>
                </c:pt>
                <c:pt idx="1">
                  <c:v>0.54999999999999982</c:v>
                </c:pt>
                <c:pt idx="2">
                  <c:v>1.45</c:v>
                </c:pt>
                <c:pt idx="3">
                  <c:v>2.4250000000000003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91DA-47FE-80AF-31457024718A}"/>
            </c:ext>
          </c:extLst>
        </c:ser>
        <c:ser>
          <c:idx val="2"/>
          <c:order val="2"/>
          <c:tx>
            <c:strRef>
              <c:f>'Manova 1d'!$Q$52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'Manova 1d'!$R$49:$U$49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1d'!$R$52:$U$52</c:f>
              <c:numCache>
                <c:formatCode>General</c:formatCode>
                <c:ptCount val="4"/>
                <c:pt idx="0">
                  <c:v>0.69999999999999973</c:v>
                </c:pt>
                <c:pt idx="1">
                  <c:v>1.0499999999999998</c:v>
                </c:pt>
                <c:pt idx="2">
                  <c:v>1.1999999999999997</c:v>
                </c:pt>
                <c:pt idx="3">
                  <c:v>1.2749999999999995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1DA-47FE-80AF-31457024718A}"/>
            </c:ext>
          </c:extLst>
        </c:ser>
        <c:ser>
          <c:idx val="3"/>
          <c:order val="3"/>
          <c:tx>
            <c:strRef>
              <c:f>'Manova 1d'!$Q$53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'Manova 1d'!$R$54:$U$54</c:f>
                <c:numCache>
                  <c:formatCode>General</c:formatCode>
                  <c:ptCount val="4"/>
                  <c:pt idx="0">
                    <c:v>2.0750000000000002</c:v>
                  </c:pt>
                  <c:pt idx="1">
                    <c:v>4.6499999999999986</c:v>
                  </c:pt>
                  <c:pt idx="2">
                    <c:v>1.2249999999999996</c:v>
                  </c:pt>
                  <c:pt idx="3">
                    <c:v>1.7750000000000004</c:v>
                  </c:pt>
                </c:numCache>
              </c:numRef>
            </c:plus>
          </c:errBars>
          <c:cat>
            <c:strRef>
              <c:f>'Manova 1d'!$R$49:$U$49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1d'!$R$53:$U$53</c:f>
              <c:numCache>
                <c:formatCode>General</c:formatCode>
                <c:ptCount val="4"/>
                <c:pt idx="0">
                  <c:v>1.7750000000000004</c:v>
                </c:pt>
                <c:pt idx="1">
                  <c:v>1.2500000000000009</c:v>
                </c:pt>
                <c:pt idx="2">
                  <c:v>1.2250000000000005</c:v>
                </c:pt>
                <c:pt idx="3">
                  <c:v>0.32500000000000018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91DA-47FE-80AF-3145702471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4729472"/>
        <c:axId val="344731008"/>
      </c:barChart>
      <c:catAx>
        <c:axId val="344729472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44731008"/>
        <c:crosses val="autoZero"/>
        <c:auto val="1"/>
        <c:lblAlgn val="ctr"/>
        <c:lblOffset val="100"/>
        <c:noMultiLvlLbl val="0"/>
      </c:catAx>
      <c:valAx>
        <c:axId val="34473100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72947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Box Plot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'Manova 1e'!$K$4</c:f>
              <c:strCache>
                <c:ptCount val="1"/>
                <c:pt idx="0">
                  <c:v>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4F81BD"/>
                  </a:solidFill>
                </a14:hiddenFill>
              </a:ext>
            </a:extLst>
          </c:spPr>
          <c:invertIfNegative val="0"/>
          <c:cat>
            <c:strRef>
              <c:f>'Manova 1e'!$L$3:$O$3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1e'!$L$4:$O$4</c:f>
              <c:numCache>
                <c:formatCode>General</c:formatCode>
                <c:ptCount val="4"/>
                <c:pt idx="0">
                  <c:v>1.9</c:v>
                </c:pt>
                <c:pt idx="1">
                  <c:v>4.2</c:v>
                </c:pt>
                <c:pt idx="2">
                  <c:v>1.2</c:v>
                </c:pt>
                <c:pt idx="3">
                  <c:v>1.1000000000000001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409D-40CE-A290-19839B61C33F}"/>
            </c:ext>
          </c:extLst>
        </c:ser>
        <c:ser>
          <c:idx val="1"/>
          <c:order val="1"/>
          <c:tx>
            <c:strRef>
              <c:f>'Manova 1e'!$K$5</c:f>
              <c:strCache>
                <c:ptCount val="1"/>
                <c:pt idx="0">
                  <c:v>Q1-Min</c:v>
                </c:pt>
              </c:strCache>
            </c:strRef>
          </c:tx>
          <c:spPr>
            <a:noFill/>
            <a:extLst>
              <a:ext uri="{909E8E84-426E-40DD-AFC4-6F175D3DCCD1}">
                <a14:hiddenFill xmlns:a14="http://schemas.microsoft.com/office/drawing/2010/main">
                  <a:solidFill>
                    <a:srgbClr val="C0504D"/>
                  </a:solidFill>
                </a14:hiddenFill>
              </a:ext>
            </a:extLst>
          </c:spPr>
          <c:invertIfNegative val="0"/>
          <c:errBars>
            <c:errBarType val="minus"/>
            <c:errValType val="percentage"/>
            <c:noEndCap val="0"/>
            <c:val val="100"/>
          </c:errBars>
          <c:cat>
            <c:strRef>
              <c:f>'Manova 1e'!$L$3:$O$3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1e'!$L$5:$O$5</c:f>
              <c:numCache>
                <c:formatCode>General</c:formatCode>
                <c:ptCount val="4"/>
                <c:pt idx="0">
                  <c:v>0.95000000000000018</c:v>
                </c:pt>
                <c:pt idx="1">
                  <c:v>0.54999999999999982</c:v>
                </c:pt>
                <c:pt idx="2">
                  <c:v>1.45</c:v>
                </c:pt>
                <c:pt idx="3">
                  <c:v>2.4250000000000003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1-409D-40CE-A290-19839B61C33F}"/>
            </c:ext>
          </c:extLst>
        </c:ser>
        <c:ser>
          <c:idx val="2"/>
          <c:order val="2"/>
          <c:tx>
            <c:strRef>
              <c:f>'Manova 1e'!$K$6</c:f>
              <c:strCache>
                <c:ptCount val="1"/>
                <c:pt idx="0">
                  <c:v>Med-Q1</c:v>
                </c:pt>
              </c:strCache>
            </c:strRef>
          </c:tx>
          <c:invertIfNegative val="0"/>
          <c:cat>
            <c:strRef>
              <c:f>'Manova 1e'!$L$3:$O$3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1e'!$L$6:$O$6</c:f>
              <c:numCache>
                <c:formatCode>General</c:formatCode>
                <c:ptCount val="4"/>
                <c:pt idx="0">
                  <c:v>0.69999999999999973</c:v>
                </c:pt>
                <c:pt idx="1">
                  <c:v>1.0499999999999998</c:v>
                </c:pt>
                <c:pt idx="2">
                  <c:v>1.1999999999999997</c:v>
                </c:pt>
                <c:pt idx="3">
                  <c:v>1.2749999999999995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409D-40CE-A290-19839B61C33F}"/>
            </c:ext>
          </c:extLst>
        </c:ser>
        <c:ser>
          <c:idx val="3"/>
          <c:order val="3"/>
          <c:tx>
            <c:strRef>
              <c:f>'Manova 1e'!$K$7</c:f>
              <c:strCache>
                <c:ptCount val="1"/>
                <c:pt idx="0">
                  <c:v>Q3-Med</c:v>
                </c:pt>
              </c:strCache>
            </c:strRef>
          </c:tx>
          <c:invertIfNegative val="0"/>
          <c:errBars>
            <c:errBarType val="plus"/>
            <c:errValType val="cust"/>
            <c:noEndCap val="0"/>
            <c:plus>
              <c:numRef>
                <c:f>'Manova 1e'!$L$8:$O$8</c:f>
                <c:numCache>
                  <c:formatCode>General</c:formatCode>
                  <c:ptCount val="4"/>
                  <c:pt idx="0">
                    <c:v>2.0750000000000002</c:v>
                  </c:pt>
                  <c:pt idx="1">
                    <c:v>4.6499999999999986</c:v>
                  </c:pt>
                  <c:pt idx="2">
                    <c:v>1.2249999999999996</c:v>
                  </c:pt>
                  <c:pt idx="3">
                    <c:v>1.7750000000000004</c:v>
                  </c:pt>
                </c:numCache>
              </c:numRef>
            </c:plus>
          </c:errBars>
          <c:cat>
            <c:strRef>
              <c:f>'Manova 1e'!$L$3:$O$3</c:f>
              <c:strCache>
                <c:ptCount val="4"/>
                <c:pt idx="0">
                  <c:v>clay</c:v>
                </c:pt>
                <c:pt idx="1">
                  <c:v>loam</c:v>
                </c:pt>
                <c:pt idx="2">
                  <c:v>salty</c:v>
                </c:pt>
                <c:pt idx="3">
                  <c:v>sandy</c:v>
                </c:pt>
              </c:strCache>
            </c:strRef>
          </c:cat>
          <c:val>
            <c:numRef>
              <c:f>'Manova 1e'!$L$7:$O$7</c:f>
              <c:numCache>
                <c:formatCode>General</c:formatCode>
                <c:ptCount val="4"/>
                <c:pt idx="0">
                  <c:v>1.7750000000000004</c:v>
                </c:pt>
                <c:pt idx="1">
                  <c:v>1.2500000000000009</c:v>
                </c:pt>
                <c:pt idx="2">
                  <c:v>1.2250000000000005</c:v>
                </c:pt>
                <c:pt idx="3">
                  <c:v>0.32500000000000018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3-409D-40CE-A290-19839B61C3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44830720"/>
        <c:axId val="344832256"/>
      </c:barChart>
      <c:catAx>
        <c:axId val="34483072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crossAx val="344832256"/>
        <c:crosses val="autoZero"/>
        <c:auto val="1"/>
        <c:lblAlgn val="ctr"/>
        <c:lblOffset val="100"/>
        <c:noMultiLvlLbl val="0"/>
      </c:catAx>
      <c:valAx>
        <c:axId val="3448322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8307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Scree Plot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val>
            <c:numLit>
              <c:formatCode>General</c:formatCode>
              <c:ptCount val="9"/>
              <c:pt idx="0">
                <c:v>0.54742723754979927</c:v>
              </c:pt>
              <c:pt idx="1">
                <c:v>0.12801383104328856</c:v>
              </c:pt>
              <c:pt idx="2">
                <c:v>9.9040676914732589E-2</c:v>
              </c:pt>
              <c:pt idx="3">
                <c:v>6.8037077233563392E-2</c:v>
              </c:pt>
              <c:pt idx="4">
                <c:v>5.2694744656061138E-2</c:v>
              </c:pt>
              <c:pt idx="5">
                <c:v>3.9652241571292449E-2</c:v>
              </c:pt>
              <c:pt idx="6">
                <c:v>3.5995045295632043E-2</c:v>
              </c:pt>
              <c:pt idx="7">
                <c:v>2.0830040452000653E-2</c:v>
              </c:pt>
              <c:pt idx="8">
                <c:v>8.3091052836300524E-3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46C2-4FD6-BCBF-6E3FB68C1B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301568"/>
        <c:axId val="346303104"/>
      </c:lineChart>
      <c:catAx>
        <c:axId val="346301568"/>
        <c:scaling>
          <c:orientation val="minMax"/>
        </c:scaling>
        <c:delete val="0"/>
        <c:axPos val="b"/>
        <c:majorTickMark val="out"/>
        <c:minorTickMark val="none"/>
        <c:tickLblPos val="nextTo"/>
        <c:crossAx val="346303104"/>
        <c:crosses val="autoZero"/>
        <c:auto val="1"/>
        <c:lblAlgn val="ctr"/>
        <c:lblOffset val="100"/>
        <c:noMultiLvlLbl val="0"/>
      </c:catAx>
      <c:valAx>
        <c:axId val="34630310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630156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Scree Plot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val>
            <c:numLit>
              <c:formatCode>General</c:formatCode>
              <c:ptCount val="9"/>
              <c:pt idx="0">
                <c:v>0.32004854511139591</c:v>
              </c:pt>
              <c:pt idx="1">
                <c:v>0.15985048778574817</c:v>
              </c:pt>
              <c:pt idx="2">
                <c:v>0.12932551663773473</c:v>
              </c:pt>
              <c:pt idx="3">
                <c:v>0.11382807902221671</c:v>
              </c:pt>
              <c:pt idx="4">
                <c:v>7.8356518265323929E-2</c:v>
              </c:pt>
              <c:pt idx="5">
                <c:v>7.1958156648054508E-2</c:v>
              </c:pt>
              <c:pt idx="6">
                <c:v>6.2488138758617091E-2</c:v>
              </c:pt>
              <c:pt idx="7">
                <c:v>3.8360933230682889E-2</c:v>
              </c:pt>
              <c:pt idx="8">
                <c:v>2.5783624540226084E-2</c:v>
              </c:pt>
            </c:numLit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A9E-4F8B-9F29-B24C881B7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323584"/>
        <c:axId val="346345856"/>
      </c:lineChart>
      <c:catAx>
        <c:axId val="346323584"/>
        <c:scaling>
          <c:orientation val="minMax"/>
        </c:scaling>
        <c:delete val="0"/>
        <c:axPos val="b"/>
        <c:majorTickMark val="out"/>
        <c:minorTickMark val="none"/>
        <c:tickLblPos val="nextTo"/>
        <c:crossAx val="346345856"/>
        <c:crosses val="autoZero"/>
        <c:auto val="1"/>
        <c:lblAlgn val="ctr"/>
        <c:lblOffset val="100"/>
        <c:noMultiLvlLbl val="0"/>
      </c:catAx>
      <c:valAx>
        <c:axId val="3463458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632358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Scree Plot</a:t>
            </a:r>
          </a:p>
        </c:rich>
      </c:tx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val>
            <c:numRef>
              <c:f>Factor!$N$6:$N$14</c:f>
              <c:numCache>
                <c:formatCode>0.0%</c:formatCode>
                <c:ptCount val="9"/>
                <c:pt idx="0">
                  <c:v>0.3200485451113963</c:v>
                </c:pt>
                <c:pt idx="1">
                  <c:v>0.1598504877857479</c:v>
                </c:pt>
                <c:pt idx="2">
                  <c:v>0.12932551663774042</c:v>
                </c:pt>
                <c:pt idx="3">
                  <c:v>0.1138280790222115</c:v>
                </c:pt>
                <c:pt idx="4">
                  <c:v>7.8356518309202011E-2</c:v>
                </c:pt>
                <c:pt idx="5">
                  <c:v>7.195815660424025E-2</c:v>
                </c:pt>
                <c:pt idx="6">
                  <c:v>6.2488138758552525E-2</c:v>
                </c:pt>
                <c:pt idx="7">
                  <c:v>3.8360933230682917E-2</c:v>
                </c:pt>
                <c:pt idx="8">
                  <c:v>2.5783624540226129E-2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7848-4BE5-86B4-1DEB4525BB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453504"/>
        <c:axId val="346455040"/>
      </c:lineChart>
      <c:catAx>
        <c:axId val="346453504"/>
        <c:scaling>
          <c:orientation val="minMax"/>
        </c:scaling>
        <c:delete val="0"/>
        <c:axPos val="b"/>
        <c:majorTickMark val="out"/>
        <c:minorTickMark val="none"/>
        <c:tickLblPos val="nextTo"/>
        <c:crossAx val="346455040"/>
        <c:crosses val="autoZero"/>
        <c:auto val="1"/>
        <c:lblAlgn val="ctr"/>
        <c:lblOffset val="100"/>
        <c:noMultiLvlLbl val="0"/>
      </c:catAx>
      <c:valAx>
        <c:axId val="346455040"/>
        <c:scaling>
          <c:orientation val="minMax"/>
        </c:scaling>
        <c:delete val="0"/>
        <c:axPos val="l"/>
        <c:majorGridlines/>
        <c:numFmt formatCode="0.0%" sourceLinked="1"/>
        <c:majorTickMark val="out"/>
        <c:minorTickMark val="none"/>
        <c:tickLblPos val="nextTo"/>
        <c:crossAx val="3464535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Data Elements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'Clust 1'!$B$4:$B$13</c:f>
              <c:numCache>
                <c:formatCode>General</c:formatCode>
                <c:ptCount val="10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5</c:v>
                </c:pt>
              </c:numCache>
            </c:numRef>
          </c:xVal>
          <c:yVal>
            <c:numRef>
              <c:f>'Clust 1'!$C$4:$C$13</c:f>
              <c:numCache>
                <c:formatCode>General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B730-4879-9BEB-B74CC659C6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49243264"/>
        <c:axId val="349249536"/>
      </c:scatterChart>
      <c:valAx>
        <c:axId val="3492432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249536"/>
        <c:crosses val="autoZero"/>
        <c:crossBetween val="midCat"/>
      </c:valAx>
      <c:valAx>
        <c:axId val="349249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92432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Cluster Analysis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ADBCB3C-CDE0-478B-B657-527610AD377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515-4FD3-9DB8-F75C4B9E6F2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624A22A-DB32-4248-B836-170756C68320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C515-4FD3-9DB8-F75C4B9E6F2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530F1CB0-046F-4799-828F-364949C517D0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2-C515-4FD3-9DB8-F75C4B9E6F2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94908BE-9888-4A1A-AAA3-E56C870F6E4C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515-4FD3-9DB8-F75C4B9E6F2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27F5FB9F-7148-439F-844D-A1B70440F9D8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C515-4FD3-9DB8-F75C4B9E6F2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D9BEA3E-5331-4352-9DE0-8FCCBCA1AD04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5-C515-4FD3-9DB8-F75C4B9E6F2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3038D46-584D-4126-9135-133A2D07EB41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C515-4FD3-9DB8-F75C4B9E6F2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9B4E80FB-46DD-458E-82CF-ED4A731C062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C515-4FD3-9DB8-F75C4B9E6F2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DC3CDD7-8B53-46D0-B3E5-AE2C6AC6A8CB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C515-4FD3-9DB8-F75C4B9E6F2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B13F8726-7E85-4755-924E-9940D67B7898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C515-4FD3-9DB8-F75C4B9E6F2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'Clust 1'!$B$40:$B$49</c:f>
              <c:numCache>
                <c:formatCode>General</c:formatCode>
                <c:ptCount val="10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0</c:v>
                </c:pt>
                <c:pt idx="4">
                  <c:v>2</c:v>
                </c:pt>
                <c:pt idx="5">
                  <c:v>4</c:v>
                </c:pt>
                <c:pt idx="6">
                  <c:v>2</c:v>
                </c:pt>
                <c:pt idx="7">
                  <c:v>2</c:v>
                </c:pt>
                <c:pt idx="8">
                  <c:v>1</c:v>
                </c:pt>
                <c:pt idx="9">
                  <c:v>5</c:v>
                </c:pt>
              </c:numCache>
            </c:numRef>
          </c:xVal>
          <c:yVal>
            <c:numRef>
              <c:f>'Clust 1'!$C$40:$C$49</c:f>
              <c:numCache>
                <c:formatCode>General</c:formatCode>
                <c:ptCount val="10"/>
                <c:pt idx="0">
                  <c:v>0</c:v>
                </c:pt>
                <c:pt idx="1">
                  <c:v>2</c:v>
                </c:pt>
                <c:pt idx="2">
                  <c:v>1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4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datalabelsRange>
                <c15:f>'Clust 1'!$E$40:$E$49</c15:f>
                <c15:dlblRangeCache>
                  <c:ptCount val="10"/>
                  <c:pt idx="0">
                    <c:v>1</c:v>
                  </c:pt>
                  <c:pt idx="1">
                    <c:v>1</c:v>
                  </c:pt>
                  <c:pt idx="2">
                    <c:v>1</c:v>
                  </c:pt>
                  <c:pt idx="3">
                    <c:v>2</c:v>
                  </c:pt>
                  <c:pt idx="4">
                    <c:v>1</c:v>
                  </c:pt>
                  <c:pt idx="5">
                    <c:v>1</c:v>
                  </c:pt>
                  <c:pt idx="6">
                    <c:v>2</c:v>
                  </c:pt>
                  <c:pt idx="7">
                    <c:v>2</c:v>
                  </c:pt>
                  <c:pt idx="8">
                    <c:v>2</c:v>
                  </c:pt>
                  <c:pt idx="9">
                    <c:v>1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C515-4FD3-9DB8-F75C4B9E6F2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82540800"/>
        <c:axId val="382556032"/>
      </c:scatterChart>
      <c:valAx>
        <c:axId val="3825408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2556032"/>
        <c:crosses val="autoZero"/>
        <c:crossBetween val="midCat"/>
      </c:valAx>
      <c:valAx>
        <c:axId val="3825560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8254080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 - Rows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00C1E88-FFB4-412C-AF40-D496F7DC147B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F73-4D54-A94C-F41DED8E93DE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DA5F4DB-F85A-4323-A290-27F55C61BCB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F73-4D54-A94C-F41DED8E93DE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6CE04350-62AB-4D5F-855E-9CA1DEA16B9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F73-4D54-A94C-F41DED8E93DE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F8D2E885-DAF4-4EE5-BA54-58A121C0029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F73-4D54-A94C-F41DED8E93DE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4F788CD4-D85F-4F56-9EC1-A0978F683E7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F73-4D54-A94C-F41DED8E93DE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84DC113E-97C5-4A9B-91C9-7BB8C083CFE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8F73-4D54-A94C-F41DED8E93D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'CA 1'!$BA$14:$BA$19</c:f>
              <c:numCache>
                <c:formatCode>General</c:formatCode>
                <c:ptCount val="6"/>
                <c:pt idx="0">
                  <c:v>-0.28861259679025913</c:v>
                </c:pt>
                <c:pt idx="1">
                  <c:v>1.1631656524856757</c:v>
                </c:pt>
                <c:pt idx="2">
                  <c:v>-0.14114782228732212</c:v>
                </c:pt>
                <c:pt idx="3">
                  <c:v>0.16171270956823458</c:v>
                </c:pt>
                <c:pt idx="4">
                  <c:v>-0.22039226470538509</c:v>
                </c:pt>
                <c:pt idx="5">
                  <c:v>-0.32322482930722235</c:v>
                </c:pt>
              </c:numCache>
            </c:numRef>
          </c:xVal>
          <c:yVal>
            <c:numRef>
              <c:f>'CA 1'!$BB$14:$BB$19</c:f>
              <c:numCache>
                <c:formatCode>General</c:formatCode>
                <c:ptCount val="6"/>
                <c:pt idx="0">
                  <c:v>-0.10890552822986688</c:v>
                </c:pt>
                <c:pt idx="1">
                  <c:v>2.1562865895509053E-2</c:v>
                </c:pt>
                <c:pt idx="2">
                  <c:v>0.2229210828425674</c:v>
                </c:pt>
                <c:pt idx="3">
                  <c:v>-0.19783714786196671</c:v>
                </c:pt>
                <c:pt idx="4">
                  <c:v>0.14110005369720865</c:v>
                </c:pt>
                <c:pt idx="5">
                  <c:v>-0.16776999581485053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datalabelsRange>
                <c15:f>'CA 1'!$AZ$14:$AZ$19</c15:f>
                <c15:dlblRangeCache>
                  <c:ptCount val="6"/>
                  <c:pt idx="0">
                    <c:v>scr</c:v>
                  </c:pt>
                  <c:pt idx="1">
                    <c:v>pri</c:v>
                  </c:pt>
                  <c:pt idx="2">
                    <c:v>des</c:v>
                  </c:pt>
                  <c:pt idx="3">
                    <c:v>bat</c:v>
                  </c:pt>
                  <c:pt idx="4">
                    <c:v>sof</c:v>
                  </c:pt>
                  <c:pt idx="5">
                    <c:v>cam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8F73-4D54-A94C-F41DED8E93D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35854208"/>
        <c:axId val="335611392"/>
      </c:scatterChart>
      <c:valAx>
        <c:axId val="335854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611392"/>
        <c:crossesAt val="0"/>
        <c:crossBetween val="midCat"/>
      </c:valAx>
      <c:valAx>
        <c:axId val="335611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854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 - Columns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'CA 1'!$BB$24</c:f>
              <c:strCache>
                <c:ptCount val="1"/>
                <c:pt idx="0">
                  <c:v>Factor 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5178F5B-58A8-4C3A-B1D6-FA02B80A5F7F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9CBE-402A-9285-2E6F2A4FC3EC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DEB94E47-4166-4E10-8EC5-93A0EA0A0B0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9CBE-402A-9285-2E6F2A4FC3EC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B98975EC-ABE9-4530-80DC-C8975908D02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9CBE-402A-9285-2E6F2A4FC3EC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D54903E-09D2-4EA4-A44A-FDDBE0FAA73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9CBE-402A-9285-2E6F2A4FC3E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'CA 1'!$BA$25:$BA$28</c:f>
              <c:numCache>
                <c:formatCode>General</c:formatCode>
                <c:ptCount val="4"/>
                <c:pt idx="0">
                  <c:v>-0.34040167699441487</c:v>
                </c:pt>
                <c:pt idx="1">
                  <c:v>-0.31670922413097391</c:v>
                </c:pt>
                <c:pt idx="2">
                  <c:v>0.96397532065955427</c:v>
                </c:pt>
                <c:pt idx="3">
                  <c:v>0.19799374104504283</c:v>
                </c:pt>
              </c:numCache>
            </c:numRef>
          </c:xVal>
          <c:yVal>
            <c:numRef>
              <c:f>'CA 1'!$BB$25:$BB$28</c:f>
              <c:numCache>
                <c:formatCode>General</c:formatCode>
                <c:ptCount val="4"/>
                <c:pt idx="0">
                  <c:v>0.11445979834628034</c:v>
                </c:pt>
                <c:pt idx="1">
                  <c:v>-0.21611725353889033</c:v>
                </c:pt>
                <c:pt idx="2">
                  <c:v>-0.10439130542805364</c:v>
                </c:pt>
                <c:pt idx="3">
                  <c:v>0.17240486600808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datalabelsRange>
                <c15:f>'CA 1'!$AZ$25:$AZ$28</c15:f>
                <c15:dlblRangeCache>
                  <c:ptCount val="4"/>
                  <c:pt idx="0">
                    <c:v>APP</c:v>
                  </c:pt>
                  <c:pt idx="1">
                    <c:v>SAM</c:v>
                  </c:pt>
                  <c:pt idx="2">
                    <c:v>NOK</c:v>
                  </c:pt>
                  <c:pt idx="3">
                    <c:v>HUA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9CBE-402A-9285-2E6F2A4FC3EC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35665792"/>
        <c:axId val="335672832"/>
      </c:scatterChart>
      <c:valAx>
        <c:axId val="3356657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672832"/>
        <c:crosses val="autoZero"/>
        <c:crossBetween val="midCat"/>
      </c:valAx>
      <c:valAx>
        <c:axId val="335672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56657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Correspondence Analysis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D3793A27-2889-4B8D-847D-664053BF228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0E48-425B-BB79-765B6B1CE0F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A2A42F71-63D0-45F1-9EC5-69E96A50B1D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E48-425B-BB79-765B6B1CE0F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93B95CD3-AED7-4016-B7C4-F8F216F07E4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E48-425B-BB79-765B6B1CE0F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4F11D0B7-36F0-418F-9025-36036FBD32D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E48-425B-BB79-765B6B1CE0F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AE109C4-C6A6-470C-B0F8-80A80561B51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E48-425B-BB79-765B6B1CE0F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AEE6F36-9BCF-4D67-9067-D547CB9BA2A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E48-425B-BB79-765B6B1CE0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'CA 1'!$BA$14:$BA$19</c:f>
              <c:numCache>
                <c:formatCode>General</c:formatCode>
                <c:ptCount val="6"/>
                <c:pt idx="0">
                  <c:v>-0.28861259679025913</c:v>
                </c:pt>
                <c:pt idx="1">
                  <c:v>1.1631656524856757</c:v>
                </c:pt>
                <c:pt idx="2">
                  <c:v>-0.14114782228732212</c:v>
                </c:pt>
                <c:pt idx="3">
                  <c:v>0.16171270956823458</c:v>
                </c:pt>
                <c:pt idx="4">
                  <c:v>-0.22039226470538509</c:v>
                </c:pt>
                <c:pt idx="5">
                  <c:v>-0.32322482930722235</c:v>
                </c:pt>
              </c:numCache>
            </c:numRef>
          </c:xVal>
          <c:yVal>
            <c:numRef>
              <c:f>'CA 1'!$BB$14:$BB$19</c:f>
              <c:numCache>
                <c:formatCode>General</c:formatCode>
                <c:ptCount val="6"/>
                <c:pt idx="0">
                  <c:v>-0.10890552822986688</c:v>
                </c:pt>
                <c:pt idx="1">
                  <c:v>2.1562865895509053E-2</c:v>
                </c:pt>
                <c:pt idx="2">
                  <c:v>0.2229210828425674</c:v>
                </c:pt>
                <c:pt idx="3">
                  <c:v>-0.19783714786196671</c:v>
                </c:pt>
                <c:pt idx="4">
                  <c:v>0.14110005369720865</c:v>
                </c:pt>
                <c:pt idx="5">
                  <c:v>-0.16776999581485053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datalabelsRange>
                <c15:f>'CA 1'!$AZ$14:$AZ$19</c15:f>
                <c15:dlblRangeCache>
                  <c:ptCount val="6"/>
                  <c:pt idx="0">
                    <c:v>scr</c:v>
                  </c:pt>
                  <c:pt idx="1">
                    <c:v>pri</c:v>
                  </c:pt>
                  <c:pt idx="2">
                    <c:v>des</c:v>
                  </c:pt>
                  <c:pt idx="3">
                    <c:v>bat</c:v>
                  </c:pt>
                  <c:pt idx="4">
                    <c:v>sof</c:v>
                  </c:pt>
                  <c:pt idx="5">
                    <c:v>cam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6-0E48-425B-BB79-765B6B1CE0F0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5209003-3FC1-4CEC-ADCE-A5D2FCE059C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0E48-425B-BB79-765B6B1CE0F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97F6E1D-E096-46C7-874F-88B9E59BB0E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E48-425B-BB79-765B6B1CE0F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E9FE2909-375A-4964-9067-4103301D1BF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E48-425B-BB79-765B6B1CE0F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12B43AF-4D0C-4B38-952E-B1743FCA56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E48-425B-BB79-765B6B1CE0F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'CA 1'!$BA$25:$BA$28</c:f>
              <c:numCache>
                <c:formatCode>General</c:formatCode>
                <c:ptCount val="4"/>
                <c:pt idx="0">
                  <c:v>-0.34040167699441487</c:v>
                </c:pt>
                <c:pt idx="1">
                  <c:v>-0.31670922413097391</c:v>
                </c:pt>
                <c:pt idx="2">
                  <c:v>0.96397532065955427</c:v>
                </c:pt>
                <c:pt idx="3">
                  <c:v>0.19799374104504283</c:v>
                </c:pt>
              </c:numCache>
            </c:numRef>
          </c:xVal>
          <c:yVal>
            <c:numRef>
              <c:f>'CA 1'!$BB$25:$BB$28</c:f>
              <c:numCache>
                <c:formatCode>General</c:formatCode>
                <c:ptCount val="4"/>
                <c:pt idx="0">
                  <c:v>0.11445979834628034</c:v>
                </c:pt>
                <c:pt idx="1">
                  <c:v>-0.21611725353889033</c:v>
                </c:pt>
                <c:pt idx="2">
                  <c:v>-0.10439130542805364</c:v>
                </c:pt>
                <c:pt idx="3">
                  <c:v>0.17240486600808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datalabelsRange>
                <c15:f>'CA 1'!$AZ$25:$AZ$28</c15:f>
                <c15:dlblRangeCache>
                  <c:ptCount val="4"/>
                  <c:pt idx="0">
                    <c:v>APP</c:v>
                  </c:pt>
                  <c:pt idx="1">
                    <c:v>SAM</c:v>
                  </c:pt>
                  <c:pt idx="2">
                    <c:v>NOK</c:v>
                  </c:pt>
                  <c:pt idx="3">
                    <c:v>HUA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B-0E48-425B-BB79-765B6B1CE0F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406385024"/>
        <c:axId val="406386560"/>
      </c:scatterChart>
      <c:valAx>
        <c:axId val="406385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6386560"/>
        <c:crosses val="autoZero"/>
        <c:crossBetween val="midCat"/>
      </c:valAx>
      <c:valAx>
        <c:axId val="40638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063850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 Rows with Supplementary Points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FDA6B35-7772-4DE6-BE33-2BD35B485488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EAC9-43E5-AB36-919DC7D240F9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44C2F7E-2A15-415A-B853-0E8B02334B5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EAC9-43E5-AB36-919DC7D240F9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8F936A3-1D02-4DA1-9A9C-63AC43CF70F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EAC9-43E5-AB36-919DC7D240F9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D204D7E-6B3D-412D-BE67-1686C5FC47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EAC9-43E5-AB36-919DC7D240F9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048260D-6FFF-4054-8FDB-2A310D9491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EAC9-43E5-AB36-919DC7D240F9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424A237-717D-4952-9511-5D5C022B76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EAC9-43E5-AB36-919DC7D240F9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3BFC87A2-6F51-45BF-95E4-CF83E28FB1C0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EAC9-43E5-AB36-919DC7D240F9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339DD0B-6A9E-41E2-8F6E-A376369769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EAC9-43E5-AB36-919DC7D240F9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587D5163-A0BC-4937-A06F-2A4BE1501E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EAC9-43E5-AB36-919DC7D240F9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A3A8CB7-AC09-45DF-8EB7-40CFB759679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EAC9-43E5-AB36-919DC7D240F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'CA 1'!$BA$46:$BA$55</c:f>
              <c:numCache>
                <c:formatCode>General</c:formatCode>
                <c:ptCount val="10"/>
                <c:pt idx="0">
                  <c:v>-0.28861259679025913</c:v>
                </c:pt>
                <c:pt idx="1">
                  <c:v>1.1631656524856757</c:v>
                </c:pt>
                <c:pt idx="2">
                  <c:v>-0.14114782228732212</c:v>
                </c:pt>
                <c:pt idx="3">
                  <c:v>0.16171270956823458</c:v>
                </c:pt>
                <c:pt idx="4">
                  <c:v>-0.22039226470538509</c:v>
                </c:pt>
                <c:pt idx="5">
                  <c:v>-0.32322482930722235</c:v>
                </c:pt>
                <c:pt idx="6">
                  <c:v>-0.72735432064477512</c:v>
                </c:pt>
                <c:pt idx="7">
                  <c:v>-0.67672939978934943</c:v>
                </c:pt>
                <c:pt idx="8">
                  <c:v>2.0597772040005653</c:v>
                </c:pt>
                <c:pt idx="9">
                  <c:v>0.42306372953649557</c:v>
                </c:pt>
              </c:numCache>
            </c:numRef>
          </c:xVal>
          <c:yVal>
            <c:numRef>
              <c:f>'CA 1'!$BB$46:$BB$55</c:f>
              <c:numCache>
                <c:formatCode>General</c:formatCode>
                <c:ptCount val="10"/>
                <c:pt idx="0">
                  <c:v>-0.10890552822986688</c:v>
                </c:pt>
                <c:pt idx="1">
                  <c:v>2.1562865895509053E-2</c:v>
                </c:pt>
                <c:pt idx="2">
                  <c:v>0.2229210828425674</c:v>
                </c:pt>
                <c:pt idx="3">
                  <c:v>-0.19783714786196671</c:v>
                </c:pt>
                <c:pt idx="4">
                  <c:v>0.14110005369720865</c:v>
                </c:pt>
                <c:pt idx="5">
                  <c:v>-0.16776999581485053</c:v>
                </c:pt>
                <c:pt idx="6">
                  <c:v>0.70414148520076791</c:v>
                </c:pt>
                <c:pt idx="7">
                  <c:v>-1.329524654796236</c:v>
                </c:pt>
                <c:pt idx="8">
                  <c:v>-0.64220145333276701</c:v>
                </c:pt>
                <c:pt idx="9">
                  <c:v>1.0606118494067218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datalabelsRange>
                <c15:f>'CA 1'!$AZ$46:$AZ$55</c15:f>
                <c15:dlblRangeCache>
                  <c:ptCount val="10"/>
                  <c:pt idx="0">
                    <c:v>scr</c:v>
                  </c:pt>
                  <c:pt idx="1">
                    <c:v>pri</c:v>
                  </c:pt>
                  <c:pt idx="2">
                    <c:v>des</c:v>
                  </c:pt>
                  <c:pt idx="3">
                    <c:v>bat</c:v>
                  </c:pt>
                  <c:pt idx="4">
                    <c:v>sof</c:v>
                  </c:pt>
                  <c:pt idx="5">
                    <c:v>cam</c:v>
                  </c:pt>
                  <c:pt idx="6">
                    <c:v>app</c:v>
                  </c:pt>
                  <c:pt idx="7">
                    <c:v>sam</c:v>
                  </c:pt>
                  <c:pt idx="8">
                    <c:v>nok</c:v>
                  </c:pt>
                  <c:pt idx="9">
                    <c:v>hua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EAC9-43E5-AB36-919DC7D240F9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37647104"/>
        <c:axId val="337658240"/>
      </c:scatterChart>
      <c:valAx>
        <c:axId val="337647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7658240"/>
        <c:crosses val="autoZero"/>
        <c:crossBetween val="midCat"/>
      </c:valAx>
      <c:valAx>
        <c:axId val="33765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76471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 with NEW Brand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ABBDC4E8-489A-48FB-B26B-21F3EE6712D3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8C96-43AE-8F66-7868AC42DE37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9CEB2895-9528-48F5-B1AC-02DAA4A3A86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8C96-43AE-8F66-7868AC42DE37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79C3A95-3CBC-4708-8065-A59D9E82D30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8C96-43AE-8F66-7868AC42DE37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BAD802D-E013-4B37-A6FC-BDF71F6D38A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8C96-43AE-8F66-7868AC42DE37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886BBD7D-1E15-4EAF-8712-1BB3EB6ECA5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8C96-43AE-8F66-7868AC42DE3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 xmlns:c16r2="http://schemas.microsoft.com/office/drawing/2015/06/chart"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'CA 1'!$AV$62:$AV$66</c:f>
              <c:numCache>
                <c:formatCode>General</c:formatCode>
                <c:ptCount val="5"/>
                <c:pt idx="0">
                  <c:v>-0.34040167699441487</c:v>
                </c:pt>
                <c:pt idx="1">
                  <c:v>-0.31670922413097391</c:v>
                </c:pt>
                <c:pt idx="2">
                  <c:v>0.96397532065955427</c:v>
                </c:pt>
                <c:pt idx="3">
                  <c:v>0.19799374104504283</c:v>
                </c:pt>
                <c:pt idx="4">
                  <c:v>0.17003099643984143</c:v>
                </c:pt>
              </c:numCache>
            </c:numRef>
          </c:xVal>
          <c:yVal>
            <c:numRef>
              <c:f>'CA 1'!$AW$62:$AW$66</c:f>
              <c:numCache>
                <c:formatCode>General</c:formatCode>
                <c:ptCount val="5"/>
                <c:pt idx="0">
                  <c:v>0.11445979834628034</c:v>
                </c:pt>
                <c:pt idx="1">
                  <c:v>-0.21611725353889033</c:v>
                </c:pt>
                <c:pt idx="2">
                  <c:v>-0.10439130542805364</c:v>
                </c:pt>
                <c:pt idx="3">
                  <c:v>0.17240486600808</c:v>
                </c:pt>
                <c:pt idx="4">
                  <c:v>-6.7520350204329907E-2</c:v>
                </c:pt>
              </c:numCache>
            </c:numRef>
          </c:yVal>
          <c:smooth val="0"/>
          <c:extLst xmlns:c16r2="http://schemas.microsoft.com/office/drawing/2015/06/chart">
            <c:ext xmlns:c15="http://schemas.microsoft.com/office/drawing/2012/chart" uri="{02D57815-91ED-43cb-92C2-25804820EDAC}">
              <c15:datalabelsRange>
                <c15:f>'CA 1'!$AU$62:$AU$66</c15:f>
                <c15:dlblRangeCache>
                  <c:ptCount val="5"/>
                  <c:pt idx="0">
                    <c:v>APP</c:v>
                  </c:pt>
                  <c:pt idx="1">
                    <c:v>SAM</c:v>
                  </c:pt>
                  <c:pt idx="2">
                    <c:v>NOK</c:v>
                  </c:pt>
                  <c:pt idx="3">
                    <c:v>HUA</c:v>
                  </c:pt>
                  <c:pt idx="4">
                    <c:v>NEW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5-8C96-43AE-8F66-7868AC42DE3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337696640"/>
        <c:axId val="337699584"/>
      </c:scatterChart>
      <c:valAx>
        <c:axId val="337696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7699584"/>
        <c:crosses val="autoZero"/>
        <c:crossBetween val="midCat"/>
      </c:valAx>
      <c:valAx>
        <c:axId val="337699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37696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 Plot for Rows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dPt>
            <c:idx val="0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25E9-485D-9EF1-2723AF3EBCAA}"/>
              </c:ext>
            </c:extLst>
          </c:dPt>
          <c:dPt>
            <c:idx val="1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25E9-485D-9EF1-2723AF3EBCAA}"/>
              </c:ext>
            </c:extLst>
          </c:dPt>
          <c:dPt>
            <c:idx val="2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25E9-485D-9EF1-2723AF3EBCAA}"/>
              </c:ext>
            </c:extLst>
          </c:dPt>
          <c:dPt>
            <c:idx val="3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25E9-485D-9EF1-2723AF3EBCAA}"/>
              </c:ext>
            </c:extLst>
          </c:dPt>
          <c:dPt>
            <c:idx val="4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25E9-485D-9EF1-2723AF3EBCAA}"/>
              </c:ext>
            </c:extLst>
          </c:dPt>
          <c:dPt>
            <c:idx val="5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25E9-485D-9EF1-2723AF3EBCAA}"/>
              </c:ext>
            </c:extLst>
          </c:dPt>
          <c:dPt>
            <c:idx val="6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25E9-485D-9EF1-2723AF3EBCAA}"/>
              </c:ext>
            </c:extLst>
          </c:dPt>
          <c:dPt>
            <c:idx val="7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25E9-485D-9EF1-2723AF3EBCAA}"/>
              </c:ext>
            </c:extLst>
          </c:dPt>
          <c:dPt>
            <c:idx val="8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25E9-485D-9EF1-2723AF3EBCAA}"/>
              </c:ext>
            </c:extLst>
          </c:dPt>
          <c:dPt>
            <c:idx val="9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25E9-485D-9EF1-2723AF3EBCAA}"/>
              </c:ext>
            </c:extLst>
          </c:dPt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screen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5E9-485D-9EF1-2723AF3EBCAA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5E9-485D-9EF1-2723AF3EBCAA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design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5E9-485D-9EF1-2723AF3EBCAA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battery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25E9-485D-9EF1-2723AF3EBCAA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r>
                      <a:rPr lang="en-US"/>
                      <a:t>software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25E9-485D-9EF1-2723AF3EBCAA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r>
                      <a:rPr lang="en-US"/>
                      <a:t>camera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25E9-485D-9EF1-2723AF3EBCAA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r>
                      <a:rPr lang="en-US"/>
                      <a:t>app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25E9-485D-9EF1-2723AF3EBCAA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r>
                      <a:rPr lang="en-US"/>
                      <a:t>sam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25E9-485D-9EF1-2723AF3EBCAA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r>
                      <a:rPr lang="en-US"/>
                      <a:t>nok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25E9-485D-9EF1-2723AF3EBCAA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r>
                      <a:rPr lang="en-US"/>
                      <a:t>hua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25E9-485D-9EF1-2723AF3EBCA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'CA 2'!$Y$6:$Y$15</c:f>
              <c:numCache>
                <c:formatCode>General</c:formatCode>
                <c:ptCount val="10"/>
                <c:pt idx="0">
                  <c:v>-0.28861259679025908</c:v>
                </c:pt>
                <c:pt idx="1">
                  <c:v>1.1631656524856755</c:v>
                </c:pt>
                <c:pt idx="2">
                  <c:v>-0.14114782228732226</c:v>
                </c:pt>
                <c:pt idx="3">
                  <c:v>0.16171270956823472</c:v>
                </c:pt>
                <c:pt idx="4">
                  <c:v>-0.2203922647053852</c:v>
                </c:pt>
                <c:pt idx="5">
                  <c:v>-0.32322482930722229</c:v>
                </c:pt>
                <c:pt idx="6">
                  <c:v>-0.72735432064477534</c:v>
                </c:pt>
                <c:pt idx="7">
                  <c:v>-0.67672939978934876</c:v>
                </c:pt>
                <c:pt idx="8">
                  <c:v>2.0597772040005653</c:v>
                </c:pt>
                <c:pt idx="9">
                  <c:v>0.42306372953649507</c:v>
                </c:pt>
              </c:numCache>
            </c:numRef>
          </c:xVal>
          <c:yVal>
            <c:numRef>
              <c:f>'CA 2'!$Z$6:$Z$15</c:f>
              <c:numCache>
                <c:formatCode>General</c:formatCode>
                <c:ptCount val="10"/>
                <c:pt idx="0">
                  <c:v>-0.10890552822986671</c:v>
                </c:pt>
                <c:pt idx="1">
                  <c:v>2.1562865895509365E-2</c:v>
                </c:pt>
                <c:pt idx="2">
                  <c:v>0.22292108284256734</c:v>
                </c:pt>
                <c:pt idx="3">
                  <c:v>-0.19783714786196674</c:v>
                </c:pt>
                <c:pt idx="4">
                  <c:v>0.14110005369720885</c:v>
                </c:pt>
                <c:pt idx="5">
                  <c:v>-0.16776999581485039</c:v>
                </c:pt>
                <c:pt idx="6">
                  <c:v>0.7041414852007668</c:v>
                </c:pt>
                <c:pt idx="7">
                  <c:v>-1.3295246547962358</c:v>
                </c:pt>
                <c:pt idx="8">
                  <c:v>-0.6422014533327679</c:v>
                </c:pt>
                <c:pt idx="9">
                  <c:v>1.0606118494067243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25E9-485D-9EF1-2723AF3EBC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811328"/>
        <c:axId val="337812864"/>
      </c:scatterChart>
      <c:valAx>
        <c:axId val="3378113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7812864"/>
        <c:crosses val="autoZero"/>
        <c:crossBetween val="midCat"/>
      </c:valAx>
      <c:valAx>
        <c:axId val="3378128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8113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 Plot for Columns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dPt>
            <c:idx val="0"/>
            <c:marker>
              <c:symbol val="square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D9D4-4D24-9C73-0C3021A5C5A2}"/>
              </c:ext>
            </c:extLst>
          </c:dPt>
          <c:dPt>
            <c:idx val="1"/>
            <c:marker>
              <c:symbol val="square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D9D4-4D24-9C73-0C3021A5C5A2}"/>
              </c:ext>
            </c:extLst>
          </c:dPt>
          <c:dPt>
            <c:idx val="2"/>
            <c:marker>
              <c:symbol val="square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D9D4-4D24-9C73-0C3021A5C5A2}"/>
              </c:ext>
            </c:extLst>
          </c:dPt>
          <c:dPt>
            <c:idx val="3"/>
            <c:marker>
              <c:symbol val="square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D9D4-4D24-9C73-0C3021A5C5A2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Apple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9D4-4D24-9C73-0C3021A5C5A2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Samsung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9D4-4D24-9C73-0C3021A5C5A2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Nokia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D9D4-4D24-9C73-0C3021A5C5A2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Huawei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D9D4-4D24-9C73-0C3021A5C5A2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'CA 2'!$Y$21:$Y$24</c:f>
              <c:numCache>
                <c:formatCode>General</c:formatCode>
                <c:ptCount val="4"/>
                <c:pt idx="0">
                  <c:v>-0.34040167699441493</c:v>
                </c:pt>
                <c:pt idx="1">
                  <c:v>-0.31670922413097358</c:v>
                </c:pt>
                <c:pt idx="2">
                  <c:v>0.96397532065955416</c:v>
                </c:pt>
                <c:pt idx="3">
                  <c:v>0.19799374104504258</c:v>
                </c:pt>
              </c:numCache>
            </c:numRef>
          </c:xVal>
          <c:yVal>
            <c:numRef>
              <c:f>'CA 2'!$Z$21:$Z$24</c:f>
              <c:numCache>
                <c:formatCode>General</c:formatCode>
                <c:ptCount val="4"/>
                <c:pt idx="0">
                  <c:v>0.1144597983462802</c:v>
                </c:pt>
                <c:pt idx="1">
                  <c:v>-0.21611725353889036</c:v>
                </c:pt>
                <c:pt idx="2">
                  <c:v>-0.10439130542805382</c:v>
                </c:pt>
                <c:pt idx="3">
                  <c:v>0.17240486600808044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4-D9D4-4D24-9C73-0C3021A5C5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7939072"/>
        <c:axId val="337949056"/>
      </c:scatterChart>
      <c:valAx>
        <c:axId val="3379390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7949056"/>
        <c:crosses val="autoZero"/>
        <c:crossBetween val="midCat"/>
      </c:valAx>
      <c:valAx>
        <c:axId val="33794905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793907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 Plot for Rows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dPt>
            <c:idx val="0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144-4014-A7DA-5924B86F3E3A}"/>
              </c:ext>
            </c:extLst>
          </c:dPt>
          <c:dPt>
            <c:idx val="1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144-4014-A7DA-5924B86F3E3A}"/>
              </c:ext>
            </c:extLst>
          </c:dPt>
          <c:dPt>
            <c:idx val="2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144-4014-A7DA-5924B86F3E3A}"/>
              </c:ext>
            </c:extLst>
          </c:dPt>
          <c:dPt>
            <c:idx val="3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144-4014-A7DA-5924B86F3E3A}"/>
              </c:ext>
            </c:extLst>
          </c:dPt>
          <c:dPt>
            <c:idx val="4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144-4014-A7DA-5924B86F3E3A}"/>
              </c:ext>
            </c:extLst>
          </c:dPt>
          <c:dPt>
            <c:idx val="5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144-4014-A7DA-5924B86F3E3A}"/>
              </c:ext>
            </c:extLst>
          </c:dPt>
          <c:dPt>
            <c:idx val="6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144-4014-A7DA-5924B86F3E3A}"/>
              </c:ext>
            </c:extLst>
          </c:dPt>
          <c:dPt>
            <c:idx val="7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144-4014-A7DA-5924B86F3E3A}"/>
              </c:ext>
            </c:extLst>
          </c:dPt>
          <c:dPt>
            <c:idx val="8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144-4014-A7DA-5924B86F3E3A}"/>
              </c:ext>
            </c:extLst>
          </c:dPt>
          <c:dPt>
            <c:idx val="9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144-4014-A7DA-5924B86F3E3A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GB"/>
                      <a:t>screen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144-4014-A7DA-5924B86F3E3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GB"/>
                      <a:t>price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144-4014-A7DA-5924B86F3E3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GB"/>
                      <a:t>design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144-4014-A7DA-5924B86F3E3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GB"/>
                      <a:t>battery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144-4014-A7DA-5924B86F3E3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GB"/>
                      <a:t>software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144-4014-A7DA-5924B86F3E3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GB"/>
                      <a:t>camera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144-4014-A7DA-5924B86F3E3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GB"/>
                      <a:t>app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144-4014-A7DA-5924B86F3E3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GB"/>
                      <a:t>sam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144-4014-A7DA-5924B86F3E3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GB"/>
                      <a:t>nok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144-4014-A7DA-5924B86F3E3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GB"/>
                      <a:t>hua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144-4014-A7DA-5924B86F3E3A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'CA 3'!$AB$6:$AB$15</c:f>
              <c:numCache>
                <c:formatCode>General</c:formatCode>
                <c:ptCount val="10"/>
                <c:pt idx="0">
                  <c:v>-0.28861259679025908</c:v>
                </c:pt>
                <c:pt idx="1">
                  <c:v>1.1631656524856755</c:v>
                </c:pt>
                <c:pt idx="2">
                  <c:v>-0.14114782228732226</c:v>
                </c:pt>
                <c:pt idx="3">
                  <c:v>0.16171270956823472</c:v>
                </c:pt>
                <c:pt idx="4">
                  <c:v>-0.2203922647053852</c:v>
                </c:pt>
                <c:pt idx="5">
                  <c:v>-0.32322482930722229</c:v>
                </c:pt>
                <c:pt idx="6">
                  <c:v>-0.72735432064477534</c:v>
                </c:pt>
                <c:pt idx="7">
                  <c:v>-0.67672939978934876</c:v>
                </c:pt>
                <c:pt idx="8">
                  <c:v>2.0597772040005653</c:v>
                </c:pt>
                <c:pt idx="9">
                  <c:v>0.42306372953649507</c:v>
                </c:pt>
              </c:numCache>
            </c:numRef>
          </c:xVal>
          <c:yVal>
            <c:numRef>
              <c:f>'CA 3'!$AC$6:$AC$15</c:f>
              <c:numCache>
                <c:formatCode>General</c:formatCode>
                <c:ptCount val="10"/>
                <c:pt idx="0">
                  <c:v>-0.10890552822986671</c:v>
                </c:pt>
                <c:pt idx="1">
                  <c:v>2.1562865895509365E-2</c:v>
                </c:pt>
                <c:pt idx="2">
                  <c:v>0.22292108284256734</c:v>
                </c:pt>
                <c:pt idx="3">
                  <c:v>-0.19783714786196674</c:v>
                </c:pt>
                <c:pt idx="4">
                  <c:v>0.14110005369720885</c:v>
                </c:pt>
                <c:pt idx="5">
                  <c:v>-0.16776999581485039</c:v>
                </c:pt>
                <c:pt idx="6">
                  <c:v>0.7041414852007668</c:v>
                </c:pt>
                <c:pt idx="7">
                  <c:v>-1.3295246547962358</c:v>
                </c:pt>
                <c:pt idx="8">
                  <c:v>-0.6422014533327679</c:v>
                </c:pt>
                <c:pt idx="9">
                  <c:v>1.0606118494067243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144-4014-A7DA-5924B86F3E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219008"/>
        <c:axId val="338220544"/>
      </c:scatterChart>
      <c:valAx>
        <c:axId val="33821900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220544"/>
        <c:crosses val="autoZero"/>
        <c:crossBetween val="midCat"/>
      </c:valAx>
      <c:valAx>
        <c:axId val="33822054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21900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 Plot for Columns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dPt>
            <c:idx val="0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4D43-490E-BBDC-97BB85732026}"/>
              </c:ext>
            </c:extLst>
          </c:dPt>
          <c:dPt>
            <c:idx val="1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4D43-490E-BBDC-97BB85732026}"/>
              </c:ext>
            </c:extLst>
          </c:dPt>
          <c:dPt>
            <c:idx val="2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4D43-490E-BBDC-97BB85732026}"/>
              </c:ext>
            </c:extLst>
          </c:dPt>
          <c:dPt>
            <c:idx val="3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4D43-490E-BBDC-97BB85732026}"/>
              </c:ext>
            </c:extLst>
          </c:dPt>
          <c:dPt>
            <c:idx val="4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4D43-490E-BBDC-97BB85732026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GB"/>
                      <a:t>Apple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4D43-490E-BBDC-97BB8573202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GB"/>
                      <a:t>Samsung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D43-490E-BBDC-97BB8573202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GB"/>
                      <a:t>Nokia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4D43-490E-BBDC-97BB8573202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GB"/>
                      <a:t>Huawei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D43-490E-BBDC-97BB8573202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GB"/>
                      <a:t>NEW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D43-490E-BBDC-97BB85732026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'CA 3'!$AB$21:$AB$25</c:f>
              <c:numCache>
                <c:formatCode>General</c:formatCode>
                <c:ptCount val="5"/>
                <c:pt idx="0">
                  <c:v>-0.34040167699441493</c:v>
                </c:pt>
                <c:pt idx="1">
                  <c:v>-0.31670922413097358</c:v>
                </c:pt>
                <c:pt idx="2">
                  <c:v>0.96397532065955416</c:v>
                </c:pt>
                <c:pt idx="3">
                  <c:v>0.19799374104504258</c:v>
                </c:pt>
                <c:pt idx="4">
                  <c:v>0.17003099643984135</c:v>
                </c:pt>
              </c:numCache>
            </c:numRef>
          </c:xVal>
          <c:yVal>
            <c:numRef>
              <c:f>'CA 3'!$AC$21:$AC$25</c:f>
              <c:numCache>
                <c:formatCode>General</c:formatCode>
                <c:ptCount val="5"/>
                <c:pt idx="0">
                  <c:v>0.1144597983462802</c:v>
                </c:pt>
                <c:pt idx="1">
                  <c:v>-0.21611725353889036</c:v>
                </c:pt>
                <c:pt idx="2">
                  <c:v>-0.10439130542805382</c:v>
                </c:pt>
                <c:pt idx="3">
                  <c:v>0.17240486600808044</c:v>
                </c:pt>
                <c:pt idx="4">
                  <c:v>-6.7520350204329074E-2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4D43-490E-BBDC-97BB857320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284544"/>
        <c:axId val="338286080"/>
      </c:scatterChart>
      <c:valAx>
        <c:axId val="33828454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286080"/>
        <c:crosses val="autoZero"/>
        <c:crossBetween val="midCat"/>
      </c:valAx>
      <c:valAx>
        <c:axId val="338286080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284544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 Plot for Rows</a:t>
            </a:r>
          </a:p>
        </c:rich>
      </c:tx>
      <c:layout/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dPt>
            <c:idx val="0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3E74-43ED-A9D1-4D74494B1148}"/>
              </c:ext>
            </c:extLst>
          </c:dPt>
          <c:dPt>
            <c:idx val="1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3E74-43ED-A9D1-4D74494B1148}"/>
              </c:ext>
            </c:extLst>
          </c:dPt>
          <c:dPt>
            <c:idx val="2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3E74-43ED-A9D1-4D74494B1148}"/>
              </c:ext>
            </c:extLst>
          </c:dPt>
          <c:dPt>
            <c:idx val="3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3E74-43ED-A9D1-4D74494B1148}"/>
              </c:ext>
            </c:extLst>
          </c:dPt>
          <c:dPt>
            <c:idx val="4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3E74-43ED-A9D1-4D74494B1148}"/>
              </c:ext>
            </c:extLst>
          </c:dPt>
          <c:dPt>
            <c:idx val="5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3E74-43ED-A9D1-4D74494B1148}"/>
              </c:ext>
            </c:extLst>
          </c:dPt>
          <c:dPt>
            <c:idx val="6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3E74-43ED-A9D1-4D74494B1148}"/>
              </c:ext>
            </c:extLst>
          </c:dPt>
          <c:dPt>
            <c:idx val="7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3E74-43ED-A9D1-4D74494B1148}"/>
              </c:ext>
            </c:extLst>
          </c:dPt>
          <c:dPt>
            <c:idx val="8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3E74-43ED-A9D1-4D74494B1148}"/>
              </c:ext>
            </c:extLst>
          </c:dPt>
          <c:dPt>
            <c:idx val="9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3E74-43ED-A9D1-4D74494B1148}"/>
              </c:ext>
            </c:extLst>
          </c:dPt>
          <c:dLbls>
            <c:dLbl>
              <c:idx val="0"/>
              <c:layout/>
              <c:tx>
                <c:rich>
                  <a:bodyPr/>
                  <a:lstStyle/>
                  <a:p>
                    <a:r>
                      <a:rPr lang="en-US"/>
                      <a:t>screen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E74-43ED-A9D1-4D74494B1148}"/>
                </c:ext>
              </c:extLst>
            </c:dLbl>
            <c:dLbl>
              <c:idx val="1"/>
              <c:layout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E74-43ED-A9D1-4D74494B1148}"/>
                </c:ext>
              </c:extLst>
            </c:dLbl>
            <c:dLbl>
              <c:idx val="2"/>
              <c:layout/>
              <c:tx>
                <c:rich>
                  <a:bodyPr/>
                  <a:lstStyle/>
                  <a:p>
                    <a:r>
                      <a:rPr lang="en-US"/>
                      <a:t>design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E74-43ED-A9D1-4D74494B1148}"/>
                </c:ext>
              </c:extLst>
            </c:dLbl>
            <c:dLbl>
              <c:idx val="3"/>
              <c:layout/>
              <c:tx>
                <c:rich>
                  <a:bodyPr/>
                  <a:lstStyle/>
                  <a:p>
                    <a:r>
                      <a:rPr lang="en-US"/>
                      <a:t>battery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E74-43ED-A9D1-4D74494B1148}"/>
                </c:ext>
              </c:extLst>
            </c:dLbl>
            <c:dLbl>
              <c:idx val="4"/>
              <c:layout/>
              <c:tx>
                <c:rich>
                  <a:bodyPr/>
                  <a:lstStyle/>
                  <a:p>
                    <a:r>
                      <a:rPr lang="en-US"/>
                      <a:t>software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3E74-43ED-A9D1-4D74494B1148}"/>
                </c:ext>
              </c:extLst>
            </c:dLbl>
            <c:dLbl>
              <c:idx val="5"/>
              <c:layout/>
              <c:tx>
                <c:rich>
                  <a:bodyPr/>
                  <a:lstStyle/>
                  <a:p>
                    <a:r>
                      <a:rPr lang="en-US"/>
                      <a:t>camera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3E74-43ED-A9D1-4D74494B1148}"/>
                </c:ext>
              </c:extLst>
            </c:dLbl>
            <c:dLbl>
              <c:idx val="6"/>
              <c:layout/>
              <c:tx>
                <c:rich>
                  <a:bodyPr/>
                  <a:lstStyle/>
                  <a:p>
                    <a:r>
                      <a:rPr lang="en-US"/>
                      <a:t>app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3E74-43ED-A9D1-4D74494B1148}"/>
                </c:ext>
              </c:extLst>
            </c:dLbl>
            <c:dLbl>
              <c:idx val="7"/>
              <c:layout/>
              <c:tx>
                <c:rich>
                  <a:bodyPr/>
                  <a:lstStyle/>
                  <a:p>
                    <a:r>
                      <a:rPr lang="en-US"/>
                      <a:t>sam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3E74-43ED-A9D1-4D74494B1148}"/>
                </c:ext>
              </c:extLst>
            </c:dLbl>
            <c:dLbl>
              <c:idx val="8"/>
              <c:layout/>
              <c:tx>
                <c:rich>
                  <a:bodyPr/>
                  <a:lstStyle/>
                  <a:p>
                    <a:r>
                      <a:rPr lang="en-US"/>
                      <a:t>nok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3E74-43ED-A9D1-4D74494B1148}"/>
                </c:ext>
              </c:extLst>
            </c:dLbl>
            <c:dLbl>
              <c:idx val="9"/>
              <c:layout/>
              <c:tx>
                <c:rich>
                  <a:bodyPr/>
                  <a:lstStyle/>
                  <a:p>
                    <a:r>
                      <a:rPr lang="en-US"/>
                      <a:t>hua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3E74-43ED-A9D1-4D74494B1148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'CA 4'!$AB$6:$AB$15</c:f>
              <c:numCache>
                <c:formatCode>General</c:formatCode>
                <c:ptCount val="10"/>
                <c:pt idx="0">
                  <c:v>-0.28861259679025908</c:v>
                </c:pt>
                <c:pt idx="1">
                  <c:v>1.1631656524856755</c:v>
                </c:pt>
                <c:pt idx="2">
                  <c:v>-0.14114782228732226</c:v>
                </c:pt>
                <c:pt idx="3">
                  <c:v>0.16171270956823472</c:v>
                </c:pt>
                <c:pt idx="4">
                  <c:v>-0.2203922647053852</c:v>
                </c:pt>
                <c:pt idx="5">
                  <c:v>-0.32322482930722229</c:v>
                </c:pt>
                <c:pt idx="6">
                  <c:v>-0.72735432064477534</c:v>
                </c:pt>
                <c:pt idx="7">
                  <c:v>-0.67672939978934876</c:v>
                </c:pt>
                <c:pt idx="8">
                  <c:v>2.0597772040005653</c:v>
                </c:pt>
                <c:pt idx="9">
                  <c:v>0.42306372953649507</c:v>
                </c:pt>
              </c:numCache>
            </c:numRef>
          </c:xVal>
          <c:yVal>
            <c:numRef>
              <c:f>'CA 4'!$AC$6:$AC$15</c:f>
              <c:numCache>
                <c:formatCode>General</c:formatCode>
                <c:ptCount val="10"/>
                <c:pt idx="0">
                  <c:v>-0.10890552822986671</c:v>
                </c:pt>
                <c:pt idx="1">
                  <c:v>2.1562865895509365E-2</c:v>
                </c:pt>
                <c:pt idx="2">
                  <c:v>0.22292108284256734</c:v>
                </c:pt>
                <c:pt idx="3">
                  <c:v>-0.19783714786196674</c:v>
                </c:pt>
                <c:pt idx="4">
                  <c:v>0.14110005369720885</c:v>
                </c:pt>
                <c:pt idx="5">
                  <c:v>-0.16776999581485039</c:v>
                </c:pt>
                <c:pt idx="6">
                  <c:v>0.7041414852007668</c:v>
                </c:pt>
                <c:pt idx="7">
                  <c:v>-1.3295246547962358</c:v>
                </c:pt>
                <c:pt idx="8">
                  <c:v>-0.6422014533327679</c:v>
                </c:pt>
                <c:pt idx="9">
                  <c:v>1.0606118494067243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3E74-43ED-A9D1-4D74494B1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457728"/>
        <c:axId val="338459264"/>
      </c:scatterChart>
      <c:valAx>
        <c:axId val="3384577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459264"/>
        <c:crosses val="autoZero"/>
        <c:crossBetween val="midCat"/>
      </c:valAx>
      <c:valAx>
        <c:axId val="33845926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457728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CA Plot for Columns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dPt>
            <c:idx val="0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FC93-4D3F-88B8-D971CA5B85CB}"/>
              </c:ext>
            </c:extLst>
          </c:dPt>
          <c:dPt>
            <c:idx val="1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FC93-4D3F-88B8-D971CA5B85CB}"/>
              </c:ext>
            </c:extLst>
          </c:dPt>
          <c:dPt>
            <c:idx val="2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FC93-4D3F-88B8-D971CA5B85CB}"/>
              </c:ext>
            </c:extLst>
          </c:dPt>
          <c:dPt>
            <c:idx val="3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FC93-4D3F-88B8-D971CA5B85CB}"/>
              </c:ext>
            </c:extLst>
          </c:dPt>
          <c:dPt>
            <c:idx val="4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FC93-4D3F-88B8-D971CA5B85CB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Apple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C93-4D3F-88B8-D971CA5B85CB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Samsung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C93-4D3F-88B8-D971CA5B85CB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Nokia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FC93-4D3F-88B8-D971CA5B85CB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Huawei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FC93-4D3F-88B8-D971CA5B85CB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NEW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FC93-4D3F-88B8-D971CA5B85CB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'CA 4'!$AB$21:$AB$25</c:f>
              <c:numCache>
                <c:formatCode>General</c:formatCode>
                <c:ptCount val="5"/>
                <c:pt idx="0">
                  <c:v>-0.34040167699441493</c:v>
                </c:pt>
                <c:pt idx="1">
                  <c:v>-0.31670922413097358</c:v>
                </c:pt>
                <c:pt idx="2">
                  <c:v>0.96397532065955416</c:v>
                </c:pt>
                <c:pt idx="3">
                  <c:v>0.19799374104504258</c:v>
                </c:pt>
                <c:pt idx="4">
                  <c:v>0.17003099643984135</c:v>
                </c:pt>
              </c:numCache>
            </c:numRef>
          </c:xVal>
          <c:yVal>
            <c:numRef>
              <c:f>'CA 4'!$AC$21:$AC$25</c:f>
              <c:numCache>
                <c:formatCode>General</c:formatCode>
                <c:ptCount val="5"/>
                <c:pt idx="0">
                  <c:v>0.1144597983462802</c:v>
                </c:pt>
                <c:pt idx="1">
                  <c:v>-0.21611725353889036</c:v>
                </c:pt>
                <c:pt idx="2">
                  <c:v>-0.10439130542805382</c:v>
                </c:pt>
                <c:pt idx="3">
                  <c:v>0.17240486600808044</c:v>
                </c:pt>
                <c:pt idx="4">
                  <c:v>-6.7520350204329074E-2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5-FC93-4D3F-88B8-D971CA5B85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27360"/>
        <c:axId val="338528896"/>
      </c:scatterChart>
      <c:valAx>
        <c:axId val="338527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528896"/>
        <c:crosses val="autoZero"/>
        <c:crossBetween val="midCat"/>
      </c:valAx>
      <c:valAx>
        <c:axId val="33852889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527360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Combined CA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>
              <a:noFill/>
            </a:ln>
          </c:spPr>
          <c:dPt>
            <c:idx val="0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0-E9D4-42DC-AD32-D33B719678FF}"/>
              </c:ext>
            </c:extLst>
          </c:dPt>
          <c:dPt>
            <c:idx val="1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1-E9D4-42DC-AD32-D33B719678FF}"/>
              </c:ext>
            </c:extLst>
          </c:dPt>
          <c:dPt>
            <c:idx val="2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2-E9D4-42DC-AD32-D33B719678FF}"/>
              </c:ext>
            </c:extLst>
          </c:dPt>
          <c:dPt>
            <c:idx val="3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3-E9D4-42DC-AD32-D33B719678FF}"/>
              </c:ext>
            </c:extLst>
          </c:dPt>
          <c:dPt>
            <c:idx val="4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4-E9D4-42DC-AD32-D33B719678FF}"/>
              </c:ext>
            </c:extLst>
          </c:dPt>
          <c:dPt>
            <c:idx val="5"/>
            <c:marker>
              <c:symbol val="square"/>
              <c:size val="6"/>
              <c:spPr>
                <a:solidFill>
                  <a:srgbClr val="FF0000"/>
                </a:solidFill>
              </c:spPr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5-E9D4-42DC-AD32-D33B719678FF}"/>
              </c:ext>
            </c:extLst>
          </c:dPt>
          <c:dPt>
            <c:idx val="6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6-E9D4-42DC-AD32-D33B719678FF}"/>
              </c:ext>
            </c:extLst>
          </c:dPt>
          <c:dPt>
            <c:idx val="7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7-E9D4-42DC-AD32-D33B719678FF}"/>
              </c:ext>
            </c:extLst>
          </c:dPt>
          <c:dPt>
            <c:idx val="8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8-E9D4-42DC-AD32-D33B719678FF}"/>
              </c:ext>
            </c:extLst>
          </c:dPt>
          <c:dPt>
            <c:idx val="9"/>
            <c:marker>
              <c:symbol val="diamond"/>
              <c:size val="6"/>
            </c:marker>
            <c:bubble3D val="0"/>
            <c:extLst xmlns:c16r2="http://schemas.microsoft.com/office/drawing/2015/06/chart">
              <c:ext xmlns:c16="http://schemas.microsoft.com/office/drawing/2014/chart" uri="{C3380CC4-5D6E-409C-BE32-E72D297353CC}">
                <c16:uniqueId val="{00000009-E9D4-42DC-AD32-D33B719678FF}"/>
              </c:ext>
            </c:extLst>
          </c:dPt>
          <c:dLbls>
            <c:dLbl>
              <c:idx val="0"/>
              <c:tx>
                <c:rich>
                  <a:bodyPr/>
                  <a:lstStyle/>
                  <a:p>
                    <a:r>
                      <a:rPr lang="en-US"/>
                      <a:t>screen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9D4-42DC-AD32-D33B719678FF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price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9D4-42DC-AD32-D33B719678FF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r>
                      <a:rPr lang="en-US"/>
                      <a:t>design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E9D4-42DC-AD32-D33B719678FF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r>
                      <a:rPr lang="en-US"/>
                      <a:t>battery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9D4-42DC-AD32-D33B719678FF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r>
                      <a:rPr lang="en-US"/>
                      <a:t>software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9D4-42DC-AD32-D33B719678FF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r>
                      <a:rPr lang="en-US"/>
                      <a:t>camera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9D4-42DC-AD32-D33B719678FF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r>
                      <a:rPr lang="en-US"/>
                      <a:t>Apple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9D4-42DC-AD32-D33B719678FF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r>
                      <a:rPr lang="en-US"/>
                      <a:t>Samsung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E9D4-42DC-AD32-D33B719678FF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r>
                      <a:rPr lang="en-US"/>
                      <a:t>Nokia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E9D4-42DC-AD32-D33B719678FF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r>
                      <a:rPr lang="en-US"/>
                      <a:t>Huawei</a:t>
                    </a:r>
                  </a:p>
                </c:rich>
              </c:tx>
              <c:showLegendKey val="0"/>
              <c:showVal val="1"/>
              <c:showCatName val="0"/>
              <c:showSerName val="0"/>
              <c:showPercent val="0"/>
              <c:showBubbleSize val="0"/>
              <c:extLst xmlns:c16r2="http://schemas.microsoft.com/office/drawing/2015/06/chart"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E9D4-42DC-AD32-D33B719678FF}"/>
                </c:ext>
              </c:extLst>
            </c:dLbl>
            <c:spPr>
              <a:noFill/>
              <a:ln>
                <a:noFill/>
              </a:ln>
              <a:effectLst/>
            </c:sp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 xmlns:c16r2="http://schemas.microsoft.com/office/drawing/2015/06/chart"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'CA 4'!$AJ$5:$AJ$14</c:f>
              <c:numCache>
                <c:formatCode>General</c:formatCode>
                <c:ptCount val="10"/>
                <c:pt idx="0">
                  <c:v>-0.28861259679025908</c:v>
                </c:pt>
                <c:pt idx="1">
                  <c:v>1.1631656524856755</c:v>
                </c:pt>
                <c:pt idx="2">
                  <c:v>-0.14114782228732226</c:v>
                </c:pt>
                <c:pt idx="3">
                  <c:v>0.16171270956823472</c:v>
                </c:pt>
                <c:pt idx="4">
                  <c:v>-0.2203922647053852</c:v>
                </c:pt>
                <c:pt idx="5">
                  <c:v>-0.32322482930722229</c:v>
                </c:pt>
                <c:pt idx="6">
                  <c:v>-0.34040167699441493</c:v>
                </c:pt>
                <c:pt idx="7">
                  <c:v>-0.31670922413097358</c:v>
                </c:pt>
                <c:pt idx="8">
                  <c:v>0.96397532065955416</c:v>
                </c:pt>
                <c:pt idx="9">
                  <c:v>0.19799374104504258</c:v>
                </c:pt>
              </c:numCache>
            </c:numRef>
          </c:xVal>
          <c:yVal>
            <c:numRef>
              <c:f>'CA 4'!$AK$5:$AK$14</c:f>
              <c:numCache>
                <c:formatCode>General</c:formatCode>
                <c:ptCount val="10"/>
                <c:pt idx="0">
                  <c:v>-0.10890552822986671</c:v>
                </c:pt>
                <c:pt idx="1">
                  <c:v>2.1562865895509365E-2</c:v>
                </c:pt>
                <c:pt idx="2">
                  <c:v>0.22292108284256734</c:v>
                </c:pt>
                <c:pt idx="3">
                  <c:v>-0.19783714786196674</c:v>
                </c:pt>
                <c:pt idx="4">
                  <c:v>0.14110005369720885</c:v>
                </c:pt>
                <c:pt idx="5">
                  <c:v>-0.16776999581485039</c:v>
                </c:pt>
                <c:pt idx="6">
                  <c:v>0.1144597983462802</c:v>
                </c:pt>
                <c:pt idx="7">
                  <c:v>-0.21611725353889036</c:v>
                </c:pt>
                <c:pt idx="8">
                  <c:v>-0.10439130542805382</c:v>
                </c:pt>
                <c:pt idx="9">
                  <c:v>0.17240486600808044</c:v>
                </c:pt>
              </c:numCache>
            </c:numRef>
          </c:y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A-E9D4-42DC-AD32-D33B719678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38580992"/>
        <c:axId val="338582528"/>
      </c:scatterChart>
      <c:valAx>
        <c:axId val="33858099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338582528"/>
        <c:crosses val="autoZero"/>
        <c:crossBetween val="midCat"/>
      </c:valAx>
      <c:valAx>
        <c:axId val="338582528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38580992"/>
        <c:crosses val="autoZero"/>
        <c:crossBetween val="midCat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Scree Plot</c:v>
          </c:tx>
          <c:val>
            <c:numRef>
              <c:f>'Fact PCA'!$N$86:$N$94</c:f>
              <c:numCache>
                <c:formatCode>0.00%</c:formatCode>
                <c:ptCount val="9"/>
                <c:pt idx="0">
                  <c:v>0.3200485451113963</c:v>
                </c:pt>
                <c:pt idx="1">
                  <c:v>0.1598504877857479</c:v>
                </c:pt>
                <c:pt idx="2">
                  <c:v>0.12932551663774042</c:v>
                </c:pt>
                <c:pt idx="3">
                  <c:v>0.1138280790222115</c:v>
                </c:pt>
                <c:pt idx="4">
                  <c:v>7.8356518309202011E-2</c:v>
                </c:pt>
                <c:pt idx="5">
                  <c:v>7.195815660424025E-2</c:v>
                </c:pt>
                <c:pt idx="6">
                  <c:v>6.2488138758552525E-2</c:v>
                </c:pt>
                <c:pt idx="7">
                  <c:v>3.8360933230682917E-2</c:v>
                </c:pt>
                <c:pt idx="8">
                  <c:v>2.5783624540226129E-2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A204-4C79-9282-B26BC900F4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0008320"/>
        <c:axId val="340034688"/>
      </c:lineChart>
      <c:catAx>
        <c:axId val="340008320"/>
        <c:scaling>
          <c:orientation val="minMax"/>
        </c:scaling>
        <c:delete val="0"/>
        <c:axPos val="b"/>
        <c:majorTickMark val="out"/>
        <c:minorTickMark val="none"/>
        <c:tickLblPos val="nextTo"/>
        <c:crossAx val="340034688"/>
        <c:crosses val="autoZero"/>
        <c:auto val="1"/>
        <c:lblAlgn val="ctr"/>
        <c:lblOffset val="100"/>
        <c:noMultiLvlLbl val="0"/>
      </c:catAx>
      <c:valAx>
        <c:axId val="34003468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40008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Scree Plot</c:v>
          </c:tx>
          <c:val>
            <c:numRef>
              <c:f>'Fact PAF'!$N$135:$N$143</c:f>
              <c:numCache>
                <c:formatCode>0.00%</c:formatCode>
                <c:ptCount val="9"/>
                <c:pt idx="0">
                  <c:v>0.47463025683533866</c:v>
                </c:pt>
                <c:pt idx="1">
                  <c:v>0.2072983799720324</c:v>
                </c:pt>
                <c:pt idx="2">
                  <c:v>0.11843408852709061</c:v>
                </c:pt>
                <c:pt idx="3">
                  <c:v>0.11484670336169855</c:v>
                </c:pt>
                <c:pt idx="4">
                  <c:v>4.7417814429048265E-2</c:v>
                </c:pt>
                <c:pt idx="5">
                  <c:v>3.1746410859492181E-2</c:v>
                </c:pt>
                <c:pt idx="6">
                  <c:v>6.3467410420073459E-3</c:v>
                </c:pt>
                <c:pt idx="7">
                  <c:v>3.9525772733904662E-4</c:v>
                </c:pt>
                <c:pt idx="8">
                  <c:v>-1.1156527540470253E-3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E67C-407F-9C1E-E6E38BDD2C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61728"/>
        <c:axId val="337395712"/>
      </c:lineChart>
      <c:catAx>
        <c:axId val="336361728"/>
        <c:scaling>
          <c:orientation val="minMax"/>
        </c:scaling>
        <c:delete val="0"/>
        <c:axPos val="b"/>
        <c:majorTickMark val="out"/>
        <c:minorTickMark val="none"/>
        <c:tickLblPos val="nextTo"/>
        <c:crossAx val="337395712"/>
        <c:crosses val="autoZero"/>
        <c:auto val="1"/>
        <c:lblAlgn val="ctr"/>
        <c:lblOffset val="100"/>
        <c:noMultiLvlLbl val="0"/>
      </c:catAx>
      <c:valAx>
        <c:axId val="33739571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336361728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.xml"/><Relationship Id="rId3" Type="http://schemas.openxmlformats.org/officeDocument/2006/relationships/chart" Target="../charts/chart7.xml"/><Relationship Id="rId7" Type="http://schemas.openxmlformats.org/officeDocument/2006/relationships/chart" Target="../charts/chart11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6" Type="http://schemas.openxmlformats.org/officeDocument/2006/relationships/chart" Target="../charts/chart10.xml"/><Relationship Id="rId5" Type="http://schemas.openxmlformats.org/officeDocument/2006/relationships/chart" Target="../charts/chart9.xml"/><Relationship Id="rId4" Type="http://schemas.openxmlformats.org/officeDocument/2006/relationships/chart" Target="../charts/chart8.xml"/><Relationship Id="rId9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9.xml"/><Relationship Id="rId1" Type="http://schemas.openxmlformats.org/officeDocument/2006/relationships/chart" Target="../charts/chart1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2.xml"/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5.xml"/><Relationship Id="rId2" Type="http://schemas.openxmlformats.org/officeDocument/2006/relationships/chart" Target="../charts/chart24.xml"/><Relationship Id="rId1" Type="http://schemas.openxmlformats.org/officeDocument/2006/relationships/chart" Target="../charts/chart23.xml"/><Relationship Id="rId5" Type="http://schemas.openxmlformats.org/officeDocument/2006/relationships/chart" Target="../charts/chart27.xml"/><Relationship Id="rId4" Type="http://schemas.openxmlformats.org/officeDocument/2006/relationships/chart" Target="../charts/chart26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1.xml"/><Relationship Id="rId1" Type="http://schemas.openxmlformats.org/officeDocument/2006/relationships/chart" Target="../charts/chart30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4.xml"/><Relationship Id="rId2" Type="http://schemas.openxmlformats.org/officeDocument/2006/relationships/chart" Target="../charts/chart33.xml"/><Relationship Id="rId1" Type="http://schemas.openxmlformats.org/officeDocument/2006/relationships/chart" Target="../charts/chart32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47625</xdr:colOff>
      <xdr:row>14</xdr:row>
      <xdr:rowOff>166687</xdr:rowOff>
    </xdr:from>
    <xdr:to>
      <xdr:col>13</xdr:col>
      <xdr:colOff>333375</xdr:colOff>
      <xdr:row>29</xdr:row>
      <xdr:rowOff>52387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200025</xdr:colOff>
      <xdr:row>2</xdr:row>
      <xdr:rowOff>42862</xdr:rowOff>
    </xdr:from>
    <xdr:to>
      <xdr:col>12</xdr:col>
      <xdr:colOff>504825</xdr:colOff>
      <xdr:row>16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257175</xdr:colOff>
      <xdr:row>34</xdr:row>
      <xdr:rowOff>176212</xdr:rowOff>
    </xdr:from>
    <xdr:to>
      <xdr:col>19</xdr:col>
      <xdr:colOff>438150</xdr:colOff>
      <xdr:row>49</xdr:row>
      <xdr:rowOff>61912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18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390525</xdr:colOff>
      <xdr:row>34</xdr:row>
      <xdr:rowOff>166687</xdr:rowOff>
    </xdr:from>
    <xdr:to>
      <xdr:col>12</xdr:col>
      <xdr:colOff>85725</xdr:colOff>
      <xdr:row>49</xdr:row>
      <xdr:rowOff>52387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18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592136</xdr:colOff>
      <xdr:row>0</xdr:row>
      <xdr:rowOff>100012</xdr:rowOff>
    </xdr:from>
    <xdr:to>
      <xdr:col>17</xdr:col>
      <xdr:colOff>9524</xdr:colOff>
      <xdr:row>14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1B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571499</xdr:colOff>
      <xdr:row>14</xdr:row>
      <xdr:rowOff>176212</xdr:rowOff>
    </xdr:from>
    <xdr:to>
      <xdr:col>17</xdr:col>
      <xdr:colOff>28574</xdr:colOff>
      <xdr:row>28</xdr:row>
      <xdr:rowOff>109537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1B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566737</xdr:colOff>
      <xdr:row>29</xdr:row>
      <xdr:rowOff>176211</xdr:rowOff>
    </xdr:from>
    <xdr:to>
      <xdr:col>17</xdr:col>
      <xdr:colOff>47625</xdr:colOff>
      <xdr:row>43</xdr:row>
      <xdr:rowOff>123824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xmlns="" id="{00000000-0008-0000-1B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304799</xdr:colOff>
      <xdr:row>0</xdr:row>
      <xdr:rowOff>166687</xdr:rowOff>
    </xdr:from>
    <xdr:to>
      <xdr:col>24</xdr:col>
      <xdr:colOff>180974</xdr:colOff>
      <xdr:row>13</xdr:row>
      <xdr:rowOff>150316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1B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285750</xdr:colOff>
      <xdr:row>14</xdr:row>
      <xdr:rowOff>109537</xdr:rowOff>
    </xdr:from>
    <xdr:to>
      <xdr:col>24</xdr:col>
      <xdr:colOff>190500</xdr:colOff>
      <xdr:row>26</xdr:row>
      <xdr:rowOff>32217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1B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266699</xdr:colOff>
      <xdr:row>26</xdr:row>
      <xdr:rowOff>166687</xdr:rowOff>
    </xdr:from>
    <xdr:to>
      <xdr:col>24</xdr:col>
      <xdr:colOff>180974</xdr:colOff>
      <xdr:row>37</xdr:row>
      <xdr:rowOff>161925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xmlns="" id="{00000000-0008-0000-1B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29</xdr:col>
      <xdr:colOff>314325</xdr:colOff>
      <xdr:row>0</xdr:row>
      <xdr:rowOff>80962</xdr:rowOff>
    </xdr:from>
    <xdr:to>
      <xdr:col>37</xdr:col>
      <xdr:colOff>9525</xdr:colOff>
      <xdr:row>14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B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42</xdr:col>
      <xdr:colOff>285750</xdr:colOff>
      <xdr:row>0</xdr:row>
      <xdr:rowOff>52387</xdr:rowOff>
    </xdr:from>
    <xdr:to>
      <xdr:col>49</xdr:col>
      <xdr:colOff>590550</xdr:colOff>
      <xdr:row>14</xdr:row>
      <xdr:rowOff>128587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xmlns="" id="{00000000-0008-0000-1B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17</xdr:col>
      <xdr:colOff>304799</xdr:colOff>
      <xdr:row>40</xdr:row>
      <xdr:rowOff>138112</xdr:rowOff>
    </xdr:from>
    <xdr:to>
      <xdr:col>24</xdr:col>
      <xdr:colOff>220662</xdr:colOff>
      <xdr:row>53</xdr:row>
      <xdr:rowOff>171450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xmlns="" id="{00000000-0008-0000-1B00-00000B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342899</xdr:colOff>
      <xdr:row>2</xdr:row>
      <xdr:rowOff>23812</xdr:rowOff>
    </xdr:from>
    <xdr:to>
      <xdr:col>21</xdr:col>
      <xdr:colOff>180974</xdr:colOff>
      <xdr:row>12</xdr:row>
      <xdr:rowOff>56197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1C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300789</xdr:colOff>
      <xdr:row>24</xdr:row>
      <xdr:rowOff>85474</xdr:rowOff>
    </xdr:from>
    <xdr:to>
      <xdr:col>21</xdr:col>
      <xdr:colOff>165934</xdr:colOff>
      <xdr:row>34</xdr:row>
      <xdr:rowOff>133773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1C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238123</xdr:colOff>
      <xdr:row>47</xdr:row>
      <xdr:rowOff>145631</xdr:rowOff>
    </xdr:from>
    <xdr:to>
      <xdr:col>21</xdr:col>
      <xdr:colOff>120315</xdr:colOff>
      <xdr:row>58</xdr:row>
      <xdr:rowOff>16858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1C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493712</xdr:colOff>
      <xdr:row>1</xdr:row>
      <xdr:rowOff>147637</xdr:rowOff>
    </xdr:from>
    <xdr:to>
      <xdr:col>15</xdr:col>
      <xdr:colOff>304800</xdr:colOff>
      <xdr:row>12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1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57150</xdr:colOff>
      <xdr:row>42</xdr:row>
      <xdr:rowOff>147637</xdr:rowOff>
    </xdr:from>
    <xdr:to>
      <xdr:col>41</xdr:col>
      <xdr:colOff>361950</xdr:colOff>
      <xdr:row>57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2C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28575</xdr:colOff>
      <xdr:row>41</xdr:row>
      <xdr:rowOff>90487</xdr:rowOff>
    </xdr:from>
    <xdr:to>
      <xdr:col>19</xdr:col>
      <xdr:colOff>333375</xdr:colOff>
      <xdr:row>55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2C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161925</xdr:colOff>
      <xdr:row>1</xdr:row>
      <xdr:rowOff>176212</xdr:rowOff>
    </xdr:from>
    <xdr:to>
      <xdr:col>22</xdr:col>
      <xdr:colOff>466725</xdr:colOff>
      <xdr:row>15</xdr:row>
      <xdr:rowOff>166687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2D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485775</xdr:colOff>
      <xdr:row>0</xdr:row>
      <xdr:rowOff>176212</xdr:rowOff>
    </xdr:from>
    <xdr:to>
      <xdr:col>23</xdr:col>
      <xdr:colOff>180975</xdr:colOff>
      <xdr:row>15</xdr:row>
      <xdr:rowOff>61912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3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15</xdr:col>
      <xdr:colOff>342900</xdr:colOff>
      <xdr:row>36</xdr:row>
      <xdr:rowOff>128587</xdr:rowOff>
    </xdr:from>
    <xdr:to>
      <xdr:col>23</xdr:col>
      <xdr:colOff>38100</xdr:colOff>
      <xdr:row>51</xdr:row>
      <xdr:rowOff>14287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3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54</xdr:col>
      <xdr:colOff>285750</xdr:colOff>
      <xdr:row>1</xdr:row>
      <xdr:rowOff>128587</xdr:rowOff>
    </xdr:from>
    <xdr:to>
      <xdr:col>61</xdr:col>
      <xdr:colOff>400050</xdr:colOff>
      <xdr:row>15</xdr:row>
      <xdr:rowOff>185737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4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61</xdr:col>
      <xdr:colOff>438150</xdr:colOff>
      <xdr:row>1</xdr:row>
      <xdr:rowOff>109537</xdr:rowOff>
    </xdr:from>
    <xdr:to>
      <xdr:col>69</xdr:col>
      <xdr:colOff>133350</xdr:colOff>
      <xdr:row>16</xdr:row>
      <xdr:rowOff>4762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4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54</xdr:col>
      <xdr:colOff>266700</xdr:colOff>
      <xdr:row>16</xdr:row>
      <xdr:rowOff>71437</xdr:rowOff>
    </xdr:from>
    <xdr:to>
      <xdr:col>61</xdr:col>
      <xdr:colOff>381000</xdr:colOff>
      <xdr:row>30</xdr:row>
      <xdr:rowOff>119062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4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61</xdr:col>
      <xdr:colOff>461962</xdr:colOff>
      <xdr:row>16</xdr:row>
      <xdr:rowOff>42862</xdr:rowOff>
    </xdr:from>
    <xdr:to>
      <xdr:col>69</xdr:col>
      <xdr:colOff>157162</xdr:colOff>
      <xdr:row>30</xdr:row>
      <xdr:rowOff>90487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xmlns="" id="{00000000-0008-0000-4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45</xdr:col>
      <xdr:colOff>504825</xdr:colOff>
      <xdr:row>57</xdr:row>
      <xdr:rowOff>14287</xdr:rowOff>
    </xdr:from>
    <xdr:to>
      <xdr:col>53</xdr:col>
      <xdr:colOff>200025</xdr:colOff>
      <xdr:row>71</xdr:row>
      <xdr:rowOff>90487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xmlns="" id="{00000000-0008-0000-4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209550</xdr:colOff>
      <xdr:row>26</xdr:row>
      <xdr:rowOff>71437</xdr:rowOff>
    </xdr:from>
    <xdr:to>
      <xdr:col>20</xdr:col>
      <xdr:colOff>514350</xdr:colOff>
      <xdr:row>40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41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238125</xdr:colOff>
      <xdr:row>26</xdr:row>
      <xdr:rowOff>71437</xdr:rowOff>
    </xdr:from>
    <xdr:to>
      <xdr:col>28</xdr:col>
      <xdr:colOff>542925</xdr:colOff>
      <xdr:row>40</xdr:row>
      <xdr:rowOff>147637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41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57150</xdr:colOff>
      <xdr:row>26</xdr:row>
      <xdr:rowOff>4762</xdr:rowOff>
    </xdr:from>
    <xdr:to>
      <xdr:col>24</xdr:col>
      <xdr:colOff>361950</xdr:colOff>
      <xdr:row>40</xdr:row>
      <xdr:rowOff>80962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4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24</xdr:col>
      <xdr:colOff>552450</xdr:colOff>
      <xdr:row>26</xdr:row>
      <xdr:rowOff>14287</xdr:rowOff>
    </xdr:from>
    <xdr:to>
      <xdr:col>32</xdr:col>
      <xdr:colOff>247650</xdr:colOff>
      <xdr:row>40</xdr:row>
      <xdr:rowOff>90487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4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457200</xdr:colOff>
      <xdr:row>28</xdr:row>
      <xdr:rowOff>100012</xdr:rowOff>
    </xdr:from>
    <xdr:to>
      <xdr:col>17</xdr:col>
      <xdr:colOff>152400</xdr:colOff>
      <xdr:row>42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43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133350</xdr:colOff>
      <xdr:row>28</xdr:row>
      <xdr:rowOff>80962</xdr:rowOff>
    </xdr:from>
    <xdr:to>
      <xdr:col>25</xdr:col>
      <xdr:colOff>438150</xdr:colOff>
      <xdr:row>42</xdr:row>
      <xdr:rowOff>157162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43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</xdr:col>
      <xdr:colOff>0</xdr:colOff>
      <xdr:row>28</xdr:row>
      <xdr:rowOff>71437</xdr:rowOff>
    </xdr:from>
    <xdr:to>
      <xdr:col>33</xdr:col>
      <xdr:colOff>304800</xdr:colOff>
      <xdr:row>42</xdr:row>
      <xdr:rowOff>147637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xmlns="" id="{00000000-0008-0000-43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323850</xdr:colOff>
      <xdr:row>82</xdr:row>
      <xdr:rowOff>61912</xdr:rowOff>
    </xdr:from>
    <xdr:to>
      <xdr:col>23</xdr:col>
      <xdr:colOff>19050</xdr:colOff>
      <xdr:row>96</xdr:row>
      <xdr:rowOff>138112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xmlns="" id="{00000000-0008-0000-4F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533400</xdr:colOff>
      <xdr:row>128</xdr:row>
      <xdr:rowOff>14287</xdr:rowOff>
    </xdr:from>
    <xdr:to>
      <xdr:col>23</xdr:col>
      <xdr:colOff>228600</xdr:colOff>
      <xdr:row>142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xmlns="" id="{00000000-0008-0000-5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XRealStats.xla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microsoft.com/office/2006/relationships/xlExternalLinkPath/xlLibrary" Target="Analysis/ATPVBAEN.XLA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fig"/>
      <sheetName val="Wilcoxon Table"/>
      <sheetName val="Mann Table"/>
      <sheetName val="Runs Table"/>
      <sheetName val="KS Table"/>
      <sheetName val="KS2 Table"/>
      <sheetName val="Lil Table"/>
      <sheetName val="AD Table"/>
      <sheetName val="AD2 Table"/>
      <sheetName val="SW Table"/>
      <sheetName val="Stud. Q Table"/>
      <sheetName val="Stud. Q Table 2"/>
      <sheetName val="Sp Rho Table"/>
      <sheetName val="Ken Tau Table"/>
      <sheetName val="Durbin Table"/>
      <sheetName val="Dunnett Table"/>
      <sheetName val="Prime"/>
    </sheetNames>
    <definedNames>
      <definedName name="BNORMDIST"/>
      <definedName name="BNORMRAND"/>
      <definedName name="BOX"/>
      <definedName name="BOXdf1"/>
      <definedName name="BOXdf2"/>
      <definedName name="BOXF"/>
      <definedName name="BOXM"/>
      <definedName name="BOXTEST"/>
      <definedName name="CAColFactors"/>
      <definedName name="CAEigen"/>
      <definedName name="CARowFactors"/>
      <definedName name="CHI_MAX2"/>
      <definedName name="CHI_STAT"/>
      <definedName name="CHI_STAT2"/>
      <definedName name="CHOL"/>
      <definedName name="CLUST"/>
      <definedName name="ClustAnal"/>
      <definedName name="CONF_BNORM"/>
      <definedName name="CONF_MNORM"/>
      <definedName name="CONF_VOLUME"/>
      <definedName name="CORR"/>
      <definedName name="COUNTAU"/>
      <definedName name="COV"/>
      <definedName name="COV2Pooled"/>
      <definedName name="COVP"/>
      <definedName name="COVPooled"/>
      <definedName name="DAClassification"/>
      <definedName name="DASummary"/>
      <definedName name="DIAG"/>
      <definedName name="DIAGONAL"/>
      <definedName name="ELIM"/>
      <definedName name="eVALUES"/>
      <definedName name="eVECT"/>
      <definedName name="eVECTORS"/>
      <definedName name="Extract2Cov"/>
      <definedName name="ExtractCol"/>
      <definedName name="ExtractCommunalities"/>
      <definedName name="ExtractCov"/>
      <definedName name="ExtractRows"/>
      <definedName name="ExtractUnique"/>
      <definedName name="F_DIST_RT"/>
      <definedName name="F_INV_RT"/>
      <definedName name="FTEXT"/>
      <definedName name="GGEpsilon"/>
      <definedName name="GVF"/>
      <definedName name="HFEpsilon"/>
      <definedName name="Hotel1_POWER"/>
      <definedName name="Hotel1_SIZE"/>
      <definedName name="Hotel2_POWER"/>
      <definedName name="Hotel2_SIZE"/>
      <definedName name="Hotelling"/>
      <definedName name="Hotellingdf1"/>
      <definedName name="Hotellingdf2"/>
      <definedName name="HotellingF"/>
      <definedName name="HotellingT2"/>
      <definedName name="IDENTITY"/>
      <definedName name="IQR"/>
      <definedName name="JENKS"/>
      <definedName name="LDACoeff"/>
      <definedName name="LDAPredC"/>
      <definedName name="MAD"/>
      <definedName name="MANOVA_Hoteldf1"/>
      <definedName name="MANOVA_Hoteldf2"/>
      <definedName name="MANOVA_HotelF"/>
      <definedName name="MANOVA_HotelTrace"/>
      <definedName name="MANOVA_Pillaidf1"/>
      <definedName name="MANOVA_Pillaidf2"/>
      <definedName name="MANOVA_PillaiF"/>
      <definedName name="MANOVA_PillaiTrace"/>
      <definedName name="MANOVA_POWER"/>
      <definedName name="MANOVA_RoyRoot"/>
      <definedName name="MANOVA_SIZE"/>
      <definedName name="MANOVA_Wilksdf1"/>
      <definedName name="MANOVA_Wilksdf2"/>
      <definedName name="MANOVA_WilksF"/>
      <definedName name="MANOVA_WilksLambda"/>
      <definedName name="MANOVA2_BOX"/>
      <definedName name="MANOVA2_Col"/>
      <definedName name="MANOVA2_HotelCol"/>
      <definedName name="MANOVA2_HotelInt"/>
      <definedName name="MANOVA2_HotelRow"/>
      <definedName name="MANOVA2_PillaiCol"/>
      <definedName name="MANOVA2_PillaiInt"/>
      <definedName name="MANOVA2_PillaiRow"/>
      <definedName name="MANOVA2_Res"/>
      <definedName name="MANOVA2_Row"/>
      <definedName name="MANOVA2_RoyCol"/>
      <definedName name="MANOVA2_RoyInt"/>
      <definedName name="MANOVA2_RoyRow"/>
      <definedName name="MANOVA2_Tot"/>
      <definedName name="MANOVA2_WilksCol"/>
      <definedName name="MANOVA2_WilksInt"/>
      <definedName name="MANOVA2_WilksRow"/>
      <definedName name="MANOVA2Int_POWER"/>
      <definedName name="MANOVA2Int_SIZE"/>
      <definedName name="MDistSq"/>
      <definedName name="MEANCOL"/>
      <definedName name="MKURTTEST"/>
      <definedName name="MSKEWTEST"/>
      <definedName name="MSQRT"/>
      <definedName name="NF_DIST"/>
      <definedName name="PERMANOVA"/>
      <definedName name="PseudoF"/>
      <definedName name="QDAPred"/>
      <definedName name="QRFactor"/>
      <definedName name="QRFactorR"/>
      <definedName name="QRINVERSE"/>
      <definedName name="QRSolve"/>
      <definedName name="QSORT"/>
      <definedName name="RSquare"/>
      <definedName name="SCHUR"/>
      <definedName name="SCHURQ"/>
      <definedName name="SHAPIRO"/>
      <definedName name="SHUFFLE"/>
      <definedName name="SortUnique"/>
      <definedName name="SPECTRAL"/>
      <definedName name="StdAnova1"/>
      <definedName name="SUBMATRIX"/>
      <definedName name="SVD_D"/>
      <definedName name="SVD_U"/>
      <definedName name="SVD_V"/>
      <definedName name="SWTEST"/>
      <definedName name="T2_RepeatedMeasures"/>
      <definedName name="T2TEST"/>
      <definedName name="TRACE"/>
      <definedName name="VARIMAX"/>
    </defined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VBA Functions and Subs"/>
      <sheetName val="REG"/>
      <sheetName val="Loc Table"/>
    </sheetNames>
    <definedNames>
      <definedName name="RANDOM"/>
    </definedNames>
    <sheetDataSet>
      <sheetData sheetId="1"/>
      <sheetData sheetId="2"/>
    </sheetDataSet>
  </externalBook>
</externalLink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Escritório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18"/>
  <sheetViews>
    <sheetView workbookViewId="0">
      <selection activeCell="A16" sqref="A16"/>
    </sheetView>
  </sheetViews>
  <sheetFormatPr defaultRowHeight="15" x14ac:dyDescent="0.25"/>
  <cols>
    <col min="1" max="1" width="50.28515625" customWidth="1"/>
    <col min="8" max="8" width="12" bestFit="1" customWidth="1"/>
  </cols>
  <sheetData>
    <row r="1" spans="1:1" ht="14.45" x14ac:dyDescent="0.35">
      <c r="A1" s="42" t="s">
        <v>285</v>
      </c>
    </row>
    <row r="2" spans="1:1" ht="14.45" x14ac:dyDescent="0.35">
      <c r="A2" s="42" t="s">
        <v>999</v>
      </c>
    </row>
    <row r="3" spans="1:1" ht="14.45" x14ac:dyDescent="0.35">
      <c r="A3" s="42"/>
    </row>
    <row r="4" spans="1:1" x14ac:dyDescent="0.25">
      <c r="A4" s="151" t="s">
        <v>997</v>
      </c>
    </row>
    <row r="6" spans="1:1" ht="14.45" x14ac:dyDescent="0.35">
      <c r="A6" s="42" t="s">
        <v>284</v>
      </c>
    </row>
    <row r="8" spans="1:1" ht="14.45" x14ac:dyDescent="0.35">
      <c r="A8" s="152" t="s">
        <v>261</v>
      </c>
    </row>
    <row r="9" spans="1:1" ht="14.45" x14ac:dyDescent="0.35">
      <c r="A9" s="152" t="s">
        <v>300</v>
      </c>
    </row>
    <row r="10" spans="1:1" ht="14.45" x14ac:dyDescent="0.35">
      <c r="A10" s="152" t="s">
        <v>913</v>
      </c>
    </row>
    <row r="11" spans="1:1" ht="14.45" x14ac:dyDescent="0.35">
      <c r="A11" s="152" t="s">
        <v>147</v>
      </c>
    </row>
    <row r="12" spans="1:1" ht="14.45" x14ac:dyDescent="0.35">
      <c r="A12" s="152" t="s">
        <v>672</v>
      </c>
    </row>
    <row r="13" spans="1:1" ht="14.45" x14ac:dyDescent="0.35">
      <c r="A13" s="152" t="s">
        <v>108</v>
      </c>
    </row>
    <row r="14" spans="1:1" ht="14.45" x14ac:dyDescent="0.35">
      <c r="A14" s="152" t="s">
        <v>368</v>
      </c>
    </row>
    <row r="15" spans="1:1" ht="14.45" x14ac:dyDescent="0.35">
      <c r="A15" s="152" t="s">
        <v>747</v>
      </c>
    </row>
    <row r="16" spans="1:1" ht="14.45" x14ac:dyDescent="0.35">
      <c r="A16" s="152" t="s">
        <v>788</v>
      </c>
    </row>
    <row r="17" spans="1:1" ht="14.45" x14ac:dyDescent="0.35">
      <c r="A17" s="152" t="s">
        <v>827</v>
      </c>
    </row>
    <row r="18" spans="1:1" ht="14.45" x14ac:dyDescent="0.35">
      <c r="A18" s="152" t="s">
        <v>594</v>
      </c>
    </row>
  </sheetData>
  <hyperlinks>
    <hyperlink ref="A8" location="TOC!A8" display="Descriptive Statistics"/>
    <hyperlink ref="A9" location="TOC!A12" display="Multivariate Norma Distribution"/>
    <hyperlink ref="A10" location="TOC!A31" display="Hotelling's T-square"/>
    <hyperlink ref="A11" location="TOC!A60" display="MANOVA"/>
    <hyperlink ref="A13" location="TOC!A115" display="Box's Test"/>
    <hyperlink ref="A14" location="TOC!A125" display="Factor Analysis"/>
    <hyperlink ref="A18" location="TOC!A200" display="Appendix (Linear Algebra and Advanced Matrix Topics)"/>
    <hyperlink ref="A12" location="TOC!A106" display="Repeated Measures Design"/>
    <hyperlink ref="A15" location="TOC!A166" display="Cluster Analysis"/>
    <hyperlink ref="A16" location="TOC!A187" display="Discriminant Analysis"/>
    <hyperlink ref="A17" location="TOC!A193" display="Correspondence Analysis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B243"/>
  <sheetViews>
    <sheetView topLeftCell="A171" zoomScaleNormal="100" workbookViewId="0">
      <selection activeCell="B188" sqref="B188"/>
    </sheetView>
  </sheetViews>
  <sheetFormatPr defaultRowHeight="15" x14ac:dyDescent="0.25"/>
  <cols>
    <col min="1" max="1" width="3.85546875" customWidth="1"/>
    <col min="2" max="2" width="67.140625" customWidth="1"/>
  </cols>
  <sheetData>
    <row r="1" spans="1:2" ht="14.45" x14ac:dyDescent="0.35">
      <c r="A1" s="42" t="s">
        <v>285</v>
      </c>
    </row>
    <row r="2" spans="1:2" ht="14.45" x14ac:dyDescent="0.35">
      <c r="A2" s="42" t="s">
        <v>999</v>
      </c>
    </row>
    <row r="3" spans="1:2" ht="14.45" x14ac:dyDescent="0.35">
      <c r="A3" s="42"/>
    </row>
    <row r="4" spans="1:2" x14ac:dyDescent="0.25">
      <c r="A4" s="151" t="s">
        <v>997</v>
      </c>
    </row>
    <row r="6" spans="1:2" ht="14.45" x14ac:dyDescent="0.35">
      <c r="A6" s="42" t="s">
        <v>286</v>
      </c>
    </row>
    <row r="7" spans="1:2" ht="14.45" x14ac:dyDescent="0.35">
      <c r="A7" s="42"/>
    </row>
    <row r="8" spans="1:2" ht="14.45" x14ac:dyDescent="0.35">
      <c r="A8" s="42" t="s">
        <v>297</v>
      </c>
    </row>
    <row r="9" spans="1:2" ht="14.45" x14ac:dyDescent="0.35">
      <c r="B9" s="152" t="s">
        <v>298</v>
      </c>
    </row>
    <row r="10" spans="1:2" ht="14.45" x14ac:dyDescent="0.35">
      <c r="B10" s="152" t="s">
        <v>299</v>
      </c>
    </row>
    <row r="12" spans="1:2" ht="14.45" x14ac:dyDescent="0.35">
      <c r="A12" s="42" t="s">
        <v>300</v>
      </c>
    </row>
    <row r="13" spans="1:2" ht="14.45" x14ac:dyDescent="0.35">
      <c r="A13" s="42"/>
    </row>
    <row r="14" spans="1:2" s="46" customFormat="1" ht="14.45" x14ac:dyDescent="0.35">
      <c r="A14" s="46" t="s">
        <v>346</v>
      </c>
    </row>
    <row r="15" spans="1:2" s="46" customFormat="1" ht="14.45" x14ac:dyDescent="0.35">
      <c r="B15" s="152" t="s">
        <v>769</v>
      </c>
    </row>
    <row r="16" spans="1:2" ht="14.45" x14ac:dyDescent="0.35">
      <c r="A16" s="42"/>
      <c r="B16" s="152" t="s">
        <v>781</v>
      </c>
    </row>
    <row r="17" spans="1:2" ht="14.45" x14ac:dyDescent="0.35">
      <c r="A17" s="42"/>
    </row>
    <row r="18" spans="1:2" ht="14.45" x14ac:dyDescent="0.35">
      <c r="A18" s="46" t="s">
        <v>320</v>
      </c>
    </row>
    <row r="19" spans="1:2" ht="14.45" x14ac:dyDescent="0.35">
      <c r="B19" s="152" t="s">
        <v>319</v>
      </c>
    </row>
    <row r="20" spans="1:2" ht="14.45" x14ac:dyDescent="0.35">
      <c r="B20" s="152" t="s">
        <v>321</v>
      </c>
    </row>
    <row r="21" spans="1:2" ht="14.25" customHeight="1" x14ac:dyDescent="0.35">
      <c r="B21" s="152" t="s">
        <v>322</v>
      </c>
    </row>
    <row r="22" spans="1:2" ht="14.25" customHeight="1" x14ac:dyDescent="0.35">
      <c r="B22" s="152" t="s">
        <v>919</v>
      </c>
    </row>
    <row r="23" spans="1:2" ht="14.25" customHeight="1" x14ac:dyDescent="0.35">
      <c r="B23" s="152" t="s">
        <v>920</v>
      </c>
    </row>
    <row r="24" spans="1:2" ht="14.25" customHeight="1" x14ac:dyDescent="0.35">
      <c r="B24" s="152"/>
    </row>
    <row r="25" spans="1:2" ht="14.25" customHeight="1" x14ac:dyDescent="0.35">
      <c r="A25" t="s">
        <v>784</v>
      </c>
      <c r="B25" s="152"/>
    </row>
    <row r="26" spans="1:2" ht="14.25" customHeight="1" x14ac:dyDescent="0.35">
      <c r="B26" s="152" t="s">
        <v>768</v>
      </c>
    </row>
    <row r="27" spans="1:2" ht="14.25" customHeight="1" x14ac:dyDescent="0.35">
      <c r="B27" s="152"/>
    </row>
    <row r="28" spans="1:2" ht="14.25" customHeight="1" x14ac:dyDescent="0.35">
      <c r="A28" t="s">
        <v>785</v>
      </c>
      <c r="B28" s="152"/>
    </row>
    <row r="29" spans="1:2" ht="14.25" customHeight="1" x14ac:dyDescent="0.35">
      <c r="B29" s="152" t="s">
        <v>786</v>
      </c>
    </row>
    <row r="31" spans="1:2" ht="14.45" x14ac:dyDescent="0.35">
      <c r="A31" s="42" t="s">
        <v>913</v>
      </c>
    </row>
    <row r="33" spans="1:2" ht="14.45" x14ac:dyDescent="0.35">
      <c r="A33" t="s">
        <v>323</v>
      </c>
    </row>
    <row r="34" spans="1:2" x14ac:dyDescent="0.25">
      <c r="B34" s="152" t="s">
        <v>324</v>
      </c>
    </row>
    <row r="35" spans="1:2" x14ac:dyDescent="0.25">
      <c r="B35" s="152" t="s">
        <v>325</v>
      </c>
    </row>
    <row r="37" spans="1:2" x14ac:dyDescent="0.25">
      <c r="A37" t="s">
        <v>326</v>
      </c>
    </row>
    <row r="38" spans="1:2" x14ac:dyDescent="0.25">
      <c r="B38" s="152" t="s">
        <v>328</v>
      </c>
    </row>
    <row r="39" spans="1:2" x14ac:dyDescent="0.25">
      <c r="B39" s="152" t="s">
        <v>325</v>
      </c>
    </row>
    <row r="41" spans="1:2" x14ac:dyDescent="0.25">
      <c r="A41" t="s">
        <v>327</v>
      </c>
    </row>
    <row r="42" spans="1:2" x14ac:dyDescent="0.25">
      <c r="B42" s="152" t="s">
        <v>329</v>
      </c>
    </row>
    <row r="43" spans="1:2" x14ac:dyDescent="0.25">
      <c r="B43" s="152" t="s">
        <v>330</v>
      </c>
    </row>
    <row r="45" spans="1:2" x14ac:dyDescent="0.25">
      <c r="A45" t="s">
        <v>331</v>
      </c>
    </row>
    <row r="46" spans="1:2" x14ac:dyDescent="0.25">
      <c r="B46" s="152" t="s">
        <v>332</v>
      </c>
    </row>
    <row r="47" spans="1:2" x14ac:dyDescent="0.25">
      <c r="B47" s="152" t="s">
        <v>333</v>
      </c>
    </row>
    <row r="48" spans="1:2" x14ac:dyDescent="0.25">
      <c r="B48" s="152" t="s">
        <v>334</v>
      </c>
    </row>
    <row r="50" spans="1:2" x14ac:dyDescent="0.25">
      <c r="A50" t="s">
        <v>335</v>
      </c>
    </row>
    <row r="51" spans="1:2" x14ac:dyDescent="0.25">
      <c r="B51" s="152" t="s">
        <v>329</v>
      </c>
    </row>
    <row r="52" spans="1:2" x14ac:dyDescent="0.25">
      <c r="B52" s="152" t="s">
        <v>336</v>
      </c>
    </row>
    <row r="53" spans="1:2" x14ac:dyDescent="0.25">
      <c r="B53" s="152" t="s">
        <v>338</v>
      </c>
    </row>
    <row r="54" spans="1:2" x14ac:dyDescent="0.25">
      <c r="B54" s="152"/>
    </row>
    <row r="55" spans="1:2" x14ac:dyDescent="0.25">
      <c r="A55" t="s">
        <v>632</v>
      </c>
      <c r="B55" s="152"/>
    </row>
    <row r="56" spans="1:2" x14ac:dyDescent="0.25">
      <c r="B56" s="152" t="s">
        <v>633</v>
      </c>
    </row>
    <row r="57" spans="1:2" x14ac:dyDescent="0.25">
      <c r="B57" s="152" t="s">
        <v>964</v>
      </c>
    </row>
    <row r="58" spans="1:2" x14ac:dyDescent="0.25">
      <c r="B58" s="152" t="s">
        <v>965</v>
      </c>
    </row>
    <row r="60" spans="1:2" x14ac:dyDescent="0.25">
      <c r="A60" s="42" t="s">
        <v>147</v>
      </c>
    </row>
    <row r="61" spans="1:2" x14ac:dyDescent="0.25">
      <c r="A61" s="42"/>
    </row>
    <row r="62" spans="1:2" x14ac:dyDescent="0.25">
      <c r="A62" s="46" t="s">
        <v>346</v>
      </c>
    </row>
    <row r="63" spans="1:2" x14ac:dyDescent="0.25">
      <c r="B63" s="152" t="s">
        <v>339</v>
      </c>
    </row>
    <row r="64" spans="1:2" x14ac:dyDescent="0.25">
      <c r="B64" s="152" t="s">
        <v>342</v>
      </c>
    </row>
    <row r="65" spans="1:2" x14ac:dyDescent="0.25">
      <c r="B65" s="152" t="s">
        <v>340</v>
      </c>
    </row>
    <row r="66" spans="1:2" x14ac:dyDescent="0.25">
      <c r="B66" s="152" t="s">
        <v>341</v>
      </c>
    </row>
    <row r="67" spans="1:2" x14ac:dyDescent="0.25">
      <c r="B67" s="152" t="s">
        <v>343</v>
      </c>
    </row>
    <row r="68" spans="1:2" x14ac:dyDescent="0.25">
      <c r="B68" s="152" t="s">
        <v>344</v>
      </c>
    </row>
    <row r="69" spans="1:2" x14ac:dyDescent="0.25">
      <c r="B69" s="152" t="s">
        <v>345</v>
      </c>
    </row>
    <row r="71" spans="1:2" x14ac:dyDescent="0.25">
      <c r="A71" t="s">
        <v>347</v>
      </c>
    </row>
    <row r="72" spans="1:2" x14ac:dyDescent="0.25">
      <c r="B72" s="152" t="s">
        <v>348</v>
      </c>
    </row>
    <row r="73" spans="1:2" x14ac:dyDescent="0.25">
      <c r="B73" s="152" t="s">
        <v>349</v>
      </c>
    </row>
    <row r="75" spans="1:2" x14ac:dyDescent="0.25">
      <c r="A75" t="s">
        <v>350</v>
      </c>
    </row>
    <row r="76" spans="1:2" x14ac:dyDescent="0.25">
      <c r="B76" s="152" t="s">
        <v>351</v>
      </c>
    </row>
    <row r="78" spans="1:2" x14ac:dyDescent="0.25">
      <c r="A78" t="s">
        <v>352</v>
      </c>
    </row>
    <row r="79" spans="1:2" x14ac:dyDescent="0.25">
      <c r="B79" s="152" t="s">
        <v>353</v>
      </c>
    </row>
    <row r="80" spans="1:2" x14ac:dyDescent="0.25">
      <c r="B80" s="152" t="s">
        <v>356</v>
      </c>
    </row>
    <row r="81" spans="1:2" x14ac:dyDescent="0.25">
      <c r="B81" s="152" t="s">
        <v>355</v>
      </c>
    </row>
    <row r="82" spans="1:2" x14ac:dyDescent="0.25">
      <c r="B82" s="152" t="s">
        <v>354</v>
      </c>
    </row>
    <row r="83" spans="1:2" x14ac:dyDescent="0.25">
      <c r="B83" s="152" t="s">
        <v>357</v>
      </c>
    </row>
    <row r="85" spans="1:2" x14ac:dyDescent="0.25">
      <c r="A85" t="s">
        <v>358</v>
      </c>
    </row>
    <row r="86" spans="1:2" x14ac:dyDescent="0.25">
      <c r="B86" s="152" t="s">
        <v>363</v>
      </c>
    </row>
    <row r="87" spans="1:2" x14ac:dyDescent="0.25">
      <c r="B87" s="152" t="s">
        <v>362</v>
      </c>
    </row>
    <row r="89" spans="1:2" x14ac:dyDescent="0.25">
      <c r="A89" t="s">
        <v>359</v>
      </c>
    </row>
    <row r="90" spans="1:2" x14ac:dyDescent="0.25">
      <c r="B90" s="152" t="s">
        <v>360</v>
      </c>
    </row>
    <row r="91" spans="1:2" x14ac:dyDescent="0.25">
      <c r="B91" s="152" t="s">
        <v>361</v>
      </c>
    </row>
    <row r="92" spans="1:2" x14ac:dyDescent="0.25">
      <c r="B92" s="152"/>
    </row>
    <row r="93" spans="1:2" x14ac:dyDescent="0.25">
      <c r="A93" t="s">
        <v>960</v>
      </c>
      <c r="B93" s="152"/>
    </row>
    <row r="94" spans="1:2" x14ac:dyDescent="0.25">
      <c r="B94" s="152" t="s">
        <v>961</v>
      </c>
    </row>
    <row r="95" spans="1:2" x14ac:dyDescent="0.25">
      <c r="B95" s="152"/>
    </row>
    <row r="96" spans="1:2" x14ac:dyDescent="0.25">
      <c r="A96" t="s">
        <v>962</v>
      </c>
      <c r="B96" s="152"/>
    </row>
    <row r="97" spans="1:2" x14ac:dyDescent="0.25">
      <c r="B97" s="152" t="s">
        <v>963</v>
      </c>
    </row>
    <row r="98" spans="1:2" x14ac:dyDescent="0.25">
      <c r="B98" s="152" t="s">
        <v>938</v>
      </c>
    </row>
    <row r="99" spans="1:2" x14ac:dyDescent="0.25">
      <c r="B99" s="152"/>
    </row>
    <row r="100" spans="1:2" x14ac:dyDescent="0.25">
      <c r="A100" t="s">
        <v>984</v>
      </c>
      <c r="B100" s="152"/>
    </row>
    <row r="101" spans="1:2" x14ac:dyDescent="0.25">
      <c r="B101" s="152" t="s">
        <v>991</v>
      </c>
    </row>
    <row r="102" spans="1:2" x14ac:dyDescent="0.25">
      <c r="B102" s="152" t="s">
        <v>992</v>
      </c>
    </row>
    <row r="103" spans="1:2" x14ac:dyDescent="0.25">
      <c r="B103" s="152" t="s">
        <v>993</v>
      </c>
    </row>
    <row r="104" spans="1:2" x14ac:dyDescent="0.25">
      <c r="B104" s="152" t="s">
        <v>985</v>
      </c>
    </row>
    <row r="106" spans="1:2" x14ac:dyDescent="0.25">
      <c r="A106" s="42" t="s">
        <v>672</v>
      </c>
    </row>
    <row r="108" spans="1:2" x14ac:dyDescent="0.25">
      <c r="A108" t="s">
        <v>673</v>
      </c>
    </row>
    <row r="109" spans="1:2" x14ac:dyDescent="0.25">
      <c r="B109" s="152" t="s">
        <v>674</v>
      </c>
    </row>
    <row r="111" spans="1:2" x14ac:dyDescent="0.25">
      <c r="A111" t="s">
        <v>675</v>
      </c>
    </row>
    <row r="112" spans="1:2" x14ac:dyDescent="0.25">
      <c r="B112" s="152" t="s">
        <v>676</v>
      </c>
    </row>
    <row r="113" spans="1:2" x14ac:dyDescent="0.25">
      <c r="B113" s="152" t="s">
        <v>677</v>
      </c>
    </row>
    <row r="115" spans="1:2" x14ac:dyDescent="0.25">
      <c r="A115" s="42" t="s">
        <v>108</v>
      </c>
    </row>
    <row r="117" spans="1:2" x14ac:dyDescent="0.25">
      <c r="A117" t="s">
        <v>346</v>
      </c>
    </row>
    <row r="118" spans="1:2" x14ac:dyDescent="0.25">
      <c r="B118" s="152" t="s">
        <v>364</v>
      </c>
    </row>
    <row r="120" spans="1:2" x14ac:dyDescent="0.25">
      <c r="A120" t="s">
        <v>347</v>
      </c>
    </row>
    <row r="121" spans="1:2" x14ac:dyDescent="0.25">
      <c r="B121" s="152" t="s">
        <v>366</v>
      </c>
    </row>
    <row r="122" spans="1:2" x14ac:dyDescent="0.25">
      <c r="B122" s="152" t="s">
        <v>365</v>
      </c>
    </row>
    <row r="123" spans="1:2" x14ac:dyDescent="0.25">
      <c r="B123" s="152" t="s">
        <v>367</v>
      </c>
    </row>
    <row r="125" spans="1:2" x14ac:dyDescent="0.25">
      <c r="A125" s="42" t="s">
        <v>368</v>
      </c>
    </row>
    <row r="127" spans="1:2" x14ac:dyDescent="0.25">
      <c r="A127" t="s">
        <v>369</v>
      </c>
    </row>
    <row r="128" spans="1:2" x14ac:dyDescent="0.25">
      <c r="B128" s="152" t="s">
        <v>517</v>
      </c>
    </row>
    <row r="130" spans="1:2" x14ac:dyDescent="0.25">
      <c r="A130" t="s">
        <v>518</v>
      </c>
    </row>
    <row r="131" spans="1:2" x14ac:dyDescent="0.25">
      <c r="B131" s="152" t="s">
        <v>519</v>
      </c>
    </row>
    <row r="132" spans="1:2" x14ac:dyDescent="0.25">
      <c r="B132" s="152" t="s">
        <v>520</v>
      </c>
    </row>
    <row r="133" spans="1:2" x14ac:dyDescent="0.25">
      <c r="B133" s="152" t="s">
        <v>521</v>
      </c>
    </row>
    <row r="135" spans="1:2" x14ac:dyDescent="0.25">
      <c r="A135" t="s">
        <v>524</v>
      </c>
    </row>
    <row r="136" spans="1:2" x14ac:dyDescent="0.25">
      <c r="B136" s="152" t="s">
        <v>522</v>
      </c>
    </row>
    <row r="137" spans="1:2" x14ac:dyDescent="0.25">
      <c r="B137" s="152" t="s">
        <v>523</v>
      </c>
    </row>
    <row r="138" spans="1:2" x14ac:dyDescent="0.25">
      <c r="B138" s="152" t="s">
        <v>525</v>
      </c>
    </row>
    <row r="140" spans="1:2" x14ac:dyDescent="0.25">
      <c r="A140" t="s">
        <v>526</v>
      </c>
    </row>
    <row r="141" spans="1:2" x14ac:dyDescent="0.25">
      <c r="B141" s="152" t="s">
        <v>527</v>
      </c>
    </row>
    <row r="142" spans="1:2" x14ac:dyDescent="0.25">
      <c r="B142" s="152" t="s">
        <v>528</v>
      </c>
    </row>
    <row r="144" spans="1:2" x14ac:dyDescent="0.25">
      <c r="A144" t="s">
        <v>529</v>
      </c>
    </row>
    <row r="145" spans="1:2" x14ac:dyDescent="0.25">
      <c r="B145" s="152" t="s">
        <v>530</v>
      </c>
    </row>
    <row r="146" spans="1:2" x14ac:dyDescent="0.25">
      <c r="B146" s="152" t="s">
        <v>531</v>
      </c>
    </row>
    <row r="147" spans="1:2" x14ac:dyDescent="0.25">
      <c r="B147" s="152" t="s">
        <v>532</v>
      </c>
    </row>
    <row r="149" spans="1:2" x14ac:dyDescent="0.25">
      <c r="A149" t="s">
        <v>533</v>
      </c>
    </row>
    <row r="150" spans="1:2" x14ac:dyDescent="0.25">
      <c r="B150" s="152" t="s">
        <v>534</v>
      </c>
    </row>
    <row r="151" spans="1:2" x14ac:dyDescent="0.25">
      <c r="B151" s="152" t="s">
        <v>535</v>
      </c>
    </row>
    <row r="152" spans="1:2" x14ac:dyDescent="0.25">
      <c r="B152" s="152" t="s">
        <v>536</v>
      </c>
    </row>
    <row r="153" spans="1:2" x14ac:dyDescent="0.25">
      <c r="B153" s="152" t="s">
        <v>538</v>
      </c>
    </row>
    <row r="154" spans="1:2" x14ac:dyDescent="0.25">
      <c r="B154" s="152" t="s">
        <v>539</v>
      </c>
    </row>
    <row r="155" spans="1:2" x14ac:dyDescent="0.25">
      <c r="B155" s="152" t="s">
        <v>631</v>
      </c>
    </row>
    <row r="156" spans="1:2" x14ac:dyDescent="0.25">
      <c r="B156" s="152" t="s">
        <v>540</v>
      </c>
    </row>
    <row r="158" spans="1:2" x14ac:dyDescent="0.25">
      <c r="A158" t="s">
        <v>476</v>
      </c>
    </row>
    <row r="159" spans="1:2" x14ac:dyDescent="0.25">
      <c r="B159" s="152" t="s">
        <v>551</v>
      </c>
    </row>
    <row r="160" spans="1:2" x14ac:dyDescent="0.25">
      <c r="B160" s="152" t="s">
        <v>550</v>
      </c>
    </row>
    <row r="162" spans="1:2" x14ac:dyDescent="0.25">
      <c r="A162" t="s">
        <v>514</v>
      </c>
    </row>
    <row r="163" spans="1:2" x14ac:dyDescent="0.25">
      <c r="B163" s="152" t="s">
        <v>542</v>
      </c>
    </row>
    <row r="164" spans="1:2" x14ac:dyDescent="0.25">
      <c r="B164" s="152" t="s">
        <v>543</v>
      </c>
    </row>
    <row r="165" spans="1:2" x14ac:dyDescent="0.25">
      <c r="B165" s="152"/>
    </row>
    <row r="166" spans="1:2" x14ac:dyDescent="0.25">
      <c r="A166" s="42" t="s">
        <v>747</v>
      </c>
      <c r="B166" s="152"/>
    </row>
    <row r="167" spans="1:2" x14ac:dyDescent="0.25">
      <c r="B167" s="152"/>
    </row>
    <row r="168" spans="1:2" x14ac:dyDescent="0.25">
      <c r="A168" t="s">
        <v>748</v>
      </c>
      <c r="B168" s="152"/>
    </row>
    <row r="169" spans="1:2" x14ac:dyDescent="0.25">
      <c r="B169" s="152" t="s">
        <v>750</v>
      </c>
    </row>
    <row r="170" spans="1:2" x14ac:dyDescent="0.25">
      <c r="B170" s="152"/>
    </row>
    <row r="171" spans="1:2" x14ac:dyDescent="0.25">
      <c r="A171" t="s">
        <v>749</v>
      </c>
      <c r="B171" s="152"/>
    </row>
    <row r="172" spans="1:2" x14ac:dyDescent="0.25">
      <c r="B172" s="152" t="s">
        <v>750</v>
      </c>
    </row>
    <row r="173" spans="1:2" x14ac:dyDescent="0.25">
      <c r="B173" s="152" t="s">
        <v>751</v>
      </c>
    </row>
    <row r="174" spans="1:2" x14ac:dyDescent="0.25">
      <c r="B174" s="152"/>
    </row>
    <row r="175" spans="1:2" x14ac:dyDescent="0.25">
      <c r="A175" t="s">
        <v>735</v>
      </c>
      <c r="B175" s="152"/>
    </row>
    <row r="176" spans="1:2" x14ac:dyDescent="0.25">
      <c r="B176" s="152" t="s">
        <v>752</v>
      </c>
    </row>
    <row r="177" spans="1:2" x14ac:dyDescent="0.25">
      <c r="B177" s="152" t="s">
        <v>753</v>
      </c>
    </row>
    <row r="178" spans="1:2" x14ac:dyDescent="0.25">
      <c r="B178" s="152" t="s">
        <v>754</v>
      </c>
    </row>
    <row r="179" spans="1:2" x14ac:dyDescent="0.25">
      <c r="B179" s="152"/>
    </row>
    <row r="180" spans="1:2" x14ac:dyDescent="0.25">
      <c r="A180" t="s">
        <v>755</v>
      </c>
      <c r="B180" s="152"/>
    </row>
    <row r="181" spans="1:2" x14ac:dyDescent="0.25">
      <c r="B181" s="152" t="s">
        <v>756</v>
      </c>
    </row>
    <row r="182" spans="1:2" x14ac:dyDescent="0.25">
      <c r="B182" s="152" t="s">
        <v>757</v>
      </c>
    </row>
    <row r="183" spans="1:2" x14ac:dyDescent="0.25">
      <c r="B183" s="152" t="s">
        <v>758</v>
      </c>
    </row>
    <row r="184" spans="1:2" x14ac:dyDescent="0.25">
      <c r="B184" s="152" t="s">
        <v>759</v>
      </c>
    </row>
    <row r="185" spans="1:2" x14ac:dyDescent="0.25">
      <c r="B185" s="152" t="s">
        <v>634</v>
      </c>
    </row>
    <row r="186" spans="1:2" x14ac:dyDescent="0.25">
      <c r="B186" s="152"/>
    </row>
    <row r="187" spans="1:2" x14ac:dyDescent="0.25">
      <c r="A187" s="42" t="s">
        <v>788</v>
      </c>
      <c r="B187" s="152"/>
    </row>
    <row r="188" spans="1:2" x14ac:dyDescent="0.25">
      <c r="B188" s="152" t="s">
        <v>789</v>
      </c>
    </row>
    <row r="189" spans="1:2" x14ac:dyDescent="0.25">
      <c r="B189" s="152" t="s">
        <v>805</v>
      </c>
    </row>
    <row r="190" spans="1:2" x14ac:dyDescent="0.25">
      <c r="B190" s="152" t="s">
        <v>824</v>
      </c>
    </row>
    <row r="191" spans="1:2" x14ac:dyDescent="0.25">
      <c r="B191" s="152" t="s">
        <v>825</v>
      </c>
    </row>
    <row r="192" spans="1:2" x14ac:dyDescent="0.25">
      <c r="B192" s="152"/>
    </row>
    <row r="193" spans="1:2" x14ac:dyDescent="0.25">
      <c r="A193" s="42" t="s">
        <v>827</v>
      </c>
      <c r="B193" s="152"/>
    </row>
    <row r="194" spans="1:2" x14ac:dyDescent="0.25">
      <c r="B194" s="152" t="s">
        <v>828</v>
      </c>
    </row>
    <row r="195" spans="1:2" x14ac:dyDescent="0.25">
      <c r="B195" s="152" t="s">
        <v>904</v>
      </c>
    </row>
    <row r="196" spans="1:2" x14ac:dyDescent="0.25">
      <c r="B196" s="152" t="s">
        <v>909</v>
      </c>
    </row>
    <row r="197" spans="1:2" x14ac:dyDescent="0.25">
      <c r="B197" s="152" t="s">
        <v>910</v>
      </c>
    </row>
    <row r="198" spans="1:2" x14ac:dyDescent="0.25">
      <c r="B198" s="152" t="s">
        <v>347</v>
      </c>
    </row>
    <row r="199" spans="1:2" x14ac:dyDescent="0.25">
      <c r="B199" s="152"/>
    </row>
    <row r="200" spans="1:2" x14ac:dyDescent="0.25">
      <c r="A200" s="42" t="s">
        <v>541</v>
      </c>
    </row>
    <row r="201" spans="1:2" x14ac:dyDescent="0.25">
      <c r="A201" s="42"/>
    </row>
    <row r="202" spans="1:2" x14ac:dyDescent="0.25">
      <c r="A202" s="46" t="s">
        <v>596</v>
      </c>
    </row>
    <row r="203" spans="1:2" x14ac:dyDescent="0.25">
      <c r="B203" s="152" t="s">
        <v>597</v>
      </c>
    </row>
    <row r="204" spans="1:2" x14ac:dyDescent="0.25">
      <c r="B204" s="152"/>
    </row>
    <row r="205" spans="1:2" x14ac:dyDescent="0.25">
      <c r="A205" t="s">
        <v>490</v>
      </c>
      <c r="B205" s="152"/>
    </row>
    <row r="206" spans="1:2" x14ac:dyDescent="0.25">
      <c r="B206" s="152" t="s">
        <v>598</v>
      </c>
    </row>
    <row r="207" spans="1:2" x14ac:dyDescent="0.25">
      <c r="B207" s="152" t="s">
        <v>601</v>
      </c>
    </row>
    <row r="208" spans="1:2" x14ac:dyDescent="0.25">
      <c r="B208" s="152" t="s">
        <v>603</v>
      </c>
    </row>
    <row r="209" spans="1:2" x14ac:dyDescent="0.25">
      <c r="B209" s="152" t="s">
        <v>602</v>
      </c>
    </row>
    <row r="210" spans="1:2" x14ac:dyDescent="0.25">
      <c r="B210" s="152" t="s">
        <v>604</v>
      </c>
    </row>
    <row r="211" spans="1:2" x14ac:dyDescent="0.25">
      <c r="B211" s="152" t="s">
        <v>914</v>
      </c>
    </row>
    <row r="212" spans="1:2" x14ac:dyDescent="0.25">
      <c r="B212" s="152" t="s">
        <v>915</v>
      </c>
    </row>
    <row r="213" spans="1:2" x14ac:dyDescent="0.25">
      <c r="B213" s="152"/>
    </row>
    <row r="214" spans="1:2" x14ac:dyDescent="0.25">
      <c r="A214" t="s">
        <v>619</v>
      </c>
      <c r="B214" s="152"/>
    </row>
    <row r="215" spans="1:2" x14ac:dyDescent="0.25">
      <c r="B215" s="152" t="s">
        <v>620</v>
      </c>
    </row>
    <row r="216" spans="1:2" x14ac:dyDescent="0.25">
      <c r="B216" s="152"/>
    </row>
    <row r="217" spans="1:2" x14ac:dyDescent="0.25">
      <c r="A217" t="s">
        <v>701</v>
      </c>
      <c r="B217" s="152"/>
    </row>
    <row r="218" spans="1:2" x14ac:dyDescent="0.25">
      <c r="B218" s="152" t="s">
        <v>702</v>
      </c>
    </row>
    <row r="219" spans="1:2" x14ac:dyDescent="0.25">
      <c r="B219" s="152" t="s">
        <v>703</v>
      </c>
    </row>
    <row r="220" spans="1:2" x14ac:dyDescent="0.25">
      <c r="B220" s="152" t="s">
        <v>723</v>
      </c>
    </row>
    <row r="221" spans="1:2" x14ac:dyDescent="0.25">
      <c r="B221" s="152"/>
    </row>
    <row r="222" spans="1:2" x14ac:dyDescent="0.25">
      <c r="A222" t="s">
        <v>555</v>
      </c>
      <c r="B222" s="152"/>
    </row>
    <row r="223" spans="1:2" x14ac:dyDescent="0.25">
      <c r="B223" s="152" t="s">
        <v>607</v>
      </c>
    </row>
    <row r="224" spans="1:2" x14ac:dyDescent="0.25">
      <c r="B224" s="152"/>
    </row>
    <row r="225" spans="1:2" x14ac:dyDescent="0.25">
      <c r="A225" t="s">
        <v>605</v>
      </c>
      <c r="B225" s="152"/>
    </row>
    <row r="226" spans="1:2" x14ac:dyDescent="0.25">
      <c r="B226" s="152" t="s">
        <v>606</v>
      </c>
    </row>
    <row r="227" spans="1:2" x14ac:dyDescent="0.25">
      <c r="B227" s="152"/>
    </row>
    <row r="228" spans="1:2" x14ac:dyDescent="0.25">
      <c r="A228" t="s">
        <v>595</v>
      </c>
      <c r="B228" s="152"/>
    </row>
    <row r="229" spans="1:2" x14ac:dyDescent="0.25">
      <c r="B229" s="152" t="s">
        <v>608</v>
      </c>
    </row>
    <row r="230" spans="1:2" x14ac:dyDescent="0.25">
      <c r="B230" s="152"/>
    </row>
    <row r="231" spans="1:2" x14ac:dyDescent="0.25">
      <c r="A231" t="s">
        <v>627</v>
      </c>
      <c r="B231" s="152"/>
    </row>
    <row r="232" spans="1:2" x14ac:dyDescent="0.25">
      <c r="B232" s="152" t="s">
        <v>628</v>
      </c>
    </row>
    <row r="233" spans="1:2" x14ac:dyDescent="0.25">
      <c r="B233" s="152"/>
    </row>
    <row r="234" spans="1:2" x14ac:dyDescent="0.25">
      <c r="A234" t="s">
        <v>720</v>
      </c>
      <c r="B234" s="152"/>
    </row>
    <row r="235" spans="1:2" x14ac:dyDescent="0.25">
      <c r="B235" s="152" t="s">
        <v>721</v>
      </c>
    </row>
    <row r="236" spans="1:2" x14ac:dyDescent="0.25">
      <c r="B236" s="152" t="s">
        <v>722</v>
      </c>
    </row>
    <row r="237" spans="1:2" x14ac:dyDescent="0.25">
      <c r="B237" s="152"/>
    </row>
    <row r="238" spans="1:2" x14ac:dyDescent="0.25">
      <c r="A238" t="s">
        <v>442</v>
      </c>
    </row>
    <row r="239" spans="1:2" x14ac:dyDescent="0.25">
      <c r="B239" s="152" t="s">
        <v>609</v>
      </c>
    </row>
    <row r="240" spans="1:2" x14ac:dyDescent="0.25">
      <c r="B240" s="152" t="s">
        <v>611</v>
      </c>
    </row>
    <row r="241" spans="1:2" x14ac:dyDescent="0.25">
      <c r="B241" s="152"/>
    </row>
    <row r="242" spans="1:2" x14ac:dyDescent="0.25">
      <c r="A242" t="s">
        <v>500</v>
      </c>
      <c r="B242" s="152"/>
    </row>
    <row r="243" spans="1:2" x14ac:dyDescent="0.25">
      <c r="B243" s="152" t="s">
        <v>610</v>
      </c>
    </row>
  </sheetData>
  <hyperlinks>
    <hyperlink ref="B9" location="Desc!A1" display="Multivariate sample (Example 1)"/>
    <hyperlink ref="B10" location="Desc!H1" display="Covariance and correlation matrices (Example 2)"/>
    <hyperlink ref="B19" location="Desc!H18" display="Eigenvalue/vectors of covariance matrix (Figure 1)"/>
    <hyperlink ref="B20" location="Desc!T1" display="Axes lengths (Figure 2)"/>
    <hyperlink ref="B21" location="Desc!T8" display="Volume of hyper-ellipe (Figure 3)"/>
    <hyperlink ref="B34" location="'Hotel 1'!A1" display="One sample test (Example 1)"/>
    <hyperlink ref="B35" location="'Hotel 1'!T1" display="Confidence interval (Example 2)"/>
    <hyperlink ref="B38" location="'Hotel 2P'!A1" display="One sample test (Example 1)"/>
    <hyperlink ref="B39" location="'Hotel 2P'!AF1" display="Confidence interval (Example 2)"/>
    <hyperlink ref="B42" location="'Hotel 2'!A1" display="Two sample test (Example 1)"/>
    <hyperlink ref="B43" location="'Hotel 2a'!A1" display="Two sample test (Example 2)"/>
    <hyperlink ref="B46" location="'Hotel 2a'!M15" display="Confidence intervals (Example 1)"/>
    <hyperlink ref="B47" location="'Hotel 2a'!R15" display="Effect size (Example 1)"/>
    <hyperlink ref="B48" location="'Box 2a'!A1" display="Box's Test (Figure 3)"/>
    <hyperlink ref="B51" location="'Hotel 3a'!A1" display="Two sample test (Example 1)"/>
    <hyperlink ref="B52" location="'Box 3a'!A1" display="Box's Test (Example 1)"/>
    <hyperlink ref="B53" location="'Hotel 3'!A1" display="Repeat Example 2 of Hotelling's T-square for two independent samples"/>
    <hyperlink ref="B63" location="'Manova 1'!A1" display="Standard form of data (Figure 1)"/>
    <hyperlink ref="B64" location="'Manova 1'!F1" display="Group means, covariance matrices (Example 1)"/>
    <hyperlink ref="B65" location="'Manova 1'!F36" display="Chart of group/total means (Figure 3)"/>
    <hyperlink ref="B66" location="'Manova 1'!L1" display="SSCP matrices (Figure 5)"/>
    <hyperlink ref="B67" location="'Manova 1'!X1" display="Test statistics (Figure 6)"/>
    <hyperlink ref="B68" location="'Manova 1'!X10" display="Test statistics using eigenvalues (Figure 7)"/>
    <hyperlink ref="B69" location="'Manova 1'!AI1" display="Test results (Figure 8)"/>
    <hyperlink ref="B72" location="'Manova 1a'!A1" display="Manova data analysis tool (Figure 2)"/>
    <hyperlink ref="B73" location="'Manova 1b'!A1" display="Row and column extraction functions (Figure 3)"/>
    <hyperlink ref="B76" location="'Manova 1a'!L3" display="Partial eta squared"/>
    <hyperlink ref="B79" location="'Manova 1c'!A1" display="Tests for normality"/>
    <hyperlink ref="B81" location="'Manova 1e'!A1" display="Test for univariate outliers"/>
    <hyperlink ref="B82" location="'Manova 1f'!A1" display="Test for multivariate outliers"/>
    <hyperlink ref="B80" location="'Manova 1d'!A1" display="Data analysis for normality"/>
    <hyperlink ref="B83" location="'Manova 1g'!A1" display="Test for homogeneity of covariance matrices"/>
    <hyperlink ref="B86" location="'Manova 1h'!A1" display="Multiple Anova tests (Figure 1)"/>
    <hyperlink ref="B87" location="'Manova 1i'!A1" display="ANOVA option of MANOVA data analysis tool"/>
    <hyperlink ref="B90" location="'Manova 1j'!A1" display="Multivariate and univariate contrasts"/>
    <hyperlink ref="B91" location="'Manova 1k'!A1" display="MANOVA data analysis tool (all features)"/>
    <hyperlink ref="B118" location="Box!A1" display="Detailed version of Box's Test (Example 1)"/>
    <hyperlink ref="B123" location="'Manova 1g'!F1" display="MANOVA example (Example 3)"/>
    <hyperlink ref="B121" location="Box!X1" display="Covariance matrix function (Example 1)"/>
    <hyperlink ref="B122" location="'Box 3a'!P1" display="Covariance matrix function (Example 2)"/>
    <hyperlink ref="B128" location="PCA!A1" display="Teacher evaluation example (Example 1)"/>
    <hyperlink ref="B133" location="Factor!A29" display="Loading Factors, Full Model (Example 1)"/>
    <hyperlink ref="B131" location="Factor!A1" display="Correlation Matrix (Example 1)"/>
    <hyperlink ref="B132" location="Factor!A16" display="Eigenvalues and eigenvectors (Example 1)"/>
    <hyperlink ref="B136" location="Factor!M1" display="Scree plot (Figure 1)"/>
    <hyperlink ref="B137" location="Factor!A41" display="Loading Factors, Reduced Model (Figure 2)"/>
    <hyperlink ref="B138" location="Factor!O43" display="Communalities and Specific Variance (Figure 3)"/>
    <hyperlink ref="B141" location="Factor!H41" display="Varimax rotation (Figure 1)"/>
    <hyperlink ref="B142" location="Factor!A55" display="Rotation matrix (Figure 2 and 3)"/>
    <hyperlink ref="B146" location="Factor!CM16" display="Bartlett's (Figure 4, 5)"/>
    <hyperlink ref="B147" location="Factor!DF3" display="Anderson-Rubin's method (Figure 6, 7, 8)"/>
    <hyperlink ref="B145" location="Factor!BU3" display="Regression method (Figure 1, 2, 3)"/>
    <hyperlink ref="B151" location="Factor!AC16" display="Error matrix after Varimax rotation"/>
    <hyperlink ref="B150" location="Factor!AC42" display="Reproduced Correlation Matrix (Figure 2)"/>
    <hyperlink ref="B152" location="'Box Factor'!A1" display="Bartlett's test (Figure 3)"/>
    <hyperlink ref="B153" location="KMO!A17" display="Inverse of Correlation Matrix (Figure 4)"/>
    <hyperlink ref="B154" location="KMO!A30" display="Partial Correlation Matrix (Figure 5)"/>
    <hyperlink ref="B155" location="KMO!A44" display="Kaiser-Meyer-Olken (KMO) (Figure 6)"/>
    <hyperlink ref="B156" location="Factor!X1" display="Haitovsky’s Test (Figure 8)"/>
    <hyperlink ref="B210" location="QR!A1" display="QR Factorization (Example 5)"/>
    <hyperlink ref="B243" location="'Par Cor'!A1" display="Partial Correlation"/>
    <hyperlink ref="B226" location="SQRT!A1" display="Square Root of a matrix"/>
    <hyperlink ref="B163" location="'Fact PCA'!A1" display="Principal Component Extraction"/>
    <hyperlink ref="B164" location="'Fact PAF'!A1" display="Principal Axis Extraction"/>
    <hyperlink ref="B239" location="Varimax!A1" display="Varimax"/>
    <hyperlink ref="B160" location="'PAF Comm'!A1" display="Calculating revised communalities"/>
    <hyperlink ref="B159" location="'PAF Comm'!T31" display="Calculating initial communalities"/>
    <hyperlink ref="B203" location="Gram!A1" display="Gram-Schmidt Process"/>
    <hyperlink ref="B206" location="Gram!A1" display="QR Factorization (Example 1)"/>
    <hyperlink ref="B207" location="Gram!U1" display="Solving linear equations (Example )"/>
    <hyperlink ref="B208" location="'QR 1'!A1" display="Finding Eigenvalues/eigenvectors using Householder process (Example 3)"/>
    <hyperlink ref="B209" location="'QR 1'!W239" display="Finding Eigenvalues/eigenvectors using eVECTORS (Example 4)"/>
    <hyperlink ref="B229" location="SVD!A1" display="Singular Value Decomposition"/>
    <hyperlink ref="B223" location="Spectral!A1" display="Spectral Decomposition (Example 1)"/>
    <hyperlink ref="B240" location="'Varimax 1'!A1" display="Varimax (using ATN2)"/>
    <hyperlink ref="B211" location="'QR 2'!M1" display="Solving linear equations (Example 6)"/>
    <hyperlink ref="B212" location="'QR 2'!W1" display="Inverting a matrix (Example 7)"/>
    <hyperlink ref="B215" location="Eigen!A1" display="Real and imaginary eigenvalues (Example 1)"/>
    <hyperlink ref="B232" location="Cholesky!A1" display="Cholesky Decomposition (Example 1)"/>
    <hyperlink ref="B56" location="'Hotel 2'!U1" display="Data analysis tool example"/>
    <hyperlink ref="B109" location="'Rep Measures 1'!A1" display="Using Hotelling's Test (Example 1)"/>
    <hyperlink ref="B112" location="'Rep Measures 2'!A1" display="Using MANOVA (Example 1)"/>
    <hyperlink ref="B113" location="'Rep Measures 3'!A1" display="Using ANOVA (Example 2)"/>
    <hyperlink ref="B218" location="'Eigen 2'!A1" display="Schur's factorization"/>
    <hyperlink ref="B219" location="'Eigen 2'!R1" display="Eigenvectors"/>
    <hyperlink ref="B235" location="'Matrix 1'!A1" display="Symmetric matrix"/>
    <hyperlink ref="B236" location="'Matrix 2'!A1" display="Non-symmetric matrix"/>
    <hyperlink ref="B220" location="'Eigen 1'!A1" display="Real Statistics eVALUES, eVECTORS, eVECT functions"/>
    <hyperlink ref="B169" location="'Clust 1'!A1" display="K-mean clustering (Example 1)"/>
    <hyperlink ref="B172" location="'Clust 1a'!A1" display="K-means clustering (Example 2)"/>
    <hyperlink ref="B173" location="'Clust 2'!A1" display="K-means clustering (Example 2)"/>
    <hyperlink ref="B176" location="'Clust 3'!A1" display="Setting initial clusters (Example 3)"/>
    <hyperlink ref="B177" location="'Clust 3'!A1" display="Setting initial clusters (Example 3)"/>
    <hyperlink ref="B178" location="'Clust 3'!A1" display="Setting initial clusters (Example 3)"/>
    <hyperlink ref="B181" location="'Jenks 1'!A1" display="Manual steps (Example 1)"/>
    <hyperlink ref="B182" location="'Jenks 2'!A1" display="Real Statistics function (Example 2)"/>
    <hyperlink ref="B183" location="'Jenks 3'!A1" display="Map coloring"/>
    <hyperlink ref="B185" location="'Jenks 4'!A1" display="Real Statistics data analysis tool"/>
    <hyperlink ref="B184" location="'Jenks 2'!U1" display="Iterative approach and GVF function"/>
    <hyperlink ref="B15" location="Bivar!A1" display="Bivariate normal distribution"/>
    <hyperlink ref="B26" location="Bivar!I1" display="Generating random numbers"/>
    <hyperlink ref="B16" location="Bivar!Q1" display="Mahalanobis Distance"/>
    <hyperlink ref="B29" location="'Bivar 1'!A1" display="Mardia's Test"/>
    <hyperlink ref="B188" location="'Discrim 1'!A1" display="Linear Discriminant Analysis (LDA)"/>
    <hyperlink ref="B189" location="'Discrim 2'!A1" display="Quadratic Discriminant Analysis (QDA)"/>
    <hyperlink ref="B190" location="'Discrim 3'!A1" display="Real Statistics support for LDA"/>
    <hyperlink ref="B191" location="'Discrim 4'!A1" display="Real Statistics support for QDA"/>
    <hyperlink ref="B194" location="'CA 1'!A1" display="Correspondence Analysis (Example 1)"/>
    <hyperlink ref="B195" location="'CA 1'!BD1" display="Correspondence Analysis Plots"/>
    <hyperlink ref="B196" location="'CA 2'!A1" display="Supplementary Row Profiles"/>
    <hyperlink ref="B197" location="'CA 3'!A1" display="Supplementary Row and Column Profiles"/>
    <hyperlink ref="B198" location="'CA 4'!A1" display="Real Statistics Support"/>
    <hyperlink ref="B22" location="Ellipse!A1" display="Chart of an confidence ellipse"/>
    <hyperlink ref="B23" location="'Ellipse 2'!A1" display="Real Statistics confidence ellipse"/>
    <hyperlink ref="B94" location="Manova2!A1" display="Example"/>
    <hyperlink ref="B57" location="'Hot1 Power'!A1" display="Power and sample size for one sample Hotelling's T-square"/>
    <hyperlink ref="B58" location="'Hot2 Power'!A1" display="Power and sample size for two sample Hotelling's T-square"/>
    <hyperlink ref="B97" location="'Man Power'!A1" display="One-way MANOVA"/>
    <hyperlink ref="B98" location="'Man2 Power'!A1" display="Two-way MANOVA"/>
    <hyperlink ref="B104" location="PANOVA!A1" display="ANOVA example"/>
    <hyperlink ref="B101" location="PMANOVA1!A1" display="Pseudo F"/>
    <hyperlink ref="B102" location="PMANOVA2!A1" display="Permutational MANOVA example"/>
    <hyperlink ref="B103" location="PMANOVA3!A1" display="Real Statistics analysis"/>
  </hyperlinks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AC34"/>
  <sheetViews>
    <sheetView workbookViewId="0">
      <selection activeCell="O5" sqref="O5"/>
    </sheetView>
  </sheetViews>
  <sheetFormatPr defaultColWidth="9.140625" defaultRowHeight="15" x14ac:dyDescent="0.25"/>
  <cols>
    <col min="1" max="1" width="16" style="3" customWidth="1"/>
    <col min="2" max="6" width="13" style="3" customWidth="1"/>
    <col min="7" max="7" width="9.140625" style="3" customWidth="1"/>
    <col min="8" max="19" width="9.140625" style="3"/>
    <col min="20" max="20" width="11.42578125" style="3" customWidth="1"/>
    <col min="21" max="21" width="10" style="3" bestFit="1" customWidth="1"/>
    <col min="22" max="22" width="3.7109375" style="3" customWidth="1"/>
    <col min="23" max="23" width="27.5703125" style="3" customWidth="1"/>
    <col min="24" max="28" width="11" style="3" customWidth="1"/>
    <col min="29" max="16384" width="9.140625" style="3"/>
  </cols>
  <sheetData>
    <row r="1" spans="1:29" ht="14.45" x14ac:dyDescent="0.35">
      <c r="A1" s="2" t="s">
        <v>33</v>
      </c>
      <c r="T1" t="s">
        <v>302</v>
      </c>
      <c r="U1"/>
      <c r="V1"/>
      <c r="W1"/>
      <c r="X1"/>
      <c r="Y1"/>
      <c r="Z1"/>
      <c r="AA1"/>
      <c r="AB1"/>
      <c r="AC1"/>
    </row>
    <row r="2" spans="1:29" ht="14.45" x14ac:dyDescent="0.35">
      <c r="T2"/>
      <c r="U2"/>
      <c r="V2"/>
      <c r="W2"/>
      <c r="X2"/>
      <c r="Y2"/>
      <c r="Z2"/>
      <c r="AA2"/>
      <c r="AB2"/>
      <c r="AC2"/>
    </row>
    <row r="3" spans="1:29" s="2" customFormat="1" ht="14.45" x14ac:dyDescent="0.35">
      <c r="A3" s="7" t="s">
        <v>32</v>
      </c>
      <c r="B3" s="1" t="s">
        <v>31</v>
      </c>
      <c r="C3" s="1" t="s">
        <v>0</v>
      </c>
      <c r="D3" s="1" t="s">
        <v>1</v>
      </c>
      <c r="E3" s="1" t="s">
        <v>2</v>
      </c>
      <c r="F3" s="1" t="s">
        <v>3</v>
      </c>
      <c r="H3" s="3" t="s">
        <v>37</v>
      </c>
      <c r="I3" s="3"/>
      <c r="N3" s="3" t="s">
        <v>39</v>
      </c>
      <c r="T3" t="s">
        <v>53</v>
      </c>
      <c r="U3" s="146">
        <f>COUNT(H20:L20)</f>
        <v>5</v>
      </c>
      <c r="V3"/>
      <c r="W3"/>
      <c r="X3" s="32" t="s">
        <v>31</v>
      </c>
      <c r="Y3" s="32" t="s">
        <v>0</v>
      </c>
      <c r="Z3" s="32" t="s">
        <v>1</v>
      </c>
      <c r="AA3" s="32" t="s">
        <v>2</v>
      </c>
      <c r="AB3" s="32" t="s">
        <v>303</v>
      </c>
      <c r="AC3"/>
    </row>
    <row r="4" spans="1:29" x14ac:dyDescent="0.25">
      <c r="A4" s="3" t="s">
        <v>4</v>
      </c>
      <c r="B4" s="29">
        <v>39.761000000000003</v>
      </c>
      <c r="C4" s="5">
        <v>72.3</v>
      </c>
      <c r="D4" s="5">
        <v>-4.5999999999999996</v>
      </c>
      <c r="E4" s="5">
        <v>1.7</v>
      </c>
      <c r="F4" s="17">
        <v>3.9</v>
      </c>
      <c r="H4" s="9">
        <f t="array" ref="H4:L8">[1]!COV(B4:F30)</f>
        <v>183.44583154131053</v>
      </c>
      <c r="I4" s="10">
        <v>29.147971794871786</v>
      </c>
      <c r="J4" s="10">
        <v>1.2269871794871856</v>
      </c>
      <c r="K4" s="10">
        <v>-2.6973921652421664</v>
      </c>
      <c r="L4" s="11">
        <v>-22.48145156695157</v>
      </c>
      <c r="N4" s="9">
        <f t="array" ref="N4:R8">[1]!CORR(B4:F30)</f>
        <v>0.99999999999999867</v>
      </c>
      <c r="O4" s="10">
        <v>6.7387481250225076E-2</v>
      </c>
      <c r="P4" s="10">
        <v>1.526998102447711E-2</v>
      </c>
      <c r="Q4" s="10">
        <v>-0.12602892834419388</v>
      </c>
      <c r="R4" s="11">
        <v>-0.38791906125880204</v>
      </c>
      <c r="T4" s="71" t="s">
        <v>57</v>
      </c>
      <c r="U4" s="49">
        <v>0.05</v>
      </c>
      <c r="V4"/>
      <c r="W4" s="71" t="s">
        <v>304</v>
      </c>
      <c r="X4" s="138">
        <f>H20</f>
        <v>1027.2032964150005</v>
      </c>
      <c r="Y4" s="139">
        <f>I20</f>
        <v>185.80750544905595</v>
      </c>
      <c r="Z4" s="139">
        <f>J20</f>
        <v>33.719780969764869</v>
      </c>
      <c r="AA4" s="139">
        <f>K20</f>
        <v>10.645169667863728</v>
      </c>
      <c r="AB4" s="140">
        <f>L20</f>
        <v>1.9551787547239829</v>
      </c>
      <c r="AC4"/>
    </row>
    <row r="5" spans="1:29" x14ac:dyDescent="0.25">
      <c r="A5" s="3" t="s">
        <v>5</v>
      </c>
      <c r="B5" s="30">
        <v>36.274000000000001</v>
      </c>
      <c r="C5" s="4">
        <v>96.8</v>
      </c>
      <c r="D5" s="4">
        <v>-4.0999999999999996</v>
      </c>
      <c r="E5" s="4">
        <v>2.2999999999999998</v>
      </c>
      <c r="F5" s="18">
        <v>6.7</v>
      </c>
      <c r="H5" s="12">
        <v>29.147971794871786</v>
      </c>
      <c r="I5" s="3">
        <v>1019.8830769230769</v>
      </c>
      <c r="J5" s="3">
        <v>-77.218846153846158</v>
      </c>
      <c r="K5" s="3">
        <v>-0.67141025641025531</v>
      </c>
      <c r="L5" s="13">
        <v>17.557820512820509</v>
      </c>
      <c r="N5" s="12">
        <v>6.7387481250225076E-2</v>
      </c>
      <c r="O5" s="3">
        <v>1.0000000000000022</v>
      </c>
      <c r="P5" s="3">
        <v>-0.40756840650397247</v>
      </c>
      <c r="Q5" s="3">
        <v>-1.3304325262358165E-2</v>
      </c>
      <c r="R5" s="13">
        <v>0.12848904679004833</v>
      </c>
      <c r="T5" s="71" t="s">
        <v>120</v>
      </c>
      <c r="U5" s="52">
        <f>CHIINV(U4,U3)</f>
        <v>11.070497693516353</v>
      </c>
      <c r="V5"/>
      <c r="W5" t="s">
        <v>305</v>
      </c>
      <c r="X5" s="39">
        <f>SQRT(X4*$U$5)</f>
        <v>106.63794692197828</v>
      </c>
      <c r="Y5" s="40">
        <f>SQRT(Y4*$U$5)</f>
        <v>45.353958598029799</v>
      </c>
      <c r="Z5" s="40">
        <f>SQRT(Z4*$U$5)</f>
        <v>19.320837390021651</v>
      </c>
      <c r="AA5" s="40">
        <f>SQRT(AA4*$U$5)</f>
        <v>10.855750837928055</v>
      </c>
      <c r="AB5" s="41">
        <f>SQRT(AB4*$U$5)</f>
        <v>4.652397435149326</v>
      </c>
      <c r="AC5"/>
    </row>
    <row r="6" spans="1:29" x14ac:dyDescent="0.25">
      <c r="A6" s="3" t="s">
        <v>6</v>
      </c>
      <c r="B6" s="30">
        <v>12.933999999999999</v>
      </c>
      <c r="C6" s="4">
        <v>16.2</v>
      </c>
      <c r="D6" s="4">
        <v>-3.2</v>
      </c>
      <c r="E6" s="4">
        <v>3</v>
      </c>
      <c r="F6" s="18">
        <v>11.9</v>
      </c>
      <c r="H6" s="12">
        <v>1.2269871794871856</v>
      </c>
      <c r="I6" s="3">
        <v>-77.218846153846158</v>
      </c>
      <c r="J6" s="3">
        <v>35.196153846153848</v>
      </c>
      <c r="K6" s="3">
        <v>3.7020512820512832</v>
      </c>
      <c r="L6" s="13">
        <v>-10.757948717948718</v>
      </c>
      <c r="N6" s="12">
        <v>1.526998102447711E-2</v>
      </c>
      <c r="O6" s="3">
        <v>-0.40756840650397247</v>
      </c>
      <c r="P6" s="3">
        <v>0.99999999999999944</v>
      </c>
      <c r="Q6" s="3">
        <v>0.3948888781584125</v>
      </c>
      <c r="R6" s="13">
        <v>-0.42379181145453987</v>
      </c>
      <c r="T6"/>
      <c r="U6"/>
      <c r="V6"/>
      <c r="W6"/>
      <c r="X6"/>
      <c r="Y6"/>
      <c r="Z6"/>
      <c r="AA6"/>
      <c r="AB6"/>
      <c r="AC6"/>
    </row>
    <row r="7" spans="1:29" x14ac:dyDescent="0.25">
      <c r="A7" s="3" t="s">
        <v>7</v>
      </c>
      <c r="B7" s="30">
        <v>28.96</v>
      </c>
      <c r="C7" s="4">
        <v>60.8</v>
      </c>
      <c r="D7" s="4">
        <v>-5.3</v>
      </c>
      <c r="E7" s="4">
        <v>2.6</v>
      </c>
      <c r="F7" s="18">
        <v>7.8</v>
      </c>
      <c r="H7" s="12">
        <v>-2.6973921652421664</v>
      </c>
      <c r="I7" s="3">
        <v>-0.67141025641025531</v>
      </c>
      <c r="J7" s="3">
        <v>3.7020512820512832</v>
      </c>
      <c r="K7" s="3">
        <v>2.4971225071225072</v>
      </c>
      <c r="L7" s="13">
        <v>-0.91988603988603934</v>
      </c>
      <c r="N7" s="12">
        <v>-0.12602892834419388</v>
      </c>
      <c r="O7" s="3">
        <v>-1.3304325262358165E-2</v>
      </c>
      <c r="P7" s="3">
        <v>0.3948888781584125</v>
      </c>
      <c r="Q7" s="3">
        <v>0.99999999999999944</v>
      </c>
      <c r="R7" s="13">
        <v>-0.13604569340187261</v>
      </c>
      <c r="T7"/>
      <c r="U7"/>
      <c r="V7"/>
      <c r="W7"/>
      <c r="X7"/>
      <c r="Y7"/>
      <c r="Z7"/>
      <c r="AA7"/>
      <c r="AB7"/>
      <c r="AC7"/>
    </row>
    <row r="8" spans="1:29" x14ac:dyDescent="0.25">
      <c r="A8" s="3" t="s">
        <v>8</v>
      </c>
      <c r="B8" s="30">
        <v>24.95</v>
      </c>
      <c r="C8" s="4">
        <v>38.5</v>
      </c>
      <c r="D8" s="4">
        <v>-4.7</v>
      </c>
      <c r="E8" s="4">
        <v>1.2</v>
      </c>
      <c r="F8" s="18">
        <v>6.6</v>
      </c>
      <c r="H8" s="14">
        <v>-22.48145156695157</v>
      </c>
      <c r="I8" s="15">
        <v>17.557820512820509</v>
      </c>
      <c r="J8" s="15">
        <v>-10.757948717948718</v>
      </c>
      <c r="K8" s="15">
        <v>-0.91988603988603934</v>
      </c>
      <c r="L8" s="16">
        <v>18.308746438746443</v>
      </c>
      <c r="N8" s="14">
        <v>-0.38791906125880204</v>
      </c>
      <c r="O8" s="15">
        <v>0.12848904679004833</v>
      </c>
      <c r="P8" s="15">
        <v>-0.42379181145453987</v>
      </c>
      <c r="Q8" s="15">
        <v>-0.13604569340187261</v>
      </c>
      <c r="R8" s="16">
        <v>0.99999999999999911</v>
      </c>
      <c r="T8" t="s">
        <v>306</v>
      </c>
      <c r="U8"/>
      <c r="V8"/>
      <c r="W8"/>
      <c r="X8"/>
      <c r="Y8"/>
      <c r="Z8"/>
      <c r="AA8"/>
      <c r="AB8"/>
      <c r="AC8"/>
    </row>
    <row r="9" spans="1:29" x14ac:dyDescent="0.25">
      <c r="A9" s="3" t="s">
        <v>9</v>
      </c>
      <c r="B9" s="30">
        <v>36.442999999999998</v>
      </c>
      <c r="C9" s="4">
        <v>43.6</v>
      </c>
      <c r="D9" s="4">
        <v>-2.7</v>
      </c>
      <c r="E9" s="4">
        <v>2.2000000000000002</v>
      </c>
      <c r="F9" s="18">
        <v>7.1</v>
      </c>
      <c r="T9"/>
      <c r="U9"/>
      <c r="V9"/>
      <c r="W9"/>
      <c r="X9"/>
      <c r="Y9"/>
      <c r="Z9"/>
      <c r="AA9"/>
      <c r="AB9"/>
      <c r="AC9"/>
    </row>
    <row r="10" spans="1:29" x14ac:dyDescent="0.25">
      <c r="A10" s="3" t="s">
        <v>10</v>
      </c>
      <c r="B10" s="30">
        <v>18.527000000000001</v>
      </c>
      <c r="C10" s="4">
        <v>6.6</v>
      </c>
      <c r="D10" s="4">
        <v>0.1</v>
      </c>
      <c r="E10" s="4">
        <v>2.7</v>
      </c>
      <c r="F10" s="18">
        <v>12.8</v>
      </c>
      <c r="H10" s="3" t="s">
        <v>38</v>
      </c>
      <c r="T10" t="s">
        <v>53</v>
      </c>
      <c r="U10" s="146">
        <f>COUNTA(B3:F3)</f>
        <v>5</v>
      </c>
      <c r="V10"/>
      <c r="W10" s="62" t="s">
        <v>314</v>
      </c>
      <c r="X10"/>
      <c r="Y10" t="str">
        <f t="array" ref="Y10:Y14">TRANSPOSE(X3:AB3)</f>
        <v>GDP/capita</v>
      </c>
      <c r="Z10" s="146">
        <f t="array" ref="Z10:Z14">[1]!CONF_MNORM(B4:F30)</f>
        <v>106.63794692197828</v>
      </c>
      <c r="AA10"/>
      <c r="AB10"/>
      <c r="AC10"/>
    </row>
    <row r="11" spans="1:29" x14ac:dyDescent="0.25">
      <c r="A11" s="3" t="s">
        <v>11</v>
      </c>
      <c r="B11" s="30">
        <v>34.917999999999999</v>
      </c>
      <c r="C11" s="4">
        <v>48.4</v>
      </c>
      <c r="D11" s="4">
        <v>-2.5</v>
      </c>
      <c r="E11" s="4">
        <v>1.7</v>
      </c>
      <c r="F11" s="18">
        <v>7.8</v>
      </c>
      <c r="H11" s="9">
        <f t="array" ref="H11:L15">[1]!COVP(B4:F30)</f>
        <v>176.65154148422491</v>
      </c>
      <c r="I11" s="10">
        <v>28.068417283950605</v>
      </c>
      <c r="J11" s="10">
        <v>1.181543209876549</v>
      </c>
      <c r="K11" s="10">
        <v>-2.5974887517146787</v>
      </c>
      <c r="L11" s="11">
        <v>-21.648805212620029</v>
      </c>
      <c r="T11" s="71" t="s">
        <v>57</v>
      </c>
      <c r="U11" s="49">
        <v>0.05</v>
      </c>
      <c r="V11"/>
      <c r="W11"/>
      <c r="X11"/>
      <c r="Y11" t="str">
        <v>Public Debt</v>
      </c>
      <c r="Z11" s="49">
        <v>45.353958598029799</v>
      </c>
      <c r="AA11"/>
      <c r="AB11"/>
      <c r="AC11"/>
    </row>
    <row r="12" spans="1:29" x14ac:dyDescent="0.25">
      <c r="A12" s="3" t="s">
        <v>12</v>
      </c>
      <c r="B12" s="30">
        <v>33.909999999999997</v>
      </c>
      <c r="C12" s="4">
        <v>81.7</v>
      </c>
      <c r="D12" s="4">
        <v>-7</v>
      </c>
      <c r="E12" s="4">
        <v>1.7</v>
      </c>
      <c r="F12" s="18">
        <v>9.9</v>
      </c>
      <c r="H12" s="12">
        <v>28.068417283950605</v>
      </c>
      <c r="I12" s="3">
        <v>982.10962962962958</v>
      </c>
      <c r="J12" s="3">
        <v>-74.358888888888885</v>
      </c>
      <c r="K12" s="3">
        <v>-0.64654320987654212</v>
      </c>
      <c r="L12" s="13">
        <v>16.907530864197525</v>
      </c>
      <c r="T12" s="71" t="s">
        <v>120</v>
      </c>
      <c r="U12" s="52">
        <f>CHIINV(U11,U10)</f>
        <v>11.070497693516353</v>
      </c>
      <c r="V12"/>
      <c r="W12" s="62" t="s">
        <v>311</v>
      </c>
      <c r="X12"/>
      <c r="Y12" t="str">
        <v>Deficit</v>
      </c>
      <c r="Z12" s="49">
        <v>19.320837390021651</v>
      </c>
      <c r="AA12"/>
      <c r="AB12"/>
      <c r="AC12"/>
    </row>
    <row r="13" spans="1:29" x14ac:dyDescent="0.25">
      <c r="A13" s="3" t="s">
        <v>13</v>
      </c>
      <c r="B13" s="30">
        <v>36.081000000000003</v>
      </c>
      <c r="C13" s="4">
        <v>83.2</v>
      </c>
      <c r="D13" s="4">
        <v>-3.3</v>
      </c>
      <c r="E13" s="4">
        <v>1.2</v>
      </c>
      <c r="F13" s="18">
        <v>5.8</v>
      </c>
      <c r="H13" s="12">
        <v>1.181543209876549</v>
      </c>
      <c r="I13" s="3">
        <v>-74.358888888888885</v>
      </c>
      <c r="J13" s="3">
        <v>33.892592592592585</v>
      </c>
      <c r="K13" s="3">
        <v>3.5649382716049391</v>
      </c>
      <c r="L13" s="13">
        <v>-10.359506172839504</v>
      </c>
      <c r="T13"/>
      <c r="U13"/>
      <c r="V13"/>
      <c r="W13"/>
      <c r="X13"/>
      <c r="Y13" t="str">
        <v>Inflation</v>
      </c>
      <c r="Z13" s="49">
        <v>10.855750837928055</v>
      </c>
      <c r="AA13"/>
      <c r="AB13"/>
      <c r="AC13"/>
    </row>
    <row r="14" spans="1:29" x14ac:dyDescent="0.25">
      <c r="A14" s="3" t="s">
        <v>14</v>
      </c>
      <c r="B14" s="30">
        <v>28.495999999999999</v>
      </c>
      <c r="C14" s="4">
        <v>142.80000000000001</v>
      </c>
      <c r="D14" s="4">
        <v>-10.5</v>
      </c>
      <c r="E14" s="4">
        <v>4.7</v>
      </c>
      <c r="F14" s="18">
        <v>16.7</v>
      </c>
      <c r="H14" s="12">
        <v>-2.5974887517146787</v>
      </c>
      <c r="I14" s="3">
        <v>-0.64654320987654212</v>
      </c>
      <c r="J14" s="3">
        <v>3.5649382716049391</v>
      </c>
      <c r="K14" s="3">
        <v>2.4046364883401918</v>
      </c>
      <c r="L14" s="13">
        <v>-0.88581618655692673</v>
      </c>
      <c r="T14" t="s">
        <v>307</v>
      </c>
      <c r="U14" s="146">
        <f>2*PI()^(U10/2)</f>
        <v>34.986836655249718</v>
      </c>
      <c r="V14"/>
      <c r="W14" s="62" t="s">
        <v>312</v>
      </c>
      <c r="X14"/>
      <c r="Y14" t="str">
        <v>Unemploy</v>
      </c>
      <c r="Z14" s="174">
        <v>4.652397435149326</v>
      </c>
      <c r="AA14"/>
      <c r="AB14"/>
      <c r="AC14"/>
    </row>
    <row r="15" spans="1:29" x14ac:dyDescent="0.25">
      <c r="A15" s="3" t="s">
        <v>15</v>
      </c>
      <c r="B15" s="30">
        <v>18.841000000000001</v>
      </c>
      <c r="C15" s="4">
        <v>80.2</v>
      </c>
      <c r="D15" s="4">
        <v>-4.2</v>
      </c>
      <c r="E15" s="4">
        <v>4.7</v>
      </c>
      <c r="F15" s="18">
        <v>9.9</v>
      </c>
      <c r="H15" s="14">
        <v>-21.648805212620029</v>
      </c>
      <c r="I15" s="15">
        <v>16.907530864197525</v>
      </c>
      <c r="J15" s="15">
        <v>-10.359506172839504</v>
      </c>
      <c r="K15" s="15">
        <v>-0.88581618655692673</v>
      </c>
      <c r="L15" s="16">
        <v>17.630644718792869</v>
      </c>
      <c r="T15" t="s">
        <v>308</v>
      </c>
      <c r="U15" s="49">
        <f>U10*EXP(GAMMALN(U10/2))</f>
        <v>6.6467019408956851</v>
      </c>
      <c r="V15"/>
      <c r="W15" s="62" t="s">
        <v>313</v>
      </c>
      <c r="X15"/>
      <c r="Y15"/>
      <c r="Z15"/>
      <c r="AA15"/>
      <c r="AB15"/>
      <c r="AC15"/>
    </row>
    <row r="16" spans="1:29" x14ac:dyDescent="0.25">
      <c r="A16" s="3" t="s">
        <v>16</v>
      </c>
      <c r="B16" s="30">
        <v>39.491999999999997</v>
      </c>
      <c r="C16" s="4">
        <v>96.2</v>
      </c>
      <c r="D16" s="4">
        <v>-32.4</v>
      </c>
      <c r="E16" s="4">
        <v>-1.6</v>
      </c>
      <c r="F16" s="18">
        <v>14.2</v>
      </c>
      <c r="T16" t="s">
        <v>315</v>
      </c>
      <c r="U16" s="49">
        <f>U12^(U10/2)</f>
        <v>407.77243489310132</v>
      </c>
      <c r="V16"/>
      <c r="W16" s="62" t="s">
        <v>316</v>
      </c>
      <c r="X16"/>
      <c r="Y16" t="s">
        <v>918</v>
      </c>
      <c r="Z16" s="403">
        <f>[1]!CONF_VOLUME(B4:F30)</f>
        <v>24842086.376928564</v>
      </c>
      <c r="AA16"/>
      <c r="AB16"/>
      <c r="AC16"/>
    </row>
    <row r="17" spans="1:29" x14ac:dyDescent="0.25">
      <c r="A17" s="3" t="s">
        <v>17</v>
      </c>
      <c r="B17" s="30">
        <v>29.48</v>
      </c>
      <c r="C17" s="4">
        <v>119</v>
      </c>
      <c r="D17" s="4">
        <v>-4.5999999999999996</v>
      </c>
      <c r="E17" s="4">
        <v>1.6</v>
      </c>
      <c r="F17" s="18">
        <v>8.3000000000000007</v>
      </c>
      <c r="T17" t="s">
        <v>309</v>
      </c>
      <c r="U17" s="49">
        <f>SQRT(MDETERM(H4:L8))</f>
        <v>11573.686910608511</v>
      </c>
      <c r="V17"/>
      <c r="W17" s="62" t="s">
        <v>317</v>
      </c>
      <c r="X17"/>
      <c r="Y17"/>
      <c r="Z17"/>
      <c r="AA17"/>
      <c r="AB17"/>
      <c r="AC17"/>
    </row>
    <row r="18" spans="1:29" x14ac:dyDescent="0.25">
      <c r="A18" s="3" t="s">
        <v>18</v>
      </c>
      <c r="B18" s="30">
        <v>14.504</v>
      </c>
      <c r="C18" s="4">
        <v>44.7</v>
      </c>
      <c r="D18" s="4">
        <v>-7.7</v>
      </c>
      <c r="E18" s="4">
        <v>-1.2</v>
      </c>
      <c r="F18" s="18">
        <v>16.2</v>
      </c>
      <c r="H18" s="3" t="s">
        <v>301</v>
      </c>
      <c r="T18" t="s">
        <v>310</v>
      </c>
      <c r="U18" s="52">
        <f>U14/U15*U16*U17</f>
        <v>24842086.376928583</v>
      </c>
      <c r="V18"/>
      <c r="W18" s="62" t="s">
        <v>318</v>
      </c>
      <c r="X18"/>
      <c r="Y18"/>
      <c r="Z18"/>
      <c r="AA18"/>
      <c r="AB18"/>
      <c r="AC18"/>
    </row>
    <row r="19" spans="1:29" x14ac:dyDescent="0.25">
      <c r="A19" s="3" t="s">
        <v>19</v>
      </c>
      <c r="B19" s="30">
        <v>17.234999999999999</v>
      </c>
      <c r="C19" s="4">
        <v>33.700000000000003</v>
      </c>
      <c r="D19" s="4">
        <v>-7.1</v>
      </c>
      <c r="E19" s="4">
        <v>1.2</v>
      </c>
      <c r="F19" s="18">
        <v>10.3</v>
      </c>
      <c r="V19"/>
      <c r="W19"/>
      <c r="X19"/>
      <c r="Y19"/>
      <c r="Z19"/>
      <c r="AA19"/>
      <c r="AB19"/>
      <c r="AC19"/>
    </row>
    <row r="20" spans="1:29" x14ac:dyDescent="0.25">
      <c r="A20" s="3" t="s">
        <v>20</v>
      </c>
      <c r="B20" s="30">
        <v>81.465999999999994</v>
      </c>
      <c r="C20" s="4">
        <v>18.399999999999999</v>
      </c>
      <c r="D20" s="4">
        <v>-1.7</v>
      </c>
      <c r="E20" s="4">
        <v>2.8</v>
      </c>
      <c r="F20" s="18">
        <v>4.8</v>
      </c>
      <c r="H20" s="153">
        <f t="array" ref="H20:L25">[1]!eVECTORS(Desc!H4:L8)</f>
        <v>1027.2032964150005</v>
      </c>
      <c r="I20" s="154">
        <v>185.80750544905595</v>
      </c>
      <c r="J20" s="154">
        <v>33.719780969764869</v>
      </c>
      <c r="K20" s="154">
        <v>10.645169667863728</v>
      </c>
      <c r="L20" s="155">
        <v>1.9551787547239829</v>
      </c>
    </row>
    <row r="21" spans="1:29" x14ac:dyDescent="0.25">
      <c r="A21" s="3" t="s">
        <v>21</v>
      </c>
      <c r="B21" s="30">
        <v>24.832999999999998</v>
      </c>
      <c r="C21" s="4">
        <v>68</v>
      </c>
      <c r="D21" s="4">
        <v>-3.6</v>
      </c>
      <c r="E21" s="4">
        <v>2</v>
      </c>
      <c r="F21" s="18">
        <v>6.6</v>
      </c>
      <c r="H21" s="153">
        <v>3.3842242558668911E-2</v>
      </c>
      <c r="I21" s="154">
        <v>-0.98942914583530783</v>
      </c>
      <c r="J21" s="154">
        <v>-8.3379302210895512E-2</v>
      </c>
      <c r="K21" s="154">
        <v>-0.11234980513676393</v>
      </c>
      <c r="L21" s="155">
        <v>1.7609123736516005E-2</v>
      </c>
    </row>
    <row r="22" spans="1:29" x14ac:dyDescent="0.25">
      <c r="A22" s="3" t="s">
        <v>22</v>
      </c>
      <c r="B22" s="30">
        <v>40.972999999999999</v>
      </c>
      <c r="C22" s="4">
        <v>62.7</v>
      </c>
      <c r="D22" s="4">
        <v>-5.4</v>
      </c>
      <c r="E22" s="4">
        <v>0.9</v>
      </c>
      <c r="F22" s="18">
        <v>4.5</v>
      </c>
      <c r="H22" s="12">
        <v>0.99624953136428873</v>
      </c>
      <c r="I22" s="3">
        <v>2.8696731752805613E-2</v>
      </c>
      <c r="J22" s="3">
        <v>7.9882799588758324E-2</v>
      </c>
      <c r="K22" s="3">
        <v>-1.3484420735622161E-2</v>
      </c>
      <c r="L22" s="13">
        <v>-1.0013868904058448E-2</v>
      </c>
    </row>
    <row r="23" spans="1:29" x14ac:dyDescent="0.25">
      <c r="A23" s="3" t="s">
        <v>23</v>
      </c>
      <c r="B23" s="30">
        <v>18.981000000000002</v>
      </c>
      <c r="C23" s="4">
        <v>55</v>
      </c>
      <c r="D23" s="4">
        <v>-7.9</v>
      </c>
      <c r="E23" s="4">
        <v>2.7</v>
      </c>
      <c r="F23" s="18">
        <v>9.4</v>
      </c>
      <c r="H23" s="12">
        <v>-7.7699932606460423E-2</v>
      </c>
      <c r="I23" s="3">
        <v>-3.2294802081041782E-2</v>
      </c>
      <c r="J23" s="3">
        <v>0.89262661667852317</v>
      </c>
      <c r="K23" s="3">
        <v>-0.42234013021826328</v>
      </c>
      <c r="L23" s="13">
        <v>-0.13329029910601042</v>
      </c>
    </row>
    <row r="24" spans="1:29" x14ac:dyDescent="0.25">
      <c r="A24" s="3" t="s">
        <v>24</v>
      </c>
      <c r="B24" s="30">
        <v>23.262</v>
      </c>
      <c r="C24" s="4">
        <v>93</v>
      </c>
      <c r="D24" s="4">
        <v>-9.1</v>
      </c>
      <c r="E24" s="4">
        <v>1.4</v>
      </c>
      <c r="F24" s="18">
        <v>12.5</v>
      </c>
      <c r="H24" s="12">
        <v>-1.0381953333033738E-3</v>
      </c>
      <c r="I24" s="3">
        <v>1.3110465999765859E-2</v>
      </c>
      <c r="J24" s="3">
        <v>0.12363446621745629</v>
      </c>
      <c r="K24" s="3">
        <v>-5.2223463022771414E-2</v>
      </c>
      <c r="L24" s="13">
        <v>0.99086541291173924</v>
      </c>
    </row>
    <row r="25" spans="1:29" x14ac:dyDescent="0.25">
      <c r="A25" s="3" t="s">
        <v>25</v>
      </c>
      <c r="B25" s="30">
        <v>11.895</v>
      </c>
      <c r="C25" s="4">
        <v>30.8</v>
      </c>
      <c r="D25" s="4">
        <v>-6.4</v>
      </c>
      <c r="E25" s="4">
        <v>6.1</v>
      </c>
      <c r="F25" s="18">
        <v>7.5</v>
      </c>
      <c r="H25" s="14">
        <v>1.7413112830128412E-2</v>
      </c>
      <c r="I25" s="15">
        <v>0.13781010267079558</v>
      </c>
      <c r="J25" s="15">
        <v>-0.41785029885458086</v>
      </c>
      <c r="K25" s="15">
        <v>-0.89782916860630324</v>
      </c>
      <c r="L25" s="16">
        <v>3.0117852316930991E-3</v>
      </c>
    </row>
    <row r="26" spans="1:29" x14ac:dyDescent="0.25">
      <c r="A26" s="3" t="s">
        <v>26</v>
      </c>
      <c r="B26" s="30">
        <v>22.195</v>
      </c>
      <c r="C26" s="4">
        <v>41</v>
      </c>
      <c r="D26" s="4">
        <v>-7.9</v>
      </c>
      <c r="E26" s="4">
        <v>0.7</v>
      </c>
      <c r="F26" s="18">
        <v>13.5</v>
      </c>
    </row>
    <row r="27" spans="1:29" x14ac:dyDescent="0.25">
      <c r="A27" s="3" t="s">
        <v>27</v>
      </c>
      <c r="B27" s="30">
        <v>28.073</v>
      </c>
      <c r="C27" s="4">
        <v>38</v>
      </c>
      <c r="D27" s="4">
        <v>-5.6</v>
      </c>
      <c r="E27" s="4">
        <v>2.1</v>
      </c>
      <c r="F27" s="18">
        <v>8</v>
      </c>
    </row>
    <row r="28" spans="1:29" x14ac:dyDescent="0.25">
      <c r="A28" s="3" t="s">
        <v>28</v>
      </c>
      <c r="B28" s="30">
        <v>29.83</v>
      </c>
      <c r="C28" s="4">
        <v>60.1</v>
      </c>
      <c r="D28" s="4">
        <v>-9.1999999999999993</v>
      </c>
      <c r="E28" s="4">
        <v>2</v>
      </c>
      <c r="F28" s="18">
        <v>22.6</v>
      </c>
    </row>
    <row r="29" spans="1:29" x14ac:dyDescent="0.25">
      <c r="A29" s="3" t="s">
        <v>29</v>
      </c>
      <c r="B29" s="30">
        <v>38.204000000000001</v>
      </c>
      <c r="C29" s="4">
        <v>39.799999999999997</v>
      </c>
      <c r="D29" s="4">
        <v>0</v>
      </c>
      <c r="E29" s="4">
        <v>1.9</v>
      </c>
      <c r="F29" s="18">
        <v>7.2</v>
      </c>
    </row>
    <row r="30" spans="1:29" x14ac:dyDescent="0.25">
      <c r="A30" s="3" t="s">
        <v>30</v>
      </c>
      <c r="B30" s="31">
        <v>35.058999999999997</v>
      </c>
      <c r="C30" s="6">
        <v>80</v>
      </c>
      <c r="D30" s="6">
        <v>-10.4</v>
      </c>
      <c r="E30" s="6">
        <v>3.3</v>
      </c>
      <c r="F30" s="19">
        <v>8</v>
      </c>
    </row>
    <row r="32" spans="1:29" x14ac:dyDescent="0.25">
      <c r="A32" s="8" t="s">
        <v>34</v>
      </c>
      <c r="B32" s="20">
        <f>AVERAGE(B4:B30)</f>
        <v>29.83618518518518</v>
      </c>
      <c r="C32" s="21">
        <f>AVERAGE(C4:C30)</f>
        <v>61.166666666666679</v>
      </c>
      <c r="D32" s="21">
        <f>AVERAGE(D4:D30)</f>
        <v>-6.333333333333333</v>
      </c>
      <c r="E32" s="21">
        <f>AVERAGE(E4:E30)</f>
        <v>2.0592592592592589</v>
      </c>
      <c r="F32" s="22">
        <f>AVERAGE(F4:F30)</f>
        <v>9.6481481481481488</v>
      </c>
    </row>
    <row r="33" spans="1:6" x14ac:dyDescent="0.25">
      <c r="A33" s="8" t="s">
        <v>35</v>
      </c>
      <c r="B33" s="23">
        <f>VAR(B4:B30)</f>
        <v>183.44583154131075</v>
      </c>
      <c r="C33" s="24">
        <f>VAR(C4:C30)</f>
        <v>1019.8830769230749</v>
      </c>
      <c r="D33" s="24">
        <f>VAR(D4:D30)</f>
        <v>35.196153846153869</v>
      </c>
      <c r="E33" s="24">
        <f>VAR(E4:E30)</f>
        <v>2.4971225071225089</v>
      </c>
      <c r="F33" s="25">
        <f>VAR(F4:F30)</f>
        <v>18.30874643874645</v>
      </c>
    </row>
    <row r="34" spans="1:6" x14ac:dyDescent="0.25">
      <c r="A34" s="8" t="s">
        <v>36</v>
      </c>
      <c r="B34" s="26">
        <f>STDEV(B4:B30)</f>
        <v>13.544217642274903</v>
      </c>
      <c r="C34" s="27">
        <f>STDEV(C4:C30)</f>
        <v>31.935608291107826</v>
      </c>
      <c r="D34" s="27">
        <f>STDEV(D4:D30)</f>
        <v>5.9326346462725876</v>
      </c>
      <c r="E34" s="27">
        <f>STDEV(E4:E30)</f>
        <v>1.5802286249535251</v>
      </c>
      <c r="F34" s="28">
        <f>STDEV(F4:F30)</f>
        <v>4.2788720989001821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3"/>
  <dimension ref="A1:V24"/>
  <sheetViews>
    <sheetView workbookViewId="0"/>
  </sheetViews>
  <sheetFormatPr defaultRowHeight="15" x14ac:dyDescent="0.25"/>
  <cols>
    <col min="3" max="3" width="3.5703125" customWidth="1"/>
    <col min="6" max="6" width="3.5703125" customWidth="1"/>
    <col min="9" max="9" width="2.28515625" customWidth="1"/>
    <col min="12" max="12" width="3.5703125" customWidth="1"/>
    <col min="13" max="13" width="9.140625" customWidth="1"/>
  </cols>
  <sheetData>
    <row r="1" spans="1:22" ht="14.45" x14ac:dyDescent="0.35">
      <c r="A1" s="42" t="s">
        <v>921</v>
      </c>
    </row>
    <row r="3" spans="1:22" ht="14.45" x14ac:dyDescent="0.35">
      <c r="A3" s="404" t="s">
        <v>390</v>
      </c>
      <c r="B3" s="404" t="s">
        <v>392</v>
      </c>
      <c r="D3" t="s">
        <v>292</v>
      </c>
      <c r="G3" t="s">
        <v>922</v>
      </c>
      <c r="M3" s="405" t="s">
        <v>923</v>
      </c>
      <c r="N3" s="405" t="s">
        <v>924</v>
      </c>
      <c r="O3" s="405"/>
      <c r="Q3" s="147"/>
      <c r="R3" s="306" t="s">
        <v>390</v>
      </c>
      <c r="S3" s="306" t="s">
        <v>392</v>
      </c>
    </row>
    <row r="4" spans="1:22" ht="14.45" x14ac:dyDescent="0.35">
      <c r="A4" s="406">
        <v>27.11</v>
      </c>
      <c r="B4" s="406">
        <v>13.8</v>
      </c>
      <c r="D4" s="407">
        <f t="array" ref="D4:E5">[1]!COV(A4:B13)</f>
        <v>3.0214766666666661</v>
      </c>
      <c r="E4" s="408">
        <v>2.0067522222222216</v>
      </c>
      <c r="G4" s="53">
        <f t="array" ref="G4:H5">[1]!eVALUES(D4:E5)</f>
        <v>4.6242909210575007</v>
      </c>
      <c r="H4" s="148">
        <v>0.50898685672026778</v>
      </c>
      <c r="J4" t="s">
        <v>204</v>
      </c>
      <c r="K4" s="146">
        <f>SQRT(G4)*SQRT(H8)</f>
        <v>3.2256246794038788</v>
      </c>
      <c r="M4" s="409">
        <f t="shared" ref="M4:N13" si="0">A4-D$8</f>
        <v>-0.9789999999999992</v>
      </c>
      <c r="N4" s="409">
        <f t="shared" si="0"/>
        <v>-0.85699999999999932</v>
      </c>
      <c r="O4" s="410" t="str">
        <f>IF((D$11*M4 + E$11*N4)*M4 + (D$12*M4 + E$12*N4)*N4&gt;=H$8,"outside","inside")</f>
        <v>inside</v>
      </c>
      <c r="Q4">
        <v>0</v>
      </c>
      <c r="R4">
        <f t="shared" ref="R4:R24" si="1">(J$11*K$4*COS(Q4)+K$11*K$5*SIN(Q4))+D$8</f>
        <v>30.609374187993016</v>
      </c>
      <c r="S4">
        <f t="shared" ref="S4:S24" si="2">(J$12*K$4*COS(Q4)+K$12*K$5*SIN(Q4))+E$8</f>
        <v>16.67004955847538</v>
      </c>
    </row>
    <row r="5" spans="1:22" ht="14.45" x14ac:dyDescent="0.35">
      <c r="A5" s="406">
        <v>26.77</v>
      </c>
      <c r="B5" s="406">
        <v>13.42</v>
      </c>
      <c r="D5" s="91">
        <v>2.0067522222222216</v>
      </c>
      <c r="E5" s="93">
        <v>2.1118011111111104</v>
      </c>
      <c r="G5">
        <v>-3.119119530560333E-14</v>
      </c>
      <c r="H5">
        <v>1.11576961445543E-15</v>
      </c>
      <c r="J5" t="s">
        <v>208</v>
      </c>
      <c r="K5" s="49">
        <f>SQRT(H4)*SQRT(H8)</f>
        <v>1.0701497220579008</v>
      </c>
      <c r="M5" s="409">
        <f t="shared" si="0"/>
        <v>-1.3189999999999991</v>
      </c>
      <c r="N5" s="409">
        <f t="shared" si="0"/>
        <v>-1.2370000000000001</v>
      </c>
      <c r="O5" s="410" t="str">
        <f>IF((D$11*M5 + E$11*N5)*M5 + (D$12*M5 + E$12*N5)*N5&gt;=H$8,"outside","inside")</f>
        <v>inside</v>
      </c>
      <c r="Q5">
        <f>PI()/10</f>
        <v>0.31415926535897931</v>
      </c>
      <c r="R5">
        <f t="shared" si="1"/>
        <v>30.279638327073844</v>
      </c>
      <c r="S5">
        <f t="shared" si="2"/>
        <v>16.829915325238847</v>
      </c>
    </row>
    <row r="6" spans="1:22" x14ac:dyDescent="0.25">
      <c r="A6" s="406">
        <v>27.35</v>
      </c>
      <c r="B6" s="406">
        <v>12.76</v>
      </c>
      <c r="J6" t="s">
        <v>925</v>
      </c>
      <c r="K6" s="52">
        <f>ATAN2(E4,G4-D4)</f>
        <v>0.67395422285575779</v>
      </c>
      <c r="M6" s="409">
        <f t="shared" si="0"/>
        <v>-0.73899999999999721</v>
      </c>
      <c r="N6" s="409">
        <f t="shared" si="0"/>
        <v>-1.8970000000000002</v>
      </c>
      <c r="O6" s="410" t="str">
        <f t="shared" ref="O6:O12" si="3">IF((D$11*M6 + E$11*N6)*M6 + (D$12*M6 + E$12*N6)*N6&gt;=H$8,"outside","inside")</f>
        <v>outside</v>
      </c>
      <c r="Q6">
        <f t="shared" ref="Q6:Q24" si="4">Q5+Q$5</f>
        <v>0.62831853071795862</v>
      </c>
      <c r="R6">
        <f t="shared" si="1"/>
        <v>29.735467523625974</v>
      </c>
      <c r="S6">
        <f t="shared" si="2"/>
        <v>16.777081000376636</v>
      </c>
    </row>
    <row r="7" spans="1:22" ht="14.45" x14ac:dyDescent="0.35">
      <c r="A7" s="406">
        <v>29.2</v>
      </c>
      <c r="B7" s="406">
        <v>14.88</v>
      </c>
      <c r="D7" t="s">
        <v>48</v>
      </c>
      <c r="G7" t="s">
        <v>52</v>
      </c>
      <c r="H7" s="146">
        <f>COUNT(A4:A13)</f>
        <v>10</v>
      </c>
      <c r="M7" s="409">
        <f t="shared" si="0"/>
        <v>1.1110000000000007</v>
      </c>
      <c r="N7" s="409">
        <f t="shared" si="0"/>
        <v>0.22300000000000075</v>
      </c>
      <c r="O7" s="410" t="str">
        <f t="shared" si="3"/>
        <v>inside</v>
      </c>
      <c r="Q7">
        <f t="shared" si="4"/>
        <v>0.94247779607693793</v>
      </c>
      <c r="R7">
        <f t="shared" si="1"/>
        <v>29.030129007351807</v>
      </c>
      <c r="S7">
        <f t="shared" si="2"/>
        <v>16.516718375724651</v>
      </c>
      <c r="U7" t="s">
        <v>52</v>
      </c>
      <c r="V7" s="146">
        <f>COUNT(A4:A13)</f>
        <v>10</v>
      </c>
    </row>
    <row r="8" spans="1:22" x14ac:dyDescent="0.25">
      <c r="A8" s="406">
        <v>27.44</v>
      </c>
      <c r="B8" s="406">
        <v>14.56</v>
      </c>
      <c r="D8" s="411">
        <f>AVERAGE(A4:A13)</f>
        <v>28.088999999999999</v>
      </c>
      <c r="E8" s="412">
        <f>AVERAGE(B4:B13)</f>
        <v>14.657</v>
      </c>
      <c r="G8" t="s">
        <v>870</v>
      </c>
      <c r="H8" s="49">
        <v>2.25</v>
      </c>
      <c r="J8" t="s">
        <v>926</v>
      </c>
      <c r="K8" s="413">
        <f>K6*180/PI()</f>
        <v>38.614732554654246</v>
      </c>
      <c r="M8" s="409">
        <f t="shared" si="0"/>
        <v>-0.64899999999999736</v>
      </c>
      <c r="N8" s="409">
        <f t="shared" si="0"/>
        <v>-9.6999999999999531E-2</v>
      </c>
      <c r="O8" s="410" t="str">
        <f t="shared" si="3"/>
        <v>inside</v>
      </c>
      <c r="Q8">
        <f>Q7+Q$5</f>
        <v>1.2566370614359172</v>
      </c>
      <c r="R8">
        <f t="shared" si="1"/>
        <v>28.232666226606678</v>
      </c>
      <c r="S8">
        <f t="shared" si="2"/>
        <v>16.074313559036895</v>
      </c>
      <c r="U8" t="s">
        <v>870</v>
      </c>
      <c r="V8" s="49">
        <f>CHIINV(1-V9,2)</f>
        <v>5.9914645471079799</v>
      </c>
    </row>
    <row r="9" spans="1:22" ht="14.45" x14ac:dyDescent="0.35">
      <c r="A9" s="406">
        <v>26.16</v>
      </c>
      <c r="B9" s="406">
        <v>14.35</v>
      </c>
      <c r="G9" t="s">
        <v>927</v>
      </c>
      <c r="H9" s="414">
        <f>1-CHIDIST(H8,2)</f>
        <v>0.67534753264165026</v>
      </c>
      <c r="M9" s="409">
        <f t="shared" si="0"/>
        <v>-1.9289999999999985</v>
      </c>
      <c r="N9" s="409">
        <f t="shared" si="0"/>
        <v>-0.30700000000000038</v>
      </c>
      <c r="O9" s="410" t="str">
        <f t="shared" si="3"/>
        <v>outside</v>
      </c>
      <c r="Q9">
        <f t="shared" si="4"/>
        <v>1.5707963267948966</v>
      </c>
      <c r="R9">
        <f t="shared" si="1"/>
        <v>27.42114039461983</v>
      </c>
      <c r="S9">
        <f t="shared" si="2"/>
        <v>15.493172216186384</v>
      </c>
      <c r="U9" t="s">
        <v>927</v>
      </c>
      <c r="V9" s="414">
        <v>0.95</v>
      </c>
    </row>
    <row r="10" spans="1:22" ht="14.45" x14ac:dyDescent="0.35">
      <c r="A10" s="406">
        <v>26.25</v>
      </c>
      <c r="B10" s="406">
        <v>13.86</v>
      </c>
      <c r="D10" t="s">
        <v>928</v>
      </c>
      <c r="J10" t="s">
        <v>493</v>
      </c>
      <c r="M10" s="409">
        <f t="shared" si="0"/>
        <v>-1.8389999999999986</v>
      </c>
      <c r="N10" s="409">
        <f t="shared" si="0"/>
        <v>-0.7970000000000006</v>
      </c>
      <c r="O10" s="410" t="str">
        <f t="shared" si="3"/>
        <v>inside</v>
      </c>
      <c r="Q10">
        <f t="shared" si="4"/>
        <v>1.8849555921538759</v>
      </c>
      <c r="R10">
        <f t="shared" si="1"/>
        <v>26.674989314059079</v>
      </c>
      <c r="S10">
        <f t="shared" si="2"/>
        <v>14.830180510861144</v>
      </c>
    </row>
    <row r="11" spans="1:22" ht="14.45" x14ac:dyDescent="0.35">
      <c r="A11" s="406">
        <v>31.21</v>
      </c>
      <c r="B11" s="406">
        <v>17.61</v>
      </c>
      <c r="D11" s="407">
        <f t="array" ref="D11:E12">MINVERSE(D4:E5)</f>
        <v>0.89722485866854607</v>
      </c>
      <c r="E11" s="408">
        <v>-0.85259353709630259</v>
      </c>
      <c r="G11" t="s">
        <v>929</v>
      </c>
      <c r="H11" s="146">
        <f>D4+E5</f>
        <v>5.1332777777777761</v>
      </c>
      <c r="J11" s="407">
        <f>COS(K6)</f>
        <v>0.78136002743468624</v>
      </c>
      <c r="K11" s="408">
        <f>-J12</f>
        <v>-0.62408052968127947</v>
      </c>
      <c r="M11" s="409">
        <f t="shared" si="0"/>
        <v>3.1210000000000022</v>
      </c>
      <c r="N11" s="409">
        <f t="shared" si="0"/>
        <v>2.9529999999999994</v>
      </c>
      <c r="O11" s="410" t="str">
        <f t="shared" si="3"/>
        <v>outside</v>
      </c>
      <c r="Q11">
        <f t="shared" si="4"/>
        <v>2.1991148575128552</v>
      </c>
      <c r="R11">
        <f t="shared" si="1"/>
        <v>26.067251451429986</v>
      </c>
      <c r="S11">
        <f t="shared" si="2"/>
        <v>14.150236690513244</v>
      </c>
      <c r="U11" t="s">
        <v>870</v>
      </c>
      <c r="V11" s="413">
        <f>_xlfn.CHISQ.INV(V9,2)</f>
        <v>5.9914645471079799</v>
      </c>
    </row>
    <row r="12" spans="1:22" ht="14.45" x14ac:dyDescent="0.35">
      <c r="A12" s="406">
        <v>29.34</v>
      </c>
      <c r="B12" s="406">
        <v>16.559999999999999</v>
      </c>
      <c r="D12" s="91">
        <v>-0.85259353709630259</v>
      </c>
      <c r="E12" s="93">
        <v>1.2837117856207414</v>
      </c>
      <c r="G12" t="s">
        <v>109</v>
      </c>
      <c r="H12" s="49">
        <f>D4*E5-E4^2</f>
        <v>2.3537033004691343</v>
      </c>
      <c r="J12" s="91">
        <f>SIN(K6)</f>
        <v>0.62408052968127947</v>
      </c>
      <c r="K12" s="93">
        <f>J11</f>
        <v>0.78136002743468624</v>
      </c>
      <c r="M12" s="409">
        <f t="shared" si="0"/>
        <v>1.2510000000000012</v>
      </c>
      <c r="N12" s="409">
        <f t="shared" si="0"/>
        <v>1.9029999999999987</v>
      </c>
      <c r="O12" s="410" t="str">
        <f t="shared" si="3"/>
        <v>inside</v>
      </c>
      <c r="Q12">
        <f t="shared" si="4"/>
        <v>2.5132741228718345</v>
      </c>
      <c r="R12">
        <f t="shared" si="1"/>
        <v>25.657416423085358</v>
      </c>
      <c r="S12">
        <f t="shared" si="2"/>
        <v>13.519898393725503</v>
      </c>
    </row>
    <row r="13" spans="1:22" ht="14.45" x14ac:dyDescent="0.35">
      <c r="A13" s="415">
        <v>30.06</v>
      </c>
      <c r="B13" s="415">
        <v>14.77</v>
      </c>
      <c r="D13" s="416"/>
      <c r="G13" t="s">
        <v>930</v>
      </c>
      <c r="H13" s="49">
        <f>(H11+SQRT(H11^2-4*H12))/2</f>
        <v>4.6242909210575078</v>
      </c>
      <c r="M13" s="417">
        <f t="shared" si="0"/>
        <v>1.9710000000000001</v>
      </c>
      <c r="N13" s="417">
        <f t="shared" si="0"/>
        <v>0.11299999999999955</v>
      </c>
      <c r="O13" s="418" t="str">
        <f>IF((D$11*M13 + E$11*N13)*M13 + (D$12*M13 + E$12*N13)*N13&gt;=H$8,"outside","inside")</f>
        <v>outside</v>
      </c>
      <c r="Q13">
        <f t="shared" si="4"/>
        <v>2.8274333882308138</v>
      </c>
      <c r="R13">
        <f t="shared" si="1"/>
        <v>25.485601737088118</v>
      </c>
      <c r="S13">
        <f t="shared" si="2"/>
        <v>13.000867524812664</v>
      </c>
    </row>
    <row r="14" spans="1:22" ht="14.45" x14ac:dyDescent="0.35">
      <c r="G14" t="s">
        <v>931</v>
      </c>
      <c r="H14" s="52">
        <f>H11-H13</f>
        <v>0.50898685672026822</v>
      </c>
      <c r="Q14">
        <f t="shared" si="4"/>
        <v>3.1415926535897931</v>
      </c>
      <c r="R14">
        <f t="shared" si="1"/>
        <v>25.568625812006982</v>
      </c>
      <c r="S14">
        <f t="shared" si="2"/>
        <v>12.64395044152462</v>
      </c>
    </row>
    <row r="15" spans="1:22" ht="14.45" x14ac:dyDescent="0.35">
      <c r="Q15">
        <f t="shared" si="4"/>
        <v>3.4557519189487724</v>
      </c>
      <c r="R15">
        <f t="shared" si="1"/>
        <v>25.898361672926153</v>
      </c>
      <c r="S15">
        <f t="shared" si="2"/>
        <v>12.484084674761153</v>
      </c>
    </row>
    <row r="16" spans="1:22" ht="14.45" x14ac:dyDescent="0.35">
      <c r="Q16">
        <f t="shared" si="4"/>
        <v>3.7699111843077517</v>
      </c>
      <c r="R16">
        <f t="shared" si="1"/>
        <v>26.442532476374023</v>
      </c>
      <c r="S16">
        <f t="shared" si="2"/>
        <v>12.536918999623364</v>
      </c>
    </row>
    <row r="17" spans="17:19" ht="14.45" x14ac:dyDescent="0.35">
      <c r="Q17">
        <f t="shared" si="4"/>
        <v>4.0840704496667311</v>
      </c>
      <c r="R17">
        <f t="shared" si="1"/>
        <v>27.14787099264819</v>
      </c>
      <c r="S17">
        <f t="shared" si="2"/>
        <v>12.79728162427535</v>
      </c>
    </row>
    <row r="18" spans="17:19" ht="14.45" x14ac:dyDescent="0.35">
      <c r="Q18">
        <f t="shared" si="4"/>
        <v>4.3982297150257104</v>
      </c>
      <c r="R18">
        <f t="shared" si="1"/>
        <v>27.945333773393315</v>
      </c>
      <c r="S18">
        <f t="shared" si="2"/>
        <v>13.239686440963103</v>
      </c>
    </row>
    <row r="19" spans="17:19" ht="14.45" x14ac:dyDescent="0.35">
      <c r="Q19">
        <f t="shared" si="4"/>
        <v>4.7123889803846897</v>
      </c>
      <c r="R19">
        <f t="shared" si="1"/>
        <v>28.756859605380168</v>
      </c>
      <c r="S19">
        <f t="shared" si="2"/>
        <v>13.820827783813616</v>
      </c>
    </row>
    <row r="20" spans="17:19" ht="14.45" x14ac:dyDescent="0.35">
      <c r="Q20">
        <f t="shared" si="4"/>
        <v>5.026548245743669</v>
      </c>
      <c r="R20">
        <f t="shared" si="1"/>
        <v>29.503010685940918</v>
      </c>
      <c r="S20">
        <f t="shared" si="2"/>
        <v>14.483819489138856</v>
      </c>
    </row>
    <row r="21" spans="17:19" ht="14.45" x14ac:dyDescent="0.35">
      <c r="Q21">
        <f t="shared" si="4"/>
        <v>5.3407075111026483</v>
      </c>
      <c r="R21">
        <f t="shared" si="1"/>
        <v>30.110748548570012</v>
      </c>
      <c r="S21">
        <f t="shared" si="2"/>
        <v>15.163763309486756</v>
      </c>
    </row>
    <row r="22" spans="17:19" ht="14.45" x14ac:dyDescent="0.35">
      <c r="Q22">
        <f t="shared" si="4"/>
        <v>5.6548667764616276</v>
      </c>
      <c r="R22">
        <f t="shared" si="1"/>
        <v>30.520583576914639</v>
      </c>
      <c r="S22">
        <f t="shared" si="2"/>
        <v>15.794101606274497</v>
      </c>
    </row>
    <row r="23" spans="17:19" ht="14.45" x14ac:dyDescent="0.35">
      <c r="Q23">
        <f t="shared" si="4"/>
        <v>5.9690260418206069</v>
      </c>
      <c r="R23">
        <f t="shared" si="1"/>
        <v>30.69239826291188</v>
      </c>
      <c r="S23">
        <f t="shared" si="2"/>
        <v>16.313132475187338</v>
      </c>
    </row>
    <row r="24" spans="17:19" ht="14.45" x14ac:dyDescent="0.35">
      <c r="Q24" s="92">
        <f t="shared" si="4"/>
        <v>6.2831853071795862</v>
      </c>
      <c r="R24" s="92">
        <f t="shared" si="1"/>
        <v>30.609374187993016</v>
      </c>
      <c r="S24" s="92">
        <f t="shared" si="2"/>
        <v>16.67004955847538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4"/>
  <dimension ref="A1:F39"/>
  <sheetViews>
    <sheetView workbookViewId="0"/>
  </sheetViews>
  <sheetFormatPr defaultRowHeight="15" x14ac:dyDescent="0.25"/>
  <cols>
    <col min="3" max="3" width="3.7109375" customWidth="1"/>
  </cols>
  <sheetData>
    <row r="1" spans="1:5" ht="14.45" x14ac:dyDescent="0.35">
      <c r="A1" s="42" t="s">
        <v>921</v>
      </c>
    </row>
    <row r="3" spans="1:5" ht="14.45" x14ac:dyDescent="0.35">
      <c r="A3" s="404" t="s">
        <v>390</v>
      </c>
      <c r="B3" s="404" t="s">
        <v>392</v>
      </c>
      <c r="D3" t="s">
        <v>921</v>
      </c>
    </row>
    <row r="4" spans="1:5" ht="14.45" x14ac:dyDescent="0.35">
      <c r="A4" s="406">
        <v>27.11</v>
      </c>
      <c r="B4" s="406">
        <v>13.8</v>
      </c>
    </row>
    <row r="5" spans="1:5" ht="14.45" x14ac:dyDescent="0.35">
      <c r="A5" s="406">
        <v>26.77</v>
      </c>
      <c r="B5" s="406">
        <v>13.42</v>
      </c>
      <c r="D5" t="s">
        <v>220</v>
      </c>
      <c r="E5" s="137">
        <v>0.05</v>
      </c>
    </row>
    <row r="6" spans="1:5" ht="14.45" x14ac:dyDescent="0.35">
      <c r="A6" s="406">
        <v>27.35</v>
      </c>
      <c r="B6" s="406">
        <v>12.76</v>
      </c>
    </row>
    <row r="7" spans="1:5" ht="14.45" x14ac:dyDescent="0.35">
      <c r="A7" s="406">
        <v>29.2</v>
      </c>
      <c r="B7" s="406">
        <v>14.88</v>
      </c>
      <c r="D7" t="str">
        <f t="array" ref="D7:E11">[1]!CONF_BNORM(A4:A13,B4:B13,TRUE,E5)</f>
        <v>a-axis</v>
      </c>
      <c r="E7" s="132">
        <v>5.2636750573177844</v>
      </c>
    </row>
    <row r="8" spans="1:5" ht="14.45" x14ac:dyDescent="0.35">
      <c r="A8" s="406">
        <v>27.44</v>
      </c>
      <c r="B8" s="406">
        <v>14.56</v>
      </c>
      <c r="D8" t="str">
        <v>b-axis</v>
      </c>
      <c r="E8" s="98">
        <v>1.7463037270141231</v>
      </c>
    </row>
    <row r="9" spans="1:5" ht="14.45" x14ac:dyDescent="0.35">
      <c r="A9" s="406">
        <v>26.16</v>
      </c>
      <c r="B9" s="406">
        <v>14.35</v>
      </c>
      <c r="D9" t="str">
        <v>theta</v>
      </c>
      <c r="E9" s="98">
        <v>0.67395422285576012</v>
      </c>
    </row>
    <row r="10" spans="1:5" ht="14.45" x14ac:dyDescent="0.35">
      <c r="A10" s="406">
        <v>26.25</v>
      </c>
      <c r="B10" s="406">
        <v>13.86</v>
      </c>
      <c r="D10" t="str">
        <v>degrees</v>
      </c>
      <c r="E10" s="98">
        <v>38.614732554654374</v>
      </c>
    </row>
    <row r="11" spans="1:5" ht="14.45" x14ac:dyDescent="0.35">
      <c r="A11" s="406">
        <v>31.21</v>
      </c>
      <c r="B11" s="406">
        <v>17.61</v>
      </c>
      <c r="D11" t="str">
        <v>% inside</v>
      </c>
      <c r="E11" s="419">
        <v>1</v>
      </c>
    </row>
    <row r="12" spans="1:5" ht="14.45" x14ac:dyDescent="0.35">
      <c r="A12" s="406">
        <v>29.34</v>
      </c>
      <c r="B12" s="406">
        <v>16.559999999999999</v>
      </c>
    </row>
    <row r="13" spans="1:5" ht="14.45" x14ac:dyDescent="0.35">
      <c r="A13" s="420">
        <v>30.06</v>
      </c>
      <c r="B13" s="420">
        <v>14.77</v>
      </c>
      <c r="D13" t="s">
        <v>932</v>
      </c>
      <c r="E13" s="421">
        <f>AVERAGE(A4:A13)</f>
        <v>28.088999999999999</v>
      </c>
    </row>
    <row r="14" spans="1:5" ht="14.45" x14ac:dyDescent="0.35">
      <c r="D14" t="s">
        <v>933</v>
      </c>
      <c r="E14" s="422">
        <f>AVERAGE(B4:B13)</f>
        <v>14.657</v>
      </c>
    </row>
    <row r="16" spans="1:5" ht="14.45" x14ac:dyDescent="0.35">
      <c r="D16" t="s">
        <v>934</v>
      </c>
    </row>
    <row r="18" spans="4:6" ht="14.45" x14ac:dyDescent="0.35">
      <c r="D18" s="423" t="s">
        <v>467</v>
      </c>
      <c r="E18" s="423" t="s">
        <v>773</v>
      </c>
      <c r="F18" s="423" t="s">
        <v>774</v>
      </c>
    </row>
    <row r="19" spans="4:6" ht="14.45" x14ac:dyDescent="0.35">
      <c r="D19">
        <v>0</v>
      </c>
      <c r="E19">
        <f>COS($E$9)*$E$7*COS($D19)-SIN($E$9)*$E$8*SIN($D19)+$E$13</f>
        <v>32.201825287193088</v>
      </c>
      <c r="F19">
        <f>COS($E$9)*$E$8*SIN($D19)+SIN($E$9)*$E$7*COS($D19)+$E$14</f>
        <v>17.941957117841032</v>
      </c>
    </row>
    <row r="20" spans="4:6" ht="14.45" x14ac:dyDescent="0.35">
      <c r="D20">
        <f>D19+PI()/10</f>
        <v>0.31415926535897931</v>
      </c>
      <c r="E20">
        <f t="shared" ref="E20:E39" si="0">COS($E$9)*$E$7*COS($D20)-SIN($E$9)*$E$8*SIN($D20)+$E$13</f>
        <v>31.663752014841947</v>
      </c>
      <c r="F20">
        <f t="shared" ref="F20:F39" si="1">COS($E$9)*$E$8*SIN($D20)+SIN($E$9)*$E$7*COS($D20)+$E$14</f>
        <v>18.202831067127452</v>
      </c>
    </row>
    <row r="21" spans="4:6" ht="14.45" x14ac:dyDescent="0.35">
      <c r="D21">
        <f t="shared" ref="D21:D39" si="2">D20+PI()/10</f>
        <v>0.62831853071795862</v>
      </c>
      <c r="E21">
        <f t="shared" si="0"/>
        <v>30.775757108516242</v>
      </c>
      <c r="F21">
        <f t="shared" si="1"/>
        <v>18.116614366305694</v>
      </c>
    </row>
    <row r="22" spans="4:6" ht="14.45" x14ac:dyDescent="0.35">
      <c r="D22">
        <f t="shared" si="2"/>
        <v>0.94247779607693793</v>
      </c>
      <c r="E22">
        <f t="shared" si="0"/>
        <v>29.624763696671444</v>
      </c>
      <c r="F22">
        <f t="shared" si="1"/>
        <v>17.691746506759262</v>
      </c>
    </row>
    <row r="23" spans="4:6" ht="14.45" x14ac:dyDescent="0.35">
      <c r="D23">
        <f t="shared" si="2"/>
        <v>1.2566370614359172</v>
      </c>
      <c r="E23">
        <f t="shared" si="0"/>
        <v>28.323439033901579</v>
      </c>
      <c r="F23">
        <f t="shared" si="1"/>
        <v>16.969816514809011</v>
      </c>
    </row>
    <row r="24" spans="4:6" ht="14.45" x14ac:dyDescent="0.35">
      <c r="D24">
        <f t="shared" si="2"/>
        <v>1.5707963267948966</v>
      </c>
      <c r="E24">
        <f t="shared" si="0"/>
        <v>26.999165845060631</v>
      </c>
      <c r="F24">
        <f t="shared" si="1"/>
        <v>16.021491928049048</v>
      </c>
    </row>
    <row r="25" spans="4:6" ht="14.45" x14ac:dyDescent="0.35">
      <c r="D25">
        <f t="shared" si="2"/>
        <v>1.8849555921538759</v>
      </c>
      <c r="E25">
        <f t="shared" si="0"/>
        <v>25.781573216626199</v>
      </c>
      <c r="F25">
        <f t="shared" si="1"/>
        <v>14.93960136439736</v>
      </c>
    </row>
    <row r="26" spans="4:6" ht="14.45" x14ac:dyDescent="0.35">
      <c r="D26">
        <f t="shared" si="2"/>
        <v>2.1991148575128552</v>
      </c>
      <c r="E26">
        <f t="shared" si="0"/>
        <v>24.789847598536134</v>
      </c>
      <c r="F26">
        <f t="shared" si="1"/>
        <v>13.830047810198971</v>
      </c>
    </row>
    <row r="27" spans="4:6" ht="14.45" x14ac:dyDescent="0.35">
      <c r="D27">
        <f t="shared" si="2"/>
        <v>2.5132741228718345</v>
      </c>
      <c r="E27">
        <f t="shared" si="0"/>
        <v>24.121066004047773</v>
      </c>
      <c r="F27">
        <f t="shared" si="1"/>
        <v>12.801442098053013</v>
      </c>
    </row>
    <row r="28" spans="4:6" ht="14.45" x14ac:dyDescent="0.35">
      <c r="D28">
        <f t="shared" si="2"/>
        <v>2.8274333882308138</v>
      </c>
      <c r="E28">
        <f t="shared" si="0"/>
        <v>23.840693435304999</v>
      </c>
      <c r="F28">
        <f t="shared" si="1"/>
        <v>11.954471321781735</v>
      </c>
    </row>
    <row r="29" spans="4:6" ht="14.45" x14ac:dyDescent="0.35">
      <c r="D29">
        <f t="shared" si="2"/>
        <v>3.1415926535897931</v>
      </c>
      <c r="E29">
        <f t="shared" si="0"/>
        <v>23.976174712806909</v>
      </c>
      <c r="F29">
        <f t="shared" si="1"/>
        <v>11.372042882158969</v>
      </c>
    </row>
    <row r="30" spans="4:6" ht="14.45" x14ac:dyDescent="0.35">
      <c r="D30">
        <f t="shared" si="2"/>
        <v>3.4557519189487724</v>
      </c>
      <c r="E30">
        <f t="shared" si="0"/>
        <v>24.51424798515805</v>
      </c>
      <c r="F30">
        <f t="shared" si="1"/>
        <v>11.111168932872546</v>
      </c>
    </row>
    <row r="31" spans="4:6" ht="14.45" x14ac:dyDescent="0.35">
      <c r="D31">
        <f t="shared" si="2"/>
        <v>3.7699111843077517</v>
      </c>
      <c r="E31">
        <f t="shared" si="0"/>
        <v>25.402242891483755</v>
      </c>
      <c r="F31">
        <f t="shared" si="1"/>
        <v>11.197385633694307</v>
      </c>
    </row>
    <row r="32" spans="4:6" x14ac:dyDescent="0.25">
      <c r="D32">
        <f t="shared" si="2"/>
        <v>4.0840704496667311</v>
      </c>
      <c r="E32">
        <f t="shared" si="0"/>
        <v>26.553236303328553</v>
      </c>
      <c r="F32">
        <f t="shared" si="1"/>
        <v>11.622253493240736</v>
      </c>
    </row>
    <row r="33" spans="4:6" x14ac:dyDescent="0.25">
      <c r="D33">
        <f t="shared" si="2"/>
        <v>4.3982297150257104</v>
      </c>
      <c r="E33">
        <f t="shared" si="0"/>
        <v>27.854560966098418</v>
      </c>
      <c r="F33">
        <f t="shared" si="1"/>
        <v>12.344183485190989</v>
      </c>
    </row>
    <row r="34" spans="4:6" x14ac:dyDescent="0.25">
      <c r="D34">
        <f t="shared" si="2"/>
        <v>4.7123889803846897</v>
      </c>
      <c r="E34">
        <f t="shared" si="0"/>
        <v>29.178834154939366</v>
      </c>
      <c r="F34">
        <f t="shared" si="1"/>
        <v>13.292508071950952</v>
      </c>
    </row>
    <row r="35" spans="4:6" x14ac:dyDescent="0.25">
      <c r="D35">
        <f t="shared" si="2"/>
        <v>5.026548245743669</v>
      </c>
      <c r="E35">
        <f t="shared" si="0"/>
        <v>30.396426783373798</v>
      </c>
      <c r="F35">
        <f t="shared" si="1"/>
        <v>14.37439863560264</v>
      </c>
    </row>
    <row r="36" spans="4:6" x14ac:dyDescent="0.25">
      <c r="D36">
        <f t="shared" si="2"/>
        <v>5.3407075111026483</v>
      </c>
      <c r="E36">
        <f t="shared" si="0"/>
        <v>31.388152401463859</v>
      </c>
      <c r="F36">
        <f t="shared" si="1"/>
        <v>15.483952189801029</v>
      </c>
    </row>
    <row r="37" spans="4:6" x14ac:dyDescent="0.25">
      <c r="D37">
        <f t="shared" si="2"/>
        <v>5.6548667764616276</v>
      </c>
      <c r="E37">
        <f t="shared" si="0"/>
        <v>32.056933995952221</v>
      </c>
      <c r="F37">
        <f t="shared" si="1"/>
        <v>16.512557901946987</v>
      </c>
    </row>
    <row r="38" spans="4:6" x14ac:dyDescent="0.25">
      <c r="D38">
        <f t="shared" si="2"/>
        <v>5.9690260418206069</v>
      </c>
      <c r="E38">
        <f t="shared" si="0"/>
        <v>32.337306564694998</v>
      </c>
      <c r="F38">
        <f t="shared" si="1"/>
        <v>17.359528678218265</v>
      </c>
    </row>
    <row r="39" spans="4:6" x14ac:dyDescent="0.25">
      <c r="D39" s="40">
        <f t="shared" si="2"/>
        <v>6.2831853071795862</v>
      </c>
      <c r="E39" s="40">
        <f t="shared" si="0"/>
        <v>32.201825287193088</v>
      </c>
      <c r="F39" s="40">
        <f t="shared" si="1"/>
        <v>17.941957117841032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4"/>
  <dimension ref="A1:Z22"/>
  <sheetViews>
    <sheetView tabSelected="1" zoomScaleNormal="100" workbookViewId="0">
      <selection activeCell="Q8" sqref="Q8"/>
    </sheetView>
  </sheetViews>
  <sheetFormatPr defaultRowHeight="15" x14ac:dyDescent="0.25"/>
  <cols>
    <col min="3" max="3" width="6.42578125" customWidth="1"/>
    <col min="6" max="6" width="4" customWidth="1"/>
    <col min="7" max="7" width="21.7109375" customWidth="1"/>
    <col min="14" max="14" width="3.140625" customWidth="1"/>
    <col min="15" max="15" width="21" customWidth="1"/>
    <col min="16" max="16" width="9.140625" customWidth="1"/>
    <col min="20" max="20" width="3.28515625" customWidth="1"/>
    <col min="21" max="21" width="49.42578125" customWidth="1"/>
  </cols>
  <sheetData>
    <row r="1" spans="1:26" x14ac:dyDescent="0.35">
      <c r="A1" s="42" t="s">
        <v>767</v>
      </c>
    </row>
    <row r="2" spans="1:26" x14ac:dyDescent="0.35">
      <c r="Q2" t="s">
        <v>781</v>
      </c>
    </row>
    <row r="3" spans="1:26" x14ac:dyDescent="0.35">
      <c r="A3" s="306" t="s">
        <v>390</v>
      </c>
      <c r="B3" s="306" t="s">
        <v>392</v>
      </c>
      <c r="D3" t="s">
        <v>227</v>
      </c>
      <c r="I3" t="s">
        <v>778</v>
      </c>
    </row>
    <row r="4" spans="1:26" x14ac:dyDescent="0.35">
      <c r="A4" s="32">
        <v>36</v>
      </c>
      <c r="B4" s="32">
        <v>33</v>
      </c>
      <c r="Q4" s="306" t="s">
        <v>390</v>
      </c>
      <c r="R4" s="306" t="s">
        <v>392</v>
      </c>
      <c r="S4" s="306" t="s">
        <v>782</v>
      </c>
    </row>
    <row r="5" spans="1:26" x14ac:dyDescent="0.35">
      <c r="A5" s="32">
        <v>30</v>
      </c>
      <c r="B5" s="32">
        <v>27</v>
      </c>
      <c r="D5" s="138">
        <f t="array" ref="D5:E6">[1]!COV(A4:B22)</f>
        <v>72.274853801169584</v>
      </c>
      <c r="E5" s="140">
        <v>54.333333333333329</v>
      </c>
      <c r="F5" s="37"/>
      <c r="G5" s="37" t="str">
        <f>[1]!FTEXT(E5)</f>
        <v>=COV(A4:B22)</v>
      </c>
      <c r="I5" s="138">
        <f t="array" ref="I5:J6">[1]!CHOL(D5:E6)</f>
        <v>8.5014618625957254</v>
      </c>
      <c r="J5" s="140">
        <v>0</v>
      </c>
      <c r="O5" t="str" cm="1">
        <f t="array" ref="O5">[1]!FTEXT(I5)</f>
        <v>=CHOL(D5:E6)</v>
      </c>
      <c r="Q5" s="306">
        <v>30</v>
      </c>
      <c r="R5" s="306">
        <v>15</v>
      </c>
      <c r="S5" s="147">
        <f>SQRT([1]!MDistSq(A4:B22,Q5:R5))</f>
        <v>3.3146213438326457</v>
      </c>
      <c r="U5" t="str">
        <f>[1]!FTEXT(S5)</f>
        <v>=SQRT(MDistSq(A4:B22,Q5:R5))</v>
      </c>
    </row>
    <row r="6" spans="1:26" x14ac:dyDescent="0.35">
      <c r="A6" s="32">
        <v>28</v>
      </c>
      <c r="B6" s="32">
        <v>29</v>
      </c>
      <c r="D6" s="39">
        <v>54.333333333333329</v>
      </c>
      <c r="E6" s="41">
        <v>54.333333333333329</v>
      </c>
      <c r="F6" s="37"/>
      <c r="G6" s="37"/>
      <c r="I6" s="39">
        <v>6.391057704132769</v>
      </c>
      <c r="J6" s="41">
        <v>3.6725624236734919</v>
      </c>
      <c r="Q6" s="32"/>
      <c r="R6" s="32"/>
      <c r="U6" t="str">
        <f>[1]!FTEXT(S6)</f>
        <v/>
      </c>
    </row>
    <row r="7" spans="1:26" x14ac:dyDescent="0.35">
      <c r="A7" s="32">
        <v>21</v>
      </c>
      <c r="B7" s="32">
        <v>15</v>
      </c>
      <c r="G7" s="37"/>
      <c r="Q7" s="307">
        <v>30</v>
      </c>
      <c r="R7" s="307">
        <v>15</v>
      </c>
      <c r="S7" s="268">
        <f>SQRT([1]!MDistSq(A4:B22,Q7:R7,Q8:R8))</f>
        <v>3.6056713458850407</v>
      </c>
      <c r="U7" t="str">
        <f>[1]!FTEXT(S7)</f>
        <v>=SQRT(MDistSq(A4:B22,Q7:R7,Q8:R8))</v>
      </c>
    </row>
    <row r="8" spans="1:26" x14ac:dyDescent="0.35">
      <c r="A8" s="32">
        <v>16</v>
      </c>
      <c r="B8" s="32">
        <v>16</v>
      </c>
      <c r="D8" t="s">
        <v>780</v>
      </c>
      <c r="I8" s="32" t="s">
        <v>998</v>
      </c>
      <c r="Q8" s="74">
        <v>20</v>
      </c>
      <c r="R8" s="74">
        <v>20</v>
      </c>
      <c r="S8" s="40"/>
      <c r="U8" t="str">
        <f>[1]!FTEXT(S8)</f>
        <v/>
      </c>
    </row>
    <row r="9" spans="1:26" x14ac:dyDescent="0.35">
      <c r="A9" s="32">
        <v>15</v>
      </c>
      <c r="B9" s="32">
        <v>18</v>
      </c>
    </row>
    <row r="10" spans="1:26" x14ac:dyDescent="0.35">
      <c r="A10" s="32">
        <v>20</v>
      </c>
      <c r="B10" s="32">
        <v>20</v>
      </c>
      <c r="D10" t="s">
        <v>776</v>
      </c>
      <c r="E10" s="146">
        <f>AVERAGE(A4:A23)</f>
        <v>25.94736842105263</v>
      </c>
      <c r="F10" s="37"/>
      <c r="G10" s="37" t="str">
        <f>[1]!FTEXT(E10)</f>
        <v>=AVERAGE(A4:A23)</v>
      </c>
      <c r="I10" s="138">
        <f ca="1">NORMSINV(RAND())</f>
        <v>-0.2886374269786523</v>
      </c>
      <c r="J10" s="139">
        <f t="shared" ref="J10:M11" ca="1" si="0">NORMSINV(RAND())</f>
        <v>-0.14169027123649153</v>
      </c>
      <c r="K10" s="139">
        <f t="shared" ca="1" si="0"/>
        <v>0.63937385244653089</v>
      </c>
      <c r="L10" s="139">
        <f t="shared" ca="1" si="0"/>
        <v>1.1967144726870897</v>
      </c>
      <c r="M10" s="140">
        <f t="shared" ca="1" si="0"/>
        <v>-0.97381839533832604</v>
      </c>
      <c r="O10" t="str">
        <f>[1]!FTEXT(I10)</f>
        <v>=NORMSINV(RAND())</v>
      </c>
      <c r="Z10" t="e">
        <f t="array" ref="Z10:Z14">[1]!CONF_MNORM(B4:F30)</f>
        <v>#VALUE!</v>
      </c>
    </row>
    <row r="11" spans="1:26" x14ac:dyDescent="0.35">
      <c r="A11" s="32">
        <v>21</v>
      </c>
      <c r="B11" s="32">
        <v>22</v>
      </c>
      <c r="D11" t="s">
        <v>777</v>
      </c>
      <c r="E11" s="173">
        <f>AVERAGE(B4:B22)</f>
        <v>24</v>
      </c>
      <c r="F11" s="37"/>
      <c r="G11" s="37" t="str">
        <f>[1]!FTEXT(E11)</f>
        <v>=AVERAGE(B4:B22)</v>
      </c>
      <c r="I11" s="39">
        <f ca="1">NORMSINV(RAND())</f>
        <v>8.8360401581445341E-2</v>
      </c>
      <c r="J11" s="92">
        <f t="shared" ca="1" si="0"/>
        <v>1.0601469041233664</v>
      </c>
      <c r="K11" s="92">
        <f t="shared" ca="1" si="0"/>
        <v>0.32812979554052546</v>
      </c>
      <c r="L11" s="92">
        <f t="shared" ca="1" si="0"/>
        <v>0.51948454021233115</v>
      </c>
      <c r="M11" s="41">
        <f t="shared" ca="1" si="0"/>
        <v>0.23293447748710328</v>
      </c>
      <c r="O11" t="str">
        <f>[1]!FTEXT(I11)</f>
        <v>=NORMSINV(RAND())</v>
      </c>
      <c r="Q11" s="306">
        <v>30</v>
      </c>
      <c r="R11" s="306">
        <v>15</v>
      </c>
      <c r="S11" s="147">
        <f>SQRT([1]!MDistSq(D5:E6,Q11:R11,[1]!MEANCOL(A4:B22),FALSE))</f>
        <v>3.3146213438326457</v>
      </c>
      <c r="U11" t="str">
        <f>[1]!FTEXT(S11)</f>
        <v>=SQRT(MDistSq(D5:E6,Q11:R11,MEANCOL(A4:B22),FALSE))</v>
      </c>
      <c r="Z11" t="e">
        <v>#VALUE!</v>
      </c>
    </row>
    <row r="12" spans="1:26" x14ac:dyDescent="0.35">
      <c r="A12" s="32">
        <v>19</v>
      </c>
      <c r="B12" s="32">
        <v>20</v>
      </c>
      <c r="D12" t="s">
        <v>770</v>
      </c>
      <c r="E12" s="173">
        <f>SQRT(D5)</f>
        <v>8.5014618625957254</v>
      </c>
      <c r="F12" s="37"/>
      <c r="G12" s="37" t="str">
        <f>[1]!FTEXT(E12)</f>
        <v>=SQRT(D5)</v>
      </c>
      <c r="Z12" t="e">
        <v>#VALUE!</v>
      </c>
    </row>
    <row r="13" spans="1:26" x14ac:dyDescent="0.35">
      <c r="A13" s="32">
        <v>17</v>
      </c>
      <c r="B13" s="32">
        <v>15</v>
      </c>
      <c r="D13" t="s">
        <v>771</v>
      </c>
      <c r="E13" s="173">
        <f>SQRT(E6)</f>
        <v>7.3711147958319936</v>
      </c>
      <c r="F13" s="37"/>
      <c r="G13" s="37" t="str">
        <f>[1]!FTEXT(E13)</f>
        <v>=SQRT(E6)</v>
      </c>
      <c r="I13" s="32" t="s">
        <v>779</v>
      </c>
      <c r="Q13" s="307">
        <v>30</v>
      </c>
      <c r="R13" s="307">
        <v>15</v>
      </c>
      <c r="S13" s="268">
        <f>SQRT([1]!MDistSq(D5:E6,Q13:R13,Q14:R14,FALSE))</f>
        <v>3.6056713458850407</v>
      </c>
      <c r="U13" t="str">
        <f>[1]!FTEXT(S13)</f>
        <v>=SQRT(MDistSq(D5:E6,Q13:R13,Q14:R14,FALSE))</v>
      </c>
      <c r="Z13" t="e">
        <v>#VALUE!</v>
      </c>
    </row>
    <row r="14" spans="1:26" x14ac:dyDescent="0.35">
      <c r="A14" s="32">
        <v>16</v>
      </c>
      <c r="B14" s="32">
        <v>15</v>
      </c>
      <c r="D14" t="s">
        <v>772</v>
      </c>
      <c r="E14" s="173">
        <f>D6/(E12*E13)</f>
        <v>0.86704085896838845</v>
      </c>
      <c r="F14" s="37"/>
      <c r="G14" s="37" t="str">
        <f>[1]!FTEXT(E14)</f>
        <v>=D6/(E12*E13)</v>
      </c>
      <c r="Q14" s="74">
        <v>20</v>
      </c>
      <c r="R14" s="74">
        <v>20</v>
      </c>
      <c r="S14" s="40"/>
      <c r="U14" t="str">
        <f>[1]!FTEXT(S14)</f>
        <v/>
      </c>
      <c r="Z14" t="e">
        <v>#VALUE!</v>
      </c>
    </row>
    <row r="15" spans="1:26" x14ac:dyDescent="0.35">
      <c r="A15" s="32">
        <v>32</v>
      </c>
      <c r="B15" s="32">
        <v>23</v>
      </c>
      <c r="D15" t="s">
        <v>773</v>
      </c>
      <c r="E15" s="173">
        <v>30</v>
      </c>
      <c r="F15" s="37"/>
      <c r="G15" s="37"/>
      <c r="I15" s="138">
        <f t="array" aca="1" ref="I15:I16" ca="1">MMULT($I$5:$J$6,I10:I11)+$E$10:$E$11</f>
        <v>23.493528343475859</v>
      </c>
      <c r="J15" s="139">
        <f t="array" aca="1" ref="J15:J16" ca="1">MMULT($I$5:$J$6,J10:J11)+$E$10:$E$11</f>
        <v>24.742793983834755</v>
      </c>
      <c r="K15" s="139">
        <f t="array" aca="1" ref="K15:K16" ca="1">MMULT($I$5:$J$6,K10:K11)+$E$10:$E$11</f>
        <v>31.382980843567719</v>
      </c>
      <c r="L15" s="139">
        <f t="array" aca="1" ref="L15:L16" ca="1">MMULT($I$5:$J$6,L10:L11)+$E$10:$E$11</f>
        <v>36.121190871018278</v>
      </c>
      <c r="M15" s="140">
        <f t="array" aca="1" ref="M15:M16" ca="1">MMULT($I$5:$J$6,M10:M11)+$E$10:$E$11</f>
        <v>17.668488471989683</v>
      </c>
      <c r="O15" t="str">
        <f>[1]!FTEXT(I15)</f>
        <v>=MMULT($I$5:$J$6,I10:I11)+$E$10:$E$11</v>
      </c>
    </row>
    <row r="16" spans="1:26" x14ac:dyDescent="0.35">
      <c r="A16" s="32">
        <v>27</v>
      </c>
      <c r="B16" s="32">
        <v>23</v>
      </c>
      <c r="D16" t="s">
        <v>774</v>
      </c>
      <c r="E16" s="173">
        <v>15</v>
      </c>
      <c r="F16" s="37"/>
      <c r="G16" s="37"/>
      <c r="I16" s="39">
        <f ca="1"/>
        <v>22.47981063919574</v>
      </c>
      <c r="J16" s="92">
        <f ca="1"/>
        <v>26.987904984070617</v>
      </c>
      <c r="K16" s="92">
        <f ca="1"/>
        <v>29.291352342689251</v>
      </c>
      <c r="L16" s="92">
        <f ca="1"/>
        <v>33.556110652377114</v>
      </c>
      <c r="M16" s="41">
        <f ca="1"/>
        <v>18.631736851243936</v>
      </c>
    </row>
    <row r="17" spans="1:15" x14ac:dyDescent="0.35">
      <c r="A17" s="32">
        <v>24</v>
      </c>
      <c r="B17" s="32">
        <v>26</v>
      </c>
      <c r="D17" t="s">
        <v>775</v>
      </c>
      <c r="E17" s="173">
        <f>[1]!BNORMDIST(E15,E16,E10,E11,E12,E13,E14,FALSE)</f>
        <v>1.3141633345246549E-3</v>
      </c>
      <c r="F17" s="37"/>
      <c r="G17" s="37" t="str">
        <f>[1]!FTEXT(E17)</f>
        <v>=BNORMDIST(E15,E16,E10,E11,E12,E13,E14,FALSE)</v>
      </c>
    </row>
    <row r="18" spans="1:15" x14ac:dyDescent="0.35">
      <c r="A18" s="32">
        <v>28</v>
      </c>
      <c r="B18" s="32">
        <v>34</v>
      </c>
      <c r="D18" t="s">
        <v>917</v>
      </c>
      <c r="E18" s="52">
        <f>[1]!BNORMDIST(E15,E16,E10,E11,E12,E13,E14,TRUE)</f>
        <v>0.11102096677247517</v>
      </c>
      <c r="G18" s="37" t="str">
        <f>[1]!FTEXT(E18)</f>
        <v>=BNORMDIST(E15,E16,E10,E11,E12,E13,E14,TRUE)</v>
      </c>
    </row>
    <row r="19" spans="1:15" x14ac:dyDescent="0.35">
      <c r="A19" s="32">
        <v>40</v>
      </c>
      <c r="B19" s="32">
        <v>33</v>
      </c>
      <c r="I19" s="138">
        <f t="array" ref="I19:I20">[1]!BNORMRAND($E$10,$E$11,$E$12,$E$13,$E$14)</f>
        <v>20.95217700876281</v>
      </c>
      <c r="J19" s="139">
        <f t="array" ref="J19:J20">[1]!BNORMRAND($E$10,$E$11,$E$12,$E$13,$E$14)</f>
        <v>26.471903632373213</v>
      </c>
      <c r="K19" s="139">
        <f t="array" ref="K19:K20">[1]!BNORMRAND($E$10,$E$11,$E$12,$E$13,$E$14)</f>
        <v>28.657464855939629</v>
      </c>
      <c r="L19" s="139">
        <f t="array" ref="L19:L20">[1]!BNORMRAND($E$10,$E$11,$E$12,$E$13,$E$14)</f>
        <v>34.560085045023733</v>
      </c>
      <c r="M19" s="140">
        <f t="array" ref="M19:M20">[1]!BNORMRAND($E$10,$E$11,$E$12,$E$13,$E$14)</f>
        <v>33.116518235844737</v>
      </c>
      <c r="O19" t="str">
        <f>[1]!FTEXT(I19)</f>
        <v>=BNORMRAND($E$10,$E$11,$E$12,$E$13,$E$14)</v>
      </c>
    </row>
    <row r="20" spans="1:15" x14ac:dyDescent="0.35">
      <c r="A20" s="32">
        <v>41</v>
      </c>
      <c r="B20" s="32">
        <v>40</v>
      </c>
      <c r="I20" s="39">
        <v>21.992056608704843</v>
      </c>
      <c r="J20" s="92">
        <v>18.92162080715573</v>
      </c>
      <c r="K20" s="92">
        <v>24.415137587152675</v>
      </c>
      <c r="L20" s="92">
        <v>30.634479685834386</v>
      </c>
      <c r="M20" s="41">
        <v>37.222727105959947</v>
      </c>
    </row>
    <row r="21" spans="1:15" x14ac:dyDescent="0.35">
      <c r="A21" s="32">
        <v>39</v>
      </c>
      <c r="B21" s="32">
        <v>28</v>
      </c>
    </row>
    <row r="22" spans="1:15" x14ac:dyDescent="0.35">
      <c r="A22" s="305">
        <v>23</v>
      </c>
      <c r="B22" s="305">
        <v>19</v>
      </c>
    </row>
  </sheetData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3"/>
  <dimension ref="A1:E22"/>
  <sheetViews>
    <sheetView workbookViewId="0"/>
  </sheetViews>
  <sheetFormatPr defaultRowHeight="15" x14ac:dyDescent="0.25"/>
  <sheetData>
    <row r="1" spans="1:5" x14ac:dyDescent="0.35">
      <c r="A1" s="42" t="s">
        <v>783</v>
      </c>
    </row>
    <row r="3" spans="1:5" x14ac:dyDescent="0.35">
      <c r="A3" s="306" t="s">
        <v>390</v>
      </c>
      <c r="B3" s="306" t="s">
        <v>392</v>
      </c>
      <c r="D3" t="str">
        <f t="array" ref="D3:E8">[1]!MSKEWTEST(A4:B22,TRUE)</f>
        <v>skew</v>
      </c>
      <c r="E3" s="146">
        <v>0.85052402516802039</v>
      </c>
    </row>
    <row r="4" spans="1:5" x14ac:dyDescent="0.35">
      <c r="A4" s="32">
        <v>36</v>
      </c>
      <c r="B4" s="32">
        <v>33</v>
      </c>
      <c r="D4" t="str">
        <v>chi-sq</v>
      </c>
      <c r="E4" s="173">
        <v>2.6933260796987311</v>
      </c>
    </row>
    <row r="5" spans="1:5" x14ac:dyDescent="0.35">
      <c r="A5" s="32">
        <v>30</v>
      </c>
      <c r="B5" s="32">
        <v>27</v>
      </c>
      <c r="D5" t="str">
        <v>df</v>
      </c>
      <c r="E5" s="173">
        <v>4</v>
      </c>
    </row>
    <row r="6" spans="1:5" x14ac:dyDescent="0.35">
      <c r="A6" s="32">
        <v>28</v>
      </c>
      <c r="B6" s="32">
        <v>29</v>
      </c>
      <c r="D6" t="str">
        <v>p-value</v>
      </c>
      <c r="E6" s="173">
        <v>0.61038296711381423</v>
      </c>
    </row>
    <row r="7" spans="1:5" x14ac:dyDescent="0.35">
      <c r="A7" s="32">
        <v>21</v>
      </c>
      <c r="B7" s="32">
        <v>15</v>
      </c>
      <c r="D7" t="str">
        <v>cor stat</v>
      </c>
      <c r="E7" s="173">
        <v>3.1350885583794748</v>
      </c>
    </row>
    <row r="8" spans="1:5" x14ac:dyDescent="0.35">
      <c r="A8" s="32">
        <v>16</v>
      </c>
      <c r="B8" s="32">
        <v>16</v>
      </c>
      <c r="D8" t="str">
        <v>p-value</v>
      </c>
      <c r="E8" s="52">
        <v>0.53547859039336432</v>
      </c>
    </row>
    <row r="9" spans="1:5" x14ac:dyDescent="0.35">
      <c r="A9" s="32">
        <v>15</v>
      </c>
      <c r="B9" s="32">
        <v>18</v>
      </c>
    </row>
    <row r="10" spans="1:5" x14ac:dyDescent="0.35">
      <c r="A10" s="32">
        <v>20</v>
      </c>
      <c r="B10" s="32">
        <v>20</v>
      </c>
      <c r="D10" t="str">
        <f t="array" ref="D10:E12">[1]!MKURTTEST(A4:B22,TRUE)</f>
        <v>kurt</v>
      </c>
      <c r="E10" s="146">
        <v>6.6685894591701187</v>
      </c>
    </row>
    <row r="11" spans="1:5" x14ac:dyDescent="0.35">
      <c r="A11" s="32">
        <v>21</v>
      </c>
      <c r="B11" s="32">
        <v>22</v>
      </c>
      <c r="D11" t="str">
        <v>z-stat</v>
      </c>
      <c r="E11" s="173">
        <v>-0.72543549998028589</v>
      </c>
    </row>
    <row r="12" spans="1:5" x14ac:dyDescent="0.35">
      <c r="A12" s="32">
        <v>19</v>
      </c>
      <c r="B12" s="32">
        <v>20</v>
      </c>
      <c r="D12" t="str">
        <v>p-value</v>
      </c>
      <c r="E12" s="52">
        <v>0.46818490107427707</v>
      </c>
    </row>
    <row r="13" spans="1:5" x14ac:dyDescent="0.35">
      <c r="A13" s="32">
        <v>17</v>
      </c>
      <c r="B13" s="32">
        <v>15</v>
      </c>
    </row>
    <row r="14" spans="1:5" x14ac:dyDescent="0.35">
      <c r="A14" s="32">
        <v>16</v>
      </c>
      <c r="B14" s="32">
        <v>15</v>
      </c>
    </row>
    <row r="15" spans="1:5" x14ac:dyDescent="0.35">
      <c r="A15" s="32">
        <v>32</v>
      </c>
      <c r="B15" s="32">
        <v>23</v>
      </c>
    </row>
    <row r="16" spans="1:5" x14ac:dyDescent="0.35">
      <c r="A16" s="32">
        <v>27</v>
      </c>
      <c r="B16" s="32">
        <v>23</v>
      </c>
    </row>
    <row r="17" spans="1:2" x14ac:dyDescent="0.35">
      <c r="A17" s="32">
        <v>24</v>
      </c>
      <c r="B17" s="32">
        <v>26</v>
      </c>
    </row>
    <row r="18" spans="1:2" x14ac:dyDescent="0.35">
      <c r="A18" s="32">
        <v>28</v>
      </c>
      <c r="B18" s="32">
        <v>34</v>
      </c>
    </row>
    <row r="19" spans="1:2" x14ac:dyDescent="0.35">
      <c r="A19" s="32">
        <v>40</v>
      </c>
      <c r="B19" s="32">
        <v>33</v>
      </c>
    </row>
    <row r="20" spans="1:2" x14ac:dyDescent="0.35">
      <c r="A20" s="32">
        <v>41</v>
      </c>
      <c r="B20" s="32">
        <v>40</v>
      </c>
    </row>
    <row r="21" spans="1:2" x14ac:dyDescent="0.35">
      <c r="A21" s="32">
        <v>39</v>
      </c>
      <c r="B21" s="32">
        <v>28</v>
      </c>
    </row>
    <row r="22" spans="1:2" x14ac:dyDescent="0.35">
      <c r="A22" s="305">
        <v>23</v>
      </c>
      <c r="B22" s="305">
        <v>19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Y65"/>
  <sheetViews>
    <sheetView topLeftCell="A16" zoomScaleNormal="100" workbookViewId="0">
      <selection activeCell="P43" sqref="P43"/>
    </sheetView>
  </sheetViews>
  <sheetFormatPr defaultRowHeight="15" x14ac:dyDescent="0.25"/>
  <cols>
    <col min="8" max="8" width="10.28515625" customWidth="1"/>
    <col min="9" max="11" width="9.140625" customWidth="1"/>
    <col min="20" max="20" width="11.28515625" customWidth="1"/>
  </cols>
  <sheetData>
    <row r="1" spans="1:25" ht="14.45" x14ac:dyDescent="0.35">
      <c r="A1" s="42" t="s">
        <v>40</v>
      </c>
    </row>
    <row r="2" spans="1:25" ht="14.45" x14ac:dyDescent="0.35">
      <c r="T2" t="s">
        <v>68</v>
      </c>
    </row>
    <row r="3" spans="1:25" ht="14.45" x14ac:dyDescent="0.35">
      <c r="A3" s="32" t="s">
        <v>41</v>
      </c>
      <c r="B3" s="32" t="s">
        <v>42</v>
      </c>
      <c r="C3" s="32" t="s">
        <v>43</v>
      </c>
      <c r="D3" s="32" t="s">
        <v>45</v>
      </c>
      <c r="E3" s="32" t="s">
        <v>46</v>
      </c>
      <c r="F3" s="32" t="s">
        <v>44</v>
      </c>
      <c r="I3" s="32" t="s">
        <v>47</v>
      </c>
      <c r="J3" s="32" t="s">
        <v>34</v>
      </c>
      <c r="K3" s="32" t="s">
        <v>36</v>
      </c>
    </row>
    <row r="4" spans="1:25" ht="14.45" x14ac:dyDescent="0.35">
      <c r="A4">
        <v>1</v>
      </c>
      <c r="B4" s="33">
        <v>6</v>
      </c>
      <c r="C4" s="34">
        <v>8</v>
      </c>
      <c r="D4" s="34">
        <v>3</v>
      </c>
      <c r="E4" s="34">
        <v>5</v>
      </c>
      <c r="F4" s="35">
        <v>19</v>
      </c>
      <c r="H4" t="s">
        <v>42</v>
      </c>
      <c r="I4" s="43">
        <v>7</v>
      </c>
      <c r="J4" s="34">
        <f t="array" ref="J4:K8">TRANSPOSE(B30:F31)</f>
        <v>5.6</v>
      </c>
      <c r="K4" s="35">
        <v>2.0816659994661326</v>
      </c>
      <c r="U4" s="47" t="str">
        <f>B3</f>
        <v>Style</v>
      </c>
      <c r="V4" s="47" t="str">
        <f>C3</f>
        <v>Comfort</v>
      </c>
      <c r="W4" s="47" t="str">
        <f>D3</f>
        <v>Stability</v>
      </c>
      <c r="X4" s="47" t="str">
        <f>E3</f>
        <v>Cushion</v>
      </c>
      <c r="Y4" s="47" t="str">
        <f>F3</f>
        <v>Durability</v>
      </c>
    </row>
    <row r="5" spans="1:25" ht="14.45" x14ac:dyDescent="0.35">
      <c r="A5">
        <f>A4+1</f>
        <v>2</v>
      </c>
      <c r="B5" s="36">
        <v>6</v>
      </c>
      <c r="C5" s="37">
        <v>7</v>
      </c>
      <c r="D5" s="37">
        <v>3</v>
      </c>
      <c r="E5" s="37">
        <v>4</v>
      </c>
      <c r="F5" s="38">
        <v>9</v>
      </c>
      <c r="H5" t="s">
        <v>43</v>
      </c>
      <c r="I5" s="44">
        <v>8</v>
      </c>
      <c r="J5" s="37">
        <v>7.4</v>
      </c>
      <c r="K5" s="38">
        <v>1.707825127659933</v>
      </c>
      <c r="T5" t="s">
        <v>71</v>
      </c>
      <c r="U5" s="33">
        <f t="array" ref="U5:Y7">TRANSPOSE(I4:K8)</f>
        <v>7</v>
      </c>
      <c r="V5" s="34">
        <v>8</v>
      </c>
      <c r="W5" s="34">
        <v>5</v>
      </c>
      <c r="X5" s="34">
        <v>7</v>
      </c>
      <c r="Y5" s="35">
        <v>9</v>
      </c>
    </row>
    <row r="6" spans="1:25" ht="14.45" x14ac:dyDescent="0.35">
      <c r="A6">
        <f t="shared" ref="A6:A28" si="0">A5+1</f>
        <v>3</v>
      </c>
      <c r="B6" s="36">
        <v>5</v>
      </c>
      <c r="C6" s="37">
        <v>7</v>
      </c>
      <c r="D6" s="37">
        <v>1</v>
      </c>
      <c r="E6" s="37">
        <v>4</v>
      </c>
      <c r="F6" s="38">
        <v>16</v>
      </c>
      <c r="H6" t="s">
        <v>45</v>
      </c>
      <c r="I6" s="44">
        <v>5</v>
      </c>
      <c r="J6" s="37">
        <v>5.08</v>
      </c>
      <c r="K6" s="38">
        <v>2.7221315177632399</v>
      </c>
      <c r="T6" t="s">
        <v>48</v>
      </c>
      <c r="U6" s="36">
        <v>5.6</v>
      </c>
      <c r="V6" s="37">
        <v>7.4</v>
      </c>
      <c r="W6" s="37">
        <v>5.08</v>
      </c>
      <c r="X6" s="37">
        <v>5.04</v>
      </c>
      <c r="Y6" s="38">
        <v>12.88</v>
      </c>
    </row>
    <row r="7" spans="1:25" ht="14.45" x14ac:dyDescent="0.35">
      <c r="A7">
        <f t="shared" si="0"/>
        <v>4</v>
      </c>
      <c r="B7" s="36">
        <v>10</v>
      </c>
      <c r="C7" s="37">
        <v>9</v>
      </c>
      <c r="D7" s="37">
        <v>8</v>
      </c>
      <c r="E7" s="37">
        <v>4</v>
      </c>
      <c r="F7" s="38">
        <v>4</v>
      </c>
      <c r="H7" t="s">
        <v>46</v>
      </c>
      <c r="I7" s="44">
        <v>7</v>
      </c>
      <c r="J7" s="37">
        <v>5.04</v>
      </c>
      <c r="K7" s="38">
        <v>2.1694853460363976</v>
      </c>
      <c r="T7" t="s">
        <v>61</v>
      </c>
      <c r="U7" s="36">
        <v>2.0816659994661326</v>
      </c>
      <c r="V7" s="37">
        <v>1.707825127659933</v>
      </c>
      <c r="W7" s="37">
        <v>2.7221315177632399</v>
      </c>
      <c r="X7" s="37">
        <v>2.1694853460363976</v>
      </c>
      <c r="Y7" s="38">
        <v>4.5672748986676961</v>
      </c>
    </row>
    <row r="8" spans="1:25" ht="14.45" x14ac:dyDescent="0.35">
      <c r="A8">
        <f t="shared" si="0"/>
        <v>5</v>
      </c>
      <c r="B8" s="36">
        <v>7</v>
      </c>
      <c r="C8" s="37">
        <v>9</v>
      </c>
      <c r="D8" s="37">
        <v>7</v>
      </c>
      <c r="E8" s="37">
        <v>6</v>
      </c>
      <c r="F8" s="38">
        <v>9</v>
      </c>
      <c r="H8" t="s">
        <v>44</v>
      </c>
      <c r="I8" s="45">
        <v>9</v>
      </c>
      <c r="J8" s="40">
        <v>12.88</v>
      </c>
      <c r="K8" s="41">
        <v>4.5672748986676961</v>
      </c>
      <c r="T8" t="s">
        <v>52</v>
      </c>
      <c r="U8" s="36">
        <f>I18</f>
        <v>25</v>
      </c>
      <c r="V8" s="37">
        <f>U8</f>
        <v>25</v>
      </c>
      <c r="W8" s="37">
        <f>V8</f>
        <v>25</v>
      </c>
      <c r="X8" s="37">
        <f>W8</f>
        <v>25</v>
      </c>
      <c r="Y8" s="38">
        <f>X8</f>
        <v>25</v>
      </c>
    </row>
    <row r="9" spans="1:25" ht="14.45" x14ac:dyDescent="0.35">
      <c r="A9">
        <f t="shared" si="0"/>
        <v>6</v>
      </c>
      <c r="B9" s="36">
        <v>6</v>
      </c>
      <c r="C9" s="37">
        <v>6</v>
      </c>
      <c r="D9" s="37">
        <v>3</v>
      </c>
      <c r="E9" s="37">
        <v>9</v>
      </c>
      <c r="F9" s="38">
        <v>17</v>
      </c>
      <c r="T9" t="s">
        <v>70</v>
      </c>
      <c r="U9" s="36">
        <f>U7/SQRT(U8)</f>
        <v>0.41633319989322654</v>
      </c>
      <c r="V9" s="37">
        <f>V7/SQRT(V8)</f>
        <v>0.34156502553198659</v>
      </c>
      <c r="W9" s="37">
        <f>W7/SQRT(W8)</f>
        <v>0.54442630355264798</v>
      </c>
      <c r="X9" s="37">
        <f>X7/SQRT(X8)</f>
        <v>0.43389706920727955</v>
      </c>
      <c r="Y9" s="38">
        <f>Y7/SQRT(Y8)</f>
        <v>0.91345497973353917</v>
      </c>
    </row>
    <row r="10" spans="1:25" ht="14.45" x14ac:dyDescent="0.35">
      <c r="A10">
        <f t="shared" si="0"/>
        <v>7</v>
      </c>
      <c r="B10" s="36">
        <v>5</v>
      </c>
      <c r="C10" s="37">
        <v>8</v>
      </c>
      <c r="D10" s="37">
        <v>6</v>
      </c>
      <c r="E10" s="37">
        <v>7</v>
      </c>
      <c r="F10" s="38">
        <v>6</v>
      </c>
      <c r="H10" t="s">
        <v>50</v>
      </c>
      <c r="N10" t="s">
        <v>39</v>
      </c>
      <c r="T10" t="s">
        <v>62</v>
      </c>
      <c r="U10" s="36">
        <f>U8-1</f>
        <v>24</v>
      </c>
      <c r="V10" s="37">
        <f>V8-1</f>
        <v>24</v>
      </c>
      <c r="W10" s="37">
        <f>W8-1</f>
        <v>24</v>
      </c>
      <c r="X10" s="37">
        <f>X8-1</f>
        <v>24</v>
      </c>
      <c r="Y10" s="38">
        <f>Y8-1</f>
        <v>24</v>
      </c>
    </row>
    <row r="11" spans="1:25" x14ac:dyDescent="0.25">
      <c r="A11">
        <f t="shared" si="0"/>
        <v>8</v>
      </c>
      <c r="B11" s="36">
        <v>3</v>
      </c>
      <c r="C11" s="37">
        <v>7</v>
      </c>
      <c r="D11" s="37">
        <v>3</v>
      </c>
      <c r="E11" s="37">
        <v>6</v>
      </c>
      <c r="F11" s="38">
        <v>16</v>
      </c>
      <c r="T11" s="46" t="s">
        <v>57</v>
      </c>
      <c r="U11" s="12">
        <v>0.05</v>
      </c>
      <c r="V11" s="37">
        <f>U11</f>
        <v>0.05</v>
      </c>
      <c r="W11" s="37">
        <f>V11</f>
        <v>0.05</v>
      </c>
      <c r="X11" s="37">
        <f>W11</f>
        <v>0.05</v>
      </c>
      <c r="Y11" s="38">
        <f>X11</f>
        <v>0.05</v>
      </c>
    </row>
    <row r="12" spans="1:25" ht="14.45" x14ac:dyDescent="0.35">
      <c r="A12">
        <f t="shared" si="0"/>
        <v>9</v>
      </c>
      <c r="B12" s="36">
        <v>8</v>
      </c>
      <c r="C12" s="37">
        <v>8</v>
      </c>
      <c r="D12" s="37">
        <v>9</v>
      </c>
      <c r="E12" s="37">
        <v>3</v>
      </c>
      <c r="F12" s="38">
        <v>8</v>
      </c>
      <c r="H12" s="33">
        <f t="array" ref="H12:L16">[1]!COV(B4:F28)</f>
        <v>4.3333333333333348</v>
      </c>
      <c r="I12" s="34">
        <v>0.91666666666666674</v>
      </c>
      <c r="J12" s="34">
        <v>1.5333333333333334</v>
      </c>
      <c r="K12" s="34">
        <v>-0.81666666666666665</v>
      </c>
      <c r="L12" s="35">
        <v>-4.4666666666666659</v>
      </c>
      <c r="N12" s="33">
        <f t="array" ref="N12:R16">[1]!CORR(B4:F28)</f>
        <v>1</v>
      </c>
      <c r="O12" s="34">
        <v>0.2578439770161724</v>
      </c>
      <c r="P12" s="34">
        <v>0.27059291687297027</v>
      </c>
      <c r="Q12" s="34">
        <v>-0.18083273875954617</v>
      </c>
      <c r="R12" s="35">
        <v>-0.46980252088922597</v>
      </c>
      <c r="T12" t="s">
        <v>64</v>
      </c>
      <c r="U12" s="36">
        <f>(U6-U5)/(U7/SQRT(U8))</f>
        <v>-3.3626912299068308</v>
      </c>
      <c r="V12" s="37">
        <f>(V6-V5)/(V7/SQRT(V8))</f>
        <v>-1.7566201313073588</v>
      </c>
      <c r="W12" s="37">
        <f>(W6-W5)/(W7/SQRT(W8))</f>
        <v>0.14694367167412914</v>
      </c>
      <c r="X12" s="37">
        <f>(X6-X5)/(X7/SQRT(X8))</f>
        <v>-4.5172003663930642</v>
      </c>
      <c r="Y12" s="38">
        <f>(Y6-Y5)/(Y7/SQRT(Y8))</f>
        <v>4.2476094455490543</v>
      </c>
    </row>
    <row r="13" spans="1:25" ht="14.45" x14ac:dyDescent="0.35">
      <c r="A13">
        <f t="shared" si="0"/>
        <v>10</v>
      </c>
      <c r="B13" s="36">
        <v>8</v>
      </c>
      <c r="C13" s="37">
        <v>6</v>
      </c>
      <c r="D13" s="37">
        <v>5</v>
      </c>
      <c r="E13" s="37">
        <v>3</v>
      </c>
      <c r="F13" s="38">
        <v>13</v>
      </c>
      <c r="H13" s="36">
        <v>0.91666666666666674</v>
      </c>
      <c r="I13" s="37">
        <v>2.916666666666667</v>
      </c>
      <c r="J13" s="37">
        <v>2.4249999999999998</v>
      </c>
      <c r="K13" s="37">
        <v>2.5000000000000057E-2</v>
      </c>
      <c r="L13" s="38">
        <v>-2.4083333333333332</v>
      </c>
      <c r="N13" s="36">
        <v>0.2578439770161724</v>
      </c>
      <c r="O13" s="37">
        <v>0.99999999999999989</v>
      </c>
      <c r="P13" s="37">
        <v>0.52162601140846721</v>
      </c>
      <c r="Q13" s="37">
        <v>6.7474533169686211E-3</v>
      </c>
      <c r="R13" s="38">
        <v>-0.30875645471263152</v>
      </c>
      <c r="T13" t="s">
        <v>63</v>
      </c>
      <c r="U13" s="39">
        <f>TINV(U11,U10)</f>
        <v>2.0638985616280254</v>
      </c>
      <c r="V13" s="40">
        <f>TINV(V11,V10)</f>
        <v>2.0638985616280254</v>
      </c>
      <c r="W13" s="40">
        <f>TINV(W11,W10)</f>
        <v>2.0638985616280254</v>
      </c>
      <c r="X13" s="40">
        <f>TINV(X11,X10)</f>
        <v>2.0638985616280254</v>
      </c>
      <c r="Y13" s="41">
        <f>TINV(Y11,Y10)</f>
        <v>2.0638985616280254</v>
      </c>
    </row>
    <row r="14" spans="1:25" ht="14.45" x14ac:dyDescent="0.35">
      <c r="A14">
        <f t="shared" si="0"/>
        <v>11</v>
      </c>
      <c r="B14" s="36">
        <v>5</v>
      </c>
      <c r="C14" s="37">
        <v>9</v>
      </c>
      <c r="D14" s="37">
        <v>5</v>
      </c>
      <c r="E14" s="37">
        <v>4</v>
      </c>
      <c r="F14" s="38">
        <v>17</v>
      </c>
      <c r="H14" s="36">
        <v>1.5333333333333334</v>
      </c>
      <c r="I14" s="37">
        <v>2.4249999999999998</v>
      </c>
      <c r="J14" s="37">
        <v>7.4099999999999984</v>
      </c>
      <c r="K14" s="37">
        <v>-1.2116666666666664</v>
      </c>
      <c r="L14" s="38">
        <v>-2.573333333333335</v>
      </c>
      <c r="N14" s="36">
        <v>0.27059291687297027</v>
      </c>
      <c r="O14" s="37">
        <v>0.52162601140846721</v>
      </c>
      <c r="P14" s="37">
        <v>1.0000000000000002</v>
      </c>
      <c r="Q14" s="37">
        <v>-0.20517164263224991</v>
      </c>
      <c r="R14" s="38">
        <v>-0.20698067054806024</v>
      </c>
      <c r="T14" t="s">
        <v>65</v>
      </c>
      <c r="U14" s="33">
        <f>TDIST(ABS(U12),U10,2)</f>
        <v>2.583709346226887E-3</v>
      </c>
      <c r="V14" s="34">
        <f>TDIST(ABS(V12),V10,2)</f>
        <v>9.1736307558872063E-2</v>
      </c>
      <c r="W14" s="34">
        <f>TDIST(ABS(W12),W10,2)</f>
        <v>0.8844038961329298</v>
      </c>
      <c r="X14" s="34">
        <f>TDIST(ABS(X12),X10,2)</f>
        <v>1.4176692306704889E-4</v>
      </c>
      <c r="Y14" s="35">
        <f>TDIST(ABS(Y12),Y10,2)</f>
        <v>2.8136047814428781E-4</v>
      </c>
    </row>
    <row r="15" spans="1:25" ht="14.45" x14ac:dyDescent="0.35">
      <c r="A15">
        <f t="shared" si="0"/>
        <v>12</v>
      </c>
      <c r="B15" s="36">
        <v>8</v>
      </c>
      <c r="C15" s="37">
        <v>8</v>
      </c>
      <c r="D15" s="37">
        <v>2</v>
      </c>
      <c r="E15" s="37">
        <v>3</v>
      </c>
      <c r="F15" s="38">
        <v>5</v>
      </c>
      <c r="H15" s="36">
        <v>-0.81666666666666665</v>
      </c>
      <c r="I15" s="37">
        <v>2.5000000000000057E-2</v>
      </c>
      <c r="J15" s="37">
        <v>-1.2116666666666664</v>
      </c>
      <c r="K15" s="37">
        <v>4.706666666666667</v>
      </c>
      <c r="L15" s="38">
        <v>1.9633333333333329</v>
      </c>
      <c r="N15" s="36">
        <v>-0.18083273875954617</v>
      </c>
      <c r="O15" s="37">
        <v>6.7474533169686211E-3</v>
      </c>
      <c r="P15" s="37">
        <v>-0.20517164263224991</v>
      </c>
      <c r="Q15" s="37">
        <v>0.99999999999999978</v>
      </c>
      <c r="R15" s="38">
        <v>0.1981436537249506</v>
      </c>
      <c r="T15" t="s">
        <v>60</v>
      </c>
      <c r="U15" s="57" t="str">
        <f>IF(U14&lt;=U11,"yes","no")</f>
        <v>yes</v>
      </c>
      <c r="V15" s="58" t="str">
        <f>IF(V14&lt;=V11,"yes","no")</f>
        <v>no</v>
      </c>
      <c r="W15" s="58" t="str">
        <f>IF(W14&lt;=W11,"yes","no")</f>
        <v>no</v>
      </c>
      <c r="X15" s="58" t="str">
        <f>IF(X14&lt;=X11,"yes","no")</f>
        <v>yes</v>
      </c>
      <c r="Y15" s="59" t="str">
        <f>IF(Y14&lt;=Y11,"yes","no")</f>
        <v>yes</v>
      </c>
    </row>
    <row r="16" spans="1:25" ht="14.45" x14ac:dyDescent="0.35">
      <c r="A16">
        <f t="shared" si="0"/>
        <v>13</v>
      </c>
      <c r="B16" s="36">
        <v>5</v>
      </c>
      <c r="C16" s="37">
        <v>8</v>
      </c>
      <c r="D16" s="37">
        <v>7</v>
      </c>
      <c r="E16" s="37">
        <v>5</v>
      </c>
      <c r="F16" s="38">
        <v>8</v>
      </c>
      <c r="H16" s="39">
        <v>-4.4666666666666659</v>
      </c>
      <c r="I16" s="40">
        <v>-2.4083333333333332</v>
      </c>
      <c r="J16" s="40">
        <v>-2.573333333333335</v>
      </c>
      <c r="K16" s="40">
        <v>1.9633333333333329</v>
      </c>
      <c r="L16" s="41">
        <v>20.859999999999996</v>
      </c>
      <c r="N16" s="39">
        <v>-0.46980252088922597</v>
      </c>
      <c r="O16" s="40">
        <v>-0.30875645471263152</v>
      </c>
      <c r="P16" s="40">
        <v>-0.20698067054806024</v>
      </c>
      <c r="Q16" s="40">
        <v>0.1981436537249506</v>
      </c>
      <c r="R16" s="41">
        <v>1</v>
      </c>
      <c r="T16" t="s">
        <v>66</v>
      </c>
      <c r="U16" s="33">
        <f>U6-U13*U9</f>
        <v>4.7407305075823762</v>
      </c>
      <c r="V16" s="34">
        <f>V6-V13*V9</f>
        <v>6.6950444351020932</v>
      </c>
      <c r="W16" s="34">
        <f>W6-W13*W9</f>
        <v>3.9563593351852271</v>
      </c>
      <c r="X16" s="34">
        <f>X6-X13*X9</f>
        <v>4.1444804629684802</v>
      </c>
      <c r="Y16" s="35">
        <f>Y6-Y13*Y9</f>
        <v>10.994721581215993</v>
      </c>
    </row>
    <row r="17" spans="1:25" ht="14.45" x14ac:dyDescent="0.35">
      <c r="A17">
        <f t="shared" si="0"/>
        <v>14</v>
      </c>
      <c r="B17" s="36">
        <v>4</v>
      </c>
      <c r="C17" s="37">
        <v>9</v>
      </c>
      <c r="D17" s="37">
        <v>10</v>
      </c>
      <c r="E17" s="37">
        <v>2</v>
      </c>
      <c r="F17" s="38">
        <v>16</v>
      </c>
      <c r="T17" t="s">
        <v>67</v>
      </c>
      <c r="U17" s="39">
        <f>U6+U13*U9</f>
        <v>6.459269492417623</v>
      </c>
      <c r="V17" s="40">
        <f>V6+V13*V9</f>
        <v>8.1049555648979066</v>
      </c>
      <c r="W17" s="40">
        <f>W6+W13*W9</f>
        <v>6.2036406648147731</v>
      </c>
      <c r="X17" s="40">
        <f>X6+X13*X9</f>
        <v>5.9355195370315199</v>
      </c>
      <c r="Y17" s="41">
        <f>Y6+Y13*Y9</f>
        <v>14.765278418784009</v>
      </c>
    </row>
    <row r="18" spans="1:25" ht="14.45" x14ac:dyDescent="0.35">
      <c r="A18">
        <f t="shared" si="0"/>
        <v>15</v>
      </c>
      <c r="B18" s="36">
        <v>2</v>
      </c>
      <c r="C18" s="37">
        <v>9</v>
      </c>
      <c r="D18" s="37">
        <v>4</v>
      </c>
      <c r="E18" s="37">
        <v>10</v>
      </c>
      <c r="F18" s="38">
        <v>14</v>
      </c>
      <c r="H18" t="s">
        <v>52</v>
      </c>
      <c r="I18" s="48">
        <f>COUNT(B4:B28)</f>
        <v>25</v>
      </c>
      <c r="K18" s="62" t="s">
        <v>73</v>
      </c>
    </row>
    <row r="19" spans="1:25" ht="14.45" x14ac:dyDescent="0.35">
      <c r="A19">
        <f t="shared" si="0"/>
        <v>16</v>
      </c>
      <c r="B19" s="36">
        <v>7</v>
      </c>
      <c r="C19" s="37">
        <v>5</v>
      </c>
      <c r="D19" s="37">
        <v>8</v>
      </c>
      <c r="E19" s="37">
        <v>6</v>
      </c>
      <c r="F19" s="38">
        <v>15</v>
      </c>
      <c r="H19" t="s">
        <v>53</v>
      </c>
      <c r="I19" s="49">
        <f>COUNT(B4:F4)</f>
        <v>5</v>
      </c>
      <c r="K19" s="62" t="s">
        <v>74</v>
      </c>
      <c r="T19" t="s">
        <v>69</v>
      </c>
    </row>
    <row r="20" spans="1:25" ht="16.5" x14ac:dyDescent="0.35">
      <c r="A20">
        <f t="shared" si="0"/>
        <v>17</v>
      </c>
      <c r="B20" s="36">
        <v>4</v>
      </c>
      <c r="C20" s="37">
        <v>8</v>
      </c>
      <c r="D20" s="37">
        <v>8</v>
      </c>
      <c r="E20" s="37">
        <v>2</v>
      </c>
      <c r="F20" s="38">
        <v>16</v>
      </c>
      <c r="H20" t="s">
        <v>51</v>
      </c>
      <c r="I20" s="49">
        <f t="array" ref="I20">I18*MMULT(MMULT(TRANSPOSE(J4:J8-I4:I8),MINVERSE(H12:L16)),J4:J8-I4:I8)</f>
        <v>52.672403920233698</v>
      </c>
      <c r="K20" s="62" t="s">
        <v>75</v>
      </c>
    </row>
    <row r="21" spans="1:25" ht="14.45" x14ac:dyDescent="0.35">
      <c r="A21">
        <f t="shared" si="0"/>
        <v>18</v>
      </c>
      <c r="B21" s="36">
        <v>5</v>
      </c>
      <c r="C21" s="37">
        <v>10</v>
      </c>
      <c r="D21" s="37">
        <v>9</v>
      </c>
      <c r="E21" s="37">
        <v>3</v>
      </c>
      <c r="F21" s="38">
        <v>11</v>
      </c>
      <c r="H21" t="s">
        <v>54</v>
      </c>
      <c r="I21" s="49">
        <f>I20*(I18-I19)/(I19*(I18-1))</f>
        <v>8.7787339867056158</v>
      </c>
      <c r="K21" s="62" t="s">
        <v>76</v>
      </c>
      <c r="U21" s="47" t="str">
        <f>U4</f>
        <v>Style</v>
      </c>
      <c r="V21" s="47" t="str">
        <f>V4</f>
        <v>Comfort</v>
      </c>
      <c r="W21" s="47" t="str">
        <f>W4</f>
        <v>Stability</v>
      </c>
      <c r="X21" s="47" t="str">
        <f>X4</f>
        <v>Cushion</v>
      </c>
      <c r="Y21" s="47" t="str">
        <f>Y4</f>
        <v>Durability</v>
      </c>
    </row>
    <row r="22" spans="1:25" ht="14.45" x14ac:dyDescent="0.35">
      <c r="A22">
        <f t="shared" si="0"/>
        <v>19</v>
      </c>
      <c r="B22" s="36">
        <v>7</v>
      </c>
      <c r="C22" s="37">
        <v>7</v>
      </c>
      <c r="D22" s="37">
        <v>3</v>
      </c>
      <c r="E22" s="37">
        <v>7</v>
      </c>
      <c r="F22" s="38">
        <v>12</v>
      </c>
      <c r="H22" t="s">
        <v>55</v>
      </c>
      <c r="I22" s="49">
        <f>I19</f>
        <v>5</v>
      </c>
      <c r="K22" s="62" t="s">
        <v>77</v>
      </c>
      <c r="T22" t="s">
        <v>48</v>
      </c>
      <c r="U22" s="33">
        <f>U6</f>
        <v>5.6</v>
      </c>
      <c r="V22" s="34">
        <f>V6</f>
        <v>7.4</v>
      </c>
      <c r="W22" s="34">
        <f>W6</f>
        <v>5.08</v>
      </c>
      <c r="X22" s="34">
        <f>X6</f>
        <v>5.04</v>
      </c>
      <c r="Y22" s="35">
        <f>Y6</f>
        <v>12.88</v>
      </c>
    </row>
    <row r="23" spans="1:25" ht="14.45" x14ac:dyDescent="0.35">
      <c r="A23">
        <f t="shared" si="0"/>
        <v>20</v>
      </c>
      <c r="B23" s="36">
        <v>1</v>
      </c>
      <c r="C23" s="37">
        <v>5</v>
      </c>
      <c r="D23" s="37">
        <v>2</v>
      </c>
      <c r="E23" s="37">
        <v>7</v>
      </c>
      <c r="F23" s="38">
        <v>17</v>
      </c>
      <c r="H23" t="s">
        <v>56</v>
      </c>
      <c r="I23" s="49">
        <f>I18-I19</f>
        <v>20</v>
      </c>
      <c r="K23" s="62" t="s">
        <v>78</v>
      </c>
      <c r="T23" t="s">
        <v>52</v>
      </c>
      <c r="U23" s="36">
        <f>I18</f>
        <v>25</v>
      </c>
      <c r="V23" s="37">
        <f>U23</f>
        <v>25</v>
      </c>
      <c r="W23" s="37">
        <f>V23</f>
        <v>25</v>
      </c>
      <c r="X23" s="37">
        <f>W23</f>
        <v>25</v>
      </c>
      <c r="Y23" s="38">
        <f>X23</f>
        <v>25</v>
      </c>
    </row>
    <row r="24" spans="1:25" x14ac:dyDescent="0.25">
      <c r="A24">
        <f t="shared" si="0"/>
        <v>21</v>
      </c>
      <c r="B24" s="36">
        <v>5</v>
      </c>
      <c r="C24" s="37">
        <v>6</v>
      </c>
      <c r="D24" s="37">
        <v>7</v>
      </c>
      <c r="E24" s="37">
        <v>7</v>
      </c>
      <c r="F24" s="38">
        <v>20</v>
      </c>
      <c r="H24" s="46" t="s">
        <v>57</v>
      </c>
      <c r="I24" s="50">
        <v>0.05</v>
      </c>
      <c r="T24" s="60" t="s">
        <v>53</v>
      </c>
      <c r="U24" s="36">
        <f>I19</f>
        <v>5</v>
      </c>
      <c r="V24" s="37">
        <f t="shared" ref="V24:Y27" si="1">U24</f>
        <v>5</v>
      </c>
      <c r="W24" s="37">
        <f t="shared" si="1"/>
        <v>5</v>
      </c>
      <c r="X24" s="37">
        <f t="shared" si="1"/>
        <v>5</v>
      </c>
      <c r="Y24" s="38">
        <f t="shared" si="1"/>
        <v>5</v>
      </c>
    </row>
    <row r="25" spans="1:25" ht="14.45" x14ac:dyDescent="0.35">
      <c r="A25">
        <f t="shared" si="0"/>
        <v>22</v>
      </c>
      <c r="B25" s="36">
        <v>4</v>
      </c>
      <c r="C25" s="37">
        <v>3</v>
      </c>
      <c r="D25" s="37">
        <v>1</v>
      </c>
      <c r="E25" s="37">
        <v>2</v>
      </c>
      <c r="F25" s="38">
        <v>15</v>
      </c>
      <c r="H25" t="s">
        <v>58</v>
      </c>
      <c r="I25" s="49">
        <f>FINV(I24,I22,I23)</f>
        <v>2.7108898372096917</v>
      </c>
      <c r="K25" s="62" t="s">
        <v>79</v>
      </c>
      <c r="T25" t="s">
        <v>55</v>
      </c>
      <c r="U25" s="36">
        <f>I22</f>
        <v>5</v>
      </c>
      <c r="V25" s="37">
        <f t="shared" si="1"/>
        <v>5</v>
      </c>
      <c r="W25" s="37">
        <f t="shared" si="1"/>
        <v>5</v>
      </c>
      <c r="X25" s="37">
        <f t="shared" si="1"/>
        <v>5</v>
      </c>
      <c r="Y25" s="38">
        <f t="shared" si="1"/>
        <v>5</v>
      </c>
    </row>
    <row r="26" spans="1:25" ht="14.45" x14ac:dyDescent="0.35">
      <c r="A26">
        <f t="shared" si="0"/>
        <v>23</v>
      </c>
      <c r="B26" s="36">
        <v>7</v>
      </c>
      <c r="C26" s="37">
        <v>9</v>
      </c>
      <c r="D26" s="37">
        <v>6</v>
      </c>
      <c r="E26" s="37">
        <v>6</v>
      </c>
      <c r="F26" s="38">
        <v>9</v>
      </c>
      <c r="H26" t="s">
        <v>59</v>
      </c>
      <c r="I26" s="49">
        <f>FDIST(I21,I22,I23)</f>
        <v>1.5510128118450146E-4</v>
      </c>
      <c r="K26" s="62" t="s">
        <v>80</v>
      </c>
      <c r="T26" s="60" t="s">
        <v>56</v>
      </c>
      <c r="U26" s="36">
        <f>I23</f>
        <v>20</v>
      </c>
      <c r="V26" s="37">
        <f t="shared" si="1"/>
        <v>20</v>
      </c>
      <c r="W26" s="37">
        <f t="shared" si="1"/>
        <v>20</v>
      </c>
      <c r="X26" s="37">
        <f t="shared" si="1"/>
        <v>20</v>
      </c>
      <c r="Y26" s="38">
        <f t="shared" si="1"/>
        <v>20</v>
      </c>
    </row>
    <row r="27" spans="1:25" x14ac:dyDescent="0.25">
      <c r="A27">
        <f t="shared" si="0"/>
        <v>24</v>
      </c>
      <c r="B27" s="36">
        <v>4</v>
      </c>
      <c r="C27" s="37">
        <v>5</v>
      </c>
      <c r="D27" s="37">
        <v>2</v>
      </c>
      <c r="E27" s="37">
        <v>4</v>
      </c>
      <c r="F27" s="38">
        <v>12</v>
      </c>
      <c r="H27" t="s">
        <v>60</v>
      </c>
      <c r="I27" s="51" t="str">
        <f>IF(I26&lt;= I24,"yes","no")</f>
        <v>yes</v>
      </c>
      <c r="K27" s="62" t="s">
        <v>81</v>
      </c>
      <c r="T27" s="46" t="s">
        <v>57</v>
      </c>
      <c r="U27" s="36">
        <f>I24</f>
        <v>0.05</v>
      </c>
      <c r="V27" s="37">
        <f t="shared" si="1"/>
        <v>0.05</v>
      </c>
      <c r="W27" s="37">
        <f t="shared" si="1"/>
        <v>0.05</v>
      </c>
      <c r="X27" s="37">
        <f t="shared" si="1"/>
        <v>0.05</v>
      </c>
      <c r="Y27" s="38">
        <f t="shared" si="1"/>
        <v>0.05</v>
      </c>
    </row>
    <row r="28" spans="1:25" ht="14.45" x14ac:dyDescent="0.35">
      <c r="A28">
        <f t="shared" si="0"/>
        <v>25</v>
      </c>
      <c r="B28" s="39">
        <v>8</v>
      </c>
      <c r="C28" s="40">
        <v>9</v>
      </c>
      <c r="D28" s="40">
        <v>5</v>
      </c>
      <c r="E28" s="40">
        <v>7</v>
      </c>
      <c r="F28" s="41">
        <v>18</v>
      </c>
      <c r="T28" t="s">
        <v>58</v>
      </c>
      <c r="U28" s="36">
        <f>I25</f>
        <v>2.7108898372096917</v>
      </c>
      <c r="V28" s="37">
        <f>U28</f>
        <v>2.7108898372096917</v>
      </c>
      <c r="W28" s="37">
        <f>V28</f>
        <v>2.7108898372096917</v>
      </c>
      <c r="X28" s="37">
        <f>W28</f>
        <v>2.7108898372096917</v>
      </c>
      <c r="Y28" s="38">
        <f>X28</f>
        <v>2.7108898372096917</v>
      </c>
    </row>
    <row r="29" spans="1:25" ht="14.45" x14ac:dyDescent="0.35">
      <c r="H29" t="s">
        <v>826</v>
      </c>
      <c r="T29" s="60" t="s">
        <v>63</v>
      </c>
      <c r="U29" s="36">
        <f>SQRT(U24*(U23-1)/(U23-U24)*U28)</f>
        <v>4.0330309970614096</v>
      </c>
      <c r="V29" s="37">
        <f>SQRT(V24*(V23-1)/(V23-V24)*V28)</f>
        <v>4.0330309970614096</v>
      </c>
      <c r="W29" s="37">
        <f>SQRT(W24*(W23-1)/(W23-W24)*W28)</f>
        <v>4.0330309970614096</v>
      </c>
      <c r="X29" s="37">
        <f>SQRT(X24*(X23-1)/(X23-X24)*X28)</f>
        <v>4.0330309970614096</v>
      </c>
      <c r="Y29" s="38">
        <f>SQRT(Y24*(Y23-1)/(Y23-Y24)*Y28)</f>
        <v>4.0330309970614096</v>
      </c>
    </row>
    <row r="30" spans="1:25" ht="14.45" x14ac:dyDescent="0.35">
      <c r="A30" t="s">
        <v>48</v>
      </c>
      <c r="B30" s="33">
        <f>AVERAGE(B4:B28)</f>
        <v>5.6</v>
      </c>
      <c r="C30" s="34">
        <f>AVERAGE(C4:C28)</f>
        <v>7.4</v>
      </c>
      <c r="D30" s="34">
        <f>AVERAGE(D4:D28)</f>
        <v>5.08</v>
      </c>
      <c r="E30" s="34">
        <f>AVERAGE(E4:E28)</f>
        <v>5.04</v>
      </c>
      <c r="F30" s="35">
        <f>AVERAGE(F4:F28)</f>
        <v>12.88</v>
      </c>
      <c r="T30" t="s">
        <v>70</v>
      </c>
      <c r="U30" s="39">
        <f>U9</f>
        <v>0.41633319989322654</v>
      </c>
      <c r="V30" s="40">
        <f>V9</f>
        <v>0.34156502553198659</v>
      </c>
      <c r="W30" s="40">
        <f>W9</f>
        <v>0.54442630355264798</v>
      </c>
      <c r="X30" s="40">
        <f>X9</f>
        <v>0.43389706920727955</v>
      </c>
      <c r="Y30" s="41">
        <f>Y9</f>
        <v>0.91345497973353917</v>
      </c>
    </row>
    <row r="31" spans="1:25" ht="16.5" x14ac:dyDescent="0.35">
      <c r="A31" t="s">
        <v>49</v>
      </c>
      <c r="B31" s="39">
        <f>STDEV(B4:B28)</f>
        <v>2.0816659994661326</v>
      </c>
      <c r="C31" s="40">
        <f>STDEV(C4:C28)</f>
        <v>1.707825127659933</v>
      </c>
      <c r="D31" s="40">
        <f>STDEV(D4:D28)</f>
        <v>2.7221315177632399</v>
      </c>
      <c r="E31" s="40">
        <f>STDEV(E4:E28)</f>
        <v>2.1694853460363976</v>
      </c>
      <c r="F31" s="41">
        <f>STDEV(F4:F28)</f>
        <v>4.5672748986676961</v>
      </c>
      <c r="H31" t="s">
        <v>51</v>
      </c>
      <c r="I31" s="48">
        <f>[1]!HotellingT2(B4:F28,I4:I8,0)</f>
        <v>52.672403920233698</v>
      </c>
      <c r="K31" s="62" t="s">
        <v>135</v>
      </c>
      <c r="T31" t="s">
        <v>66</v>
      </c>
      <c r="U31" s="33">
        <f>U22-U29*U30</f>
        <v>3.9209152997248529</v>
      </c>
      <c r="V31" s="34">
        <f>V22-V29*V30</f>
        <v>6.022457664517427</v>
      </c>
      <c r="W31" s="34">
        <f>W22-W29*W30</f>
        <v>2.8843118421566065</v>
      </c>
      <c r="X31" s="34">
        <f>X22-X29*X30</f>
        <v>3.290079670352942</v>
      </c>
      <c r="Y31" s="35">
        <f>Y22-Y29*Y30</f>
        <v>9.1960077523145358</v>
      </c>
    </row>
    <row r="32" spans="1:25" ht="14.45" x14ac:dyDescent="0.35">
      <c r="H32" t="s">
        <v>54</v>
      </c>
      <c r="I32" s="49">
        <f>[1]!HotellingF(B4:F28,I4:I8,0)</f>
        <v>8.7787339867056158</v>
      </c>
      <c r="K32" s="62" t="s">
        <v>136</v>
      </c>
      <c r="T32" t="s">
        <v>67</v>
      </c>
      <c r="U32" s="39">
        <f>U22+U29*U30</f>
        <v>7.2790847002751464</v>
      </c>
      <c r="V32" s="40">
        <f>V22+V29*V30</f>
        <v>8.7775423354825737</v>
      </c>
      <c r="W32" s="40">
        <f>W22+W29*W30</f>
        <v>7.2756881578433941</v>
      </c>
      <c r="X32" s="40">
        <f>X22+X29*X30</f>
        <v>6.7899203296470585</v>
      </c>
      <c r="Y32" s="41">
        <f>Y22+Y29*Y30</f>
        <v>16.563992247685466</v>
      </c>
    </row>
    <row r="33" spans="8:25" ht="14.45" x14ac:dyDescent="0.35">
      <c r="H33" t="s">
        <v>55</v>
      </c>
      <c r="I33" s="49">
        <f>[1]!Hotellingdf1(B4:F28,I4:I8,0)</f>
        <v>5</v>
      </c>
      <c r="K33" s="62" t="s">
        <v>137</v>
      </c>
    </row>
    <row r="34" spans="8:25" ht="14.45" x14ac:dyDescent="0.35">
      <c r="H34" t="s">
        <v>56</v>
      </c>
      <c r="I34" s="49">
        <f>[1]!Hotellingdf2(B4:F28,I4:I8,0)</f>
        <v>20</v>
      </c>
      <c r="K34" s="62" t="s">
        <v>138</v>
      </c>
      <c r="T34" t="s">
        <v>83</v>
      </c>
    </row>
    <row r="35" spans="8:25" ht="14.45" x14ac:dyDescent="0.35">
      <c r="H35" t="s">
        <v>65</v>
      </c>
      <c r="I35" s="52">
        <f>[1]!T2TEST(B4:F28,I4:I8,0)</f>
        <v>1.5510128118445543E-4</v>
      </c>
      <c r="K35" s="62" t="s">
        <v>95</v>
      </c>
    </row>
    <row r="36" spans="8:25" ht="14.45" x14ac:dyDescent="0.35">
      <c r="U36" s="47" t="str">
        <f>U21</f>
        <v>Style</v>
      </c>
      <c r="V36" s="47" t="str">
        <f>V21</f>
        <v>Comfort</v>
      </c>
      <c r="W36" s="47" t="str">
        <f>W21</f>
        <v>Stability</v>
      </c>
      <c r="X36" s="47" t="str">
        <f>X21</f>
        <v>Cushion</v>
      </c>
      <c r="Y36" s="47" t="str">
        <f>Y21</f>
        <v>Durability</v>
      </c>
    </row>
    <row r="37" spans="8:25" ht="14.45" x14ac:dyDescent="0.35">
      <c r="T37" t="s">
        <v>71</v>
      </c>
      <c r="U37" s="53">
        <f>U5</f>
        <v>7</v>
      </c>
      <c r="V37" s="54">
        <f>V5</f>
        <v>8</v>
      </c>
      <c r="W37" s="54">
        <f>W5</f>
        <v>5</v>
      </c>
      <c r="X37" s="54">
        <f>X5</f>
        <v>7</v>
      </c>
      <c r="Y37" s="55">
        <f>Y5</f>
        <v>9</v>
      </c>
    </row>
    <row r="38" spans="8:25" ht="14.45" x14ac:dyDescent="0.35">
      <c r="T38" t="s">
        <v>66</v>
      </c>
      <c r="U38" s="33">
        <f>U31</f>
        <v>3.9209152997248529</v>
      </c>
      <c r="V38" s="34">
        <f t="shared" ref="V38:Y39" si="2">V31</f>
        <v>6.022457664517427</v>
      </c>
      <c r="W38" s="34">
        <f t="shared" si="2"/>
        <v>2.8843118421566065</v>
      </c>
      <c r="X38" s="34">
        <f t="shared" si="2"/>
        <v>3.290079670352942</v>
      </c>
      <c r="Y38" s="35">
        <f t="shared" si="2"/>
        <v>9.1960077523145358</v>
      </c>
    </row>
    <row r="39" spans="8:25" ht="14.45" x14ac:dyDescent="0.35">
      <c r="T39" t="s">
        <v>67</v>
      </c>
      <c r="U39" s="39">
        <f>U32</f>
        <v>7.2790847002751464</v>
      </c>
      <c r="V39" s="40">
        <f t="shared" si="2"/>
        <v>8.7775423354825737</v>
      </c>
      <c r="W39" s="40">
        <f t="shared" si="2"/>
        <v>7.2756881578433941</v>
      </c>
      <c r="X39" s="40">
        <f t="shared" si="2"/>
        <v>6.7899203296470585</v>
      </c>
      <c r="Y39" s="41">
        <f t="shared" si="2"/>
        <v>16.563992247685466</v>
      </c>
    </row>
    <row r="40" spans="8:25" ht="14.45" x14ac:dyDescent="0.35">
      <c r="T40" s="60" t="s">
        <v>72</v>
      </c>
      <c r="U40" s="57" t="str">
        <f>IF(U39&lt;U37,"low",IF(U37&lt;U38,"high","ok"))</f>
        <v>ok</v>
      </c>
      <c r="V40" s="58" t="str">
        <f>IF(V39&lt;V37,"low",IF(V37&lt;V38,"high","ok"))</f>
        <v>ok</v>
      </c>
      <c r="W40" s="58" t="str">
        <f>IF(W39&lt;W37,"low",IF(W37&lt;W38,"high","ok"))</f>
        <v>ok</v>
      </c>
      <c r="X40" s="58" t="str">
        <f>IF(X39&lt;X37,"low",IF(X37&lt;X38,"high","ok"))</f>
        <v>low</v>
      </c>
      <c r="Y40" s="59" t="str">
        <f>IF(Y39&lt;Y37,"low",IF(Y37&lt;Y38,"high","ok"))</f>
        <v>high</v>
      </c>
    </row>
    <row r="42" spans="8:25" ht="14.45" x14ac:dyDescent="0.35">
      <c r="T42" t="s">
        <v>82</v>
      </c>
    </row>
    <row r="44" spans="8:25" ht="14.45" x14ac:dyDescent="0.35">
      <c r="U44" s="47" t="str">
        <f t="shared" ref="U44:Y50" si="3">U4</f>
        <v>Style</v>
      </c>
      <c r="V44" s="47" t="str">
        <f t="shared" si="3"/>
        <v>Comfort</v>
      </c>
      <c r="W44" s="47" t="str">
        <f t="shared" si="3"/>
        <v>Stability</v>
      </c>
      <c r="X44" s="47" t="str">
        <f t="shared" si="3"/>
        <v>Cushion</v>
      </c>
      <c r="Y44" s="47" t="str">
        <f t="shared" si="3"/>
        <v>Durability</v>
      </c>
    </row>
    <row r="45" spans="8:25" ht="14.45" x14ac:dyDescent="0.35">
      <c r="T45" t="s">
        <v>71</v>
      </c>
      <c r="U45" s="63">
        <f t="shared" si="3"/>
        <v>7</v>
      </c>
      <c r="V45" s="64">
        <f t="shared" si="3"/>
        <v>8</v>
      </c>
      <c r="W45" s="64">
        <f t="shared" si="3"/>
        <v>5</v>
      </c>
      <c r="X45" s="64">
        <f t="shared" si="3"/>
        <v>7</v>
      </c>
      <c r="Y45" s="65">
        <f t="shared" si="3"/>
        <v>9</v>
      </c>
    </row>
    <row r="46" spans="8:25" ht="14.45" x14ac:dyDescent="0.35">
      <c r="T46" t="s">
        <v>48</v>
      </c>
      <c r="U46" s="66">
        <f t="shared" si="3"/>
        <v>5.6</v>
      </c>
      <c r="V46" s="56">
        <f t="shared" si="3"/>
        <v>7.4</v>
      </c>
      <c r="W46" s="56">
        <f t="shared" si="3"/>
        <v>5.08</v>
      </c>
      <c r="X46" s="56">
        <f t="shared" si="3"/>
        <v>5.04</v>
      </c>
      <c r="Y46" s="67">
        <f t="shared" si="3"/>
        <v>12.88</v>
      </c>
    </row>
    <row r="47" spans="8:25" ht="14.45" x14ac:dyDescent="0.35">
      <c r="T47" t="s">
        <v>61</v>
      </c>
      <c r="U47" s="66">
        <f t="shared" si="3"/>
        <v>2.0816659994661326</v>
      </c>
      <c r="V47" s="56">
        <f t="shared" si="3"/>
        <v>1.707825127659933</v>
      </c>
      <c r="W47" s="56">
        <f t="shared" si="3"/>
        <v>2.7221315177632399</v>
      </c>
      <c r="X47" s="56">
        <f t="shared" si="3"/>
        <v>2.1694853460363976</v>
      </c>
      <c r="Y47" s="67">
        <f t="shared" si="3"/>
        <v>4.5672748986676961</v>
      </c>
    </row>
    <row r="48" spans="8:25" x14ac:dyDescent="0.25">
      <c r="T48" t="s">
        <v>52</v>
      </c>
      <c r="U48" s="66">
        <f t="shared" si="3"/>
        <v>25</v>
      </c>
      <c r="V48" s="56">
        <f t="shared" si="3"/>
        <v>25</v>
      </c>
      <c r="W48" s="56">
        <f t="shared" si="3"/>
        <v>25</v>
      </c>
      <c r="X48" s="56">
        <f t="shared" si="3"/>
        <v>25</v>
      </c>
      <c r="Y48" s="67">
        <f t="shared" si="3"/>
        <v>25</v>
      </c>
    </row>
    <row r="49" spans="20:25" x14ac:dyDescent="0.25">
      <c r="T49" t="s">
        <v>70</v>
      </c>
      <c r="U49" s="66">
        <f t="shared" si="3"/>
        <v>0.41633319989322654</v>
      </c>
      <c r="V49" s="56">
        <f t="shared" si="3"/>
        <v>0.34156502553198659</v>
      </c>
      <c r="W49" s="56">
        <f t="shared" si="3"/>
        <v>0.54442630355264798</v>
      </c>
      <c r="X49" s="56">
        <f t="shared" si="3"/>
        <v>0.43389706920727955</v>
      </c>
      <c r="Y49" s="67">
        <f t="shared" si="3"/>
        <v>0.91345497973353917</v>
      </c>
    </row>
    <row r="50" spans="20:25" x14ac:dyDescent="0.25">
      <c r="T50" t="s">
        <v>62</v>
      </c>
      <c r="U50" s="66">
        <f t="shared" si="3"/>
        <v>24</v>
      </c>
      <c r="V50" s="56">
        <f t="shared" si="3"/>
        <v>24</v>
      </c>
      <c r="W50" s="56">
        <f t="shared" si="3"/>
        <v>24</v>
      </c>
      <c r="X50" s="56">
        <f t="shared" si="3"/>
        <v>24</v>
      </c>
      <c r="Y50" s="67">
        <f t="shared" si="3"/>
        <v>24</v>
      </c>
    </row>
    <row r="51" spans="20:25" x14ac:dyDescent="0.25">
      <c r="T51" s="46" t="s">
        <v>57</v>
      </c>
      <c r="U51" s="66">
        <f>U11/U24</f>
        <v>0.01</v>
      </c>
      <c r="V51" s="37">
        <f>U51</f>
        <v>0.01</v>
      </c>
      <c r="W51" s="37">
        <f>V51</f>
        <v>0.01</v>
      </c>
      <c r="X51" s="37">
        <f>W51</f>
        <v>0.01</v>
      </c>
      <c r="Y51" s="38">
        <f>X51</f>
        <v>0.01</v>
      </c>
    </row>
    <row r="52" spans="20:25" x14ac:dyDescent="0.25">
      <c r="T52" t="s">
        <v>64</v>
      </c>
      <c r="U52" s="36">
        <f>(U46-U45)/(U47/SQRT(U48))</f>
        <v>-3.3626912299068308</v>
      </c>
      <c r="V52" s="37">
        <f>(V46-V45)/(V47/SQRT(V48))</f>
        <v>-1.7566201313073588</v>
      </c>
      <c r="W52" s="37">
        <f>(W46-W45)/(W47/SQRT(W48))</f>
        <v>0.14694367167412914</v>
      </c>
      <c r="X52" s="37">
        <f>(X46-X45)/(X47/SQRT(X48))</f>
        <v>-4.5172003663930642</v>
      </c>
      <c r="Y52" s="38">
        <f>(Y46-Y45)/(Y47/SQRT(Y48))</f>
        <v>4.2476094455490543</v>
      </c>
    </row>
    <row r="53" spans="20:25" x14ac:dyDescent="0.25">
      <c r="T53" t="s">
        <v>63</v>
      </c>
      <c r="U53" s="39">
        <f>TINV(U51,U50)</f>
        <v>2.7969395047744556</v>
      </c>
      <c r="V53" s="40">
        <f>TINV(V51,V50)</f>
        <v>2.7969395047744556</v>
      </c>
      <c r="W53" s="40">
        <f>TINV(W51,W50)</f>
        <v>2.7969395047744556</v>
      </c>
      <c r="X53" s="40">
        <f>TINV(X51,X50)</f>
        <v>2.7969395047744556</v>
      </c>
      <c r="Y53" s="41">
        <f>TINV(Y51,Y50)</f>
        <v>2.7969395047744556</v>
      </c>
    </row>
    <row r="54" spans="20:25" x14ac:dyDescent="0.25">
      <c r="T54" t="s">
        <v>65</v>
      </c>
      <c r="U54" s="33">
        <f>TDIST(ABS(U52),U50,2)</f>
        <v>2.583709346226887E-3</v>
      </c>
      <c r="V54" s="34">
        <f>TDIST(ABS(V52),V50,2)</f>
        <v>9.1736307558872063E-2</v>
      </c>
      <c r="W54" s="34">
        <f>TDIST(ABS(W52),W50,2)</f>
        <v>0.8844038961329298</v>
      </c>
      <c r="X54" s="34">
        <f>TDIST(ABS(X52),X50,2)</f>
        <v>1.4176692306704889E-4</v>
      </c>
      <c r="Y54" s="35">
        <f>TDIST(ABS(Y52),Y50,2)</f>
        <v>2.8136047814428781E-4</v>
      </c>
    </row>
    <row r="55" spans="20:25" x14ac:dyDescent="0.25">
      <c r="T55" t="s">
        <v>60</v>
      </c>
      <c r="U55" s="57" t="str">
        <f>IF(U54&lt;=U51,"yes","no")</f>
        <v>yes</v>
      </c>
      <c r="V55" s="58" t="str">
        <f>IF(V54&lt;=V51,"yes","no")</f>
        <v>no</v>
      </c>
      <c r="W55" s="58" t="str">
        <f>IF(W54&lt;=W51,"yes","no")</f>
        <v>no</v>
      </c>
      <c r="X55" s="58" t="str">
        <f>IF(X54&lt;=X51,"yes","no")</f>
        <v>yes</v>
      </c>
      <c r="Y55" s="59" t="str">
        <f>IF(Y54&lt;=Y51,"yes","no")</f>
        <v>yes</v>
      </c>
    </row>
    <row r="56" spans="20:25" x14ac:dyDescent="0.25">
      <c r="T56" t="s">
        <v>66</v>
      </c>
      <c r="U56" s="33">
        <f>U46-U53*U49</f>
        <v>4.435541226069474</v>
      </c>
      <c r="V56" s="34">
        <f>V46-V53*V49</f>
        <v>6.4446632866402913</v>
      </c>
      <c r="W56" s="34">
        <f>W46-W53*W49</f>
        <v>3.5572725641552694</v>
      </c>
      <c r="X56" s="34">
        <f>X46-X53*X49</f>
        <v>3.8264161461283042</v>
      </c>
      <c r="Y56" s="35">
        <f>Y46-Y53*Y49</f>
        <v>10.325121681350316</v>
      </c>
    </row>
    <row r="57" spans="20:25" x14ac:dyDescent="0.25">
      <c r="T57" t="s">
        <v>67</v>
      </c>
      <c r="U57" s="39">
        <f>U46+U53*U49</f>
        <v>6.7644587739305253</v>
      </c>
      <c r="V57" s="40">
        <f>V46+V53*V49</f>
        <v>8.3553367133597085</v>
      </c>
      <c r="W57" s="40">
        <f>W46+W53*W49</f>
        <v>6.6027274358447308</v>
      </c>
      <c r="X57" s="40">
        <f>X46+X53*X49</f>
        <v>6.2535838538716959</v>
      </c>
      <c r="Y57" s="41">
        <f>Y46+Y53*Y49</f>
        <v>15.434878318649686</v>
      </c>
    </row>
    <row r="59" spans="20:25" x14ac:dyDescent="0.25">
      <c r="T59" t="s">
        <v>84</v>
      </c>
    </row>
    <row r="61" spans="20:25" x14ac:dyDescent="0.25">
      <c r="U61" s="47" t="str">
        <f t="shared" ref="U61:Y62" si="4">U44</f>
        <v>Style</v>
      </c>
      <c r="V61" s="47" t="str">
        <f t="shared" si="4"/>
        <v>Comfort</v>
      </c>
      <c r="W61" s="47" t="str">
        <f t="shared" si="4"/>
        <v>Stability</v>
      </c>
      <c r="X61" s="47" t="str">
        <f t="shared" si="4"/>
        <v>Cushion</v>
      </c>
      <c r="Y61" s="47" t="str">
        <f t="shared" si="4"/>
        <v>Durability</v>
      </c>
    </row>
    <row r="62" spans="20:25" x14ac:dyDescent="0.25">
      <c r="T62" t="s">
        <v>71</v>
      </c>
      <c r="U62" s="53">
        <f t="shared" si="4"/>
        <v>7</v>
      </c>
      <c r="V62" s="54">
        <f t="shared" si="4"/>
        <v>8</v>
      </c>
      <c r="W62" s="54">
        <f t="shared" si="4"/>
        <v>5</v>
      </c>
      <c r="X62" s="54">
        <f t="shared" si="4"/>
        <v>7</v>
      </c>
      <c r="Y62" s="55">
        <f t="shared" si="4"/>
        <v>9</v>
      </c>
    </row>
    <row r="63" spans="20:25" x14ac:dyDescent="0.25">
      <c r="T63" t="s">
        <v>66</v>
      </c>
      <c r="U63" s="33">
        <f t="shared" ref="U63:Y64" si="5">U56</f>
        <v>4.435541226069474</v>
      </c>
      <c r="V63" s="34">
        <f t="shared" si="5"/>
        <v>6.4446632866402913</v>
      </c>
      <c r="W63" s="34">
        <f t="shared" si="5"/>
        <v>3.5572725641552694</v>
      </c>
      <c r="X63" s="34">
        <f t="shared" si="5"/>
        <v>3.8264161461283042</v>
      </c>
      <c r="Y63" s="35">
        <f t="shared" si="5"/>
        <v>10.325121681350316</v>
      </c>
    </row>
    <row r="64" spans="20:25" x14ac:dyDescent="0.25">
      <c r="T64" t="s">
        <v>67</v>
      </c>
      <c r="U64" s="39">
        <f t="shared" si="5"/>
        <v>6.7644587739305253</v>
      </c>
      <c r="V64" s="40">
        <f t="shared" si="5"/>
        <v>8.3553367133597085</v>
      </c>
      <c r="W64" s="40">
        <f t="shared" si="5"/>
        <v>6.6027274358447308</v>
      </c>
      <c r="X64" s="40">
        <f t="shared" si="5"/>
        <v>6.2535838538716959</v>
      </c>
      <c r="Y64" s="41">
        <f t="shared" si="5"/>
        <v>15.434878318649686</v>
      </c>
    </row>
    <row r="65" spans="20:25" x14ac:dyDescent="0.25">
      <c r="T65" s="60" t="s">
        <v>72</v>
      </c>
      <c r="U65" s="57" t="str">
        <f>IF(U64&lt;U62,"low",IF(U62&lt;U63,"high","ok"))</f>
        <v>low</v>
      </c>
      <c r="V65" s="58" t="str">
        <f>IF(V64&lt;V62,"low",IF(V62&lt;V63,"high","ok"))</f>
        <v>ok</v>
      </c>
      <c r="W65" s="58" t="str">
        <f>IF(W64&lt;W62,"low",IF(W62&lt;W63,"high","ok"))</f>
        <v>ok</v>
      </c>
      <c r="X65" s="58" t="str">
        <f>IF(X64&lt;X62,"low",IF(X62&lt;X63,"high","ok"))</f>
        <v>low</v>
      </c>
      <c r="Y65" s="59" t="str">
        <f>IF(Y64&lt;Y62,"low",IF(Y62&lt;Y63,"high","ok"))</f>
        <v>high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AK53"/>
  <sheetViews>
    <sheetView zoomScaleNormal="100" workbookViewId="0"/>
  </sheetViews>
  <sheetFormatPr defaultRowHeight="15" x14ac:dyDescent="0.25"/>
  <cols>
    <col min="7" max="7" width="4.7109375" customWidth="1"/>
    <col min="13" max="13" width="7.28515625" customWidth="1"/>
    <col min="20" max="23" width="9.140625" customWidth="1"/>
    <col min="32" max="32" width="11.28515625" customWidth="1"/>
  </cols>
  <sheetData>
    <row r="1" spans="1:37" ht="14.45" x14ac:dyDescent="0.35">
      <c r="A1" s="42" t="s">
        <v>88</v>
      </c>
    </row>
    <row r="2" spans="1:37" ht="14.45" x14ac:dyDescent="0.35">
      <c r="A2" s="42"/>
    </row>
    <row r="3" spans="1:37" ht="14.45" x14ac:dyDescent="0.35">
      <c r="B3" s="46" t="s">
        <v>85</v>
      </c>
      <c r="H3" t="s">
        <v>86</v>
      </c>
      <c r="N3" t="s">
        <v>87</v>
      </c>
    </row>
    <row r="4" spans="1:37" ht="14.45" x14ac:dyDescent="0.35">
      <c r="AF4" t="s">
        <v>68</v>
      </c>
    </row>
    <row r="5" spans="1:37" ht="14.45" x14ac:dyDescent="0.35">
      <c r="A5" s="32" t="s">
        <v>41</v>
      </c>
      <c r="B5" s="32" t="s">
        <v>42</v>
      </c>
      <c r="C5" s="32" t="s">
        <v>43</v>
      </c>
      <c r="D5" s="32" t="s">
        <v>45</v>
      </c>
      <c r="E5" s="32" t="s">
        <v>46</v>
      </c>
      <c r="F5" s="32" t="s">
        <v>44</v>
      </c>
      <c r="H5" s="32" t="s">
        <v>42</v>
      </c>
      <c r="I5" s="32" t="s">
        <v>43</v>
      </c>
      <c r="J5" s="32" t="s">
        <v>45</v>
      </c>
      <c r="K5" s="32" t="s">
        <v>46</v>
      </c>
      <c r="L5" s="32" t="s">
        <v>44</v>
      </c>
      <c r="N5" s="32" t="s">
        <v>42</v>
      </c>
      <c r="O5" s="32" t="s">
        <v>43</v>
      </c>
      <c r="P5" s="32" t="s">
        <v>45</v>
      </c>
      <c r="Q5" s="32" t="s">
        <v>46</v>
      </c>
      <c r="R5" s="32" t="s">
        <v>44</v>
      </c>
      <c r="U5" s="32" t="s">
        <v>47</v>
      </c>
      <c r="V5" s="32" t="s">
        <v>34</v>
      </c>
      <c r="W5" s="32" t="s">
        <v>36</v>
      </c>
    </row>
    <row r="6" spans="1:37" ht="14.45" x14ac:dyDescent="0.35">
      <c r="A6">
        <v>1</v>
      </c>
      <c r="B6" s="33">
        <v>6</v>
      </c>
      <c r="C6" s="34">
        <v>8</v>
      </c>
      <c r="D6" s="34">
        <v>3</v>
      </c>
      <c r="E6" s="34">
        <v>5</v>
      </c>
      <c r="F6" s="35">
        <v>19</v>
      </c>
      <c r="H6" s="33">
        <v>8</v>
      </c>
      <c r="I6" s="34">
        <v>6</v>
      </c>
      <c r="J6" s="34">
        <v>5</v>
      </c>
      <c r="K6" s="34">
        <v>6</v>
      </c>
      <c r="L6" s="35">
        <v>10</v>
      </c>
      <c r="N6" s="33">
        <f>B6-H6</f>
        <v>-2</v>
      </c>
      <c r="O6" s="34">
        <f>C6-I6</f>
        <v>2</v>
      </c>
      <c r="P6" s="34">
        <f>D6-J6</f>
        <v>-2</v>
      </c>
      <c r="Q6" s="34">
        <f>E6-K6</f>
        <v>-1</v>
      </c>
      <c r="R6" s="35">
        <f>F6-L6</f>
        <v>9</v>
      </c>
      <c r="T6" t="s">
        <v>42</v>
      </c>
      <c r="U6" s="43">
        <v>0</v>
      </c>
      <c r="V6" s="34">
        <f t="array" ref="V6:W10">TRANSPOSE(N32:R33)</f>
        <v>-1.32</v>
      </c>
      <c r="W6" s="35">
        <v>2.1158134763411134</v>
      </c>
      <c r="AG6" s="47" t="str">
        <f>N5</f>
        <v>Style</v>
      </c>
      <c r="AH6" s="47" t="str">
        <f>O5</f>
        <v>Comfort</v>
      </c>
      <c r="AI6" s="47" t="str">
        <f>P5</f>
        <v>Stability</v>
      </c>
      <c r="AJ6" s="47" t="str">
        <f>Q5</f>
        <v>Cushion</v>
      </c>
      <c r="AK6" s="47" t="str">
        <f>R5</f>
        <v>Durability</v>
      </c>
    </row>
    <row r="7" spans="1:37" ht="14.45" x14ac:dyDescent="0.35">
      <c r="A7">
        <f>A6+1</f>
        <v>2</v>
      </c>
      <c r="B7" s="36">
        <v>6</v>
      </c>
      <c r="C7" s="37">
        <v>7</v>
      </c>
      <c r="D7" s="37">
        <v>3</v>
      </c>
      <c r="E7" s="37">
        <v>4</v>
      </c>
      <c r="F7" s="38">
        <v>9</v>
      </c>
      <c r="H7" s="36">
        <v>8</v>
      </c>
      <c r="I7" s="37">
        <v>6</v>
      </c>
      <c r="J7" s="37">
        <v>3</v>
      </c>
      <c r="K7" s="37">
        <v>6</v>
      </c>
      <c r="L7" s="38">
        <v>4</v>
      </c>
      <c r="N7" s="36">
        <f t="shared" ref="N7:N30" si="0">B7-H7</f>
        <v>-2</v>
      </c>
      <c r="O7" s="37">
        <f t="shared" ref="O7:O30" si="1">C7-I7</f>
        <v>1</v>
      </c>
      <c r="P7" s="37">
        <f t="shared" ref="P7:P30" si="2">D7-J7</f>
        <v>0</v>
      </c>
      <c r="Q7" s="37">
        <f t="shared" ref="Q7:Q30" si="3">E7-K7</f>
        <v>-2</v>
      </c>
      <c r="R7" s="38">
        <f t="shared" ref="R7:R30" si="4">F7-L7</f>
        <v>5</v>
      </c>
      <c r="T7" t="s">
        <v>43</v>
      </c>
      <c r="U7" s="44">
        <v>0</v>
      </c>
      <c r="V7" s="37">
        <v>2</v>
      </c>
      <c r="W7" s="38">
        <v>1.9790570145063195</v>
      </c>
      <c r="AF7" t="s">
        <v>71</v>
      </c>
      <c r="AG7" s="33">
        <f t="array" ref="AG7:AK9">TRANSPOSE(U6:W10)</f>
        <v>0</v>
      </c>
      <c r="AH7" s="34">
        <v>0</v>
      </c>
      <c r="AI7" s="34">
        <v>0</v>
      </c>
      <c r="AJ7" s="34">
        <v>0</v>
      </c>
      <c r="AK7" s="35">
        <v>0</v>
      </c>
    </row>
    <row r="8" spans="1:37" ht="14.45" x14ac:dyDescent="0.35">
      <c r="A8">
        <f t="shared" ref="A8:A30" si="5">A7+1</f>
        <v>3</v>
      </c>
      <c r="B8" s="36">
        <v>5</v>
      </c>
      <c r="C8" s="37">
        <v>7</v>
      </c>
      <c r="D8" s="37">
        <v>1</v>
      </c>
      <c r="E8" s="37">
        <v>4</v>
      </c>
      <c r="F8" s="38">
        <v>16</v>
      </c>
      <c r="H8" s="36">
        <v>7</v>
      </c>
      <c r="I8" s="37">
        <v>5</v>
      </c>
      <c r="J8" s="37">
        <v>6</v>
      </c>
      <c r="K8" s="37">
        <v>4</v>
      </c>
      <c r="L8" s="38">
        <v>17</v>
      </c>
      <c r="N8" s="36">
        <f t="shared" si="0"/>
        <v>-2</v>
      </c>
      <c r="O8" s="37">
        <f t="shared" si="1"/>
        <v>2</v>
      </c>
      <c r="P8" s="37">
        <f t="shared" si="2"/>
        <v>-5</v>
      </c>
      <c r="Q8" s="37">
        <f t="shared" si="3"/>
        <v>0</v>
      </c>
      <c r="R8" s="38">
        <f t="shared" si="4"/>
        <v>-1</v>
      </c>
      <c r="T8" t="s">
        <v>45</v>
      </c>
      <c r="U8" s="44">
        <v>0</v>
      </c>
      <c r="V8" s="37">
        <v>-0.72</v>
      </c>
      <c r="W8" s="38">
        <v>2.1315096371664222</v>
      </c>
      <c r="AF8" t="s">
        <v>48</v>
      </c>
      <c r="AG8" s="36">
        <v>-1.32</v>
      </c>
      <c r="AH8" s="37">
        <v>2</v>
      </c>
      <c r="AI8" s="37">
        <v>-0.72</v>
      </c>
      <c r="AJ8" s="37">
        <v>-0.32</v>
      </c>
      <c r="AK8" s="38">
        <v>2.76</v>
      </c>
    </row>
    <row r="9" spans="1:37" ht="14.45" x14ac:dyDescent="0.35">
      <c r="A9">
        <f t="shared" si="5"/>
        <v>4</v>
      </c>
      <c r="B9" s="36">
        <v>10</v>
      </c>
      <c r="C9" s="37">
        <v>9</v>
      </c>
      <c r="D9" s="37">
        <v>8</v>
      </c>
      <c r="E9" s="37">
        <v>4</v>
      </c>
      <c r="F9" s="38">
        <v>4</v>
      </c>
      <c r="H9" s="36">
        <v>9</v>
      </c>
      <c r="I9" s="37">
        <v>8</v>
      </c>
      <c r="J9" s="37">
        <v>6</v>
      </c>
      <c r="K9" s="37">
        <v>3</v>
      </c>
      <c r="L9" s="38">
        <v>4</v>
      </c>
      <c r="N9" s="36">
        <f t="shared" si="0"/>
        <v>1</v>
      </c>
      <c r="O9" s="37">
        <f t="shared" si="1"/>
        <v>1</v>
      </c>
      <c r="P9" s="37">
        <f t="shared" si="2"/>
        <v>2</v>
      </c>
      <c r="Q9" s="37">
        <f t="shared" si="3"/>
        <v>1</v>
      </c>
      <c r="R9" s="38">
        <f t="shared" si="4"/>
        <v>0</v>
      </c>
      <c r="T9" t="s">
        <v>46</v>
      </c>
      <c r="U9" s="44">
        <v>0</v>
      </c>
      <c r="V9" s="37">
        <v>-0.32</v>
      </c>
      <c r="W9" s="38">
        <v>2.3223551264467139</v>
      </c>
      <c r="AF9" t="s">
        <v>61</v>
      </c>
      <c r="AG9" s="36">
        <v>2.1158134763411134</v>
      </c>
      <c r="AH9" s="37">
        <v>1.9790570145063195</v>
      </c>
      <c r="AI9" s="37">
        <v>2.1315096371664222</v>
      </c>
      <c r="AJ9" s="37">
        <v>2.3223551264467139</v>
      </c>
      <c r="AK9" s="38">
        <v>4.390140468519582</v>
      </c>
    </row>
    <row r="10" spans="1:37" ht="14.45" x14ac:dyDescent="0.35">
      <c r="A10">
        <f t="shared" si="5"/>
        <v>5</v>
      </c>
      <c r="B10" s="36">
        <v>7</v>
      </c>
      <c r="C10" s="37">
        <v>9</v>
      </c>
      <c r="D10" s="37">
        <v>7</v>
      </c>
      <c r="E10" s="37">
        <v>6</v>
      </c>
      <c r="F10" s="38">
        <v>9</v>
      </c>
      <c r="H10" s="36">
        <v>8</v>
      </c>
      <c r="I10" s="37">
        <v>5</v>
      </c>
      <c r="J10" s="37">
        <v>6</v>
      </c>
      <c r="K10" s="37">
        <v>8</v>
      </c>
      <c r="L10" s="38">
        <v>11</v>
      </c>
      <c r="N10" s="36">
        <f t="shared" si="0"/>
        <v>-1</v>
      </c>
      <c r="O10" s="37">
        <f t="shared" si="1"/>
        <v>4</v>
      </c>
      <c r="P10" s="37">
        <f t="shared" si="2"/>
        <v>1</v>
      </c>
      <c r="Q10" s="37">
        <f t="shared" si="3"/>
        <v>-2</v>
      </c>
      <c r="R10" s="38">
        <f t="shared" si="4"/>
        <v>-2</v>
      </c>
      <c r="T10" t="s">
        <v>44</v>
      </c>
      <c r="U10" s="45">
        <v>0</v>
      </c>
      <c r="V10" s="40">
        <v>2.76</v>
      </c>
      <c r="W10" s="41">
        <v>4.390140468519582</v>
      </c>
      <c r="AF10" t="s">
        <v>52</v>
      </c>
      <c r="AG10" s="36">
        <f>U20</f>
        <v>25</v>
      </c>
      <c r="AH10" s="37">
        <f>AG10</f>
        <v>25</v>
      </c>
      <c r="AI10" s="37">
        <f>AH10</f>
        <v>25</v>
      </c>
      <c r="AJ10" s="37">
        <f>AI10</f>
        <v>25</v>
      </c>
      <c r="AK10" s="38">
        <f>AJ10</f>
        <v>25</v>
      </c>
    </row>
    <row r="11" spans="1:37" ht="14.45" x14ac:dyDescent="0.35">
      <c r="A11">
        <f t="shared" si="5"/>
        <v>6</v>
      </c>
      <c r="B11" s="36">
        <v>6</v>
      </c>
      <c r="C11" s="37">
        <v>6</v>
      </c>
      <c r="D11" s="37">
        <v>3</v>
      </c>
      <c r="E11" s="37">
        <v>9</v>
      </c>
      <c r="F11" s="38">
        <v>17</v>
      </c>
      <c r="H11" s="36">
        <v>8</v>
      </c>
      <c r="I11" s="37">
        <v>7</v>
      </c>
      <c r="J11" s="37">
        <v>4</v>
      </c>
      <c r="K11" s="37">
        <v>4</v>
      </c>
      <c r="L11" s="38">
        <v>13</v>
      </c>
      <c r="N11" s="36">
        <f t="shared" si="0"/>
        <v>-2</v>
      </c>
      <c r="O11" s="37">
        <f t="shared" si="1"/>
        <v>-1</v>
      </c>
      <c r="P11" s="37">
        <f t="shared" si="2"/>
        <v>-1</v>
      </c>
      <c r="Q11" s="37">
        <f t="shared" si="3"/>
        <v>5</v>
      </c>
      <c r="R11" s="38">
        <f t="shared" si="4"/>
        <v>4</v>
      </c>
      <c r="AF11" t="s">
        <v>70</v>
      </c>
      <c r="AG11" s="36">
        <f>AG9/SQRT(AG10)</f>
        <v>0.4231626952682227</v>
      </c>
      <c r="AH11" s="37">
        <f>AH9/SQRT(AH10)</f>
        <v>0.39581140290126393</v>
      </c>
      <c r="AI11" s="37">
        <f>AI9/SQRT(AI10)</f>
        <v>0.42630192743328443</v>
      </c>
      <c r="AJ11" s="37">
        <f>AJ9/SQRT(AJ10)</f>
        <v>0.46447102528934281</v>
      </c>
      <c r="AK11" s="38">
        <f>AK9/SQRT(AK10)</f>
        <v>0.87802809370391643</v>
      </c>
    </row>
    <row r="12" spans="1:37" ht="14.45" x14ac:dyDescent="0.35">
      <c r="A12">
        <f t="shared" si="5"/>
        <v>7</v>
      </c>
      <c r="B12" s="36">
        <v>5</v>
      </c>
      <c r="C12" s="37">
        <v>8</v>
      </c>
      <c r="D12" s="37">
        <v>6</v>
      </c>
      <c r="E12" s="37">
        <v>7</v>
      </c>
      <c r="F12" s="38">
        <v>6</v>
      </c>
      <c r="H12" s="36">
        <v>7</v>
      </c>
      <c r="I12" s="37">
        <v>3</v>
      </c>
      <c r="J12" s="37">
        <v>6</v>
      </c>
      <c r="K12" s="37">
        <v>3</v>
      </c>
      <c r="L12" s="38">
        <v>8</v>
      </c>
      <c r="N12" s="36">
        <f t="shared" si="0"/>
        <v>-2</v>
      </c>
      <c r="O12" s="37">
        <f t="shared" si="1"/>
        <v>5</v>
      </c>
      <c r="P12" s="37">
        <f t="shared" si="2"/>
        <v>0</v>
      </c>
      <c r="Q12" s="37">
        <f t="shared" si="3"/>
        <v>4</v>
      </c>
      <c r="R12" s="38">
        <f t="shared" si="4"/>
        <v>-2</v>
      </c>
      <c r="T12" t="s">
        <v>50</v>
      </c>
      <c r="Z12" t="s">
        <v>39</v>
      </c>
      <c r="AF12" t="s">
        <v>62</v>
      </c>
      <c r="AG12" s="36">
        <f>AG10-1</f>
        <v>24</v>
      </c>
      <c r="AH12" s="37">
        <f>AH10-1</f>
        <v>24</v>
      </c>
      <c r="AI12" s="37">
        <f>AI10-1</f>
        <v>24</v>
      </c>
      <c r="AJ12" s="37">
        <f>AJ10-1</f>
        <v>24</v>
      </c>
      <c r="AK12" s="38">
        <f>AK10-1</f>
        <v>24</v>
      </c>
    </row>
    <row r="13" spans="1:37" x14ac:dyDescent="0.25">
      <c r="A13">
        <f t="shared" si="5"/>
        <v>8</v>
      </c>
      <c r="B13" s="36">
        <v>3</v>
      </c>
      <c r="C13" s="37">
        <v>7</v>
      </c>
      <c r="D13" s="37">
        <v>3</v>
      </c>
      <c r="E13" s="37">
        <v>6</v>
      </c>
      <c r="F13" s="38">
        <v>16</v>
      </c>
      <c r="H13" s="36">
        <v>6</v>
      </c>
      <c r="I13" s="37">
        <v>6</v>
      </c>
      <c r="J13" s="37">
        <v>5</v>
      </c>
      <c r="K13" s="37">
        <v>8</v>
      </c>
      <c r="L13" s="38">
        <v>14</v>
      </c>
      <c r="N13" s="36">
        <f t="shared" si="0"/>
        <v>-3</v>
      </c>
      <c r="O13" s="37">
        <f t="shared" si="1"/>
        <v>1</v>
      </c>
      <c r="P13" s="37">
        <f t="shared" si="2"/>
        <v>-2</v>
      </c>
      <c r="Q13" s="37">
        <f t="shared" si="3"/>
        <v>-2</v>
      </c>
      <c r="R13" s="38">
        <f t="shared" si="4"/>
        <v>2</v>
      </c>
      <c r="AF13" s="46" t="s">
        <v>57</v>
      </c>
      <c r="AG13" s="12">
        <v>0.05</v>
      </c>
      <c r="AH13" s="37">
        <f>AG13</f>
        <v>0.05</v>
      </c>
      <c r="AI13" s="37">
        <f>AH13</f>
        <v>0.05</v>
      </c>
      <c r="AJ13" s="37">
        <f>AI13</f>
        <v>0.05</v>
      </c>
      <c r="AK13" s="38">
        <f>AJ13</f>
        <v>0.05</v>
      </c>
    </row>
    <row r="14" spans="1:37" ht="14.45" x14ac:dyDescent="0.35">
      <c r="A14">
        <f t="shared" si="5"/>
        <v>9</v>
      </c>
      <c r="B14" s="36">
        <v>8</v>
      </c>
      <c r="C14" s="37">
        <v>8</v>
      </c>
      <c r="D14" s="37">
        <v>9</v>
      </c>
      <c r="E14" s="37">
        <v>3</v>
      </c>
      <c r="F14" s="38">
        <v>8</v>
      </c>
      <c r="H14" s="36">
        <v>6</v>
      </c>
      <c r="I14" s="37">
        <v>9</v>
      </c>
      <c r="J14" s="37">
        <v>7</v>
      </c>
      <c r="K14" s="37">
        <v>5</v>
      </c>
      <c r="L14" s="38">
        <v>12</v>
      </c>
      <c r="N14" s="36">
        <f t="shared" si="0"/>
        <v>2</v>
      </c>
      <c r="O14" s="37">
        <f t="shared" si="1"/>
        <v>-1</v>
      </c>
      <c r="P14" s="37">
        <f t="shared" si="2"/>
        <v>2</v>
      </c>
      <c r="Q14" s="37">
        <f t="shared" si="3"/>
        <v>-2</v>
      </c>
      <c r="R14" s="38">
        <f t="shared" si="4"/>
        <v>-4</v>
      </c>
      <c r="T14" s="33">
        <f t="array" ref="T14:X18">[1]!COV(N6:R30)</f>
        <v>4.4766666666666683</v>
      </c>
      <c r="U14" s="34">
        <v>0.5</v>
      </c>
      <c r="V14" s="34">
        <v>0.13500000000000006</v>
      </c>
      <c r="W14" s="34">
        <v>-2.3333333333333268E-2</v>
      </c>
      <c r="X14" s="35">
        <v>-3.5799999999999992</v>
      </c>
      <c r="Z14" s="33">
        <f t="array" ref="Z14:AD18">[1]!CORR(N6:R30)</f>
        <v>1</v>
      </c>
      <c r="AA14" s="34">
        <v>0.11940824611669305</v>
      </c>
      <c r="AB14" s="34">
        <v>2.9934298769086785E-2</v>
      </c>
      <c r="AC14" s="34">
        <v>-4.7486567138447615E-3</v>
      </c>
      <c r="AD14" s="35">
        <v>-0.38541377387208864</v>
      </c>
      <c r="AF14" t="s">
        <v>64</v>
      </c>
      <c r="AG14" s="36">
        <f>(AG8-AG7)/(AG9/SQRT(AG10))</f>
        <v>-3.119367597286228</v>
      </c>
      <c r="AH14" s="37">
        <f>(AH8-AH7)/(AH9/SQRT(AH10))</f>
        <v>5.0529115263991136</v>
      </c>
      <c r="AI14" s="37">
        <f>(AI8-AI7)/(AI9/SQRT(AI10))</f>
        <v>-1.6889438064121323</v>
      </c>
      <c r="AJ14" s="37">
        <f>(AJ8-AJ7)/(AJ9/SQRT(AJ10))</f>
        <v>-0.68895578534883983</v>
      </c>
      <c r="AK14" s="38">
        <f>(AK8-AK7)/(AK9/SQRT(AK10))</f>
        <v>3.1434073918490255</v>
      </c>
    </row>
    <row r="15" spans="1:37" ht="14.45" x14ac:dyDescent="0.35">
      <c r="A15">
        <f t="shared" si="5"/>
        <v>10</v>
      </c>
      <c r="B15" s="36">
        <v>8</v>
      </c>
      <c r="C15" s="37">
        <v>6</v>
      </c>
      <c r="D15" s="37">
        <v>5</v>
      </c>
      <c r="E15" s="37">
        <v>3</v>
      </c>
      <c r="F15" s="38">
        <v>13</v>
      </c>
      <c r="H15" s="36">
        <v>7</v>
      </c>
      <c r="I15" s="37">
        <v>5</v>
      </c>
      <c r="J15" s="37">
        <v>9</v>
      </c>
      <c r="K15" s="37">
        <v>6</v>
      </c>
      <c r="L15" s="38">
        <v>11</v>
      </c>
      <c r="N15" s="36">
        <f t="shared" si="0"/>
        <v>1</v>
      </c>
      <c r="O15" s="37">
        <f t="shared" si="1"/>
        <v>1</v>
      </c>
      <c r="P15" s="37">
        <f t="shared" si="2"/>
        <v>-4</v>
      </c>
      <c r="Q15" s="37">
        <f t="shared" si="3"/>
        <v>-3</v>
      </c>
      <c r="R15" s="38">
        <f t="shared" si="4"/>
        <v>2</v>
      </c>
      <c r="T15" s="36">
        <v>0.5</v>
      </c>
      <c r="U15" s="37">
        <v>3.9166666666666665</v>
      </c>
      <c r="V15" s="37">
        <v>1.0416666666666665</v>
      </c>
      <c r="W15" s="37">
        <v>0.33333333333333331</v>
      </c>
      <c r="X15" s="38">
        <v>-0.91666666666666696</v>
      </c>
      <c r="Z15" s="36">
        <v>0.11940824611669305</v>
      </c>
      <c r="AA15" s="37">
        <v>1.0000000000000002</v>
      </c>
      <c r="AB15" s="37">
        <v>0.24693529012905843</v>
      </c>
      <c r="AC15" s="37">
        <v>7.2525679770177195E-2</v>
      </c>
      <c r="AD15" s="38">
        <v>-0.1055054069244344</v>
      </c>
      <c r="AF15" t="s">
        <v>63</v>
      </c>
      <c r="AG15" s="39">
        <f>TINV(AG13,AG12)</f>
        <v>2.0638985616280254</v>
      </c>
      <c r="AH15" s="40">
        <f>TINV(AH13,AH12)</f>
        <v>2.0638985616280254</v>
      </c>
      <c r="AI15" s="40">
        <f>TINV(AI13,AI12)</f>
        <v>2.0638985616280254</v>
      </c>
      <c r="AJ15" s="40">
        <f>TINV(AJ13,AJ12)</f>
        <v>2.0638985616280254</v>
      </c>
      <c r="AK15" s="41">
        <f>TINV(AK13,AK12)</f>
        <v>2.0638985616280254</v>
      </c>
    </row>
    <row r="16" spans="1:37" ht="14.45" x14ac:dyDescent="0.35">
      <c r="A16">
        <f t="shared" si="5"/>
        <v>11</v>
      </c>
      <c r="B16" s="36">
        <v>5</v>
      </c>
      <c r="C16" s="37">
        <v>9</v>
      </c>
      <c r="D16" s="37">
        <v>5</v>
      </c>
      <c r="E16" s="37">
        <v>4</v>
      </c>
      <c r="F16" s="38">
        <v>17</v>
      </c>
      <c r="H16" s="36">
        <v>7</v>
      </c>
      <c r="I16" s="37">
        <v>5</v>
      </c>
      <c r="J16" s="37">
        <v>4</v>
      </c>
      <c r="K16" s="37">
        <v>6</v>
      </c>
      <c r="L16" s="38">
        <v>15</v>
      </c>
      <c r="N16" s="36">
        <f t="shared" si="0"/>
        <v>-2</v>
      </c>
      <c r="O16" s="37">
        <f t="shared" si="1"/>
        <v>4</v>
      </c>
      <c r="P16" s="37">
        <f t="shared" si="2"/>
        <v>1</v>
      </c>
      <c r="Q16" s="37">
        <f t="shared" si="3"/>
        <v>-2</v>
      </c>
      <c r="R16" s="38">
        <f t="shared" si="4"/>
        <v>2</v>
      </c>
      <c r="T16" s="36">
        <v>0.13500000000000006</v>
      </c>
      <c r="U16" s="37">
        <v>1.0416666666666665</v>
      </c>
      <c r="V16" s="37">
        <v>4.543333333333333</v>
      </c>
      <c r="W16" s="37">
        <v>-0.15666666666666651</v>
      </c>
      <c r="X16" s="38">
        <v>-1.7216666666666658</v>
      </c>
      <c r="Z16" s="36">
        <v>2.9934298769086785E-2</v>
      </c>
      <c r="AA16" s="37">
        <v>0.24693529012905843</v>
      </c>
      <c r="AB16" s="37">
        <v>0.99999999999999989</v>
      </c>
      <c r="AC16" s="37">
        <v>-3.1649049483892522E-2</v>
      </c>
      <c r="AD16" s="38">
        <v>-0.18398539701405034</v>
      </c>
      <c r="AF16" t="s">
        <v>65</v>
      </c>
      <c r="AG16" s="33">
        <f>TDIST(ABS(AG14),AG12,2)</f>
        <v>4.6653934159287883E-3</v>
      </c>
      <c r="AH16" s="34">
        <f>TDIST(ABS(AH14),AH12,2)</f>
        <v>3.6354467564221652E-5</v>
      </c>
      <c r="AI16" s="34">
        <f>TDIST(ABS(AI14),AI12,2)</f>
        <v>0.10418264069765802</v>
      </c>
      <c r="AJ16" s="34">
        <f>TDIST(ABS(AJ14),AJ12,2)</f>
        <v>0.49745808082521559</v>
      </c>
      <c r="AK16" s="35">
        <f>TDIST(ABS(AK14),AK12,2)</f>
        <v>4.403161558730921E-3</v>
      </c>
    </row>
    <row r="17" spans="1:37" ht="14.45" x14ac:dyDescent="0.35">
      <c r="A17">
        <f t="shared" si="5"/>
        <v>12</v>
      </c>
      <c r="B17" s="36">
        <v>8</v>
      </c>
      <c r="C17" s="37">
        <v>8</v>
      </c>
      <c r="D17" s="37">
        <v>2</v>
      </c>
      <c r="E17" s="37">
        <v>3</v>
      </c>
      <c r="F17" s="38">
        <v>5</v>
      </c>
      <c r="H17" s="36">
        <v>5</v>
      </c>
      <c r="I17" s="37">
        <v>7</v>
      </c>
      <c r="J17" s="37">
        <v>4</v>
      </c>
      <c r="K17" s="37">
        <v>4</v>
      </c>
      <c r="L17" s="38">
        <v>6</v>
      </c>
      <c r="N17" s="36">
        <f t="shared" si="0"/>
        <v>3</v>
      </c>
      <c r="O17" s="37">
        <f t="shared" si="1"/>
        <v>1</v>
      </c>
      <c r="P17" s="37">
        <f t="shared" si="2"/>
        <v>-2</v>
      </c>
      <c r="Q17" s="37">
        <f t="shared" si="3"/>
        <v>-1</v>
      </c>
      <c r="R17" s="38">
        <f t="shared" si="4"/>
        <v>-1</v>
      </c>
      <c r="T17" s="36">
        <v>-2.3333333333333268E-2</v>
      </c>
      <c r="U17" s="37">
        <v>0.33333333333333331</v>
      </c>
      <c r="V17" s="37">
        <v>-0.15666666666666651</v>
      </c>
      <c r="W17" s="37">
        <v>5.3933333333333344</v>
      </c>
      <c r="X17" s="38">
        <v>-0.49666666666666687</v>
      </c>
      <c r="Z17" s="36">
        <v>-4.7486567138447615E-3</v>
      </c>
      <c r="AA17" s="37">
        <v>7.2525679770177195E-2</v>
      </c>
      <c r="AB17" s="37">
        <v>-3.1649049483892522E-2</v>
      </c>
      <c r="AC17" s="37">
        <v>1.0000000000000004</v>
      </c>
      <c r="AD17" s="38">
        <v>-4.8714468227669318E-2</v>
      </c>
      <c r="AF17" t="s">
        <v>60</v>
      </c>
      <c r="AG17" s="57" t="str">
        <f>IF(AG16&lt;=AG13,"yes","no")</f>
        <v>yes</v>
      </c>
      <c r="AH17" s="58" t="str">
        <f>IF(AH16&lt;=AH13,"yes","no")</f>
        <v>yes</v>
      </c>
      <c r="AI17" s="58" t="str">
        <f>IF(AI16&lt;=AI13,"yes","no")</f>
        <v>no</v>
      </c>
      <c r="AJ17" s="58" t="str">
        <f>IF(AJ16&lt;=AJ13,"yes","no")</f>
        <v>no</v>
      </c>
      <c r="AK17" s="59" t="str">
        <f>IF(AK16&lt;=AK13,"yes","no")</f>
        <v>yes</v>
      </c>
    </row>
    <row r="18" spans="1:37" ht="14.45" x14ac:dyDescent="0.35">
      <c r="A18">
        <f t="shared" si="5"/>
        <v>13</v>
      </c>
      <c r="B18" s="36">
        <v>5</v>
      </c>
      <c r="C18" s="37">
        <v>8</v>
      </c>
      <c r="D18" s="37">
        <v>7</v>
      </c>
      <c r="E18" s="37">
        <v>5</v>
      </c>
      <c r="F18" s="38">
        <v>8</v>
      </c>
      <c r="H18" s="36">
        <v>6</v>
      </c>
      <c r="I18" s="37">
        <v>4</v>
      </c>
      <c r="J18" s="37">
        <v>6</v>
      </c>
      <c r="K18" s="37">
        <v>4</v>
      </c>
      <c r="L18" s="38">
        <v>12</v>
      </c>
      <c r="N18" s="36">
        <f t="shared" si="0"/>
        <v>-1</v>
      </c>
      <c r="O18" s="37">
        <f t="shared" si="1"/>
        <v>4</v>
      </c>
      <c r="P18" s="37">
        <f t="shared" si="2"/>
        <v>1</v>
      </c>
      <c r="Q18" s="37">
        <f t="shared" si="3"/>
        <v>1</v>
      </c>
      <c r="R18" s="38">
        <f t="shared" si="4"/>
        <v>-4</v>
      </c>
      <c r="T18" s="39">
        <v>-3.5799999999999992</v>
      </c>
      <c r="U18" s="40">
        <v>-0.91666666666666696</v>
      </c>
      <c r="V18" s="40">
        <v>-1.7216666666666658</v>
      </c>
      <c r="W18" s="40">
        <v>-0.49666666666666687</v>
      </c>
      <c r="X18" s="41">
        <v>19.273333333333326</v>
      </c>
      <c r="Z18" s="39">
        <v>-0.38541377387208864</v>
      </c>
      <c r="AA18" s="40">
        <v>-0.1055054069244344</v>
      </c>
      <c r="AB18" s="40">
        <v>-0.18398539701405034</v>
      </c>
      <c r="AC18" s="40">
        <v>-4.8714468227669318E-2</v>
      </c>
      <c r="AD18" s="41">
        <v>1</v>
      </c>
      <c r="AF18" t="s">
        <v>66</v>
      </c>
      <c r="AG18" s="33">
        <f>AG8-AG15*AG11</f>
        <v>-2.1933648780987234</v>
      </c>
      <c r="AH18" s="34">
        <f>AH8-AH15*AH11</f>
        <v>1.1830854148761105</v>
      </c>
      <c r="AI18" s="34">
        <f>AI8-AI15*AI11</f>
        <v>-1.5998439348488107</v>
      </c>
      <c r="AJ18" s="34">
        <f>AJ8-AJ15*AJ11</f>
        <v>-1.2786210810125689</v>
      </c>
      <c r="AK18" s="35">
        <f>AK8-AK15*AK11</f>
        <v>0.94783908033548947</v>
      </c>
    </row>
    <row r="19" spans="1:37" ht="14.45" x14ac:dyDescent="0.35">
      <c r="A19">
        <f t="shared" si="5"/>
        <v>14</v>
      </c>
      <c r="B19" s="36">
        <v>4</v>
      </c>
      <c r="C19" s="37">
        <v>9</v>
      </c>
      <c r="D19" s="37">
        <v>10</v>
      </c>
      <c r="E19" s="37">
        <v>2</v>
      </c>
      <c r="F19" s="38">
        <v>16</v>
      </c>
      <c r="H19" s="36">
        <v>8</v>
      </c>
      <c r="I19" s="37">
        <v>7</v>
      </c>
      <c r="J19" s="37">
        <v>8</v>
      </c>
      <c r="K19" s="37">
        <v>5</v>
      </c>
      <c r="L19" s="38">
        <v>12</v>
      </c>
      <c r="N19" s="36">
        <f t="shared" si="0"/>
        <v>-4</v>
      </c>
      <c r="O19" s="37">
        <f t="shared" si="1"/>
        <v>2</v>
      </c>
      <c r="P19" s="37">
        <f t="shared" si="2"/>
        <v>2</v>
      </c>
      <c r="Q19" s="37">
        <f t="shared" si="3"/>
        <v>-3</v>
      </c>
      <c r="R19" s="38">
        <f t="shared" si="4"/>
        <v>4</v>
      </c>
      <c r="AF19" t="s">
        <v>67</v>
      </c>
      <c r="AG19" s="39">
        <f>AG8+AG15*AG11</f>
        <v>-0.44663512190127674</v>
      </c>
      <c r="AH19" s="40">
        <f>AH8+AH15*AH11</f>
        <v>2.8169145851238895</v>
      </c>
      <c r="AI19" s="40">
        <f>AI8+AI15*AI11</f>
        <v>0.15984393484881065</v>
      </c>
      <c r="AJ19" s="40">
        <f>AJ8+AJ15*AJ11</f>
        <v>0.63862108101256876</v>
      </c>
      <c r="AK19" s="41">
        <f>AK8+AK15*AK11</f>
        <v>4.5721609196645101</v>
      </c>
    </row>
    <row r="20" spans="1:37" ht="14.45" x14ac:dyDescent="0.35">
      <c r="A20">
        <f t="shared" si="5"/>
        <v>15</v>
      </c>
      <c r="B20" s="36">
        <v>2</v>
      </c>
      <c r="C20" s="37">
        <v>9</v>
      </c>
      <c r="D20" s="37">
        <v>4</v>
      </c>
      <c r="E20" s="37">
        <v>10</v>
      </c>
      <c r="F20" s="38">
        <v>14</v>
      </c>
      <c r="H20" s="36">
        <v>5</v>
      </c>
      <c r="I20" s="37">
        <v>6</v>
      </c>
      <c r="J20" s="37">
        <v>5</v>
      </c>
      <c r="K20" s="37">
        <v>7</v>
      </c>
      <c r="L20" s="38">
        <v>12</v>
      </c>
      <c r="N20" s="36">
        <f t="shared" si="0"/>
        <v>-3</v>
      </c>
      <c r="O20" s="37">
        <f t="shared" si="1"/>
        <v>3</v>
      </c>
      <c r="P20" s="37">
        <f t="shared" si="2"/>
        <v>-1</v>
      </c>
      <c r="Q20" s="37">
        <f t="shared" si="3"/>
        <v>3</v>
      </c>
      <c r="R20" s="38">
        <f t="shared" si="4"/>
        <v>2</v>
      </c>
      <c r="T20" t="s">
        <v>52</v>
      </c>
      <c r="U20" s="48">
        <f>COUNT(N6:N30)</f>
        <v>25</v>
      </c>
    </row>
    <row r="21" spans="1:37" ht="14.45" x14ac:dyDescent="0.35">
      <c r="A21">
        <f t="shared" si="5"/>
        <v>16</v>
      </c>
      <c r="B21" s="36">
        <v>7</v>
      </c>
      <c r="C21" s="37">
        <v>5</v>
      </c>
      <c r="D21" s="37">
        <v>8</v>
      </c>
      <c r="E21" s="37">
        <v>6</v>
      </c>
      <c r="F21" s="38">
        <v>15</v>
      </c>
      <c r="H21" s="36">
        <v>10</v>
      </c>
      <c r="I21" s="37">
        <v>5</v>
      </c>
      <c r="J21" s="37">
        <v>7</v>
      </c>
      <c r="K21" s="37">
        <v>6</v>
      </c>
      <c r="L21" s="38">
        <v>6</v>
      </c>
      <c r="N21" s="36">
        <f t="shared" si="0"/>
        <v>-3</v>
      </c>
      <c r="O21" s="37">
        <f t="shared" si="1"/>
        <v>0</v>
      </c>
      <c r="P21" s="37">
        <f t="shared" si="2"/>
        <v>1</v>
      </c>
      <c r="Q21" s="37">
        <f t="shared" si="3"/>
        <v>0</v>
      </c>
      <c r="R21" s="38">
        <f t="shared" si="4"/>
        <v>9</v>
      </c>
      <c r="T21" t="s">
        <v>53</v>
      </c>
      <c r="U21" s="49">
        <f>COUNT(N6:R6)</f>
        <v>5</v>
      </c>
      <c r="AF21" t="s">
        <v>69</v>
      </c>
    </row>
    <row r="22" spans="1:37" ht="16.5" x14ac:dyDescent="0.35">
      <c r="A22">
        <f t="shared" si="5"/>
        <v>17</v>
      </c>
      <c r="B22" s="36">
        <v>4</v>
      </c>
      <c r="C22" s="37">
        <v>8</v>
      </c>
      <c r="D22" s="37">
        <v>8</v>
      </c>
      <c r="E22" s="37">
        <v>2</v>
      </c>
      <c r="F22" s="38">
        <v>16</v>
      </c>
      <c r="H22" s="36">
        <v>9</v>
      </c>
      <c r="I22" s="37">
        <v>6</v>
      </c>
      <c r="J22" s="37">
        <v>9</v>
      </c>
      <c r="K22" s="37">
        <v>5</v>
      </c>
      <c r="L22" s="38">
        <v>11</v>
      </c>
      <c r="N22" s="36">
        <f t="shared" si="0"/>
        <v>-5</v>
      </c>
      <c r="O22" s="37">
        <f t="shared" si="1"/>
        <v>2</v>
      </c>
      <c r="P22" s="37">
        <f t="shared" si="2"/>
        <v>-1</v>
      </c>
      <c r="Q22" s="37">
        <f t="shared" si="3"/>
        <v>-3</v>
      </c>
      <c r="R22" s="38">
        <f t="shared" si="4"/>
        <v>5</v>
      </c>
      <c r="T22" t="s">
        <v>51</v>
      </c>
      <c r="U22" s="49">
        <f t="array" ref="U22">U20*MMULT(MMULT(TRANSPOSE(V6:V10-U6:U10),MINVERSE(T14:X18)),V6:V10-U6:U10)</f>
        <v>53.924824346519962</v>
      </c>
    </row>
    <row r="23" spans="1:37" ht="14.45" x14ac:dyDescent="0.35">
      <c r="A23">
        <f t="shared" si="5"/>
        <v>18</v>
      </c>
      <c r="B23" s="36">
        <v>5</v>
      </c>
      <c r="C23" s="37">
        <v>10</v>
      </c>
      <c r="D23" s="37">
        <v>9</v>
      </c>
      <c r="E23" s="37">
        <v>3</v>
      </c>
      <c r="F23" s="38">
        <v>11</v>
      </c>
      <c r="H23" s="36">
        <v>8</v>
      </c>
      <c r="I23" s="37">
        <v>7</v>
      </c>
      <c r="J23" s="37">
        <v>10</v>
      </c>
      <c r="K23" s="37">
        <v>5</v>
      </c>
      <c r="L23" s="38">
        <v>5</v>
      </c>
      <c r="N23" s="36">
        <f t="shared" si="0"/>
        <v>-3</v>
      </c>
      <c r="O23" s="37">
        <f t="shared" si="1"/>
        <v>3</v>
      </c>
      <c r="P23" s="37">
        <f t="shared" si="2"/>
        <v>-1</v>
      </c>
      <c r="Q23" s="37">
        <f t="shared" si="3"/>
        <v>-2</v>
      </c>
      <c r="R23" s="38">
        <f t="shared" si="4"/>
        <v>6</v>
      </c>
      <c r="T23" t="s">
        <v>54</v>
      </c>
      <c r="U23" s="49">
        <f>U22*(U20-U21)/(U21*(U20-1))</f>
        <v>8.9874707244199943</v>
      </c>
      <c r="AG23" s="47" t="str">
        <f>AG6</f>
        <v>Style</v>
      </c>
      <c r="AH23" s="47" t="str">
        <f>AH6</f>
        <v>Comfort</v>
      </c>
      <c r="AI23" s="47" t="str">
        <f>AI6</f>
        <v>Stability</v>
      </c>
      <c r="AJ23" s="47" t="str">
        <f>AJ6</f>
        <v>Cushion</v>
      </c>
      <c r="AK23" s="47" t="str">
        <f>AK6</f>
        <v>Durability</v>
      </c>
    </row>
    <row r="24" spans="1:37" ht="14.45" x14ac:dyDescent="0.35">
      <c r="A24">
        <f t="shared" si="5"/>
        <v>19</v>
      </c>
      <c r="B24" s="36">
        <v>7</v>
      </c>
      <c r="C24" s="37">
        <v>7</v>
      </c>
      <c r="D24" s="37">
        <v>3</v>
      </c>
      <c r="E24" s="37">
        <v>7</v>
      </c>
      <c r="F24" s="38">
        <v>12</v>
      </c>
      <c r="H24" s="36">
        <v>6</v>
      </c>
      <c r="I24" s="37">
        <v>2</v>
      </c>
      <c r="J24" s="37">
        <v>5</v>
      </c>
      <c r="K24" s="37">
        <v>3</v>
      </c>
      <c r="L24" s="38">
        <v>8</v>
      </c>
      <c r="N24" s="36">
        <f t="shared" si="0"/>
        <v>1</v>
      </c>
      <c r="O24" s="37">
        <f t="shared" si="1"/>
        <v>5</v>
      </c>
      <c r="P24" s="37">
        <f t="shared" si="2"/>
        <v>-2</v>
      </c>
      <c r="Q24" s="37">
        <f t="shared" si="3"/>
        <v>4</v>
      </c>
      <c r="R24" s="38">
        <f t="shared" si="4"/>
        <v>4</v>
      </c>
      <c r="T24" t="s">
        <v>55</v>
      </c>
      <c r="U24" s="49">
        <f>U21</f>
        <v>5</v>
      </c>
      <c r="AF24" t="s">
        <v>48</v>
      </c>
      <c r="AG24" s="33">
        <f>AG8</f>
        <v>-1.32</v>
      </c>
      <c r="AH24" s="34">
        <f>AH8</f>
        <v>2</v>
      </c>
      <c r="AI24" s="34">
        <f>AI8</f>
        <v>-0.72</v>
      </c>
      <c r="AJ24" s="34">
        <f>AJ8</f>
        <v>-0.32</v>
      </c>
      <c r="AK24" s="35">
        <f>AK8</f>
        <v>2.76</v>
      </c>
    </row>
    <row r="25" spans="1:37" ht="14.45" x14ac:dyDescent="0.35">
      <c r="A25">
        <f t="shared" si="5"/>
        <v>20</v>
      </c>
      <c r="B25" s="36">
        <v>1</v>
      </c>
      <c r="C25" s="37">
        <v>5</v>
      </c>
      <c r="D25" s="37">
        <v>2</v>
      </c>
      <c r="E25" s="37">
        <v>7</v>
      </c>
      <c r="F25" s="38">
        <v>17</v>
      </c>
      <c r="H25" s="36">
        <v>5</v>
      </c>
      <c r="I25" s="37">
        <v>7</v>
      </c>
      <c r="J25" s="37">
        <v>5</v>
      </c>
      <c r="K25" s="37">
        <v>5</v>
      </c>
      <c r="L25" s="38">
        <v>8</v>
      </c>
      <c r="N25" s="36">
        <f t="shared" si="0"/>
        <v>-4</v>
      </c>
      <c r="O25" s="37">
        <f t="shared" si="1"/>
        <v>-2</v>
      </c>
      <c r="P25" s="37">
        <f t="shared" si="2"/>
        <v>-3</v>
      </c>
      <c r="Q25" s="37">
        <f t="shared" si="3"/>
        <v>2</v>
      </c>
      <c r="R25" s="38">
        <f t="shared" si="4"/>
        <v>9</v>
      </c>
      <c r="T25" t="s">
        <v>56</v>
      </c>
      <c r="U25" s="49">
        <f>U20-U21</f>
        <v>20</v>
      </c>
      <c r="AF25" t="s">
        <v>52</v>
      </c>
      <c r="AG25" s="36">
        <f>U20</f>
        <v>25</v>
      </c>
      <c r="AH25" s="37">
        <f>AG25</f>
        <v>25</v>
      </c>
      <c r="AI25" s="37">
        <f>AH25</f>
        <v>25</v>
      </c>
      <c r="AJ25" s="37">
        <f>AI25</f>
        <v>25</v>
      </c>
      <c r="AK25" s="38">
        <f>AJ25</f>
        <v>25</v>
      </c>
    </row>
    <row r="26" spans="1:37" x14ac:dyDescent="0.25">
      <c r="A26">
        <f t="shared" si="5"/>
        <v>21</v>
      </c>
      <c r="B26" s="36">
        <v>5</v>
      </c>
      <c r="C26" s="37">
        <v>6</v>
      </c>
      <c r="D26" s="37">
        <v>7</v>
      </c>
      <c r="E26" s="37">
        <v>7</v>
      </c>
      <c r="F26" s="38">
        <v>20</v>
      </c>
      <c r="H26" s="36">
        <v>8</v>
      </c>
      <c r="I26" s="37">
        <v>4</v>
      </c>
      <c r="J26" s="37">
        <v>8</v>
      </c>
      <c r="K26" s="37">
        <v>8</v>
      </c>
      <c r="L26" s="38">
        <v>10</v>
      </c>
      <c r="N26" s="36">
        <f t="shared" si="0"/>
        <v>-3</v>
      </c>
      <c r="O26" s="37">
        <f t="shared" si="1"/>
        <v>2</v>
      </c>
      <c r="P26" s="37">
        <f t="shared" si="2"/>
        <v>-1</v>
      </c>
      <c r="Q26" s="37">
        <f t="shared" si="3"/>
        <v>-1</v>
      </c>
      <c r="R26" s="38">
        <f t="shared" si="4"/>
        <v>10</v>
      </c>
      <c r="T26" s="46" t="s">
        <v>57</v>
      </c>
      <c r="U26" s="50">
        <v>0.05</v>
      </c>
      <c r="AF26" s="60" t="s">
        <v>53</v>
      </c>
      <c r="AG26" s="36">
        <f>U21</f>
        <v>5</v>
      </c>
      <c r="AH26" s="37">
        <f t="shared" ref="AH26:AK30" si="6">AG26</f>
        <v>5</v>
      </c>
      <c r="AI26" s="37">
        <f t="shared" si="6"/>
        <v>5</v>
      </c>
      <c r="AJ26" s="37">
        <f t="shared" si="6"/>
        <v>5</v>
      </c>
      <c r="AK26" s="38">
        <f t="shared" si="6"/>
        <v>5</v>
      </c>
    </row>
    <row r="27" spans="1:37" ht="14.45" x14ac:dyDescent="0.35">
      <c r="A27">
        <f t="shared" si="5"/>
        <v>22</v>
      </c>
      <c r="B27" s="36">
        <v>4</v>
      </c>
      <c r="C27" s="37">
        <v>3</v>
      </c>
      <c r="D27" s="37">
        <v>1</v>
      </c>
      <c r="E27" s="37">
        <v>2</v>
      </c>
      <c r="F27" s="38">
        <v>15</v>
      </c>
      <c r="H27" s="36">
        <v>3</v>
      </c>
      <c r="I27" s="37">
        <v>2</v>
      </c>
      <c r="J27" s="37">
        <v>4</v>
      </c>
      <c r="K27" s="37">
        <v>4</v>
      </c>
      <c r="L27" s="38">
        <v>15</v>
      </c>
      <c r="N27" s="36">
        <f t="shared" si="0"/>
        <v>1</v>
      </c>
      <c r="O27" s="37">
        <f t="shared" si="1"/>
        <v>1</v>
      </c>
      <c r="P27" s="37">
        <f t="shared" si="2"/>
        <v>-3</v>
      </c>
      <c r="Q27" s="37">
        <f t="shared" si="3"/>
        <v>-2</v>
      </c>
      <c r="R27" s="38">
        <f t="shared" si="4"/>
        <v>0</v>
      </c>
      <c r="T27" t="s">
        <v>58</v>
      </c>
      <c r="U27" s="49">
        <f>FINV(U26,U24,U25)</f>
        <v>2.7108898372096917</v>
      </c>
      <c r="AF27" t="s">
        <v>55</v>
      </c>
      <c r="AG27" s="36">
        <f>U24</f>
        <v>5</v>
      </c>
      <c r="AH27" s="37">
        <f t="shared" si="6"/>
        <v>5</v>
      </c>
      <c r="AI27" s="37">
        <f t="shared" si="6"/>
        <v>5</v>
      </c>
      <c r="AJ27" s="37">
        <f t="shared" si="6"/>
        <v>5</v>
      </c>
      <c r="AK27" s="38">
        <f t="shared" si="6"/>
        <v>5</v>
      </c>
    </row>
    <row r="28" spans="1:37" ht="14.45" x14ac:dyDescent="0.35">
      <c r="A28">
        <f t="shared" si="5"/>
        <v>23</v>
      </c>
      <c r="B28" s="36">
        <v>7</v>
      </c>
      <c r="C28" s="37">
        <v>9</v>
      </c>
      <c r="D28" s="37">
        <v>6</v>
      </c>
      <c r="E28" s="37">
        <v>6</v>
      </c>
      <c r="F28" s="38">
        <v>9</v>
      </c>
      <c r="H28" s="36">
        <v>8</v>
      </c>
      <c r="I28" s="37">
        <v>6</v>
      </c>
      <c r="J28" s="37">
        <v>3</v>
      </c>
      <c r="K28" s="37">
        <v>6</v>
      </c>
      <c r="L28" s="38">
        <v>12</v>
      </c>
      <c r="N28" s="36">
        <f t="shared" si="0"/>
        <v>-1</v>
      </c>
      <c r="O28" s="37">
        <f t="shared" si="1"/>
        <v>3</v>
      </c>
      <c r="P28" s="37">
        <f t="shared" si="2"/>
        <v>3</v>
      </c>
      <c r="Q28" s="37">
        <f t="shared" si="3"/>
        <v>0</v>
      </c>
      <c r="R28" s="38">
        <f t="shared" si="4"/>
        <v>-3</v>
      </c>
      <c r="T28" t="s">
        <v>59</v>
      </c>
      <c r="U28" s="49">
        <f>FDIST(U23,U24,U25)</f>
        <v>1.3316488369991748E-4</v>
      </c>
      <c r="AF28" s="60" t="s">
        <v>56</v>
      </c>
      <c r="AG28" s="36">
        <f>U25</f>
        <v>20</v>
      </c>
      <c r="AH28" s="37">
        <f t="shared" si="6"/>
        <v>20</v>
      </c>
      <c r="AI28" s="37">
        <f t="shared" si="6"/>
        <v>20</v>
      </c>
      <c r="AJ28" s="37">
        <f t="shared" si="6"/>
        <v>20</v>
      </c>
      <c r="AK28" s="38">
        <f t="shared" si="6"/>
        <v>20</v>
      </c>
    </row>
    <row r="29" spans="1:37" x14ac:dyDescent="0.25">
      <c r="A29">
        <f t="shared" si="5"/>
        <v>24</v>
      </c>
      <c r="B29" s="36">
        <v>4</v>
      </c>
      <c r="C29" s="37">
        <v>5</v>
      </c>
      <c r="D29" s="37">
        <v>2</v>
      </c>
      <c r="E29" s="37">
        <v>4</v>
      </c>
      <c r="F29" s="38">
        <v>12</v>
      </c>
      <c r="H29" s="36">
        <v>5</v>
      </c>
      <c r="I29" s="37">
        <v>4</v>
      </c>
      <c r="J29" s="37">
        <v>6</v>
      </c>
      <c r="K29" s="37">
        <v>5</v>
      </c>
      <c r="L29" s="38">
        <v>9</v>
      </c>
      <c r="N29" s="36">
        <f t="shared" si="0"/>
        <v>-1</v>
      </c>
      <c r="O29" s="37">
        <f t="shared" si="1"/>
        <v>1</v>
      </c>
      <c r="P29" s="37">
        <f t="shared" si="2"/>
        <v>-4</v>
      </c>
      <c r="Q29" s="37">
        <f t="shared" si="3"/>
        <v>-1</v>
      </c>
      <c r="R29" s="38">
        <f t="shared" si="4"/>
        <v>3</v>
      </c>
      <c r="T29" t="s">
        <v>60</v>
      </c>
      <c r="U29" s="51" t="str">
        <f>IF(U28&lt;= U26,"yes","no")</f>
        <v>yes</v>
      </c>
      <c r="AF29" s="46" t="s">
        <v>57</v>
      </c>
      <c r="AG29" s="36">
        <f>U26</f>
        <v>0.05</v>
      </c>
      <c r="AH29" s="37">
        <f t="shared" si="6"/>
        <v>0.05</v>
      </c>
      <c r="AI29" s="37">
        <f t="shared" si="6"/>
        <v>0.05</v>
      </c>
      <c r="AJ29" s="37">
        <f t="shared" si="6"/>
        <v>0.05</v>
      </c>
      <c r="AK29" s="38">
        <f t="shared" si="6"/>
        <v>0.05</v>
      </c>
    </row>
    <row r="30" spans="1:37" ht="14.45" x14ac:dyDescent="0.35">
      <c r="A30">
        <f t="shared" si="5"/>
        <v>25</v>
      </c>
      <c r="B30" s="39">
        <v>8</v>
      </c>
      <c r="C30" s="40">
        <v>9</v>
      </c>
      <c r="D30" s="40">
        <v>5</v>
      </c>
      <c r="E30" s="40">
        <v>7</v>
      </c>
      <c r="F30" s="41">
        <v>18</v>
      </c>
      <c r="H30" s="39">
        <v>6</v>
      </c>
      <c r="I30" s="40">
        <v>3</v>
      </c>
      <c r="J30" s="40">
        <v>4</v>
      </c>
      <c r="K30" s="40">
        <v>8</v>
      </c>
      <c r="L30" s="41">
        <v>8</v>
      </c>
      <c r="N30" s="39">
        <f t="shared" si="0"/>
        <v>2</v>
      </c>
      <c r="O30" s="40">
        <f t="shared" si="1"/>
        <v>6</v>
      </c>
      <c r="P30" s="40">
        <f t="shared" si="2"/>
        <v>1</v>
      </c>
      <c r="Q30" s="40">
        <f t="shared" si="3"/>
        <v>-1</v>
      </c>
      <c r="R30" s="41">
        <f t="shared" si="4"/>
        <v>10</v>
      </c>
      <c r="AF30" t="s">
        <v>58</v>
      </c>
      <c r="AG30" s="36">
        <f>U27</f>
        <v>2.7108898372096917</v>
      </c>
      <c r="AH30" s="37">
        <f>AG30</f>
        <v>2.7108898372096917</v>
      </c>
      <c r="AI30" s="37">
        <f t="shared" si="6"/>
        <v>2.7108898372096917</v>
      </c>
      <c r="AJ30" s="37">
        <f t="shared" si="6"/>
        <v>2.7108898372096917</v>
      </c>
      <c r="AK30" s="38">
        <f t="shared" si="6"/>
        <v>2.7108898372096917</v>
      </c>
    </row>
    <row r="31" spans="1:37" ht="14.45" x14ac:dyDescent="0.35">
      <c r="T31" t="s">
        <v>916</v>
      </c>
      <c r="AF31" s="60" t="s">
        <v>63</v>
      </c>
      <c r="AG31" s="36">
        <f>SQRT(AG26*(AG25-1)/(AG25-AG26)*AG30)</f>
        <v>4.0330309970614096</v>
      </c>
      <c r="AH31" s="37">
        <f>SQRT(AH26*(AH25-1)/(AH25-AH26)*AH30)</f>
        <v>4.0330309970614096</v>
      </c>
      <c r="AI31" s="37">
        <f>SQRT(AI26*(AI25-1)/(AI25-AI26)*AI30)</f>
        <v>4.0330309970614096</v>
      </c>
      <c r="AJ31" s="37">
        <f>SQRT(AJ26*(AJ25-1)/(AJ25-AJ26)*AJ30)</f>
        <v>4.0330309970614096</v>
      </c>
      <c r="AK31" s="38">
        <f>SQRT(AK26*(AK25-1)/(AK25-AK26)*AK30)</f>
        <v>4.0330309970614096</v>
      </c>
    </row>
    <row r="32" spans="1:37" ht="14.45" x14ac:dyDescent="0.35">
      <c r="M32" t="s">
        <v>48</v>
      </c>
      <c r="N32" s="33">
        <f>AVERAGE(N6:N30)</f>
        <v>-1.32</v>
      </c>
      <c r="O32" s="34">
        <f>AVERAGE(O6:O30)</f>
        <v>2</v>
      </c>
      <c r="P32" s="34">
        <f>AVERAGE(P6:P30)</f>
        <v>-0.72</v>
      </c>
      <c r="Q32" s="34">
        <f>AVERAGE(Q6:Q30)</f>
        <v>-0.32</v>
      </c>
      <c r="R32" s="35">
        <f>AVERAGE(R6:R30)</f>
        <v>2.76</v>
      </c>
      <c r="AF32" t="s">
        <v>70</v>
      </c>
      <c r="AG32" s="39">
        <f>AG11</f>
        <v>0.4231626952682227</v>
      </c>
      <c r="AH32" s="40">
        <f>AH11</f>
        <v>0.39581140290126393</v>
      </c>
      <c r="AI32" s="40">
        <f>AI11</f>
        <v>0.42630192743328443</v>
      </c>
      <c r="AJ32" s="40">
        <f>AJ11</f>
        <v>0.46447102528934281</v>
      </c>
      <c r="AK32" s="41">
        <f>AK11</f>
        <v>0.87802809370391643</v>
      </c>
    </row>
    <row r="33" spans="13:37" ht="16.5" x14ac:dyDescent="0.35">
      <c r="M33" t="s">
        <v>49</v>
      </c>
      <c r="N33" s="39">
        <f>STDEV(N6:N30)</f>
        <v>2.1158134763411134</v>
      </c>
      <c r="O33" s="40">
        <f>STDEV(O6:O30)</f>
        <v>1.9790570145063195</v>
      </c>
      <c r="P33" s="40">
        <f>STDEV(P6:P30)</f>
        <v>2.1315096371664222</v>
      </c>
      <c r="Q33" s="40">
        <f>STDEV(Q6:Q30)</f>
        <v>2.3223551264467139</v>
      </c>
      <c r="R33" s="41">
        <f>STDEV(R6:R30)</f>
        <v>4.390140468519582</v>
      </c>
      <c r="T33" t="s">
        <v>51</v>
      </c>
      <c r="U33" s="48">
        <f>[1]!HotellingT2(B6:F30,H6:L30,1)</f>
        <v>53.924824346519962</v>
      </c>
      <c r="AF33" t="s">
        <v>66</v>
      </c>
      <c r="AG33" s="33">
        <f>AG24-AG31*AG32</f>
        <v>-3.0266282668167936</v>
      </c>
      <c r="AH33" s="34">
        <f>AH24-AH31*AH32</f>
        <v>0.40368034310884027</v>
      </c>
      <c r="AI33" s="34">
        <f>AI24-AI31*AI32</f>
        <v>-2.4392888874454597</v>
      </c>
      <c r="AJ33" s="34">
        <f>AJ24-AJ31*AJ32</f>
        <v>-2.1932260422288135</v>
      </c>
      <c r="AK33" s="35">
        <f>AK24-AK31*AK32</f>
        <v>-0.7811145181986352</v>
      </c>
    </row>
    <row r="34" spans="13:37" x14ac:dyDescent="0.25">
      <c r="T34" t="s">
        <v>54</v>
      </c>
      <c r="U34" s="49">
        <f>[1]!HotellingF(B6:F30,H6:L30,1)</f>
        <v>8.9874707244199943</v>
      </c>
      <c r="AF34" t="s">
        <v>67</v>
      </c>
      <c r="AG34" s="39">
        <f>AG24+AG31*AG32</f>
        <v>0.38662826681679352</v>
      </c>
      <c r="AH34" s="40">
        <f>AH24+AH31*AH32</f>
        <v>3.5963196568911595</v>
      </c>
      <c r="AI34" s="40">
        <f>AI24+AI31*AI32</f>
        <v>0.99928888744545974</v>
      </c>
      <c r="AJ34" s="40">
        <f>AJ24+AJ31*AJ32</f>
        <v>1.5532260422288133</v>
      </c>
      <c r="AK34" s="41">
        <f>AK24+AK31*AK32</f>
        <v>6.3011145181986343</v>
      </c>
    </row>
    <row r="35" spans="13:37" x14ac:dyDescent="0.25">
      <c r="T35" t="s">
        <v>55</v>
      </c>
      <c r="U35" s="49">
        <f>[1]!Hotellingdf1(B6:F30,H6:L30,1)</f>
        <v>5</v>
      </c>
      <c r="AF35" s="60" t="s">
        <v>72</v>
      </c>
      <c r="AG35" s="61" t="str">
        <f>IF(AG34&lt;0,"low",IF(0&lt;AG33,"high","ok"))</f>
        <v>ok</v>
      </c>
      <c r="AH35" s="68" t="str">
        <f>IF(AH34&lt;0,"low",IF(0&lt;AH33,"high","ok"))</f>
        <v>high</v>
      </c>
      <c r="AI35" s="68" t="str">
        <f>IF(AI34&lt;0,"low",IF(0&lt;AI33,"high","ok"))</f>
        <v>ok</v>
      </c>
      <c r="AJ35" s="68" t="str">
        <f>IF(AJ34&lt;0,"low",IF(0&lt;AJ33,"high","ok"))</f>
        <v>ok</v>
      </c>
      <c r="AK35" s="69" t="str">
        <f>IF(AK34&lt;0,"low",IF(0&lt;AK33,"high","ok"))</f>
        <v>ok</v>
      </c>
    </row>
    <row r="36" spans="13:37" x14ac:dyDescent="0.25">
      <c r="T36" t="s">
        <v>56</v>
      </c>
      <c r="U36" s="49">
        <f>[1]!Hotellingdf2(B6:F30,H6:L30,1)</f>
        <v>20</v>
      </c>
    </row>
    <row r="37" spans="13:37" x14ac:dyDescent="0.25">
      <c r="T37" t="s">
        <v>65</v>
      </c>
      <c r="U37" s="52">
        <f>[1]!T2TEST(B6:F30,H6:L30,1)</f>
        <v>1.3316488369996549E-4</v>
      </c>
      <c r="AF37" t="s">
        <v>82</v>
      </c>
    </row>
    <row r="39" spans="13:37" x14ac:dyDescent="0.25">
      <c r="AG39" s="47" t="str">
        <f t="shared" ref="AG39:AK45" si="7">AG6</f>
        <v>Style</v>
      </c>
      <c r="AH39" s="47" t="str">
        <f t="shared" si="7"/>
        <v>Comfort</v>
      </c>
      <c r="AI39" s="47" t="str">
        <f t="shared" si="7"/>
        <v>Stability</v>
      </c>
      <c r="AJ39" s="47" t="str">
        <f t="shared" si="7"/>
        <v>Cushion</v>
      </c>
      <c r="AK39" s="47" t="str">
        <f t="shared" si="7"/>
        <v>Durability</v>
      </c>
    </row>
    <row r="40" spans="13:37" x14ac:dyDescent="0.25">
      <c r="AF40" t="s">
        <v>71</v>
      </c>
      <c r="AG40" s="63">
        <f t="shared" si="7"/>
        <v>0</v>
      </c>
      <c r="AH40" s="64">
        <f t="shared" si="7"/>
        <v>0</v>
      </c>
      <c r="AI40" s="64">
        <f t="shared" si="7"/>
        <v>0</v>
      </c>
      <c r="AJ40" s="64">
        <f t="shared" si="7"/>
        <v>0</v>
      </c>
      <c r="AK40" s="65">
        <f t="shared" si="7"/>
        <v>0</v>
      </c>
    </row>
    <row r="41" spans="13:37" x14ac:dyDescent="0.25">
      <c r="AF41" t="s">
        <v>48</v>
      </c>
      <c r="AG41" s="66">
        <f t="shared" si="7"/>
        <v>-1.32</v>
      </c>
      <c r="AH41" s="56">
        <f t="shared" si="7"/>
        <v>2</v>
      </c>
      <c r="AI41" s="56">
        <f t="shared" si="7"/>
        <v>-0.72</v>
      </c>
      <c r="AJ41" s="56">
        <f t="shared" si="7"/>
        <v>-0.32</v>
      </c>
      <c r="AK41" s="67">
        <f t="shared" si="7"/>
        <v>2.76</v>
      </c>
    </row>
    <row r="42" spans="13:37" x14ac:dyDescent="0.25">
      <c r="AF42" t="s">
        <v>61</v>
      </c>
      <c r="AG42" s="66">
        <f t="shared" si="7"/>
        <v>2.1158134763411134</v>
      </c>
      <c r="AH42" s="56">
        <f t="shared" si="7"/>
        <v>1.9790570145063195</v>
      </c>
      <c r="AI42" s="56">
        <f t="shared" si="7"/>
        <v>2.1315096371664222</v>
      </c>
      <c r="AJ42" s="56">
        <f t="shared" si="7"/>
        <v>2.3223551264467139</v>
      </c>
      <c r="AK42" s="67">
        <f t="shared" si="7"/>
        <v>4.390140468519582</v>
      </c>
    </row>
    <row r="43" spans="13:37" x14ac:dyDescent="0.25">
      <c r="AF43" t="s">
        <v>52</v>
      </c>
      <c r="AG43" s="66">
        <f t="shared" si="7"/>
        <v>25</v>
      </c>
      <c r="AH43" s="56">
        <f t="shared" si="7"/>
        <v>25</v>
      </c>
      <c r="AI43" s="56">
        <f t="shared" si="7"/>
        <v>25</v>
      </c>
      <c r="AJ43" s="56">
        <f t="shared" si="7"/>
        <v>25</v>
      </c>
      <c r="AK43" s="67">
        <f t="shared" si="7"/>
        <v>25</v>
      </c>
    </row>
    <row r="44" spans="13:37" x14ac:dyDescent="0.25">
      <c r="AF44" t="s">
        <v>70</v>
      </c>
      <c r="AG44" s="66">
        <f t="shared" si="7"/>
        <v>0.4231626952682227</v>
      </c>
      <c r="AH44" s="56">
        <f t="shared" si="7"/>
        <v>0.39581140290126393</v>
      </c>
      <c r="AI44" s="56">
        <f t="shared" si="7"/>
        <v>0.42630192743328443</v>
      </c>
      <c r="AJ44" s="56">
        <f t="shared" si="7"/>
        <v>0.46447102528934281</v>
      </c>
      <c r="AK44" s="67">
        <f t="shared" si="7"/>
        <v>0.87802809370391643</v>
      </c>
    </row>
    <row r="45" spans="13:37" x14ac:dyDescent="0.25">
      <c r="AF45" t="s">
        <v>62</v>
      </c>
      <c r="AG45" s="66">
        <f t="shared" si="7"/>
        <v>24</v>
      </c>
      <c r="AH45" s="56">
        <f t="shared" si="7"/>
        <v>24</v>
      </c>
      <c r="AI45" s="56">
        <f t="shared" si="7"/>
        <v>24</v>
      </c>
      <c r="AJ45" s="56">
        <f t="shared" si="7"/>
        <v>24</v>
      </c>
      <c r="AK45" s="67">
        <f t="shared" si="7"/>
        <v>24</v>
      </c>
    </row>
    <row r="46" spans="13:37" x14ac:dyDescent="0.25">
      <c r="AF46" s="46" t="s">
        <v>57</v>
      </c>
      <c r="AG46" s="66">
        <f>AG13/AG26</f>
        <v>0.01</v>
      </c>
      <c r="AH46" s="37">
        <f>AG46</f>
        <v>0.01</v>
      </c>
      <c r="AI46" s="37">
        <f>AH46</f>
        <v>0.01</v>
      </c>
      <c r="AJ46" s="37">
        <f>AI46</f>
        <v>0.01</v>
      </c>
      <c r="AK46" s="38">
        <f>AJ46</f>
        <v>0.01</v>
      </c>
    </row>
    <row r="47" spans="13:37" x14ac:dyDescent="0.25">
      <c r="AF47" t="s">
        <v>64</v>
      </c>
      <c r="AG47" s="36">
        <f>(AG41-AG40)/(AG42/SQRT(AG43))</f>
        <v>-3.119367597286228</v>
      </c>
      <c r="AH47" s="37">
        <f>(AH41-AH40)/(AH42/SQRT(AH43))</f>
        <v>5.0529115263991136</v>
      </c>
      <c r="AI47" s="37">
        <f>(AI41-AI40)/(AI42/SQRT(AI43))</f>
        <v>-1.6889438064121323</v>
      </c>
      <c r="AJ47" s="37">
        <f>(AJ41-AJ40)/(AJ42/SQRT(AJ43))</f>
        <v>-0.68895578534883983</v>
      </c>
      <c r="AK47" s="38">
        <f>(AK41-AK40)/(AK42/SQRT(AK43))</f>
        <v>3.1434073918490255</v>
      </c>
    </row>
    <row r="48" spans="13:37" x14ac:dyDescent="0.25">
      <c r="AF48" t="s">
        <v>63</v>
      </c>
      <c r="AG48" s="39">
        <f>TINV(AG46,AG45)</f>
        <v>2.7969395047744556</v>
      </c>
      <c r="AH48" s="40">
        <f>TINV(AH46,AH45)</f>
        <v>2.7969395047744556</v>
      </c>
      <c r="AI48" s="40">
        <f>TINV(AI46,AI45)</f>
        <v>2.7969395047744556</v>
      </c>
      <c r="AJ48" s="40">
        <f>TINV(AJ46,AJ45)</f>
        <v>2.7969395047744556</v>
      </c>
      <c r="AK48" s="41">
        <f>TINV(AK46,AK45)</f>
        <v>2.7969395047744556</v>
      </c>
    </row>
    <row r="49" spans="32:37" x14ac:dyDescent="0.25">
      <c r="AF49" t="s">
        <v>65</v>
      </c>
      <c r="AG49" s="33">
        <f>TDIST(ABS(AG47),AG45,2)</f>
        <v>4.6653934159287883E-3</v>
      </c>
      <c r="AH49" s="34">
        <f>TDIST(ABS(AH47),AH45,2)</f>
        <v>3.6354467564221652E-5</v>
      </c>
      <c r="AI49" s="34">
        <f>TDIST(ABS(AI47),AI45,2)</f>
        <v>0.10418264069765802</v>
      </c>
      <c r="AJ49" s="34">
        <f>TDIST(ABS(AJ47),AJ45,2)</f>
        <v>0.49745808082521559</v>
      </c>
      <c r="AK49" s="35">
        <f>TDIST(ABS(AK47),AK45,2)</f>
        <v>4.403161558730921E-3</v>
      </c>
    </row>
    <row r="50" spans="32:37" x14ac:dyDescent="0.25">
      <c r="AF50" t="s">
        <v>60</v>
      </c>
      <c r="AG50" s="57" t="str">
        <f>IF(AG49&lt;=AG46,"yes","no")</f>
        <v>yes</v>
      </c>
      <c r="AH50" s="58" t="str">
        <f>IF(AH49&lt;=AH46,"yes","no")</f>
        <v>yes</v>
      </c>
      <c r="AI50" s="58" t="str">
        <f>IF(AI49&lt;=AI46,"yes","no")</f>
        <v>no</v>
      </c>
      <c r="AJ50" s="58" t="str">
        <f>IF(AJ49&lt;=AJ46,"yes","no")</f>
        <v>no</v>
      </c>
      <c r="AK50" s="59" t="str">
        <f>IF(AK49&lt;=AK46,"yes","no")</f>
        <v>yes</v>
      </c>
    </row>
    <row r="51" spans="32:37" x14ac:dyDescent="0.25">
      <c r="AF51" t="s">
        <v>66</v>
      </c>
      <c r="AG51" s="33">
        <f>AG41-AG48*AG44</f>
        <v>-2.5035604593425269</v>
      </c>
      <c r="AH51" s="34">
        <f>AH41-AH48*AH44</f>
        <v>0.89293945078525638</v>
      </c>
      <c r="AI51" s="34">
        <f>AI41-AI48*AI44</f>
        <v>-1.9123407017996465</v>
      </c>
      <c r="AJ51" s="34">
        <f>AJ41-AJ48*AJ44</f>
        <v>-1.6190973594548581</v>
      </c>
      <c r="AK51" s="35">
        <f>AK41-AK48*AK44</f>
        <v>0.30420853841770823</v>
      </c>
    </row>
    <row r="52" spans="32:37" x14ac:dyDescent="0.25">
      <c r="AF52" t="s">
        <v>67</v>
      </c>
      <c r="AG52" s="39">
        <f>AG41+AG48*AG44</f>
        <v>-0.13643954065747343</v>
      </c>
      <c r="AH52" s="40">
        <f>AH41+AH48*AH44</f>
        <v>3.1070605492147436</v>
      </c>
      <c r="AI52" s="40">
        <f>AI41+AI48*AI44</f>
        <v>0.4723407017996466</v>
      </c>
      <c r="AJ52" s="40">
        <f>AJ41+AJ48*AJ44</f>
        <v>0.97909735945485799</v>
      </c>
      <c r="AK52" s="41">
        <f>AK41+AK48*AK44</f>
        <v>5.2157914615822918</v>
      </c>
    </row>
    <row r="53" spans="32:37" x14ac:dyDescent="0.25">
      <c r="AF53" s="60" t="s">
        <v>72</v>
      </c>
      <c r="AG53" s="61" t="str">
        <f>IF(AG52&lt;0,"low",IF(0&lt;AG51,"high","ok"))</f>
        <v>low</v>
      </c>
      <c r="AH53" s="68" t="str">
        <f>IF(AH52&lt;0,"low",IF(0&lt;AH51,"high","ok"))</f>
        <v>high</v>
      </c>
      <c r="AI53" s="68" t="str">
        <f>IF(AI52&lt;0,"low",IF(0&lt;AI51,"high","ok"))</f>
        <v>ok</v>
      </c>
      <c r="AJ53" s="68" t="str">
        <f>IF(AJ52&lt;0,"low",IF(0&lt;AJ51,"high","ok"))</f>
        <v>ok</v>
      </c>
      <c r="AK53" s="69" t="str">
        <f>IF(AK52&lt;0,"low",IF(0&lt;AK51,"high","ok"))</f>
        <v>high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V48"/>
  <sheetViews>
    <sheetView topLeftCell="C1" zoomScaleNormal="100" workbookViewId="0">
      <selection activeCell="U1" sqref="U1"/>
    </sheetView>
  </sheetViews>
  <sheetFormatPr defaultRowHeight="15" x14ac:dyDescent="0.25"/>
  <cols>
    <col min="24" max="24" width="9.5703125" customWidth="1"/>
  </cols>
  <sheetData>
    <row r="1" spans="1:22" ht="14.45" x14ac:dyDescent="0.35">
      <c r="A1" s="42" t="s">
        <v>89</v>
      </c>
      <c r="U1" t="s">
        <v>634</v>
      </c>
    </row>
    <row r="2" spans="1:22" ht="14.45" x14ac:dyDescent="0.35">
      <c r="I2" t="s">
        <v>125</v>
      </c>
    </row>
    <row r="3" spans="1:22" ht="14.45" x14ac:dyDescent="0.35">
      <c r="A3" t="s">
        <v>90</v>
      </c>
      <c r="E3" t="s">
        <v>94</v>
      </c>
      <c r="J3" s="47" t="s">
        <v>90</v>
      </c>
      <c r="K3" s="47" t="s">
        <v>94</v>
      </c>
      <c r="L3" s="47" t="s">
        <v>96</v>
      </c>
      <c r="U3" t="s">
        <v>635</v>
      </c>
    </row>
    <row r="4" spans="1:22" ht="14.45" x14ac:dyDescent="0.35">
      <c r="I4" t="s">
        <v>91</v>
      </c>
      <c r="J4" s="33">
        <f t="array" ref="J4:J6">TRANSPOSE(A27:C27)</f>
        <v>38.69</v>
      </c>
      <c r="K4" s="35">
        <f t="array" ref="K4:K6">TRANSPOSE(E27:G27)</f>
        <v>39.444444444444443</v>
      </c>
      <c r="L4" s="48">
        <f>J4-K4</f>
        <v>-0.75444444444444514</v>
      </c>
      <c r="U4" t="s">
        <v>636</v>
      </c>
    </row>
    <row r="5" spans="1:22" ht="14.45" x14ac:dyDescent="0.35">
      <c r="A5" s="47" t="s">
        <v>91</v>
      </c>
      <c r="B5" s="47" t="s">
        <v>92</v>
      </c>
      <c r="C5" s="47" t="s">
        <v>93</v>
      </c>
      <c r="D5" s="47"/>
      <c r="E5" s="47" t="s">
        <v>91</v>
      </c>
      <c r="F5" s="47" t="s">
        <v>92</v>
      </c>
      <c r="G5" s="47" t="s">
        <v>93</v>
      </c>
      <c r="I5" s="70" t="s">
        <v>92</v>
      </c>
      <c r="J5" s="36">
        <v>68.45</v>
      </c>
      <c r="K5" s="38">
        <v>62.277777777777779</v>
      </c>
      <c r="L5" s="49">
        <f>J5-K5</f>
        <v>6.1722222222222243</v>
      </c>
    </row>
    <row r="6" spans="1:22" ht="14.45" x14ac:dyDescent="0.35">
      <c r="A6" s="75">
        <v>38.4</v>
      </c>
      <c r="B6" s="34">
        <v>73</v>
      </c>
      <c r="C6" s="35">
        <v>18</v>
      </c>
      <c r="E6" s="33">
        <v>40.9</v>
      </c>
      <c r="F6" s="34">
        <v>54</v>
      </c>
      <c r="G6" s="35">
        <v>14</v>
      </c>
      <c r="I6" t="s">
        <v>93</v>
      </c>
      <c r="J6" s="39">
        <v>18.3</v>
      </c>
      <c r="K6" s="41">
        <v>20.111111111111111</v>
      </c>
      <c r="L6" s="52">
        <f>J6-K6</f>
        <v>-1.81111111111111</v>
      </c>
      <c r="U6" t="str">
        <f t="array" ref="U6:V10">[1]!Hotelling(A6:C25,E6:G23, 2,TRUE)</f>
        <v>T2</v>
      </c>
      <c r="V6" s="206">
        <v>4.1160572357145933</v>
      </c>
    </row>
    <row r="7" spans="1:22" ht="14.45" x14ac:dyDescent="0.35">
      <c r="A7" s="76">
        <v>36.799999999999997</v>
      </c>
      <c r="B7" s="37">
        <v>85</v>
      </c>
      <c r="C7" s="38">
        <v>14</v>
      </c>
      <c r="E7" s="36">
        <v>39.5</v>
      </c>
      <c r="F7" s="37">
        <v>75</v>
      </c>
      <c r="G7" s="38">
        <v>18</v>
      </c>
      <c r="I7" t="s">
        <v>100</v>
      </c>
      <c r="J7">
        <f>COUNT(A6:A25)</f>
        <v>20</v>
      </c>
      <c r="K7">
        <f>COUNT(E6:E25)</f>
        <v>18</v>
      </c>
      <c r="U7" t="str">
        <v>df1</v>
      </c>
      <c r="V7" s="98">
        <v>3</v>
      </c>
    </row>
    <row r="8" spans="1:22" ht="14.45" x14ac:dyDescent="0.35">
      <c r="A8" s="76">
        <v>40</v>
      </c>
      <c r="B8" s="37">
        <v>58</v>
      </c>
      <c r="C8" s="38">
        <v>20</v>
      </c>
      <c r="E8" s="36">
        <v>39.4</v>
      </c>
      <c r="F8" s="37">
        <v>57</v>
      </c>
      <c r="G8" s="38">
        <v>24</v>
      </c>
      <c r="U8" t="str">
        <v>df2</v>
      </c>
      <c r="V8" s="98">
        <v>34</v>
      </c>
    </row>
    <row r="9" spans="1:22" ht="14.45" x14ac:dyDescent="0.35">
      <c r="A9" s="76">
        <v>39.799999999999997</v>
      </c>
      <c r="B9" s="60">
        <v>80</v>
      </c>
      <c r="C9" s="38">
        <v>20</v>
      </c>
      <c r="E9" s="36">
        <v>38.200000000000003</v>
      </c>
      <c r="F9" s="60">
        <v>71</v>
      </c>
      <c r="G9" s="38">
        <v>24</v>
      </c>
      <c r="I9" t="s">
        <v>97</v>
      </c>
      <c r="M9" t="s">
        <v>98</v>
      </c>
      <c r="Q9" t="s">
        <v>99</v>
      </c>
      <c r="U9" t="str">
        <v>F</v>
      </c>
      <c r="V9" s="98">
        <v>1.2957957964286682</v>
      </c>
    </row>
    <row r="10" spans="1:22" ht="14.45" x14ac:dyDescent="0.35">
      <c r="A10" s="76">
        <v>38.6</v>
      </c>
      <c r="B10" s="60">
        <v>68</v>
      </c>
      <c r="C10" s="38">
        <v>25</v>
      </c>
      <c r="E10" s="36">
        <v>39.700000000000003</v>
      </c>
      <c r="F10" s="60">
        <v>65</v>
      </c>
      <c r="G10" s="38">
        <v>22</v>
      </c>
      <c r="U10" t="str">
        <v>p-value</v>
      </c>
      <c r="V10" s="99">
        <v>0.29168666548707378</v>
      </c>
    </row>
    <row r="11" spans="1:22" ht="14.45" x14ac:dyDescent="0.35">
      <c r="A11" s="76">
        <v>39.1</v>
      </c>
      <c r="B11" s="60">
        <v>52</v>
      </c>
      <c r="C11" s="38">
        <v>27</v>
      </c>
      <c r="E11" s="36">
        <v>38.9</v>
      </c>
      <c r="F11" s="60">
        <v>49</v>
      </c>
      <c r="G11" s="38">
        <v>30</v>
      </c>
      <c r="I11" s="33">
        <f t="array" ref="I11:K13">[1]!COV(A6:C25)</f>
        <v>1.2567368421052636</v>
      </c>
      <c r="J11" s="34">
        <v>-9.9426315789473776</v>
      </c>
      <c r="K11" s="35">
        <v>3.2663157894736892</v>
      </c>
      <c r="M11" s="33">
        <f t="array" ref="M11:O13">[1]!COV(E6:G23)</f>
        <v>1.4967320261437886</v>
      </c>
      <c r="N11" s="34">
        <v>-10.430718954248354</v>
      </c>
      <c r="O11" s="35">
        <v>0.64771241830065429</v>
      </c>
      <c r="Q11" s="33">
        <f t="array" ref="Q11:S13">((J7-1)*I11:K13+(K7-1)*M11:O13)/(J7+K7-2)</f>
        <v>1.3700679012345671</v>
      </c>
      <c r="R11" s="34">
        <v>-10.173117283950615</v>
      </c>
      <c r="S11" s="35">
        <v>2.0297530864197562</v>
      </c>
    </row>
    <row r="12" spans="1:22" ht="14.45" x14ac:dyDescent="0.35">
      <c r="A12" s="76">
        <v>38.9</v>
      </c>
      <c r="B12" s="60">
        <v>79</v>
      </c>
      <c r="C12" s="38">
        <v>26</v>
      </c>
      <c r="E12" s="36">
        <v>38.6</v>
      </c>
      <c r="F12" s="60">
        <v>58</v>
      </c>
      <c r="G12" s="38">
        <v>25</v>
      </c>
      <c r="I12" s="36">
        <v>-9.9426315789473776</v>
      </c>
      <c r="J12" s="37">
        <v>169.31315789473683</v>
      </c>
      <c r="K12" s="38">
        <v>-38.299999999999997</v>
      </c>
      <c r="M12" s="36">
        <v>-10.430718954248354</v>
      </c>
      <c r="N12" s="37">
        <v>175.15359477124181</v>
      </c>
      <c r="O12" s="38">
        <v>-28.562091503267972</v>
      </c>
      <c r="Q12" s="36">
        <v>-10.173117283950615</v>
      </c>
      <c r="R12" s="37">
        <v>172.07114197530862</v>
      </c>
      <c r="S12" s="38">
        <v>-33.70154320987654</v>
      </c>
    </row>
    <row r="13" spans="1:22" ht="14.45" x14ac:dyDescent="0.35">
      <c r="A13" s="76">
        <v>36.799999999999997</v>
      </c>
      <c r="B13" s="60">
        <v>100</v>
      </c>
      <c r="C13" s="38">
        <v>8</v>
      </c>
      <c r="E13" s="36">
        <v>39.9</v>
      </c>
      <c r="F13" s="60">
        <v>52</v>
      </c>
      <c r="G13" s="38">
        <v>17</v>
      </c>
      <c r="I13" s="39">
        <v>3.2663157894736892</v>
      </c>
      <c r="J13" s="40">
        <v>-38.299999999999997</v>
      </c>
      <c r="K13" s="41">
        <v>31.8</v>
      </c>
      <c r="M13" s="39">
        <v>0.64771241830065429</v>
      </c>
      <c r="N13" s="40">
        <v>-28.562091503267972</v>
      </c>
      <c r="O13" s="41">
        <v>24.457516339869276</v>
      </c>
      <c r="Q13" s="39">
        <v>2.0297530864197562</v>
      </c>
      <c r="R13" s="40">
        <v>-33.70154320987654</v>
      </c>
      <c r="S13" s="41">
        <v>28.332716049382714</v>
      </c>
    </row>
    <row r="14" spans="1:22" ht="14.45" x14ac:dyDescent="0.35">
      <c r="A14" s="76">
        <v>40.4</v>
      </c>
      <c r="B14" s="60">
        <v>64</v>
      </c>
      <c r="C14" s="38">
        <v>21</v>
      </c>
      <c r="E14" s="36">
        <v>41.3</v>
      </c>
      <c r="F14" s="60">
        <v>62</v>
      </c>
      <c r="G14" s="38">
        <v>18</v>
      </c>
    </row>
    <row r="15" spans="1:22" ht="14.45" x14ac:dyDescent="0.35">
      <c r="A15" s="76">
        <v>39.4</v>
      </c>
      <c r="B15" s="60">
        <v>53</v>
      </c>
      <c r="C15" s="38">
        <v>22</v>
      </c>
      <c r="E15" s="36">
        <v>38.1</v>
      </c>
      <c r="F15" s="60">
        <v>57</v>
      </c>
      <c r="G15" s="38">
        <v>20</v>
      </c>
      <c r="I15" t="s">
        <v>52</v>
      </c>
      <c r="J15" s="48">
        <f>J7+K7-1</f>
        <v>37</v>
      </c>
      <c r="M15" t="s">
        <v>69</v>
      </c>
    </row>
    <row r="16" spans="1:22" ht="14.45" x14ac:dyDescent="0.35">
      <c r="A16" s="76">
        <v>38</v>
      </c>
      <c r="B16" s="60">
        <v>70</v>
      </c>
      <c r="C16" s="38">
        <v>15</v>
      </c>
      <c r="E16" s="36">
        <v>39.6</v>
      </c>
      <c r="F16" s="60">
        <v>78</v>
      </c>
      <c r="G16" s="38">
        <v>19</v>
      </c>
      <c r="I16" t="s">
        <v>53</v>
      </c>
      <c r="J16" s="49">
        <f>COUNT(A6:C6)</f>
        <v>3</v>
      </c>
    </row>
    <row r="17" spans="1:16" ht="16.5" x14ac:dyDescent="0.35">
      <c r="A17" s="76">
        <v>38.6</v>
      </c>
      <c r="B17" s="60">
        <v>75</v>
      </c>
      <c r="C17" s="38">
        <v>14</v>
      </c>
      <c r="E17" s="36">
        <v>37.1</v>
      </c>
      <c r="F17" s="60">
        <v>92</v>
      </c>
      <c r="G17" s="38">
        <v>15</v>
      </c>
      <c r="I17" t="s">
        <v>51</v>
      </c>
      <c r="J17" s="49">
        <f t="array" ref="J17">MMULT(TRANSPOSE(L4:L6),MMULT(MINVERSE((1/J7+1/K7)*Q11:S13),L4:L6))</f>
        <v>4.1160572357145933</v>
      </c>
      <c r="N17" s="47" t="str">
        <f>E5</f>
        <v>Fever</v>
      </c>
      <c r="O17" s="47" t="str">
        <f>F5</f>
        <v>Pressure</v>
      </c>
      <c r="P17" s="47" t="str">
        <f>G5</f>
        <v>Aches</v>
      </c>
    </row>
    <row r="18" spans="1:16" ht="14.45" x14ac:dyDescent="0.35">
      <c r="A18" s="76">
        <v>40.1</v>
      </c>
      <c r="B18" s="60">
        <v>48</v>
      </c>
      <c r="C18" s="38">
        <v>28</v>
      </c>
      <c r="E18" s="36">
        <v>39.5</v>
      </c>
      <c r="F18" s="60">
        <v>63</v>
      </c>
      <c r="G18" s="38">
        <v>13</v>
      </c>
      <c r="I18" t="s">
        <v>54</v>
      </c>
      <c r="J18" s="49">
        <f>J17*(J15-J16)/(J16*(J15-1))</f>
        <v>1.2957957964286682</v>
      </c>
      <c r="M18" t="s">
        <v>102</v>
      </c>
      <c r="N18" s="33">
        <f t="array" ref="N18:P18">TRANSPOSE(L4:L6)</f>
        <v>-0.75444444444444514</v>
      </c>
      <c r="O18" s="34">
        <v>6.1722222222222243</v>
      </c>
      <c r="P18" s="35">
        <v>-1.81111111111111</v>
      </c>
    </row>
    <row r="19" spans="1:16" ht="14.45" x14ac:dyDescent="0.35">
      <c r="A19" s="76">
        <v>38.1</v>
      </c>
      <c r="B19" s="60">
        <v>57</v>
      </c>
      <c r="C19" s="38">
        <v>22</v>
      </c>
      <c r="E19" s="36">
        <v>40.299999999999997</v>
      </c>
      <c r="F19" s="60">
        <v>52</v>
      </c>
      <c r="G19" s="38">
        <v>25</v>
      </c>
      <c r="I19" t="s">
        <v>55</v>
      </c>
      <c r="J19" s="49">
        <f>J16</f>
        <v>3</v>
      </c>
      <c r="M19" t="s">
        <v>103</v>
      </c>
      <c r="N19" s="36">
        <f>J7</f>
        <v>20</v>
      </c>
      <c r="O19" s="37">
        <f t="shared" ref="O19:O25" si="0">N19</f>
        <v>20</v>
      </c>
      <c r="P19" s="38">
        <f t="shared" ref="P19:P25" si="1">O19</f>
        <v>20</v>
      </c>
    </row>
    <row r="20" spans="1:16" ht="14.45" x14ac:dyDescent="0.35">
      <c r="A20" s="76">
        <v>37.200000000000003</v>
      </c>
      <c r="B20" s="60">
        <v>78</v>
      </c>
      <c r="C20" s="38">
        <v>16</v>
      </c>
      <c r="E20" s="36">
        <v>41.5</v>
      </c>
      <c r="F20" s="60">
        <v>46</v>
      </c>
      <c r="G20" s="38">
        <v>27</v>
      </c>
      <c r="I20" t="s">
        <v>56</v>
      </c>
      <c r="J20" s="49">
        <f>J15-J16</f>
        <v>34</v>
      </c>
      <c r="M20" t="s">
        <v>104</v>
      </c>
      <c r="N20" s="36">
        <f>K7</f>
        <v>18</v>
      </c>
      <c r="O20" s="37">
        <f t="shared" si="0"/>
        <v>18</v>
      </c>
      <c r="P20" s="38">
        <f t="shared" si="1"/>
        <v>18</v>
      </c>
    </row>
    <row r="21" spans="1:16" x14ac:dyDescent="0.25">
      <c r="A21" s="76">
        <v>39.5</v>
      </c>
      <c r="B21" s="60">
        <v>65</v>
      </c>
      <c r="C21" s="38">
        <v>18</v>
      </c>
      <c r="E21" s="36">
        <v>39.299999999999997</v>
      </c>
      <c r="F21" s="60">
        <v>56</v>
      </c>
      <c r="G21" s="38">
        <v>14</v>
      </c>
      <c r="I21" s="46" t="s">
        <v>57</v>
      </c>
      <c r="J21" s="50">
        <v>0.05</v>
      </c>
      <c r="M21" s="60" t="s">
        <v>53</v>
      </c>
      <c r="N21" s="36">
        <f>J16</f>
        <v>3</v>
      </c>
      <c r="O21" s="37">
        <f t="shared" si="0"/>
        <v>3</v>
      </c>
      <c r="P21" s="38">
        <f t="shared" si="1"/>
        <v>3</v>
      </c>
    </row>
    <row r="22" spans="1:16" ht="14.45" x14ac:dyDescent="0.35">
      <c r="A22" s="76">
        <v>37.299999999999997</v>
      </c>
      <c r="B22" s="60">
        <v>77</v>
      </c>
      <c r="C22" s="38">
        <v>13</v>
      </c>
      <c r="E22" s="36">
        <v>37.6</v>
      </c>
      <c r="F22" s="60">
        <v>86</v>
      </c>
      <c r="G22" s="38">
        <v>16</v>
      </c>
      <c r="I22" t="s">
        <v>58</v>
      </c>
      <c r="J22" s="49">
        <f>FINV(J21,J19,J20)</f>
        <v>2.8826042042612277</v>
      </c>
      <c r="M22" t="s">
        <v>55</v>
      </c>
      <c r="N22" s="36">
        <f>N21</f>
        <v>3</v>
      </c>
      <c r="O22" s="37">
        <f t="shared" si="0"/>
        <v>3</v>
      </c>
      <c r="P22" s="38">
        <f t="shared" si="1"/>
        <v>3</v>
      </c>
    </row>
    <row r="23" spans="1:16" ht="14.45" x14ac:dyDescent="0.35">
      <c r="A23" s="76">
        <v>39.1</v>
      </c>
      <c r="B23" s="60">
        <v>67</v>
      </c>
      <c r="C23" s="38">
        <v>16</v>
      </c>
      <c r="E23" s="36">
        <v>40.6</v>
      </c>
      <c r="F23" s="60">
        <v>48</v>
      </c>
      <c r="G23" s="38">
        <v>21</v>
      </c>
      <c r="I23" t="s">
        <v>59</v>
      </c>
      <c r="J23" s="49">
        <f>FDIST(J18,J19,J20)</f>
        <v>0.29168666548707378</v>
      </c>
      <c r="M23" s="60" t="s">
        <v>56</v>
      </c>
      <c r="N23" s="36">
        <f>J20</f>
        <v>34</v>
      </c>
      <c r="O23" s="37">
        <f t="shared" si="0"/>
        <v>34</v>
      </c>
      <c r="P23" s="38">
        <f t="shared" si="1"/>
        <v>34</v>
      </c>
    </row>
    <row r="24" spans="1:16" x14ac:dyDescent="0.25">
      <c r="A24" s="76">
        <v>39.9</v>
      </c>
      <c r="B24" s="60">
        <v>52</v>
      </c>
      <c r="C24" s="38">
        <v>10</v>
      </c>
      <c r="E24" s="36"/>
      <c r="F24" s="60"/>
      <c r="G24" s="38"/>
      <c r="I24" t="s">
        <v>60</v>
      </c>
      <c r="J24" s="51" t="str">
        <f>IF(J23&lt;= J21,"yes","no")</f>
        <v>no</v>
      </c>
      <c r="M24" s="46" t="s">
        <v>57</v>
      </c>
      <c r="N24" s="36">
        <v>0.05</v>
      </c>
      <c r="O24" s="37">
        <f t="shared" si="0"/>
        <v>0.05</v>
      </c>
      <c r="P24" s="38">
        <f t="shared" si="1"/>
        <v>0.05</v>
      </c>
    </row>
    <row r="25" spans="1:16" ht="14.45" x14ac:dyDescent="0.35">
      <c r="A25" s="77">
        <v>37.799999999999997</v>
      </c>
      <c r="B25" s="40">
        <v>68</v>
      </c>
      <c r="C25" s="41">
        <v>13</v>
      </c>
      <c r="E25" s="39"/>
      <c r="F25" s="40"/>
      <c r="G25" s="41"/>
      <c r="M25" t="s">
        <v>58</v>
      </c>
      <c r="N25" s="36">
        <f>J22</f>
        <v>2.8826042042612277</v>
      </c>
      <c r="O25" s="37">
        <f t="shared" si="0"/>
        <v>2.8826042042612277</v>
      </c>
      <c r="P25" s="38">
        <f t="shared" si="1"/>
        <v>2.8826042042612277</v>
      </c>
    </row>
    <row r="26" spans="1:16" ht="14.45" x14ac:dyDescent="0.35">
      <c r="I26" t="s">
        <v>916</v>
      </c>
      <c r="M26" s="60" t="s">
        <v>63</v>
      </c>
      <c r="N26" s="36">
        <f>SQRT(N25*N21*(N19+N20-2)/N23)</f>
        <v>3.0259721532689614</v>
      </c>
      <c r="O26" s="37">
        <f>SQRT(O25*O21*(O19+O20-2)/O23)</f>
        <v>3.0259721532689614</v>
      </c>
      <c r="P26" s="38">
        <f>SQRT(P25*P21*(P19+P20-2)/P23)</f>
        <v>3.0259721532689614</v>
      </c>
    </row>
    <row r="27" spans="1:16" ht="14.45" x14ac:dyDescent="0.35">
      <c r="A27" s="33">
        <f>AVERAGE(A6:A25)</f>
        <v>38.69</v>
      </c>
      <c r="B27" s="34">
        <f>AVERAGE(B6:B25)</f>
        <v>68.45</v>
      </c>
      <c r="C27" s="35">
        <f>AVERAGE(C6:C25)</f>
        <v>18.3</v>
      </c>
      <c r="D27" s="32" t="s">
        <v>48</v>
      </c>
      <c r="E27" s="33">
        <f>AVERAGE(E6:E25)</f>
        <v>39.444444444444443</v>
      </c>
      <c r="F27" s="34">
        <f>AVERAGE(F6:F25)</f>
        <v>62.277777777777779</v>
      </c>
      <c r="G27" s="35">
        <f>AVERAGE(G6:G25)</f>
        <v>20.111111111111111</v>
      </c>
      <c r="M27" s="60" t="s">
        <v>105</v>
      </c>
      <c r="N27" s="36">
        <f>A28</f>
        <v>1.2567368421052638</v>
      </c>
      <c r="O27" s="37">
        <f>B28</f>
        <v>169.31315789473669</v>
      </c>
      <c r="P27" s="38">
        <f>C28</f>
        <v>31.79999999999999</v>
      </c>
    </row>
    <row r="28" spans="1:16" ht="16.5" x14ac:dyDescent="0.35">
      <c r="A28" s="39">
        <f>VAR(A6:A25)</f>
        <v>1.2567368421052638</v>
      </c>
      <c r="B28" s="40">
        <f>VAR(B6:B25)</f>
        <v>169.31315789473669</v>
      </c>
      <c r="C28" s="41">
        <f>VAR(C6:C25)</f>
        <v>31.79999999999999</v>
      </c>
      <c r="D28" s="32" t="s">
        <v>107</v>
      </c>
      <c r="E28" s="39">
        <f>VAR(E6:E25)</f>
        <v>1.4967320261437886</v>
      </c>
      <c r="F28" s="40">
        <f>VAR(F6:F25)</f>
        <v>175.15359477124173</v>
      </c>
      <c r="G28" s="41">
        <f>VAR(G6:G25)</f>
        <v>24.457516339869258</v>
      </c>
      <c r="I28" t="s">
        <v>51</v>
      </c>
      <c r="J28" s="48">
        <f>[1]!HotellingT2(A6:C25,E6:G23,2)</f>
        <v>4.1160572357145933</v>
      </c>
      <c r="M28" s="60" t="s">
        <v>106</v>
      </c>
      <c r="N28" s="36">
        <f>E28</f>
        <v>1.4967320261437886</v>
      </c>
      <c r="O28" s="37">
        <f>F28</f>
        <v>175.15359477124173</v>
      </c>
      <c r="P28" s="38">
        <f>G28</f>
        <v>24.457516339869258</v>
      </c>
    </row>
    <row r="29" spans="1:16" ht="14.45" x14ac:dyDescent="0.35">
      <c r="I29" t="s">
        <v>54</v>
      </c>
      <c r="J29" s="49">
        <f>[1]!HotellingF(A6:C25,E6:G23,2)</f>
        <v>1.2957957964286682</v>
      </c>
      <c r="M29" s="60" t="s">
        <v>61</v>
      </c>
      <c r="N29" s="36">
        <f>SQRT(((N19-1)*N27+(N20-1)*N28)/(N19+N20-2))</f>
        <v>1.1704989966824266</v>
      </c>
      <c r="O29" s="37">
        <f>SQRT(((O19-1)*O27+(O20-1)*O28)/(O19+O20-2))</f>
        <v>13.117589030584412</v>
      </c>
      <c r="P29" s="38">
        <f>SQRT(((P19-1)*P27+(P20-1)*P28)/(P19+P20-2))</f>
        <v>5.3228484901772939</v>
      </c>
    </row>
    <row r="30" spans="1:16" ht="14.45" x14ac:dyDescent="0.35">
      <c r="I30" t="s">
        <v>55</v>
      </c>
      <c r="J30" s="49">
        <f>[1]!Hotellingdf1(A6:C25,E6:G23,2)</f>
        <v>3</v>
      </c>
      <c r="M30" t="s">
        <v>70</v>
      </c>
      <c r="N30" s="39">
        <f>N29*SQRT(1/N19+1/N20)</f>
        <v>0.38028710004896138</v>
      </c>
      <c r="O30" s="40">
        <f>O29*SQRT(1/O19+1/O20)</f>
        <v>4.2618147526942751</v>
      </c>
      <c r="P30" s="41">
        <f>P29*SQRT(1/P19+1/P20)</f>
        <v>1.7293569854111659</v>
      </c>
    </row>
    <row r="31" spans="1:16" ht="14.45" x14ac:dyDescent="0.35">
      <c r="I31" t="s">
        <v>56</v>
      </c>
      <c r="J31" s="49">
        <f>[1]!Hotellingdf2(A6:C25,E6:G23,2)</f>
        <v>34</v>
      </c>
      <c r="M31" t="s">
        <v>66</v>
      </c>
      <c r="N31" s="33">
        <f>N18-N26*N30</f>
        <v>-1.9051826194400097</v>
      </c>
      <c r="O31" s="34">
        <f>O18-O26*O30</f>
        <v>-6.7239105418214979</v>
      </c>
      <c r="P31" s="35">
        <f>P18-P26*P30</f>
        <v>-7.0440971920264559</v>
      </c>
    </row>
    <row r="32" spans="1:16" ht="14.45" x14ac:dyDescent="0.35">
      <c r="I32" t="s">
        <v>65</v>
      </c>
      <c r="J32" s="52">
        <f>[1]!T2TEST(A6:C25,E6:G23,2)</f>
        <v>0.29168666548707378</v>
      </c>
      <c r="M32" t="s">
        <v>67</v>
      </c>
      <c r="N32" s="39">
        <f>N18+N26*N30</f>
        <v>0.39629373055111938</v>
      </c>
      <c r="O32" s="40">
        <f>O18+O26*O30</f>
        <v>19.068354986265945</v>
      </c>
      <c r="P32" s="41">
        <f>P18+P26*P30</f>
        <v>3.4218749698042359</v>
      </c>
    </row>
    <row r="33" spans="13:16" ht="14.45" x14ac:dyDescent="0.35">
      <c r="M33" s="60" t="s">
        <v>72</v>
      </c>
      <c r="N33" s="61" t="str">
        <f>IF(N32&lt;0,"low",IF(0&lt;N31,"high","ok"))</f>
        <v>ok</v>
      </c>
      <c r="O33" s="68" t="str">
        <f>IF(O32&lt;0,"low",IF(0&lt;O31,"high","ok"))</f>
        <v>ok</v>
      </c>
      <c r="P33" s="69" t="str">
        <f>IF(P32&lt;0,"low",IF(0&lt;P31,"high","ok"))</f>
        <v>ok</v>
      </c>
    </row>
    <row r="35" spans="13:16" x14ac:dyDescent="0.25">
      <c r="M35" t="s">
        <v>82</v>
      </c>
    </row>
    <row r="37" spans="13:16" x14ac:dyDescent="0.25">
      <c r="N37" s="47" t="str">
        <f>E5</f>
        <v>Fever</v>
      </c>
      <c r="O37" s="47" t="str">
        <f>F5</f>
        <v>Pressure</v>
      </c>
      <c r="P37" s="47" t="str">
        <f>G5</f>
        <v>Aches</v>
      </c>
    </row>
    <row r="38" spans="13:16" x14ac:dyDescent="0.25">
      <c r="M38" t="s">
        <v>48</v>
      </c>
      <c r="N38" s="63">
        <f t="shared" ref="N38:P39" si="2">N18</f>
        <v>-0.75444444444444514</v>
      </c>
      <c r="O38" s="64">
        <f t="shared" si="2"/>
        <v>6.1722222222222243</v>
      </c>
      <c r="P38" s="65">
        <f t="shared" si="2"/>
        <v>-1.81111111111111</v>
      </c>
    </row>
    <row r="39" spans="13:16" x14ac:dyDescent="0.25">
      <c r="M39" t="s">
        <v>103</v>
      </c>
      <c r="N39" s="66">
        <f t="shared" si="2"/>
        <v>20</v>
      </c>
      <c r="O39" s="56">
        <f t="shared" si="2"/>
        <v>20</v>
      </c>
      <c r="P39" s="67">
        <f t="shared" si="2"/>
        <v>20</v>
      </c>
    </row>
    <row r="40" spans="13:16" x14ac:dyDescent="0.25">
      <c r="M40" t="s">
        <v>104</v>
      </c>
      <c r="N40" s="66">
        <f t="shared" ref="N40:P41" si="3">N20</f>
        <v>18</v>
      </c>
      <c r="O40" s="56">
        <f t="shared" si="3"/>
        <v>18</v>
      </c>
      <c r="P40" s="67">
        <f t="shared" si="3"/>
        <v>18</v>
      </c>
    </row>
    <row r="41" spans="13:16" x14ac:dyDescent="0.25">
      <c r="M41" t="s">
        <v>53</v>
      </c>
      <c r="N41" s="66">
        <f t="shared" si="3"/>
        <v>3</v>
      </c>
      <c r="O41" s="56">
        <f t="shared" si="3"/>
        <v>3</v>
      </c>
      <c r="P41" s="67">
        <f t="shared" si="3"/>
        <v>3</v>
      </c>
    </row>
    <row r="42" spans="13:16" x14ac:dyDescent="0.25">
      <c r="M42" t="s">
        <v>62</v>
      </c>
      <c r="N42" s="66">
        <f>N39+N40-2</f>
        <v>36</v>
      </c>
      <c r="O42" s="56">
        <f>O39+O40-2</f>
        <v>36</v>
      </c>
      <c r="P42" s="67">
        <f>P39+P40-2</f>
        <v>36</v>
      </c>
    </row>
    <row r="43" spans="13:16" x14ac:dyDescent="0.25">
      <c r="M43" s="46" t="s">
        <v>57</v>
      </c>
      <c r="N43" s="66">
        <v>0.05</v>
      </c>
      <c r="O43" s="37">
        <f>N43</f>
        <v>0.05</v>
      </c>
      <c r="P43" s="38">
        <f>O43</f>
        <v>0.05</v>
      </c>
    </row>
    <row r="44" spans="13:16" x14ac:dyDescent="0.25">
      <c r="M44" t="s">
        <v>63</v>
      </c>
      <c r="N44" s="36">
        <f>TINV(N43/N41,N42)</f>
        <v>2.511040355246327</v>
      </c>
      <c r="O44" s="37">
        <f>TINV(O43/O41,O42)</f>
        <v>2.511040355246327</v>
      </c>
      <c r="P44" s="38">
        <f>TINV(P43/P41,P42)</f>
        <v>2.511040355246327</v>
      </c>
    </row>
    <row r="45" spans="13:16" x14ac:dyDescent="0.25">
      <c r="M45" t="s">
        <v>70</v>
      </c>
      <c r="N45" s="39">
        <f>N30</f>
        <v>0.38028710004896138</v>
      </c>
      <c r="O45" s="40">
        <f>O30</f>
        <v>4.2618147526942751</v>
      </c>
      <c r="P45" s="41">
        <f>P30</f>
        <v>1.7293569854111659</v>
      </c>
    </row>
    <row r="46" spans="13:16" x14ac:dyDescent="0.25">
      <c r="M46" t="s">
        <v>66</v>
      </c>
      <c r="N46" s="33">
        <f>N38-N45*N41</f>
        <v>-1.8953057445913293</v>
      </c>
      <c r="O46" s="34">
        <f>O38-O45*O41</f>
        <v>-6.613222035860602</v>
      </c>
      <c r="P46" s="35">
        <f>P38-P45*P41</f>
        <v>-6.9991820673446075</v>
      </c>
    </row>
    <row r="47" spans="13:16" x14ac:dyDescent="0.25">
      <c r="M47" t="s">
        <v>67</v>
      </c>
      <c r="N47" s="39">
        <f>N38+N45*N41</f>
        <v>0.386416855702439</v>
      </c>
      <c r="O47" s="40">
        <f>O38+O45*O41</f>
        <v>18.957666480305051</v>
      </c>
      <c r="P47" s="41">
        <f>P38+P45*P41</f>
        <v>3.3769598451223874</v>
      </c>
    </row>
    <row r="48" spans="13:16" x14ac:dyDescent="0.25">
      <c r="M48" s="60" t="s">
        <v>72</v>
      </c>
      <c r="N48" s="61" t="str">
        <f>IF(N47&lt;0,"low",IF(0&lt;N46,"high","ok"))</f>
        <v>ok</v>
      </c>
      <c r="O48" s="68" t="str">
        <f>IF(O47&lt;0,"low",IF(0&lt;O46,"high","ok"))</f>
        <v>ok</v>
      </c>
      <c r="P48" s="69" t="str">
        <f>IF(P47&lt;0,"low",IF(0&lt;P46,"high","ok"))</f>
        <v>ok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S48"/>
  <sheetViews>
    <sheetView workbookViewId="0">
      <selection activeCell="J17" sqref="J17"/>
    </sheetView>
  </sheetViews>
  <sheetFormatPr defaultRowHeight="15" x14ac:dyDescent="0.25"/>
  <cols>
    <col min="13" max="13" width="9.140625" customWidth="1"/>
  </cols>
  <sheetData>
    <row r="1" spans="1:19" ht="14.45" x14ac:dyDescent="0.35">
      <c r="A1" s="42" t="s">
        <v>89</v>
      </c>
    </row>
    <row r="3" spans="1:19" ht="14.45" x14ac:dyDescent="0.35">
      <c r="A3" t="s">
        <v>90</v>
      </c>
      <c r="E3" t="s">
        <v>94</v>
      </c>
      <c r="J3" s="47" t="s">
        <v>90</v>
      </c>
      <c r="K3" s="47" t="s">
        <v>94</v>
      </c>
      <c r="L3" s="47" t="s">
        <v>96</v>
      </c>
    </row>
    <row r="4" spans="1:19" ht="14.45" x14ac:dyDescent="0.35">
      <c r="I4" t="s">
        <v>91</v>
      </c>
      <c r="J4" s="33">
        <f t="array" ref="J4:J6">TRANSPOSE(A27:C27)</f>
        <v>37.289999999999992</v>
      </c>
      <c r="K4" s="35">
        <f t="array" ref="K4:K6">TRANSPOSE(E27:G27)</f>
        <v>39.444444444444443</v>
      </c>
      <c r="L4" s="48">
        <f>J4-K4</f>
        <v>-2.1544444444444508</v>
      </c>
    </row>
    <row r="5" spans="1:19" ht="14.45" x14ac:dyDescent="0.35">
      <c r="A5" s="47" t="s">
        <v>91</v>
      </c>
      <c r="B5" s="47" t="s">
        <v>92</v>
      </c>
      <c r="C5" s="47" t="s">
        <v>93</v>
      </c>
      <c r="D5" s="47"/>
      <c r="E5" s="47" t="s">
        <v>91</v>
      </c>
      <c r="F5" s="47" t="s">
        <v>92</v>
      </c>
      <c r="G5" s="47" t="s">
        <v>93</v>
      </c>
      <c r="I5" s="70" t="s">
        <v>92</v>
      </c>
      <c r="J5" s="36">
        <v>69.099999999999994</v>
      </c>
      <c r="K5" s="38">
        <v>62.277777777777779</v>
      </c>
      <c r="L5" s="49">
        <f>J5-K5</f>
        <v>6.8222222222222157</v>
      </c>
    </row>
    <row r="6" spans="1:19" ht="14.45" x14ac:dyDescent="0.35">
      <c r="A6" s="33">
        <v>36.5</v>
      </c>
      <c r="B6" s="34">
        <v>72</v>
      </c>
      <c r="C6" s="35">
        <v>18</v>
      </c>
      <c r="E6" s="33">
        <v>40.9</v>
      </c>
      <c r="F6" s="34">
        <v>54</v>
      </c>
      <c r="G6" s="35">
        <v>14</v>
      </c>
      <c r="I6" t="s">
        <v>93</v>
      </c>
      <c r="J6" s="39">
        <v>17.600000000000001</v>
      </c>
      <c r="K6" s="41">
        <v>20.111111111111111</v>
      </c>
      <c r="L6" s="52">
        <f>J6-K6</f>
        <v>-2.5111111111111093</v>
      </c>
    </row>
    <row r="7" spans="1:19" ht="14.45" x14ac:dyDescent="0.35">
      <c r="A7" s="36">
        <v>36.6</v>
      </c>
      <c r="B7" s="37">
        <v>84</v>
      </c>
      <c r="C7" s="38">
        <v>16</v>
      </c>
      <c r="E7" s="36">
        <v>39.5</v>
      </c>
      <c r="F7" s="37">
        <v>75</v>
      </c>
      <c r="G7" s="38">
        <v>18</v>
      </c>
      <c r="I7" t="s">
        <v>100</v>
      </c>
      <c r="J7">
        <f>COUNT(A6:A25)</f>
        <v>20</v>
      </c>
      <c r="K7">
        <f>COUNT(E6:E25)</f>
        <v>18</v>
      </c>
    </row>
    <row r="8" spans="1:19" ht="14.45" x14ac:dyDescent="0.35">
      <c r="A8" s="36">
        <v>38.200000000000003</v>
      </c>
      <c r="B8" s="37">
        <v>60</v>
      </c>
      <c r="C8" s="38">
        <v>29</v>
      </c>
      <c r="E8" s="36">
        <v>39.4</v>
      </c>
      <c r="F8" s="37">
        <v>57</v>
      </c>
      <c r="G8" s="38">
        <v>24</v>
      </c>
    </row>
    <row r="9" spans="1:19" ht="14.45" x14ac:dyDescent="0.35">
      <c r="A9" s="36">
        <v>37.6</v>
      </c>
      <c r="B9" s="37">
        <v>82</v>
      </c>
      <c r="C9" s="38">
        <v>13</v>
      </c>
      <c r="E9" s="36">
        <v>38.200000000000003</v>
      </c>
      <c r="F9" s="60">
        <v>71</v>
      </c>
      <c r="G9" s="38">
        <v>24</v>
      </c>
      <c r="I9" t="s">
        <v>97</v>
      </c>
      <c r="M9" t="s">
        <v>98</v>
      </c>
      <c r="Q9" t="s">
        <v>99</v>
      </c>
    </row>
    <row r="10" spans="1:19" ht="14.45" x14ac:dyDescent="0.35">
      <c r="A10" s="36">
        <v>37</v>
      </c>
      <c r="B10" s="37">
        <v>68</v>
      </c>
      <c r="C10" s="38">
        <v>25</v>
      </c>
      <c r="E10" s="36">
        <v>39.700000000000003</v>
      </c>
      <c r="F10" s="60">
        <v>65</v>
      </c>
      <c r="G10" s="38">
        <v>22</v>
      </c>
    </row>
    <row r="11" spans="1:19" ht="14.45" x14ac:dyDescent="0.35">
      <c r="A11" s="36">
        <v>37.9</v>
      </c>
      <c r="B11" s="37">
        <v>54</v>
      </c>
      <c r="C11" s="38">
        <v>27</v>
      </c>
      <c r="E11" s="36">
        <v>38.9</v>
      </c>
      <c r="F11" s="60">
        <v>49</v>
      </c>
      <c r="G11" s="38">
        <v>30</v>
      </c>
      <c r="I11" s="33">
        <f t="array" ref="I11:K13">[1]!COV(A6:C25)</f>
        <v>1.0419999999999989</v>
      </c>
      <c r="J11" s="34">
        <v>-6.5621052631578909</v>
      </c>
      <c r="K11" s="35">
        <v>0.25894736842105781</v>
      </c>
      <c r="M11" s="33">
        <f t="array" ref="M11:O13">[1]!COV(E6:G23)</f>
        <v>1.4967320261437886</v>
      </c>
      <c r="N11" s="34">
        <v>-10.430718954248354</v>
      </c>
      <c r="O11" s="35">
        <v>0.64771241830065429</v>
      </c>
      <c r="Q11" s="33">
        <f t="array" ref="Q11:S13">((J7-1)*I11:K13+(K7-1)*M11:O13)/(J7+K7-2)</f>
        <v>1.2567345679012329</v>
      </c>
      <c r="R11" s="34">
        <v>-8.3889506172839425</v>
      </c>
      <c r="S11" s="35">
        <v>0.4425308641975339</v>
      </c>
    </row>
    <row r="12" spans="1:19" ht="14.45" x14ac:dyDescent="0.35">
      <c r="A12" s="36">
        <v>37.4</v>
      </c>
      <c r="B12" s="37">
        <v>80</v>
      </c>
      <c r="C12" s="38">
        <v>25</v>
      </c>
      <c r="E12" s="36">
        <v>38.6</v>
      </c>
      <c r="F12" s="60">
        <v>58</v>
      </c>
      <c r="G12" s="38">
        <v>25</v>
      </c>
      <c r="I12" s="36">
        <v>-6.5621052631578909</v>
      </c>
      <c r="J12" s="37">
        <v>154.19999999999999</v>
      </c>
      <c r="K12" s="38">
        <v>-35.905263157894723</v>
      </c>
      <c r="M12" s="36">
        <v>-10.430718954248354</v>
      </c>
      <c r="N12" s="37">
        <v>175.15359477124181</v>
      </c>
      <c r="O12" s="38">
        <v>-28.562091503267972</v>
      </c>
      <c r="Q12" s="36">
        <v>-8.3889506172839425</v>
      </c>
      <c r="R12" s="37">
        <v>164.09475308641973</v>
      </c>
      <c r="S12" s="38">
        <v>-32.437654320987647</v>
      </c>
    </row>
    <row r="13" spans="1:19" ht="14.45" x14ac:dyDescent="0.35">
      <c r="A13" s="36">
        <v>35.200000000000003</v>
      </c>
      <c r="B13" s="37">
        <v>99</v>
      </c>
      <c r="C13" s="38">
        <v>8</v>
      </c>
      <c r="E13" s="36">
        <v>39.9</v>
      </c>
      <c r="F13" s="60">
        <v>52</v>
      </c>
      <c r="G13" s="38">
        <v>17</v>
      </c>
      <c r="I13" s="39">
        <v>0.25894736842105781</v>
      </c>
      <c r="J13" s="40">
        <v>-35.905263157894723</v>
      </c>
      <c r="K13" s="41">
        <v>47.621052631578941</v>
      </c>
      <c r="M13" s="39">
        <v>0.64771241830065429</v>
      </c>
      <c r="N13" s="40">
        <v>-28.562091503267972</v>
      </c>
      <c r="O13" s="41">
        <v>24.457516339869276</v>
      </c>
      <c r="Q13" s="39">
        <v>0.4425308641975339</v>
      </c>
      <c r="R13" s="40">
        <v>-32.437654320987647</v>
      </c>
      <c r="S13" s="41">
        <v>36.682716049382712</v>
      </c>
    </row>
    <row r="14" spans="1:19" ht="14.45" x14ac:dyDescent="0.35">
      <c r="A14" s="36">
        <v>38.200000000000003</v>
      </c>
      <c r="B14" s="37">
        <v>65</v>
      </c>
      <c r="C14" s="38">
        <v>21</v>
      </c>
      <c r="E14" s="36">
        <v>41.3</v>
      </c>
      <c r="F14" s="60">
        <v>62</v>
      </c>
      <c r="G14" s="38">
        <v>18</v>
      </c>
    </row>
    <row r="15" spans="1:19" ht="14.45" x14ac:dyDescent="0.35">
      <c r="A15" s="36">
        <v>37.5</v>
      </c>
      <c r="B15" s="37">
        <v>55</v>
      </c>
      <c r="C15" s="38">
        <v>11</v>
      </c>
      <c r="E15" s="36">
        <v>38.1</v>
      </c>
      <c r="F15" s="60">
        <v>57</v>
      </c>
      <c r="G15" s="38">
        <v>20</v>
      </c>
      <c r="I15" t="s">
        <v>52</v>
      </c>
      <c r="J15" s="48">
        <f>J7+K7-1</f>
        <v>37</v>
      </c>
      <c r="M15" t="s">
        <v>69</v>
      </c>
      <c r="R15" t="s">
        <v>132</v>
      </c>
    </row>
    <row r="16" spans="1:19" ht="14.45" x14ac:dyDescent="0.35">
      <c r="A16" s="36">
        <v>35.799999999999997</v>
      </c>
      <c r="B16" s="37">
        <v>70</v>
      </c>
      <c r="C16" s="38">
        <v>16</v>
      </c>
      <c r="E16" s="36">
        <v>39.6</v>
      </c>
      <c r="F16" s="60">
        <v>78</v>
      </c>
      <c r="G16" s="38">
        <v>19</v>
      </c>
      <c r="I16" t="s">
        <v>53</v>
      </c>
      <c r="J16" s="49">
        <f>COUNT(A6:C6)</f>
        <v>3</v>
      </c>
    </row>
    <row r="17" spans="1:19" ht="16.5" x14ac:dyDescent="0.35">
      <c r="A17" s="36">
        <v>37.4</v>
      </c>
      <c r="B17" s="37">
        <v>76</v>
      </c>
      <c r="C17" s="38">
        <v>13</v>
      </c>
      <c r="E17" s="36">
        <v>37.1</v>
      </c>
      <c r="F17" s="60">
        <v>92</v>
      </c>
      <c r="G17" s="38">
        <v>15</v>
      </c>
      <c r="I17" t="s">
        <v>51</v>
      </c>
      <c r="J17" s="49">
        <f t="array" ref="J17">MMULT(TRANSPOSE(L4:L6),MMULT(MINVERSE((1/J7+1/K7)*Q11:S13),L4:L6))</f>
        <v>44.836536850221904</v>
      </c>
      <c r="N17" s="47" t="str">
        <f>E5</f>
        <v>Fever</v>
      </c>
      <c r="O17" s="47" t="str">
        <f>F5</f>
        <v>Pressure</v>
      </c>
      <c r="P17" s="47" t="str">
        <f>G5</f>
        <v>Aches</v>
      </c>
      <c r="R17" t="s">
        <v>103</v>
      </c>
      <c r="S17" s="48">
        <f>J7</f>
        <v>20</v>
      </c>
    </row>
    <row r="18" spans="1:19" ht="14.45" x14ac:dyDescent="0.35">
      <c r="A18" s="36">
        <v>37.200000000000003</v>
      </c>
      <c r="B18" s="37">
        <v>49</v>
      </c>
      <c r="C18" s="38">
        <v>29</v>
      </c>
      <c r="E18" s="36">
        <v>39.5</v>
      </c>
      <c r="F18" s="60">
        <v>63</v>
      </c>
      <c r="G18" s="38">
        <v>13</v>
      </c>
      <c r="I18" t="s">
        <v>54</v>
      </c>
      <c r="J18" s="49">
        <f>J17*(J15-J16)/(J16*(J15-1))</f>
        <v>14.11520604544023</v>
      </c>
      <c r="M18" t="s">
        <v>102</v>
      </c>
      <c r="N18" s="33">
        <f t="array" ref="N18:P18">TRANSPOSE(L4:L6)</f>
        <v>-2.1544444444444508</v>
      </c>
      <c r="O18" s="34">
        <v>6.8222222222222157</v>
      </c>
      <c r="P18" s="35">
        <v>-2.5111111111111093</v>
      </c>
      <c r="R18" t="s">
        <v>104</v>
      </c>
      <c r="S18" s="49">
        <f>K7</f>
        <v>18</v>
      </c>
    </row>
    <row r="19" spans="1:19" ht="14.45" x14ac:dyDescent="0.35">
      <c r="A19" s="36">
        <v>36.5</v>
      </c>
      <c r="B19" s="37">
        <v>59</v>
      </c>
      <c r="C19" s="38">
        <v>24</v>
      </c>
      <c r="E19" s="36">
        <v>40.299999999999997</v>
      </c>
      <c r="F19" s="60">
        <v>52</v>
      </c>
      <c r="G19" s="38">
        <v>25</v>
      </c>
      <c r="I19" t="s">
        <v>55</v>
      </c>
      <c r="J19" s="49">
        <f>J16</f>
        <v>3</v>
      </c>
      <c r="M19" t="s">
        <v>103</v>
      </c>
      <c r="N19" s="36">
        <f>J7</f>
        <v>20</v>
      </c>
      <c r="O19" s="37">
        <f t="shared" ref="O19:O25" si="0">N19</f>
        <v>20</v>
      </c>
      <c r="P19" s="38">
        <f t="shared" ref="P19:P25" si="1">O19</f>
        <v>20</v>
      </c>
      <c r="R19" t="s">
        <v>133</v>
      </c>
      <c r="S19" s="49">
        <f>J17</f>
        <v>44.836536850221904</v>
      </c>
    </row>
    <row r="20" spans="1:19" ht="14.45" x14ac:dyDescent="0.35">
      <c r="A20" s="36">
        <v>38.299999999999997</v>
      </c>
      <c r="B20" s="37">
        <v>77</v>
      </c>
      <c r="C20" s="38">
        <v>12</v>
      </c>
      <c r="E20" s="36">
        <v>41.5</v>
      </c>
      <c r="F20" s="60">
        <v>46</v>
      </c>
      <c r="G20" s="38">
        <v>27</v>
      </c>
      <c r="I20" t="s">
        <v>56</v>
      </c>
      <c r="J20" s="49">
        <f>J15-J16</f>
        <v>34</v>
      </c>
      <c r="M20" t="s">
        <v>104</v>
      </c>
      <c r="N20" s="36">
        <f>K7</f>
        <v>18</v>
      </c>
      <c r="O20" s="37">
        <f t="shared" si="0"/>
        <v>18</v>
      </c>
      <c r="P20" s="38">
        <f t="shared" si="1"/>
        <v>18</v>
      </c>
      <c r="R20" t="s">
        <v>134</v>
      </c>
      <c r="S20" s="52">
        <f>S19*(S17+S18)/(S17*S18)</f>
        <v>4.7327455564123122</v>
      </c>
    </row>
    <row r="21" spans="1:19" x14ac:dyDescent="0.25">
      <c r="A21" s="36">
        <v>37.5</v>
      </c>
      <c r="B21" s="37">
        <v>66</v>
      </c>
      <c r="C21" s="38">
        <v>19</v>
      </c>
      <c r="E21" s="36">
        <v>39.299999999999997</v>
      </c>
      <c r="F21" s="60">
        <v>56</v>
      </c>
      <c r="G21" s="38">
        <v>14</v>
      </c>
      <c r="I21" s="46" t="s">
        <v>57</v>
      </c>
      <c r="J21" s="50">
        <v>0.05</v>
      </c>
      <c r="M21" s="60" t="s">
        <v>53</v>
      </c>
      <c r="N21" s="36">
        <f>J16</f>
        <v>3</v>
      </c>
      <c r="O21" s="37">
        <f t="shared" si="0"/>
        <v>3</v>
      </c>
      <c r="P21" s="38">
        <f t="shared" si="1"/>
        <v>3</v>
      </c>
    </row>
    <row r="22" spans="1:19" ht="14.45" x14ac:dyDescent="0.35">
      <c r="A22" s="36">
        <v>36</v>
      </c>
      <c r="B22" s="37">
        <v>79</v>
      </c>
      <c r="C22" s="38">
        <v>14</v>
      </c>
      <c r="E22" s="36">
        <v>37.6</v>
      </c>
      <c r="F22" s="60">
        <v>86</v>
      </c>
      <c r="G22" s="38">
        <v>16</v>
      </c>
      <c r="I22" t="s">
        <v>58</v>
      </c>
      <c r="J22" s="49">
        <f>FINV(J21,J19,J20)</f>
        <v>2.8826042042612277</v>
      </c>
      <c r="M22" t="s">
        <v>55</v>
      </c>
      <c r="N22" s="36">
        <f>N21</f>
        <v>3</v>
      </c>
      <c r="O22" s="37">
        <f t="shared" si="0"/>
        <v>3</v>
      </c>
      <c r="P22" s="38">
        <f t="shared" si="1"/>
        <v>3</v>
      </c>
    </row>
    <row r="23" spans="1:19" ht="14.45" x14ac:dyDescent="0.35">
      <c r="A23" s="36">
        <v>36.9</v>
      </c>
      <c r="B23" s="37">
        <v>67</v>
      </c>
      <c r="C23" s="38">
        <v>12</v>
      </c>
      <c r="E23" s="36">
        <v>40.6</v>
      </c>
      <c r="F23" s="60">
        <v>48</v>
      </c>
      <c r="G23" s="38">
        <v>21</v>
      </c>
      <c r="I23" t="s">
        <v>59</v>
      </c>
      <c r="J23" s="49">
        <f>FDIST(J18,J19,J20)</f>
        <v>3.8573593273898063E-6</v>
      </c>
      <c r="M23" s="60" t="s">
        <v>56</v>
      </c>
      <c r="N23" s="36">
        <f>J20</f>
        <v>34</v>
      </c>
      <c r="O23" s="37">
        <f t="shared" si="0"/>
        <v>34</v>
      </c>
      <c r="P23" s="38">
        <f t="shared" si="1"/>
        <v>34</v>
      </c>
    </row>
    <row r="24" spans="1:19" x14ac:dyDescent="0.25">
      <c r="A24" s="36">
        <v>39.299999999999997</v>
      </c>
      <c r="B24" s="37">
        <v>53</v>
      </c>
      <c r="C24" s="38">
        <v>7</v>
      </c>
      <c r="E24" s="36"/>
      <c r="F24" s="60"/>
      <c r="G24" s="38"/>
      <c r="I24" t="s">
        <v>60</v>
      </c>
      <c r="J24" s="51" t="str">
        <f>IF(J23&lt;= J21,"yes","no")</f>
        <v>yes</v>
      </c>
      <c r="M24" s="46" t="s">
        <v>57</v>
      </c>
      <c r="N24" s="36">
        <v>0.05</v>
      </c>
      <c r="O24" s="37">
        <f t="shared" si="0"/>
        <v>0.05</v>
      </c>
      <c r="P24" s="38">
        <f t="shared" si="1"/>
        <v>0.05</v>
      </c>
    </row>
    <row r="25" spans="1:19" ht="14.45" x14ac:dyDescent="0.35">
      <c r="A25" s="39">
        <v>38.799999999999997</v>
      </c>
      <c r="B25" s="40">
        <v>67</v>
      </c>
      <c r="C25" s="41">
        <v>13</v>
      </c>
      <c r="E25" s="39"/>
      <c r="F25" s="40"/>
      <c r="G25" s="41"/>
      <c r="M25" t="s">
        <v>58</v>
      </c>
      <c r="N25" s="36">
        <f>J22</f>
        <v>2.8826042042612277</v>
      </c>
      <c r="O25" s="37">
        <f t="shared" si="0"/>
        <v>2.8826042042612277</v>
      </c>
      <c r="P25" s="38">
        <f t="shared" si="1"/>
        <v>2.8826042042612277</v>
      </c>
    </row>
    <row r="26" spans="1:19" ht="14.45" x14ac:dyDescent="0.35">
      <c r="I26" t="s">
        <v>916</v>
      </c>
      <c r="M26" s="60" t="s">
        <v>63</v>
      </c>
      <c r="N26" s="36">
        <f>SQRT(N25*N21*(N19+N20-2)/N23)</f>
        <v>3.0259721532689614</v>
      </c>
      <c r="O26" s="37">
        <f>SQRT(O25*O21*(O19+O20-2)/O23)</f>
        <v>3.0259721532689614</v>
      </c>
      <c r="P26" s="38">
        <f>SQRT(P25*P21*(P19+P20-2)/P23)</f>
        <v>3.0259721532689614</v>
      </c>
    </row>
    <row r="27" spans="1:19" ht="14.45" x14ac:dyDescent="0.35">
      <c r="A27" s="33">
        <f>AVERAGE(A6:A25)</f>
        <v>37.289999999999992</v>
      </c>
      <c r="B27" s="34">
        <f>AVERAGE(B6:B25)</f>
        <v>69.099999999999994</v>
      </c>
      <c r="C27" s="35">
        <f>AVERAGE(C6:C25)</f>
        <v>17.600000000000001</v>
      </c>
      <c r="D27" s="32" t="s">
        <v>48</v>
      </c>
      <c r="E27" s="33">
        <f>AVERAGE(E6:E25)</f>
        <v>39.444444444444443</v>
      </c>
      <c r="F27" s="34">
        <f>AVERAGE(F6:F25)</f>
        <v>62.277777777777779</v>
      </c>
      <c r="G27" s="35">
        <f>AVERAGE(G6:G25)</f>
        <v>20.111111111111111</v>
      </c>
      <c r="M27" s="60" t="s">
        <v>105</v>
      </c>
      <c r="N27" s="36">
        <f>A28</f>
        <v>1.0419999999999989</v>
      </c>
      <c r="O27" s="37">
        <f>B28</f>
        <v>154.20000000000016</v>
      </c>
      <c r="P27" s="38">
        <f>C28</f>
        <v>47.621052631578955</v>
      </c>
    </row>
    <row r="28" spans="1:19" ht="16.5" x14ac:dyDescent="0.35">
      <c r="A28" s="39">
        <f>VAR(A6:A25)</f>
        <v>1.0419999999999989</v>
      </c>
      <c r="B28" s="40">
        <f>VAR(B6:B25)</f>
        <v>154.20000000000016</v>
      </c>
      <c r="C28" s="41">
        <f>VAR(C6:C25)</f>
        <v>47.621052631578955</v>
      </c>
      <c r="D28" s="32" t="s">
        <v>107</v>
      </c>
      <c r="E28" s="39">
        <f>VAR(E6:E25)</f>
        <v>1.4967320261437886</v>
      </c>
      <c r="F28" s="40">
        <f>VAR(F6:F25)</f>
        <v>175.15359477124173</v>
      </c>
      <c r="G28" s="41">
        <f>VAR(G6:G25)</f>
        <v>24.457516339869258</v>
      </c>
      <c r="I28" t="s">
        <v>51</v>
      </c>
      <c r="J28" s="48">
        <f>[1]!HotellingT2(A6:C25,E6:G23,2)</f>
        <v>44.836536850221904</v>
      </c>
      <c r="M28" s="60" t="s">
        <v>106</v>
      </c>
      <c r="N28" s="36">
        <f>E28</f>
        <v>1.4967320261437886</v>
      </c>
      <c r="O28" s="37">
        <f>F28</f>
        <v>175.15359477124173</v>
      </c>
      <c r="P28" s="38">
        <f>G28</f>
        <v>24.457516339869258</v>
      </c>
    </row>
    <row r="29" spans="1:19" ht="14.45" x14ac:dyDescent="0.35">
      <c r="I29" t="s">
        <v>54</v>
      </c>
      <c r="J29" s="49">
        <f>[1]!HotellingF(A6:C25,E6:G23,2)</f>
        <v>14.11520604544023</v>
      </c>
      <c r="M29" s="60" t="s">
        <v>61</v>
      </c>
      <c r="N29" s="36">
        <f>SQRT(((N19-1)*N27+(N20-1)*N28)/(N19+N20-2))</f>
        <v>1.1210417333450315</v>
      </c>
      <c r="O29" s="37">
        <f>SQRT(((O19-1)*O27+(O20-1)*O28)/(O19+O20-2))</f>
        <v>12.809947427152844</v>
      </c>
      <c r="P29" s="38">
        <f>SQRT(((P19-1)*P27+(P20-1)*P28)/(P19+P20-2))</f>
        <v>6.0566257973712316</v>
      </c>
    </row>
    <row r="30" spans="1:19" ht="14.45" x14ac:dyDescent="0.35">
      <c r="I30" t="s">
        <v>55</v>
      </c>
      <c r="J30" s="49">
        <f>[1]!Hotellingdf1(A6:C25,E6:G23,2)</f>
        <v>3</v>
      </c>
      <c r="M30" t="s">
        <v>70</v>
      </c>
      <c r="N30" s="39">
        <f>N29*SQRT(1/N19+1/N20)</f>
        <v>0.36421877422873972</v>
      </c>
      <c r="O30" s="40">
        <f>O29*SQRT(1/O19+1/O20)</f>
        <v>4.1618641046757823</v>
      </c>
      <c r="P30" s="41">
        <f>P29*SQRT(1/P19+1/P20)</f>
        <v>1.9677562023480668</v>
      </c>
    </row>
    <row r="31" spans="1:19" ht="14.45" x14ac:dyDescent="0.35">
      <c r="I31" t="s">
        <v>56</v>
      </c>
      <c r="J31" s="49">
        <f>[1]!Hotellingdf2(A6:C25,E6:G23,2)</f>
        <v>34</v>
      </c>
      <c r="M31" t="s">
        <v>66</v>
      </c>
      <c r="N31" s="33">
        <f>N18-N26*N30</f>
        <v>-3.256560312958372</v>
      </c>
      <c r="O31" s="34">
        <f>O18-O26*O30</f>
        <v>-5.7714626642163598</v>
      </c>
      <c r="P31" s="35">
        <f>P18-P26*P30</f>
        <v>-8.4654865838386435</v>
      </c>
    </row>
    <row r="32" spans="1:19" ht="14.45" x14ac:dyDescent="0.35">
      <c r="I32" t="s">
        <v>65</v>
      </c>
      <c r="J32" s="52">
        <f>[1]!T2TEST(A6:C25,E6:G23,2)</f>
        <v>3.8573593273971696E-6</v>
      </c>
      <c r="M32" t="s">
        <v>67</v>
      </c>
      <c r="N32" s="39">
        <f>N18+N26*N30</f>
        <v>-1.0523285759305296</v>
      </c>
      <c r="O32" s="40">
        <f>O18+O26*O30</f>
        <v>19.41590710866079</v>
      </c>
      <c r="P32" s="41">
        <f>P18+P26*P30</f>
        <v>3.4432643616164249</v>
      </c>
    </row>
    <row r="33" spans="13:16" ht="14.45" x14ac:dyDescent="0.35">
      <c r="M33" s="60" t="s">
        <v>72</v>
      </c>
      <c r="N33" s="61" t="str">
        <f>IF(N32&lt;0,"low",IF(0&lt;N31,"high","ok"))</f>
        <v>low</v>
      </c>
      <c r="O33" s="68" t="str">
        <f>IF(O32&lt;0,"low",IF(0&lt;O31,"high","ok"))</f>
        <v>ok</v>
      </c>
      <c r="P33" s="69" t="str">
        <f>IF(P32&lt;0,"low",IF(0&lt;P31,"high","ok"))</f>
        <v>ok</v>
      </c>
    </row>
    <row r="35" spans="13:16" x14ac:dyDescent="0.25">
      <c r="M35" t="s">
        <v>82</v>
      </c>
    </row>
    <row r="37" spans="13:16" x14ac:dyDescent="0.25">
      <c r="N37" s="47" t="str">
        <f>E5</f>
        <v>Fever</v>
      </c>
      <c r="O37" s="47" t="str">
        <f>F5</f>
        <v>Pressure</v>
      </c>
      <c r="P37" s="47" t="str">
        <f>G5</f>
        <v>Aches</v>
      </c>
    </row>
    <row r="38" spans="13:16" x14ac:dyDescent="0.25">
      <c r="M38" t="s">
        <v>48</v>
      </c>
      <c r="N38" s="63">
        <f t="shared" ref="N38:P39" si="2">N18</f>
        <v>-2.1544444444444508</v>
      </c>
      <c r="O38" s="64">
        <f t="shared" si="2"/>
        <v>6.8222222222222157</v>
      </c>
      <c r="P38" s="65">
        <f t="shared" si="2"/>
        <v>-2.5111111111111093</v>
      </c>
    </row>
    <row r="39" spans="13:16" x14ac:dyDescent="0.25">
      <c r="M39" t="s">
        <v>103</v>
      </c>
      <c r="N39" s="66">
        <f t="shared" si="2"/>
        <v>20</v>
      </c>
      <c r="O39" s="56">
        <f t="shared" si="2"/>
        <v>20</v>
      </c>
      <c r="P39" s="67">
        <f t="shared" si="2"/>
        <v>20</v>
      </c>
    </row>
    <row r="40" spans="13:16" x14ac:dyDescent="0.25">
      <c r="M40" t="s">
        <v>104</v>
      </c>
      <c r="N40" s="66">
        <f t="shared" ref="N40:P41" si="3">N20</f>
        <v>18</v>
      </c>
      <c r="O40" s="56">
        <f t="shared" si="3"/>
        <v>18</v>
      </c>
      <c r="P40" s="67">
        <f t="shared" si="3"/>
        <v>18</v>
      </c>
    </row>
    <row r="41" spans="13:16" x14ac:dyDescent="0.25">
      <c r="M41" t="s">
        <v>53</v>
      </c>
      <c r="N41" s="66">
        <f t="shared" si="3"/>
        <v>3</v>
      </c>
      <c r="O41" s="56">
        <f t="shared" si="3"/>
        <v>3</v>
      </c>
      <c r="P41" s="67">
        <f t="shared" si="3"/>
        <v>3</v>
      </c>
    </row>
    <row r="42" spans="13:16" x14ac:dyDescent="0.25">
      <c r="M42" t="s">
        <v>62</v>
      </c>
      <c r="N42" s="66">
        <f>N39+N40-2</f>
        <v>36</v>
      </c>
      <c r="O42" s="56">
        <f>O39+O40-2</f>
        <v>36</v>
      </c>
      <c r="P42" s="67">
        <f>P39+P40-2</f>
        <v>36</v>
      </c>
    </row>
    <row r="43" spans="13:16" x14ac:dyDescent="0.25">
      <c r="M43" s="46" t="s">
        <v>57</v>
      </c>
      <c r="N43" s="66">
        <v>0.05</v>
      </c>
      <c r="O43" s="37">
        <f>N43</f>
        <v>0.05</v>
      </c>
      <c r="P43" s="38">
        <f>O43</f>
        <v>0.05</v>
      </c>
    </row>
    <row r="44" spans="13:16" x14ac:dyDescent="0.25">
      <c r="M44" t="s">
        <v>63</v>
      </c>
      <c r="N44" s="36">
        <f>TINV(N43/N41,N42)</f>
        <v>2.511040355246327</v>
      </c>
      <c r="O44" s="37">
        <f>TINV(O43/O41,O42)</f>
        <v>2.511040355246327</v>
      </c>
      <c r="P44" s="38">
        <f>TINV(P43/P41,P42)</f>
        <v>2.511040355246327</v>
      </c>
    </row>
    <row r="45" spans="13:16" x14ac:dyDescent="0.25">
      <c r="M45" t="s">
        <v>70</v>
      </c>
      <c r="N45" s="39">
        <f>N30</f>
        <v>0.36421877422873972</v>
      </c>
      <c r="O45" s="40">
        <f>O30</f>
        <v>4.1618641046757823</v>
      </c>
      <c r="P45" s="41">
        <f>P30</f>
        <v>1.9677562023480668</v>
      </c>
    </row>
    <row r="46" spans="13:16" x14ac:dyDescent="0.25">
      <c r="M46" t="s">
        <v>66</v>
      </c>
      <c r="N46" s="33">
        <f>N38-N45*N41</f>
        <v>-3.2471007671306698</v>
      </c>
      <c r="O46" s="34">
        <f>O38-O45*O41</f>
        <v>-5.6633700918051311</v>
      </c>
      <c r="P46" s="35">
        <f>P38-P45*P41</f>
        <v>-8.4143797181553097</v>
      </c>
    </row>
    <row r="47" spans="13:16" x14ac:dyDescent="0.25">
      <c r="M47" t="s">
        <v>67</v>
      </c>
      <c r="N47" s="39">
        <f>N38+N45*N41</f>
        <v>-1.0617881217582317</v>
      </c>
      <c r="O47" s="40">
        <f>O38+O45*O41</f>
        <v>19.307814536249563</v>
      </c>
      <c r="P47" s="41">
        <f>P38+P45*P41</f>
        <v>3.3921574959330911</v>
      </c>
    </row>
    <row r="48" spans="13:16" x14ac:dyDescent="0.25">
      <c r="M48" s="60" t="s">
        <v>72</v>
      </c>
      <c r="N48" s="61" t="str">
        <f>IF(N47&lt;0,"low",IF(0&lt;N46,"high","ok"))</f>
        <v>low</v>
      </c>
      <c r="O48" s="68" t="str">
        <f>IF(O47&lt;0,"low",IF(0&lt;O46,"high","ok"))</f>
        <v>ok</v>
      </c>
      <c r="P48" s="69" t="str">
        <f>IF(P47&lt;0,"low",IF(0&lt;P46,"high","ok"))</f>
        <v>ok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5"/>
  <dimension ref="A1:S28"/>
  <sheetViews>
    <sheetView topLeftCell="A6" workbookViewId="0">
      <selection activeCell="Q20" sqref="Q20"/>
    </sheetView>
  </sheetViews>
  <sheetFormatPr defaultRowHeight="15" x14ac:dyDescent="0.25"/>
  <cols>
    <col min="10" max="10" width="9.140625" customWidth="1"/>
  </cols>
  <sheetData>
    <row r="1" spans="1:19" ht="14.45" x14ac:dyDescent="0.35">
      <c r="A1" s="42" t="s">
        <v>89</v>
      </c>
    </row>
    <row r="3" spans="1:19" ht="14.45" x14ac:dyDescent="0.35">
      <c r="A3" t="s">
        <v>90</v>
      </c>
      <c r="E3" t="s">
        <v>94</v>
      </c>
      <c r="J3" s="47" t="s">
        <v>90</v>
      </c>
      <c r="K3" s="47" t="s">
        <v>94</v>
      </c>
      <c r="L3" s="47" t="s">
        <v>96</v>
      </c>
    </row>
    <row r="4" spans="1:19" ht="14.45" x14ac:dyDescent="0.35">
      <c r="I4" t="s">
        <v>91</v>
      </c>
      <c r="J4" s="33">
        <f t="array" ref="J4:J6">TRANSPOSE(A27:C27)</f>
        <v>37.289999999999992</v>
      </c>
      <c r="K4" s="35">
        <f t="array" ref="K4:K6">TRANSPOSE(E27:G27)</f>
        <v>39.444444444444443</v>
      </c>
      <c r="L4" s="48">
        <f>J4-K4</f>
        <v>-2.1544444444444508</v>
      </c>
    </row>
    <row r="5" spans="1:19" ht="14.45" x14ac:dyDescent="0.35">
      <c r="A5" s="47" t="s">
        <v>91</v>
      </c>
      <c r="B5" s="47" t="s">
        <v>92</v>
      </c>
      <c r="C5" s="47" t="s">
        <v>93</v>
      </c>
      <c r="D5" s="47"/>
      <c r="E5" s="47" t="s">
        <v>91</v>
      </c>
      <c r="F5" s="47" t="s">
        <v>92</v>
      </c>
      <c r="G5" s="47" t="s">
        <v>93</v>
      </c>
      <c r="I5" s="70" t="s">
        <v>92</v>
      </c>
      <c r="J5" s="36">
        <v>69.099999999999994</v>
      </c>
      <c r="K5" s="38">
        <v>62.277777777777779</v>
      </c>
      <c r="L5" s="49">
        <f>J5-K5</f>
        <v>6.8222222222222157</v>
      </c>
    </row>
    <row r="6" spans="1:19" ht="14.45" x14ac:dyDescent="0.35">
      <c r="A6" s="33">
        <v>36.5</v>
      </c>
      <c r="B6" s="34">
        <v>72</v>
      </c>
      <c r="C6" s="35">
        <v>18</v>
      </c>
      <c r="E6" s="33">
        <v>40.9</v>
      </c>
      <c r="F6" s="34">
        <v>54</v>
      </c>
      <c r="G6" s="35">
        <v>14</v>
      </c>
      <c r="I6" t="s">
        <v>93</v>
      </c>
      <c r="J6" s="39">
        <v>17.600000000000001</v>
      </c>
      <c r="K6" s="41">
        <v>20.111111111111111</v>
      </c>
      <c r="L6" s="52">
        <f>J6-K6</f>
        <v>-2.5111111111111093</v>
      </c>
    </row>
    <row r="7" spans="1:19" ht="14.45" x14ac:dyDescent="0.35">
      <c r="A7" s="36">
        <v>36.6</v>
      </c>
      <c r="B7" s="37">
        <v>84</v>
      </c>
      <c r="C7" s="38">
        <v>16</v>
      </c>
      <c r="E7" s="36">
        <v>39.5</v>
      </c>
      <c r="F7" s="37">
        <v>75</v>
      </c>
      <c r="G7" s="38">
        <v>18</v>
      </c>
      <c r="I7" t="s">
        <v>100</v>
      </c>
      <c r="J7">
        <f>COUNT(A6:A25)</f>
        <v>20</v>
      </c>
      <c r="K7">
        <f>COUNT(E6:E25)</f>
        <v>18</v>
      </c>
    </row>
    <row r="8" spans="1:19" ht="14.45" x14ac:dyDescent="0.35">
      <c r="A8" s="36">
        <v>38.200000000000003</v>
      </c>
      <c r="B8" s="37">
        <v>60</v>
      </c>
      <c r="C8" s="38">
        <v>29</v>
      </c>
      <c r="E8" s="36">
        <v>39.4</v>
      </c>
      <c r="F8" s="37">
        <v>57</v>
      </c>
      <c r="G8" s="38">
        <v>24</v>
      </c>
    </row>
    <row r="9" spans="1:19" ht="14.45" x14ac:dyDescent="0.35">
      <c r="A9" s="36">
        <v>37.6</v>
      </c>
      <c r="B9" s="37">
        <v>82</v>
      </c>
      <c r="C9" s="38">
        <v>13</v>
      </c>
      <c r="E9" s="36">
        <v>38.200000000000003</v>
      </c>
      <c r="F9" s="60">
        <v>71</v>
      </c>
      <c r="G9" s="38">
        <v>24</v>
      </c>
      <c r="I9" t="s">
        <v>97</v>
      </c>
      <c r="M9" t="s">
        <v>98</v>
      </c>
      <c r="Q9" t="s">
        <v>99</v>
      </c>
    </row>
    <row r="10" spans="1:19" ht="14.45" x14ac:dyDescent="0.35">
      <c r="A10" s="36">
        <v>37</v>
      </c>
      <c r="B10" s="37">
        <v>68</v>
      </c>
      <c r="C10" s="38">
        <v>25</v>
      </c>
      <c r="E10" s="36">
        <v>39.700000000000003</v>
      </c>
      <c r="F10" s="60">
        <v>65</v>
      </c>
      <c r="G10" s="38">
        <v>22</v>
      </c>
    </row>
    <row r="11" spans="1:19" ht="14.45" x14ac:dyDescent="0.35">
      <c r="A11" s="36">
        <v>37.9</v>
      </c>
      <c r="B11" s="37">
        <v>54</v>
      </c>
      <c r="C11" s="38">
        <v>27</v>
      </c>
      <c r="E11" s="36">
        <v>38.9</v>
      </c>
      <c r="F11" s="60">
        <v>49</v>
      </c>
      <c r="G11" s="38">
        <v>30</v>
      </c>
      <c r="I11" s="33">
        <f t="array" ref="I11:K13">[1]!COV(A6:C25)</f>
        <v>1.0419999999999989</v>
      </c>
      <c r="J11" s="34">
        <v>-6.5621052631578909</v>
      </c>
      <c r="K11" s="35">
        <v>0.25894736842105781</v>
      </c>
      <c r="M11" s="33">
        <f t="array" ref="M11:O13">[1]!COV(E6:G23)</f>
        <v>1.4967320261437886</v>
      </c>
      <c r="N11" s="34">
        <v>-10.430718954248354</v>
      </c>
      <c r="O11" s="35">
        <v>0.64771241830065429</v>
      </c>
      <c r="Q11" s="33">
        <f t="array" ref="Q11:S13">((J7-1)*I11:K13+(K7-1)*M11:O13)/(J7+K7-2)</f>
        <v>1.2567345679012329</v>
      </c>
      <c r="R11" s="34">
        <v>-8.3889506172839425</v>
      </c>
      <c r="S11" s="35">
        <v>0.4425308641975339</v>
      </c>
    </row>
    <row r="12" spans="1:19" ht="14.45" x14ac:dyDescent="0.35">
      <c r="A12" s="36">
        <v>37.4</v>
      </c>
      <c r="B12" s="37">
        <v>80</v>
      </c>
      <c r="C12" s="38">
        <v>25</v>
      </c>
      <c r="E12" s="36">
        <v>38.6</v>
      </c>
      <c r="F12" s="60">
        <v>58</v>
      </c>
      <c r="G12" s="38">
        <v>25</v>
      </c>
      <c r="I12" s="36">
        <v>-6.5621052631578909</v>
      </c>
      <c r="J12" s="37">
        <v>154.19999999999999</v>
      </c>
      <c r="K12" s="38">
        <v>-35.905263157894723</v>
      </c>
      <c r="M12" s="36">
        <v>-10.430718954248354</v>
      </c>
      <c r="N12" s="37">
        <v>175.15359477124181</v>
      </c>
      <c r="O12" s="38">
        <v>-28.562091503267972</v>
      </c>
      <c r="Q12" s="36">
        <v>-8.3889506172839425</v>
      </c>
      <c r="R12" s="37">
        <v>164.09475308641973</v>
      </c>
      <c r="S12" s="38">
        <v>-32.437654320987647</v>
      </c>
    </row>
    <row r="13" spans="1:19" ht="14.45" x14ac:dyDescent="0.35">
      <c r="A13" s="36">
        <v>35.200000000000003</v>
      </c>
      <c r="B13" s="37">
        <v>99</v>
      </c>
      <c r="C13" s="38">
        <v>8</v>
      </c>
      <c r="E13" s="36">
        <v>39.9</v>
      </c>
      <c r="F13" s="60">
        <v>52</v>
      </c>
      <c r="G13" s="38">
        <v>17</v>
      </c>
      <c r="I13" s="39">
        <v>0.25894736842105781</v>
      </c>
      <c r="J13" s="40">
        <v>-35.905263157894723</v>
      </c>
      <c r="K13" s="41">
        <v>47.621052631578941</v>
      </c>
      <c r="M13" s="39">
        <v>0.64771241830065429</v>
      </c>
      <c r="N13" s="40">
        <v>-28.562091503267972</v>
      </c>
      <c r="O13" s="41">
        <v>24.457516339869276</v>
      </c>
      <c r="Q13" s="39">
        <v>0.4425308641975339</v>
      </c>
      <c r="R13" s="40">
        <v>-32.437654320987647</v>
      </c>
      <c r="S13" s="41">
        <v>36.682716049382712</v>
      </c>
    </row>
    <row r="14" spans="1:19" ht="14.45" x14ac:dyDescent="0.35">
      <c r="A14" s="36">
        <v>38.200000000000003</v>
      </c>
      <c r="B14" s="37">
        <v>65</v>
      </c>
      <c r="C14" s="38">
        <v>21</v>
      </c>
      <c r="E14" s="36">
        <v>41.3</v>
      </c>
      <c r="F14" s="60">
        <v>62</v>
      </c>
      <c r="G14" s="38">
        <v>18</v>
      </c>
    </row>
    <row r="15" spans="1:19" ht="14.45" x14ac:dyDescent="0.35">
      <c r="A15" s="36">
        <v>37.5</v>
      </c>
      <c r="B15" s="37">
        <v>55</v>
      </c>
      <c r="C15" s="38">
        <v>11</v>
      </c>
      <c r="E15" s="36">
        <v>38.1</v>
      </c>
      <c r="F15" s="60">
        <v>57</v>
      </c>
      <c r="G15" s="38">
        <v>20</v>
      </c>
    </row>
    <row r="16" spans="1:19" x14ac:dyDescent="0.25">
      <c r="A16" s="36">
        <v>35.799999999999997</v>
      </c>
      <c r="B16" s="37">
        <v>70</v>
      </c>
      <c r="C16" s="38">
        <v>16</v>
      </c>
      <c r="E16" s="36">
        <v>39.6</v>
      </c>
      <c r="F16" s="60">
        <v>78</v>
      </c>
      <c r="G16" s="38">
        <v>19</v>
      </c>
      <c r="I16" s="71" t="s">
        <v>935</v>
      </c>
      <c r="J16" s="146">
        <f t="array" ref="J16">SQRT(MMULT(TRANSPOSE(L4:L6),MMULT(MINVERSE(Q11:S13),L4:L6)))</f>
        <v>2.1754874296148707</v>
      </c>
      <c r="L16" t="str">
        <f>[1]!FTEXT(J16)</f>
        <v>=SQRT(MMULT(TRANSPOSE(L4:L6),MMULT(MINVERSE(Q11:S13),L4:L6)))</v>
      </c>
    </row>
    <row r="17" spans="1:12" x14ac:dyDescent="0.25">
      <c r="A17" s="36">
        <v>37.4</v>
      </c>
      <c r="B17" s="37">
        <v>76</v>
      </c>
      <c r="C17" s="38">
        <v>13</v>
      </c>
      <c r="E17" s="36">
        <v>37.1</v>
      </c>
      <c r="F17" s="60">
        <v>92</v>
      </c>
      <c r="G17" s="38">
        <v>15</v>
      </c>
      <c r="I17" s="71" t="s">
        <v>304</v>
      </c>
      <c r="J17" s="173">
        <f>HARMEAN(J7,K7)*J16^2/2</f>
        <v>44.836536850221954</v>
      </c>
      <c r="L17" t="str">
        <f>[1]!FTEXT(J17)</f>
        <v>=HARMEAN(J7,K7)*J16^2/2</v>
      </c>
    </row>
    <row r="18" spans="1:12" x14ac:dyDescent="0.25">
      <c r="A18" s="36">
        <v>37.200000000000003</v>
      </c>
      <c r="B18" s="37">
        <v>49</v>
      </c>
      <c r="C18" s="38">
        <v>29</v>
      </c>
      <c r="E18" s="36">
        <v>39.5</v>
      </c>
      <c r="F18" s="60">
        <v>63</v>
      </c>
      <c r="G18" s="38">
        <v>13</v>
      </c>
      <c r="I18" s="71" t="s">
        <v>57</v>
      </c>
      <c r="J18" s="425">
        <v>0.05</v>
      </c>
    </row>
    <row r="19" spans="1:12" ht="14.45" x14ac:dyDescent="0.35">
      <c r="A19" s="36">
        <v>36.5</v>
      </c>
      <c r="B19" s="37">
        <v>59</v>
      </c>
      <c r="C19" s="38">
        <v>24</v>
      </c>
      <c r="E19" s="36">
        <v>40.299999999999997</v>
      </c>
      <c r="F19" s="60">
        <v>52</v>
      </c>
      <c r="G19" s="38">
        <v>25</v>
      </c>
      <c r="I19" s="71" t="s">
        <v>55</v>
      </c>
      <c r="J19" s="173">
        <f>COUNT(A6:C6)</f>
        <v>3</v>
      </c>
      <c r="L19" t="str">
        <f>[1]!FTEXT(J19)</f>
        <v>=COUNT(A6:C6)</v>
      </c>
    </row>
    <row r="20" spans="1:12" ht="14.45" x14ac:dyDescent="0.35">
      <c r="A20" s="36">
        <v>38.299999999999997</v>
      </c>
      <c r="B20" s="37">
        <v>77</v>
      </c>
      <c r="C20" s="38">
        <v>12</v>
      </c>
      <c r="E20" s="36">
        <v>41.5</v>
      </c>
      <c r="F20" s="60">
        <v>46</v>
      </c>
      <c r="G20" s="38">
        <v>27</v>
      </c>
      <c r="I20" s="71" t="s">
        <v>56</v>
      </c>
      <c r="J20" s="173">
        <f>J7+K7-J19-1</f>
        <v>34</v>
      </c>
      <c r="L20" t="str">
        <f>[1]!FTEXT(J20)</f>
        <v>=J7+K7-J19-1</v>
      </c>
    </row>
    <row r="21" spans="1:12" ht="14.45" x14ac:dyDescent="0.35">
      <c r="A21" s="36">
        <v>37.5</v>
      </c>
      <c r="B21" s="37">
        <v>66</v>
      </c>
      <c r="C21" s="38">
        <v>19</v>
      </c>
      <c r="E21" s="36">
        <v>39.299999999999997</v>
      </c>
      <c r="F21" s="60">
        <v>56</v>
      </c>
      <c r="G21" s="38">
        <v>14</v>
      </c>
      <c r="I21" s="71" t="s">
        <v>58</v>
      </c>
      <c r="J21" s="173">
        <f>_xlfn.F.INV.RT(J18,J19,J20)</f>
        <v>2.8826042042612277</v>
      </c>
      <c r="L21" t="str">
        <f>[1]!FTEXT(J21)</f>
        <v>=F.INV.RT(J18,J19,J20)</v>
      </c>
    </row>
    <row r="22" spans="1:12" x14ac:dyDescent="0.25">
      <c r="A22" s="36">
        <v>36</v>
      </c>
      <c r="B22" s="37">
        <v>79</v>
      </c>
      <c r="C22" s="38">
        <v>14</v>
      </c>
      <c r="E22" s="36">
        <v>37.6</v>
      </c>
      <c r="F22" s="60">
        <v>86</v>
      </c>
      <c r="G22" s="38">
        <v>16</v>
      </c>
      <c r="I22" s="71" t="s">
        <v>936</v>
      </c>
      <c r="J22" s="173">
        <f>[1]!NF_DIST(J21,J19,J20,J17,TRUE)</f>
        <v>9.0214561696455462E-5</v>
      </c>
      <c r="L22" t="str">
        <f>[1]!FTEXT(J22)</f>
        <v>=NF_DIST(J21,J19,J20,J17,TRUE)</v>
      </c>
    </row>
    <row r="23" spans="1:12" x14ac:dyDescent="0.25">
      <c r="A23" s="36">
        <v>36.9</v>
      </c>
      <c r="B23" s="37">
        <v>67</v>
      </c>
      <c r="C23" s="38">
        <v>12</v>
      </c>
      <c r="E23" s="36">
        <v>40.6</v>
      </c>
      <c r="F23" s="60">
        <v>48</v>
      </c>
      <c r="G23" s="38">
        <v>21</v>
      </c>
      <c r="I23" s="424" t="s">
        <v>937</v>
      </c>
      <c r="J23" s="52">
        <f>1-J22</f>
        <v>0.99990978543830356</v>
      </c>
      <c r="L23" t="str">
        <f>[1]!FTEXT(J23)</f>
        <v>=1-J22</v>
      </c>
    </row>
    <row r="24" spans="1:12" ht="14.45" x14ac:dyDescent="0.35">
      <c r="A24" s="36">
        <v>39.299999999999997</v>
      </c>
      <c r="B24" s="37">
        <v>53</v>
      </c>
      <c r="C24" s="38">
        <v>7</v>
      </c>
      <c r="E24" s="36"/>
      <c r="F24" s="60"/>
      <c r="G24" s="38"/>
    </row>
    <row r="25" spans="1:12" x14ac:dyDescent="0.25">
      <c r="A25" s="39">
        <v>38.799999999999997</v>
      </c>
      <c r="B25" s="40">
        <v>67</v>
      </c>
      <c r="C25" s="41">
        <v>13</v>
      </c>
      <c r="E25" s="39"/>
      <c r="F25" s="40"/>
      <c r="G25" s="41"/>
      <c r="I25" s="424" t="s">
        <v>937</v>
      </c>
      <c r="J25" s="430">
        <f>[1]!Hotel2_POWER(J16,J7,K7,3)</f>
        <v>0.99990978543830356</v>
      </c>
      <c r="L25" t="str">
        <f>[1]!FTEXT(J25)</f>
        <v>=Hotel2_POWER(J16,J7,K7,3)</v>
      </c>
    </row>
    <row r="27" spans="1:12" ht="14.45" x14ac:dyDescent="0.35">
      <c r="A27" s="33">
        <f>AVERAGE(A6:A25)</f>
        <v>37.289999999999992</v>
      </c>
      <c r="B27" s="34">
        <f>AVERAGE(B6:B25)</f>
        <v>69.099999999999994</v>
      </c>
      <c r="C27" s="35">
        <f>AVERAGE(C6:C25)</f>
        <v>17.600000000000001</v>
      </c>
      <c r="D27" s="32" t="s">
        <v>48</v>
      </c>
      <c r="E27" s="33">
        <f>AVERAGE(E6:E25)</f>
        <v>39.444444444444443</v>
      </c>
      <c r="F27" s="34">
        <f>AVERAGE(F6:F25)</f>
        <v>62.277777777777779</v>
      </c>
      <c r="G27" s="35">
        <f>AVERAGE(G6:G25)</f>
        <v>20.111111111111111</v>
      </c>
    </row>
    <row r="28" spans="1:12" ht="14.45" x14ac:dyDescent="0.35">
      <c r="A28" s="39">
        <f>VAR(A6:A25)</f>
        <v>1.0419999999999989</v>
      </c>
      <c r="B28" s="40">
        <f>VAR(B6:B25)</f>
        <v>154.20000000000016</v>
      </c>
      <c r="C28" s="41">
        <f>VAR(C6:C25)</f>
        <v>47.621052631578955</v>
      </c>
      <c r="D28" s="32" t="s">
        <v>107</v>
      </c>
      <c r="E28" s="39">
        <f>VAR(E6:E25)</f>
        <v>1.4967320261437886</v>
      </c>
      <c r="F28" s="40">
        <f>VAR(F6:F25)</f>
        <v>175.15359477124173</v>
      </c>
      <c r="G28" s="41">
        <f>VAR(G6:G25)</f>
        <v>24.457516339869258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S32"/>
  <sheetViews>
    <sheetView workbookViewId="0"/>
  </sheetViews>
  <sheetFormatPr defaultRowHeight="15" x14ac:dyDescent="0.25"/>
  <sheetData>
    <row r="1" spans="1:19" ht="14.45" x14ac:dyDescent="0.35">
      <c r="A1" s="42" t="s">
        <v>89</v>
      </c>
    </row>
    <row r="3" spans="1:19" ht="14.45" x14ac:dyDescent="0.35">
      <c r="A3" t="s">
        <v>90</v>
      </c>
      <c r="E3" t="s">
        <v>94</v>
      </c>
      <c r="J3" s="47" t="s">
        <v>90</v>
      </c>
      <c r="K3" s="47" t="s">
        <v>94</v>
      </c>
      <c r="L3" s="47" t="s">
        <v>96</v>
      </c>
    </row>
    <row r="4" spans="1:19" ht="14.45" x14ac:dyDescent="0.35">
      <c r="I4" t="s">
        <v>91</v>
      </c>
      <c r="J4" s="33">
        <f t="array" ref="J4:J6">TRANSPOSE(A27:C27)</f>
        <v>37.289999999999992</v>
      </c>
      <c r="K4" s="35">
        <f t="array" ref="K4:K6">TRANSPOSE(E27:G27)</f>
        <v>39.444444444444443</v>
      </c>
      <c r="L4" s="48">
        <f>J4-K4</f>
        <v>-2.1544444444444508</v>
      </c>
    </row>
    <row r="5" spans="1:19" ht="14.45" x14ac:dyDescent="0.35">
      <c r="A5" s="47" t="s">
        <v>91</v>
      </c>
      <c r="B5" s="47" t="s">
        <v>92</v>
      </c>
      <c r="C5" s="47" t="s">
        <v>93</v>
      </c>
      <c r="D5" s="47"/>
      <c r="E5" s="47" t="s">
        <v>91</v>
      </c>
      <c r="F5" s="47" t="s">
        <v>92</v>
      </c>
      <c r="G5" s="47" t="s">
        <v>93</v>
      </c>
      <c r="I5" s="70" t="s">
        <v>92</v>
      </c>
      <c r="J5" s="36">
        <v>69.099999999999994</v>
      </c>
      <c r="K5" s="38">
        <v>62.277777777777779</v>
      </c>
      <c r="L5" s="49">
        <f>J5-K5</f>
        <v>6.8222222222222157</v>
      </c>
    </row>
    <row r="6" spans="1:19" ht="14.45" x14ac:dyDescent="0.35">
      <c r="A6" s="33">
        <f>'Hotel 2a'!A6</f>
        <v>36.5</v>
      </c>
      <c r="B6" s="34">
        <f>'Hotel 2a'!B6</f>
        <v>72</v>
      </c>
      <c r="C6" s="35">
        <f>'Hotel 2a'!C6</f>
        <v>18</v>
      </c>
      <c r="E6" s="33">
        <f>'Hotel 2a'!E6</f>
        <v>40.9</v>
      </c>
      <c r="F6" s="34">
        <f>'Hotel 2a'!F6</f>
        <v>54</v>
      </c>
      <c r="G6" s="35">
        <f>'Hotel 2a'!G6</f>
        <v>14</v>
      </c>
      <c r="I6" t="s">
        <v>93</v>
      </c>
      <c r="J6" s="39">
        <v>17.600000000000001</v>
      </c>
      <c r="K6" s="41">
        <v>20.111111111111111</v>
      </c>
      <c r="L6" s="52">
        <f>J6-K6</f>
        <v>-2.5111111111111093</v>
      </c>
    </row>
    <row r="7" spans="1:19" ht="14.45" x14ac:dyDescent="0.35">
      <c r="A7" s="36">
        <f>'Hotel 2a'!A7</f>
        <v>36.6</v>
      </c>
      <c r="B7" s="37">
        <f>'Hotel 2a'!B7</f>
        <v>84</v>
      </c>
      <c r="C7" s="38">
        <f>'Hotel 2a'!C7</f>
        <v>16</v>
      </c>
      <c r="E7" s="36">
        <f>'Hotel 2a'!E7</f>
        <v>39.5</v>
      </c>
      <c r="F7" s="37">
        <f>'Hotel 2a'!F7</f>
        <v>75</v>
      </c>
      <c r="G7" s="38">
        <f>'Hotel 2a'!G7</f>
        <v>18</v>
      </c>
      <c r="I7" t="s">
        <v>100</v>
      </c>
      <c r="J7">
        <f>COUNT(A6:A25)</f>
        <v>20</v>
      </c>
      <c r="K7">
        <f>COUNT(E6:E25)</f>
        <v>18</v>
      </c>
    </row>
    <row r="8" spans="1:19" ht="14.45" x14ac:dyDescent="0.35">
      <c r="A8" s="36">
        <f>'Hotel 2a'!A8</f>
        <v>38.200000000000003</v>
      </c>
      <c r="B8" s="37">
        <f>'Hotel 2a'!B8</f>
        <v>60</v>
      </c>
      <c r="C8" s="38">
        <f>'Hotel 2a'!C8</f>
        <v>29</v>
      </c>
      <c r="E8" s="36">
        <f>'Hotel 2a'!E8</f>
        <v>39.4</v>
      </c>
      <c r="F8" s="37">
        <f>'Hotel 2a'!F8</f>
        <v>57</v>
      </c>
      <c r="G8" s="38">
        <f>'Hotel 2a'!G8</f>
        <v>24</v>
      </c>
    </row>
    <row r="9" spans="1:19" ht="14.45" x14ac:dyDescent="0.35">
      <c r="A9" s="36">
        <f>'Hotel 2a'!A9</f>
        <v>37.6</v>
      </c>
      <c r="B9" s="37">
        <f>'Hotel 2a'!B9</f>
        <v>82</v>
      </c>
      <c r="C9" s="38">
        <f>'Hotel 2a'!C9</f>
        <v>13</v>
      </c>
      <c r="E9" s="36">
        <f>'Hotel 2a'!E9</f>
        <v>38.200000000000003</v>
      </c>
      <c r="F9" s="37">
        <f>'Hotel 2a'!F9</f>
        <v>71</v>
      </c>
      <c r="G9" s="38">
        <f>'Hotel 2a'!G9</f>
        <v>24</v>
      </c>
      <c r="I9" t="s">
        <v>97</v>
      </c>
      <c r="M9" t="s">
        <v>98</v>
      </c>
      <c r="Q9" t="s">
        <v>99</v>
      </c>
    </row>
    <row r="10" spans="1:19" ht="14.45" x14ac:dyDescent="0.35">
      <c r="A10" s="36">
        <f>'Hotel 2a'!A10</f>
        <v>37</v>
      </c>
      <c r="B10" s="37">
        <f>'Hotel 2a'!B10</f>
        <v>68</v>
      </c>
      <c r="C10" s="38">
        <f>'Hotel 2a'!C10</f>
        <v>25</v>
      </c>
      <c r="E10" s="36">
        <f>'Hotel 2a'!E10</f>
        <v>39.700000000000003</v>
      </c>
      <c r="F10" s="37">
        <f>'Hotel 2a'!F10</f>
        <v>65</v>
      </c>
      <c r="G10" s="38">
        <f>'Hotel 2a'!G10</f>
        <v>22</v>
      </c>
    </row>
    <row r="11" spans="1:19" ht="14.45" x14ac:dyDescent="0.35">
      <c r="A11" s="36">
        <f>'Hotel 2a'!A11</f>
        <v>37.9</v>
      </c>
      <c r="B11" s="37">
        <f>'Hotel 2a'!B11</f>
        <v>54</v>
      </c>
      <c r="C11" s="38">
        <f>'Hotel 2a'!C11</f>
        <v>27</v>
      </c>
      <c r="E11" s="36">
        <f>'Hotel 2a'!E11</f>
        <v>38.9</v>
      </c>
      <c r="F11" s="37">
        <f>'Hotel 2a'!F11</f>
        <v>49</v>
      </c>
      <c r="G11" s="38">
        <f>'Hotel 2a'!G11</f>
        <v>30</v>
      </c>
      <c r="I11" s="33">
        <f t="array" ref="I11:K13">[1]!COV(A6:C25)</f>
        <v>1.0419999999999989</v>
      </c>
      <c r="J11" s="34">
        <v>-6.5621052631578909</v>
      </c>
      <c r="K11" s="35">
        <v>0.25894736842105781</v>
      </c>
      <c r="M11" s="33">
        <f t="array" ref="M11:O13">[1]!COV(E6:G23)</f>
        <v>1.4967320261437886</v>
      </c>
      <c r="N11" s="34">
        <v>-10.430718954248354</v>
      </c>
      <c r="O11" s="35">
        <v>0.64771241830065429</v>
      </c>
      <c r="Q11" s="33">
        <f t="array" ref="Q11:S13">I11:K13/J7+M11:O13/K7</f>
        <v>0.13525177923021042</v>
      </c>
      <c r="R11" s="34">
        <v>-0.9075896495050253</v>
      </c>
      <c r="S11" s="35">
        <v>4.8931391659978132E-2</v>
      </c>
    </row>
    <row r="12" spans="1:19" ht="14.45" x14ac:dyDescent="0.35">
      <c r="A12" s="36">
        <f>'Hotel 2a'!A12</f>
        <v>37.4</v>
      </c>
      <c r="B12" s="37">
        <f>'Hotel 2a'!B12</f>
        <v>80</v>
      </c>
      <c r="C12" s="38">
        <f>'Hotel 2a'!C12</f>
        <v>25</v>
      </c>
      <c r="E12" s="36">
        <f>'Hotel 2a'!E12</f>
        <v>38.6</v>
      </c>
      <c r="F12" s="37">
        <f>'Hotel 2a'!F12</f>
        <v>58</v>
      </c>
      <c r="G12" s="38">
        <f>'Hotel 2a'!G12</f>
        <v>25</v>
      </c>
      <c r="I12" s="36">
        <v>-6.5621052631578909</v>
      </c>
      <c r="J12" s="37">
        <v>154.19999999999999</v>
      </c>
      <c r="K12" s="38">
        <v>-35.905263157894723</v>
      </c>
      <c r="M12" s="36">
        <v>-10.430718954248354</v>
      </c>
      <c r="N12" s="37">
        <v>175.15359477124181</v>
      </c>
      <c r="O12" s="38">
        <v>-28.562091503267972</v>
      </c>
      <c r="Q12" s="36">
        <v>-0.9075896495050253</v>
      </c>
      <c r="R12" s="37">
        <v>17.440755265068987</v>
      </c>
      <c r="S12" s="38">
        <v>-3.3820460191874013</v>
      </c>
    </row>
    <row r="13" spans="1:19" ht="14.45" x14ac:dyDescent="0.35">
      <c r="A13" s="36">
        <f>'Hotel 2a'!A13</f>
        <v>35.200000000000003</v>
      </c>
      <c r="B13" s="37">
        <f>'Hotel 2a'!B13</f>
        <v>99</v>
      </c>
      <c r="C13" s="38">
        <f>'Hotel 2a'!C13</f>
        <v>8</v>
      </c>
      <c r="E13" s="36">
        <f>'Hotel 2a'!E13</f>
        <v>39.9</v>
      </c>
      <c r="F13" s="37">
        <f>'Hotel 2a'!F13</f>
        <v>52</v>
      </c>
      <c r="G13" s="38">
        <f>'Hotel 2a'!G13</f>
        <v>17</v>
      </c>
      <c r="I13" s="39">
        <v>0.25894736842105781</v>
      </c>
      <c r="J13" s="40">
        <v>-35.905263157894723</v>
      </c>
      <c r="K13" s="41">
        <v>47.621052631578941</v>
      </c>
      <c r="M13" s="39">
        <v>0.64771241830065429</v>
      </c>
      <c r="N13" s="40">
        <v>-28.562091503267972</v>
      </c>
      <c r="O13" s="41">
        <v>24.457516339869276</v>
      </c>
      <c r="Q13" s="39">
        <v>4.8931391659978132E-2</v>
      </c>
      <c r="R13" s="40">
        <v>-3.3820460191874013</v>
      </c>
      <c r="S13" s="41">
        <v>3.7398035393494622</v>
      </c>
    </row>
    <row r="14" spans="1:19" ht="14.45" x14ac:dyDescent="0.35">
      <c r="A14" s="36">
        <f>'Hotel 2a'!A14</f>
        <v>38.200000000000003</v>
      </c>
      <c r="B14" s="37">
        <f>'Hotel 2a'!B14</f>
        <v>65</v>
      </c>
      <c r="C14" s="38">
        <f>'Hotel 2a'!C14</f>
        <v>21</v>
      </c>
      <c r="E14" s="36">
        <f>'Hotel 2a'!E14</f>
        <v>41.3</v>
      </c>
      <c r="F14" s="37">
        <f>'Hotel 2a'!F14</f>
        <v>62</v>
      </c>
      <c r="G14" s="38">
        <f>'Hotel 2a'!G14</f>
        <v>18</v>
      </c>
    </row>
    <row r="15" spans="1:19" ht="14.45" x14ac:dyDescent="0.35">
      <c r="A15" s="36">
        <f>'Hotel 2a'!A15</f>
        <v>37.5</v>
      </c>
      <c r="B15" s="37">
        <f>'Hotel 2a'!B15</f>
        <v>55</v>
      </c>
      <c r="C15" s="38">
        <f>'Hotel 2a'!C15</f>
        <v>11</v>
      </c>
      <c r="E15" s="36">
        <f>'Hotel 2a'!E15</f>
        <v>38.1</v>
      </c>
      <c r="F15" s="37">
        <f>'Hotel 2a'!F15</f>
        <v>57</v>
      </c>
      <c r="G15" s="38">
        <f>'Hotel 2a'!G15</f>
        <v>20</v>
      </c>
      <c r="I15" t="s">
        <v>52</v>
      </c>
      <c r="J15" s="48">
        <f>J7+K7-1</f>
        <v>37</v>
      </c>
      <c r="Q15" t="s">
        <v>101</v>
      </c>
    </row>
    <row r="16" spans="1:19" ht="14.45" x14ac:dyDescent="0.35">
      <c r="A16" s="36">
        <f>'Hotel 2a'!A16</f>
        <v>35.799999999999997</v>
      </c>
      <c r="B16" s="37">
        <f>'Hotel 2a'!B16</f>
        <v>70</v>
      </c>
      <c r="C16" s="38">
        <f>'Hotel 2a'!C16</f>
        <v>16</v>
      </c>
      <c r="E16" s="36">
        <f>'Hotel 2a'!E16</f>
        <v>39.6</v>
      </c>
      <c r="F16" s="37">
        <f>'Hotel 2a'!F16</f>
        <v>78</v>
      </c>
      <c r="G16" s="38">
        <f>'Hotel 2a'!G16</f>
        <v>19</v>
      </c>
      <c r="I16" t="s">
        <v>53</v>
      </c>
      <c r="J16" s="49">
        <f>COUNT(A6:C6)</f>
        <v>3</v>
      </c>
    </row>
    <row r="17" spans="1:19" ht="16.5" x14ac:dyDescent="0.35">
      <c r="A17" s="36">
        <f>'Hotel 2a'!A17</f>
        <v>37.4</v>
      </c>
      <c r="B17" s="37">
        <f>'Hotel 2a'!B17</f>
        <v>76</v>
      </c>
      <c r="C17" s="38">
        <f>'Hotel 2a'!C17</f>
        <v>13</v>
      </c>
      <c r="E17" s="36">
        <f>'Hotel 2a'!E17</f>
        <v>37.1</v>
      </c>
      <c r="F17" s="37">
        <f>'Hotel 2a'!F17</f>
        <v>92</v>
      </c>
      <c r="G17" s="38">
        <f>'Hotel 2a'!G17</f>
        <v>15</v>
      </c>
      <c r="I17" t="s">
        <v>51</v>
      </c>
      <c r="J17" s="49">
        <f t="array" ref="J17">MMULT(TRANSPOSE(L4:L6),MMULT(Q17:S19,L4:L6))</f>
        <v>44.395147738354019</v>
      </c>
      <c r="Q17" s="33">
        <f t="array" ref="Q17:S19">MINVERSE(Q11:S13)</f>
        <v>12.07920138479043</v>
      </c>
      <c r="R17" s="34">
        <v>0.72509186290980965</v>
      </c>
      <c r="S17" s="35">
        <v>0.49768440909174883</v>
      </c>
    </row>
    <row r="18" spans="1:19" ht="14.45" x14ac:dyDescent="0.35">
      <c r="A18" s="36">
        <f>'Hotel 2a'!A18</f>
        <v>37.200000000000003</v>
      </c>
      <c r="B18" s="37">
        <f>'Hotel 2a'!B18</f>
        <v>49</v>
      </c>
      <c r="C18" s="38">
        <f>'Hotel 2a'!C18</f>
        <v>29</v>
      </c>
      <c r="E18" s="36">
        <f>'Hotel 2a'!E18</f>
        <v>39.5</v>
      </c>
      <c r="F18" s="37">
        <f>'Hotel 2a'!F18</f>
        <v>63</v>
      </c>
      <c r="G18" s="38">
        <f>'Hotel 2a'!G18</f>
        <v>13</v>
      </c>
      <c r="I18" t="s">
        <v>54</v>
      </c>
      <c r="J18" s="49">
        <f>J17*(J15-J16)/(J16*(J15-1))</f>
        <v>13.976250213926265</v>
      </c>
      <c r="Q18" s="36">
        <v>0.72509186290980987</v>
      </c>
      <c r="R18" s="37">
        <v>0.11305609233846833</v>
      </c>
      <c r="S18" s="38">
        <v>9.2753843739352373E-2</v>
      </c>
    </row>
    <row r="19" spans="1:19" ht="14.45" x14ac:dyDescent="0.35">
      <c r="A19" s="36">
        <f>'Hotel 2a'!A19</f>
        <v>36.5</v>
      </c>
      <c r="B19" s="37">
        <f>'Hotel 2a'!B19</f>
        <v>59</v>
      </c>
      <c r="C19" s="38">
        <f>'Hotel 2a'!C19</f>
        <v>24</v>
      </c>
      <c r="E19" s="36">
        <f>'Hotel 2a'!E19</f>
        <v>40.299999999999997</v>
      </c>
      <c r="F19" s="37">
        <f>'Hotel 2a'!F19</f>
        <v>52</v>
      </c>
      <c r="G19" s="38">
        <f>'Hotel 2a'!G19</f>
        <v>25</v>
      </c>
      <c r="I19" t="s">
        <v>55</v>
      </c>
      <c r="J19" s="49">
        <f>J16</f>
        <v>3</v>
      </c>
      <c r="Q19" s="39">
        <v>0.49768440909174905</v>
      </c>
      <c r="R19" s="40">
        <v>9.2753843739352401E-2</v>
      </c>
      <c r="S19" s="41">
        <v>0.34476286352276009</v>
      </c>
    </row>
    <row r="20" spans="1:19" ht="14.45" x14ac:dyDescent="0.35">
      <c r="A20" s="36">
        <f>'Hotel 2a'!A20</f>
        <v>38.299999999999997</v>
      </c>
      <c r="B20" s="37">
        <f>'Hotel 2a'!B20</f>
        <v>77</v>
      </c>
      <c r="C20" s="38">
        <f>'Hotel 2a'!C20</f>
        <v>12</v>
      </c>
      <c r="E20" s="36">
        <f>'Hotel 2a'!E20</f>
        <v>41.5</v>
      </c>
      <c r="F20" s="37">
        <f>'Hotel 2a'!F20</f>
        <v>46</v>
      </c>
      <c r="G20" s="38">
        <f>'Hotel 2a'!G20</f>
        <v>27</v>
      </c>
      <c r="I20" t="s">
        <v>56</v>
      </c>
      <c r="J20" s="49">
        <f t="array" ref="J20">J17^2/(MMULT(TRANSPOSE(L4:L6),MMULT(Q17:S19,MMULT(I11:K13/J7,MMULT(Q17:S19,L4:L6))))^2/(J7-1)+MMULT(TRANSPOSE(L4:L6),MMULT(Q17:S19,MMULT(M11:O13/K7,MMULT(Q17:S19,L4:L6))))^2/(K7-1))</f>
        <v>34.655850535716233</v>
      </c>
    </row>
    <row r="21" spans="1:19" x14ac:dyDescent="0.25">
      <c r="A21" s="36">
        <f>'Hotel 2a'!A21</f>
        <v>37.5</v>
      </c>
      <c r="B21" s="37">
        <f>'Hotel 2a'!B21</f>
        <v>66</v>
      </c>
      <c r="C21" s="38">
        <f>'Hotel 2a'!C21</f>
        <v>19</v>
      </c>
      <c r="E21" s="36">
        <f>'Hotel 2a'!E21</f>
        <v>39.299999999999997</v>
      </c>
      <c r="F21" s="37">
        <f>'Hotel 2a'!F21</f>
        <v>56</v>
      </c>
      <c r="G21" s="38">
        <f>'Hotel 2a'!G21</f>
        <v>14</v>
      </c>
      <c r="I21" s="46" t="s">
        <v>57</v>
      </c>
      <c r="J21" s="50">
        <v>0.05</v>
      </c>
    </row>
    <row r="22" spans="1:19" ht="14.45" x14ac:dyDescent="0.35">
      <c r="A22" s="36">
        <f>'Hotel 2a'!A22</f>
        <v>36</v>
      </c>
      <c r="B22" s="37">
        <f>'Hotel 2a'!B22</f>
        <v>79</v>
      </c>
      <c r="C22" s="38">
        <f>'Hotel 2a'!C22</f>
        <v>14</v>
      </c>
      <c r="E22" s="36">
        <f>'Hotel 2a'!E22</f>
        <v>37.6</v>
      </c>
      <c r="F22" s="37">
        <f>'Hotel 2a'!F22</f>
        <v>86</v>
      </c>
      <c r="G22" s="38">
        <f>'Hotel 2a'!G22</f>
        <v>16</v>
      </c>
      <c r="I22" t="s">
        <v>58</v>
      </c>
      <c r="J22" s="49">
        <f>FINV(J21,J19,J20)</f>
        <v>2.8826042042612277</v>
      </c>
    </row>
    <row r="23" spans="1:19" ht="14.45" x14ac:dyDescent="0.35">
      <c r="A23" s="36">
        <f>'Hotel 2a'!A23</f>
        <v>36.9</v>
      </c>
      <c r="B23" s="37">
        <f>'Hotel 2a'!B23</f>
        <v>67</v>
      </c>
      <c r="C23" s="38">
        <f>'Hotel 2a'!C23</f>
        <v>12</v>
      </c>
      <c r="E23" s="39">
        <f>'Hotel 2a'!E23</f>
        <v>40.6</v>
      </c>
      <c r="F23" s="40">
        <f>'Hotel 2a'!F23</f>
        <v>48</v>
      </c>
      <c r="G23" s="41">
        <f>'Hotel 2a'!G23</f>
        <v>21</v>
      </c>
      <c r="I23" t="s">
        <v>59</v>
      </c>
      <c r="J23" s="49">
        <f>FDIST(J18,J19,J20)</f>
        <v>4.2251774715616844E-6</v>
      </c>
    </row>
    <row r="24" spans="1:19" ht="14.45" x14ac:dyDescent="0.35">
      <c r="A24" s="36">
        <f>'Hotel 2a'!A24</f>
        <v>39.299999999999997</v>
      </c>
      <c r="B24" s="37">
        <f>'Hotel 2a'!B24</f>
        <v>53</v>
      </c>
      <c r="C24" s="38">
        <f>'Hotel 2a'!C24</f>
        <v>7</v>
      </c>
      <c r="E24" s="37"/>
      <c r="F24" s="37"/>
      <c r="G24" s="37"/>
      <c r="I24" t="s">
        <v>60</v>
      </c>
      <c r="J24" s="51" t="str">
        <f>IF(J23&lt;= J21,"yes","no")</f>
        <v>yes</v>
      </c>
    </row>
    <row r="25" spans="1:19" ht="14.45" x14ac:dyDescent="0.35">
      <c r="A25" s="39">
        <f>'Hotel 2a'!A25</f>
        <v>38.799999999999997</v>
      </c>
      <c r="B25" s="40">
        <f>'Hotel 2a'!B25</f>
        <v>67</v>
      </c>
      <c r="C25" s="41">
        <f>'Hotel 2a'!C25</f>
        <v>13</v>
      </c>
      <c r="E25" s="37"/>
      <c r="F25" s="37"/>
      <c r="G25" s="37"/>
    </row>
    <row r="26" spans="1:19" ht="14.45" x14ac:dyDescent="0.35">
      <c r="I26" t="s">
        <v>916</v>
      </c>
    </row>
    <row r="27" spans="1:19" ht="14.45" x14ac:dyDescent="0.35">
      <c r="A27" s="33">
        <f>AVERAGE(A6:A25)</f>
        <v>37.289999999999992</v>
      </c>
      <c r="B27" s="34">
        <f>AVERAGE(B6:B25)</f>
        <v>69.099999999999994</v>
      </c>
      <c r="C27" s="35">
        <f>AVERAGE(C6:C25)</f>
        <v>17.600000000000001</v>
      </c>
      <c r="D27" s="32" t="s">
        <v>48</v>
      </c>
      <c r="E27" s="33">
        <f>AVERAGE(E6:E25)</f>
        <v>39.444444444444443</v>
      </c>
      <c r="F27" s="34">
        <f>AVERAGE(F6:F25)</f>
        <v>62.277777777777779</v>
      </c>
      <c r="G27" s="35">
        <f>AVERAGE(G6:G25)</f>
        <v>20.111111111111111</v>
      </c>
    </row>
    <row r="28" spans="1:19" ht="16.5" x14ac:dyDescent="0.35">
      <c r="A28" s="39">
        <f>VAR(A6:A25)</f>
        <v>1.0419999999999989</v>
      </c>
      <c r="B28" s="40">
        <f>VAR(B6:B25)</f>
        <v>154.20000000000016</v>
      </c>
      <c r="C28" s="41">
        <f>VAR(C6:C25)</f>
        <v>47.621052631578955</v>
      </c>
      <c r="D28" s="32" t="s">
        <v>107</v>
      </c>
      <c r="E28" s="39">
        <f>VAR(E6:E25)</f>
        <v>1.4967320261437886</v>
      </c>
      <c r="F28" s="40">
        <f>VAR(F6:F25)</f>
        <v>175.15359477124173</v>
      </c>
      <c r="G28" s="41">
        <f>VAR(G6:G25)</f>
        <v>24.457516339869258</v>
      </c>
      <c r="I28" t="s">
        <v>51</v>
      </c>
      <c r="J28" s="48">
        <f>[1]!HotellingT2(A6:C25,E6:G23,3)</f>
        <v>44.395147738353998</v>
      </c>
    </row>
    <row r="29" spans="1:19" ht="14.45" x14ac:dyDescent="0.35">
      <c r="I29" t="s">
        <v>54</v>
      </c>
      <c r="J29" s="49">
        <f>[1]!HotellingF(A6:C25,E6:G23,3)</f>
        <v>13.976250213926258</v>
      </c>
    </row>
    <row r="30" spans="1:19" ht="14.45" x14ac:dyDescent="0.35">
      <c r="I30" t="s">
        <v>55</v>
      </c>
      <c r="J30" s="49">
        <f>[1]!Hotellingdf1(A6:C25,E6:G23,3)</f>
        <v>3</v>
      </c>
    </row>
    <row r="31" spans="1:19" ht="14.45" x14ac:dyDescent="0.35">
      <c r="I31" t="s">
        <v>56</v>
      </c>
      <c r="J31" s="49">
        <f>[1]!Hotellingdf2(A6:C25,E6:G23,3)</f>
        <v>34.655850535716297</v>
      </c>
    </row>
    <row r="32" spans="1:19" ht="14.45" x14ac:dyDescent="0.35">
      <c r="I32" t="s">
        <v>65</v>
      </c>
      <c r="J32" s="52">
        <f>[1]!T2TEST(A6:C25,E6:G23,3)</f>
        <v>3.9137835485814065E-6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/>
  <dimension ref="A1:S32"/>
  <sheetViews>
    <sheetView zoomScaleNormal="100" workbookViewId="0"/>
  </sheetViews>
  <sheetFormatPr defaultRowHeight="15" x14ac:dyDescent="0.25"/>
  <sheetData>
    <row r="1" spans="1:19" ht="14.45" x14ac:dyDescent="0.35">
      <c r="A1" s="42" t="s">
        <v>89</v>
      </c>
    </row>
    <row r="2" spans="1:19" ht="14.45" x14ac:dyDescent="0.35">
      <c r="I2" t="s">
        <v>125</v>
      </c>
    </row>
    <row r="3" spans="1:19" ht="14.45" x14ac:dyDescent="0.35">
      <c r="A3" t="s">
        <v>90</v>
      </c>
      <c r="E3" t="s">
        <v>94</v>
      </c>
      <c r="J3" s="47" t="s">
        <v>90</v>
      </c>
      <c r="K3" s="47" t="s">
        <v>94</v>
      </c>
      <c r="L3" s="47" t="s">
        <v>96</v>
      </c>
    </row>
    <row r="4" spans="1:19" ht="14.45" x14ac:dyDescent="0.35">
      <c r="I4" t="s">
        <v>91</v>
      </c>
      <c r="J4" s="33">
        <f t="array" ref="J4:J6">TRANSPOSE(A27:C27)</f>
        <v>37.289999999999992</v>
      </c>
      <c r="K4" s="35">
        <f t="array" ref="K4:K6">TRANSPOSE(E27:G27)</f>
        <v>39.444444444444443</v>
      </c>
      <c r="L4" s="48">
        <f>J4-K4</f>
        <v>-2.1544444444444508</v>
      </c>
    </row>
    <row r="5" spans="1:19" ht="14.45" x14ac:dyDescent="0.35">
      <c r="A5" s="47" t="s">
        <v>91</v>
      </c>
      <c r="B5" s="47" t="s">
        <v>92</v>
      </c>
      <c r="C5" s="47" t="s">
        <v>93</v>
      </c>
      <c r="D5" s="47"/>
      <c r="E5" s="47" t="s">
        <v>91</v>
      </c>
      <c r="F5" s="47" t="s">
        <v>92</v>
      </c>
      <c r="G5" s="47" t="s">
        <v>93</v>
      </c>
      <c r="I5" s="70" t="s">
        <v>92</v>
      </c>
      <c r="J5" s="36">
        <v>74.5</v>
      </c>
      <c r="K5" s="38">
        <v>62.277777777777779</v>
      </c>
      <c r="L5" s="49">
        <f>J5-K5</f>
        <v>12.222222222222221</v>
      </c>
    </row>
    <row r="6" spans="1:19" ht="14.45" x14ac:dyDescent="0.35">
      <c r="A6" s="33">
        <f>'Hotel 2a'!A6</f>
        <v>36.5</v>
      </c>
      <c r="B6" s="34">
        <f>'Hotel 2a'!B6</f>
        <v>72</v>
      </c>
      <c r="C6" s="35">
        <f>'Hotel 2a'!C6</f>
        <v>18</v>
      </c>
      <c r="E6" s="33">
        <f>'Hotel 2a'!E6</f>
        <v>40.9</v>
      </c>
      <c r="F6" s="34">
        <f>'Hotel 2a'!F6</f>
        <v>54</v>
      </c>
      <c r="G6" s="35">
        <f>'Hotel 2a'!G6</f>
        <v>14</v>
      </c>
      <c r="I6" t="s">
        <v>93</v>
      </c>
      <c r="J6" s="39">
        <v>15.55</v>
      </c>
      <c r="K6" s="41">
        <v>20.111111111111111</v>
      </c>
      <c r="L6" s="52">
        <f>J6-K6</f>
        <v>-4.56111111111111</v>
      </c>
    </row>
    <row r="7" spans="1:19" ht="14.45" x14ac:dyDescent="0.35">
      <c r="A7" s="36">
        <f>'Hotel 2a'!A7</f>
        <v>36.6</v>
      </c>
      <c r="B7" s="37">
        <v>82</v>
      </c>
      <c r="C7" s="38">
        <v>4</v>
      </c>
      <c r="E7" s="36">
        <f>'Hotel 2a'!E7</f>
        <v>39.5</v>
      </c>
      <c r="F7" s="37">
        <f>'Hotel 2a'!F7</f>
        <v>75</v>
      </c>
      <c r="G7" s="38">
        <f>'Hotel 2a'!G7</f>
        <v>18</v>
      </c>
      <c r="I7" t="s">
        <v>100</v>
      </c>
      <c r="J7">
        <f>COUNT(A6:A25)</f>
        <v>20</v>
      </c>
      <c r="K7">
        <f>COUNT(E6:E25)</f>
        <v>18</v>
      </c>
    </row>
    <row r="8" spans="1:19" ht="14.45" x14ac:dyDescent="0.35">
      <c r="A8" s="36">
        <f>'Hotel 2a'!A8</f>
        <v>38.200000000000003</v>
      </c>
      <c r="B8" s="37">
        <v>65</v>
      </c>
      <c r="C8" s="38">
        <f>'Hotel 2a'!C8</f>
        <v>29</v>
      </c>
      <c r="E8" s="36">
        <f>'Hotel 2a'!E8</f>
        <v>39.4</v>
      </c>
      <c r="F8" s="37">
        <f>'Hotel 2a'!F8</f>
        <v>57</v>
      </c>
      <c r="G8" s="38">
        <f>'Hotel 2a'!G8</f>
        <v>24</v>
      </c>
    </row>
    <row r="9" spans="1:19" ht="14.45" x14ac:dyDescent="0.35">
      <c r="A9" s="36">
        <f>'Hotel 2a'!A9</f>
        <v>37.6</v>
      </c>
      <c r="B9" s="37">
        <f>'Hotel 2a'!B9</f>
        <v>82</v>
      </c>
      <c r="C9" s="38">
        <v>12</v>
      </c>
      <c r="E9" s="36">
        <f>'Hotel 2a'!E9</f>
        <v>38.200000000000003</v>
      </c>
      <c r="F9" s="37">
        <f>'Hotel 2a'!F9</f>
        <v>71</v>
      </c>
      <c r="G9" s="38">
        <f>'Hotel 2a'!G9</f>
        <v>24</v>
      </c>
      <c r="I9" t="s">
        <v>97</v>
      </c>
      <c r="M9" t="s">
        <v>98</v>
      </c>
      <c r="Q9" t="s">
        <v>99</v>
      </c>
    </row>
    <row r="10" spans="1:19" ht="14.45" x14ac:dyDescent="0.35">
      <c r="A10" s="36">
        <f>'Hotel 2a'!A10</f>
        <v>37</v>
      </c>
      <c r="B10" s="37">
        <f>'Hotel 2a'!B10</f>
        <v>68</v>
      </c>
      <c r="C10" s="38">
        <f>'Hotel 2a'!C10</f>
        <v>25</v>
      </c>
      <c r="E10" s="36">
        <f>'Hotel 2a'!E10</f>
        <v>39.700000000000003</v>
      </c>
      <c r="F10" s="37">
        <f>'Hotel 2a'!F10</f>
        <v>65</v>
      </c>
      <c r="G10" s="38">
        <f>'Hotel 2a'!G10</f>
        <v>22</v>
      </c>
    </row>
    <row r="11" spans="1:19" ht="14.45" x14ac:dyDescent="0.35">
      <c r="A11" s="36">
        <f>'Hotel 2a'!A11</f>
        <v>37.9</v>
      </c>
      <c r="B11" s="37">
        <v>82</v>
      </c>
      <c r="C11" s="38">
        <f>'Hotel 2a'!C11</f>
        <v>27</v>
      </c>
      <c r="E11" s="36">
        <f>'Hotel 2a'!E11</f>
        <v>38.9</v>
      </c>
      <c r="F11" s="37">
        <f>'Hotel 2a'!F11</f>
        <v>49</v>
      </c>
      <c r="G11" s="38">
        <f>'Hotel 2a'!G11</f>
        <v>30</v>
      </c>
      <c r="I11" s="33">
        <f t="array" ref="I11:K13">[1]!COV(A6:C25)</f>
        <v>1.0419999999999989</v>
      </c>
      <c r="J11" s="34">
        <v>-2.7947368421052605</v>
      </c>
      <c r="K11" s="35">
        <v>0.35842105263158314</v>
      </c>
      <c r="M11" s="33">
        <f t="array" ref="M11:O13">[1]!COV(E6:G23)</f>
        <v>1.4967320261437886</v>
      </c>
      <c r="N11" s="34">
        <v>-10.430718954248354</v>
      </c>
      <c r="O11" s="35">
        <v>0.64771241830065429</v>
      </c>
      <c r="Q11" s="33">
        <f t="array" ref="Q11:S13">I11:K13/J7+M11:O13/K7</f>
        <v>0.13525177923021042</v>
      </c>
      <c r="R11" s="34">
        <v>-0.71922122845239378</v>
      </c>
      <c r="S11" s="35">
        <v>5.3905075870504394E-2</v>
      </c>
    </row>
    <row r="12" spans="1:19" ht="14.45" x14ac:dyDescent="0.35">
      <c r="A12" s="36">
        <f>'Hotel 2a'!A12</f>
        <v>37.4</v>
      </c>
      <c r="B12" s="37">
        <f>'Hotel 2a'!B12</f>
        <v>80</v>
      </c>
      <c r="C12" s="38">
        <f>'Hotel 2a'!C12</f>
        <v>25</v>
      </c>
      <c r="E12" s="36">
        <f>'Hotel 2a'!E12</f>
        <v>38.6</v>
      </c>
      <c r="F12" s="37">
        <f>'Hotel 2a'!F12</f>
        <v>58</v>
      </c>
      <c r="G12" s="38">
        <f>'Hotel 2a'!G12</f>
        <v>25</v>
      </c>
      <c r="I12" s="36">
        <v>-2.7947368421052605</v>
      </c>
      <c r="J12" s="37">
        <v>59.94736842105263</v>
      </c>
      <c r="K12" s="38">
        <v>-7.8157894736842097</v>
      </c>
      <c r="M12" s="36">
        <v>-10.430718954248354</v>
      </c>
      <c r="N12" s="37">
        <v>175.15359477124181</v>
      </c>
      <c r="O12" s="38">
        <v>-28.562091503267972</v>
      </c>
      <c r="Q12" s="36">
        <v>-0.71922122845239378</v>
      </c>
      <c r="R12" s="37">
        <v>12.72812368612162</v>
      </c>
      <c r="S12" s="38">
        <v>-1.9775723349768755</v>
      </c>
    </row>
    <row r="13" spans="1:19" ht="14.45" x14ac:dyDescent="0.35">
      <c r="A13" s="36">
        <f>'Hotel 2a'!A13</f>
        <v>35.200000000000003</v>
      </c>
      <c r="B13" s="37">
        <v>93</v>
      </c>
      <c r="C13" s="38">
        <f>'Hotel 2a'!C13</f>
        <v>8</v>
      </c>
      <c r="E13" s="36">
        <f>'Hotel 2a'!E13</f>
        <v>39.9</v>
      </c>
      <c r="F13" s="37">
        <f>'Hotel 2a'!F13</f>
        <v>52</v>
      </c>
      <c r="G13" s="38">
        <f>'Hotel 2a'!G13</f>
        <v>17</v>
      </c>
      <c r="I13" s="39">
        <v>0.35842105263158314</v>
      </c>
      <c r="J13" s="40">
        <v>-7.8157894736842097</v>
      </c>
      <c r="K13" s="41">
        <v>89.102631578947353</v>
      </c>
      <c r="M13" s="39">
        <v>0.64771241830065429</v>
      </c>
      <c r="N13" s="40">
        <v>-28.562091503267972</v>
      </c>
      <c r="O13" s="41">
        <v>24.457516339869276</v>
      </c>
      <c r="Q13" s="39">
        <v>5.3905075870504394E-2</v>
      </c>
      <c r="R13" s="40">
        <v>-1.9775723349768755</v>
      </c>
      <c r="S13" s="41">
        <v>5.8138824867178833</v>
      </c>
    </row>
    <row r="14" spans="1:19" ht="14.45" x14ac:dyDescent="0.35">
      <c r="A14" s="36">
        <f>'Hotel 2a'!A14</f>
        <v>38.200000000000003</v>
      </c>
      <c r="B14" s="37">
        <f>'Hotel 2a'!B14</f>
        <v>65</v>
      </c>
      <c r="C14" s="38">
        <v>2</v>
      </c>
      <c r="E14" s="36">
        <f>'Hotel 2a'!E14</f>
        <v>41.3</v>
      </c>
      <c r="F14" s="37">
        <f>'Hotel 2a'!F14</f>
        <v>62</v>
      </c>
      <c r="G14" s="38">
        <f>'Hotel 2a'!G14</f>
        <v>18</v>
      </c>
    </row>
    <row r="15" spans="1:19" ht="14.45" x14ac:dyDescent="0.35">
      <c r="A15" s="36">
        <f>'Hotel 2a'!A15</f>
        <v>37.5</v>
      </c>
      <c r="B15" s="37">
        <v>66</v>
      </c>
      <c r="C15" s="38">
        <f>'Hotel 2a'!C15</f>
        <v>11</v>
      </c>
      <c r="E15" s="36">
        <f>'Hotel 2a'!E15</f>
        <v>38.1</v>
      </c>
      <c r="F15" s="37">
        <f>'Hotel 2a'!F15</f>
        <v>57</v>
      </c>
      <c r="G15" s="38">
        <f>'Hotel 2a'!G15</f>
        <v>20</v>
      </c>
      <c r="I15" t="s">
        <v>52</v>
      </c>
      <c r="J15" s="48">
        <f>J7+K7-1</f>
        <v>37</v>
      </c>
      <c r="Q15" t="s">
        <v>101</v>
      </c>
    </row>
    <row r="16" spans="1:19" ht="14.45" x14ac:dyDescent="0.35">
      <c r="A16" s="36">
        <f>'Hotel 2a'!A16</f>
        <v>35.799999999999997</v>
      </c>
      <c r="B16" s="37">
        <f>'Hotel 2a'!B16</f>
        <v>70</v>
      </c>
      <c r="C16" s="38">
        <v>3</v>
      </c>
      <c r="E16" s="36">
        <f>'Hotel 2a'!E16</f>
        <v>39.6</v>
      </c>
      <c r="F16" s="37">
        <f>'Hotel 2a'!F16</f>
        <v>78</v>
      </c>
      <c r="G16" s="38">
        <f>'Hotel 2a'!G16</f>
        <v>19</v>
      </c>
      <c r="I16" t="s">
        <v>53</v>
      </c>
      <c r="J16" s="49">
        <f>COUNT(A6:C6)</f>
        <v>3</v>
      </c>
    </row>
    <row r="17" spans="1:19" ht="16.5" x14ac:dyDescent="0.35">
      <c r="A17" s="36">
        <f>'Hotel 2a'!A17</f>
        <v>37.4</v>
      </c>
      <c r="B17" s="37">
        <f>'Hotel 2a'!B17</f>
        <v>76</v>
      </c>
      <c r="C17" s="38">
        <f>'Hotel 2a'!C17</f>
        <v>13</v>
      </c>
      <c r="E17" s="36">
        <f>'Hotel 2a'!E17</f>
        <v>37.1</v>
      </c>
      <c r="F17" s="37">
        <f>'Hotel 2a'!F17</f>
        <v>92</v>
      </c>
      <c r="G17" s="38">
        <f>'Hotel 2a'!G17</f>
        <v>15</v>
      </c>
      <c r="I17" t="s">
        <v>51</v>
      </c>
      <c r="J17" s="49">
        <f t="array" ref="J17">MMULT(TRANSPOSE(L4:L6),MMULT(Q17:S19,L4:L6))</f>
        <v>36.696830581824329</v>
      </c>
      <c r="Q17" s="33">
        <f t="array" ref="Q17:S19">MINVERSE(Q11:S13)</f>
        <v>10.637891946466572</v>
      </c>
      <c r="R17" s="34">
        <v>0.61847045120354072</v>
      </c>
      <c r="S17" s="35">
        <v>0.1117383578543944</v>
      </c>
    </row>
    <row r="18" spans="1:19" ht="14.45" x14ac:dyDescent="0.35">
      <c r="A18" s="36">
        <f>'Hotel 2a'!A18</f>
        <v>37.200000000000003</v>
      </c>
      <c r="B18" s="37">
        <v>83</v>
      </c>
      <c r="C18" s="38">
        <f>'Hotel 2a'!C18</f>
        <v>29</v>
      </c>
      <c r="E18" s="36">
        <f>'Hotel 2a'!E18</f>
        <v>39.5</v>
      </c>
      <c r="F18" s="37">
        <f>'Hotel 2a'!F18</f>
        <v>63</v>
      </c>
      <c r="G18" s="38">
        <f>'Hotel 2a'!G18</f>
        <v>13</v>
      </c>
      <c r="I18" t="s">
        <v>54</v>
      </c>
      <c r="J18" s="49">
        <f>J17*(J15-J16)/(J16*(J15-1))</f>
        <v>11.552705923907659</v>
      </c>
      <c r="Q18" s="36">
        <v>0.61847045120354061</v>
      </c>
      <c r="R18" s="37">
        <v>0.11890687953657531</v>
      </c>
      <c r="S18" s="38">
        <v>3.4711444422072309E-2</v>
      </c>
    </row>
    <row r="19" spans="1:19" ht="14.45" x14ac:dyDescent="0.35">
      <c r="A19" s="36">
        <f>'Hotel 2a'!A19</f>
        <v>36.5</v>
      </c>
      <c r="B19" s="37">
        <v>68</v>
      </c>
      <c r="C19" s="38">
        <f>'Hotel 2a'!C19</f>
        <v>24</v>
      </c>
      <c r="E19" s="36">
        <f>'Hotel 2a'!E19</f>
        <v>40.299999999999997</v>
      </c>
      <c r="F19" s="37">
        <f>'Hotel 2a'!F19</f>
        <v>52</v>
      </c>
      <c r="G19" s="38">
        <f>'Hotel 2a'!G19</f>
        <v>25</v>
      </c>
      <c r="I19" t="s">
        <v>55</v>
      </c>
      <c r="J19" s="49">
        <f>J16</f>
        <v>3</v>
      </c>
      <c r="Q19" s="39">
        <v>0.1117383578543944</v>
      </c>
      <c r="R19" s="40">
        <v>3.4711444422072309E-2</v>
      </c>
      <c r="S19" s="41">
        <v>0.18277306601328874</v>
      </c>
    </row>
    <row r="20" spans="1:19" ht="14.45" x14ac:dyDescent="0.35">
      <c r="A20" s="36">
        <f>'Hotel 2a'!A20</f>
        <v>38.299999999999997</v>
      </c>
      <c r="B20" s="37">
        <f>'Hotel 2a'!B20</f>
        <v>77</v>
      </c>
      <c r="C20" s="38">
        <f>'Hotel 2a'!C20</f>
        <v>12</v>
      </c>
      <c r="E20" s="36">
        <f>'Hotel 2a'!E20</f>
        <v>41.5</v>
      </c>
      <c r="F20" s="37">
        <f>'Hotel 2a'!F20</f>
        <v>46</v>
      </c>
      <c r="G20" s="38">
        <f>'Hotel 2a'!G20</f>
        <v>27</v>
      </c>
      <c r="I20" t="s">
        <v>56</v>
      </c>
      <c r="J20" s="49">
        <f t="array" ref="J20">J17^2/(MMULT(TRANSPOSE(L4:L6),MMULT(Q17:S19,MMULT(I11:K13/J7,MMULT(Q17:S19,L4:L6))))^2/(J7-1)+MMULT(TRANSPOSE(L4:L6),MMULT(Q17:S19,MMULT(M11:O13/K7,MMULT(Q17:S19,L4:L6))))^2/(K7-1))</f>
        <v>34.222360584560406</v>
      </c>
    </row>
    <row r="21" spans="1:19" x14ac:dyDescent="0.25">
      <c r="A21" s="36">
        <f>'Hotel 2a'!A21</f>
        <v>37.5</v>
      </c>
      <c r="B21" s="37">
        <f>'Hotel 2a'!B21</f>
        <v>66</v>
      </c>
      <c r="C21" s="38">
        <v>28</v>
      </c>
      <c r="E21" s="36">
        <f>'Hotel 2a'!E21</f>
        <v>39.299999999999997</v>
      </c>
      <c r="F21" s="37">
        <f>'Hotel 2a'!F21</f>
        <v>56</v>
      </c>
      <c r="G21" s="38">
        <f>'Hotel 2a'!G21</f>
        <v>14</v>
      </c>
      <c r="I21" s="46" t="s">
        <v>57</v>
      </c>
      <c r="J21" s="50">
        <v>0.05</v>
      </c>
    </row>
    <row r="22" spans="1:19" ht="14.45" x14ac:dyDescent="0.35">
      <c r="A22" s="36">
        <f>'Hotel 2a'!A22</f>
        <v>36</v>
      </c>
      <c r="B22" s="37">
        <f>'Hotel 2a'!B22</f>
        <v>79</v>
      </c>
      <c r="C22" s="38">
        <f>'Hotel 2a'!C22</f>
        <v>14</v>
      </c>
      <c r="E22" s="36">
        <f>'Hotel 2a'!E22</f>
        <v>37.6</v>
      </c>
      <c r="F22" s="37">
        <f>'Hotel 2a'!F22</f>
        <v>86</v>
      </c>
      <c r="G22" s="38">
        <f>'Hotel 2a'!G22</f>
        <v>16</v>
      </c>
      <c r="I22" t="s">
        <v>58</v>
      </c>
      <c r="J22" s="49">
        <f>FINV(J21,J19,J20)</f>
        <v>2.8826042042612277</v>
      </c>
    </row>
    <row r="23" spans="1:19" ht="14.45" x14ac:dyDescent="0.35">
      <c r="A23" s="36">
        <f>'Hotel 2a'!A23</f>
        <v>36.9</v>
      </c>
      <c r="B23" s="37">
        <v>73</v>
      </c>
      <c r="C23" s="38">
        <f>'Hotel 2a'!C23</f>
        <v>12</v>
      </c>
      <c r="E23" s="36">
        <f>'Hotel 2a'!E23</f>
        <v>40.6</v>
      </c>
      <c r="F23" s="37">
        <f>'Hotel 2a'!F23</f>
        <v>48</v>
      </c>
      <c r="G23" s="38">
        <f>'Hotel 2a'!G23</f>
        <v>21</v>
      </c>
      <c r="I23" t="s">
        <v>59</v>
      </c>
      <c r="J23" s="49">
        <f>FDIST(J18,J19,J20)</f>
        <v>2.2460020322298676E-5</v>
      </c>
    </row>
    <row r="24" spans="1:19" ht="14.45" x14ac:dyDescent="0.35">
      <c r="A24" s="36">
        <f>'Hotel 2a'!A24</f>
        <v>39.299999999999997</v>
      </c>
      <c r="B24" s="37">
        <v>76</v>
      </c>
      <c r="C24" s="38">
        <v>2</v>
      </c>
      <c r="E24" s="36"/>
      <c r="F24" s="37"/>
      <c r="G24" s="38"/>
      <c r="I24" t="s">
        <v>60</v>
      </c>
      <c r="J24" s="51" t="str">
        <f>IF(J23&lt;= J21,"yes","no")</f>
        <v>yes</v>
      </c>
    </row>
    <row r="25" spans="1:19" ht="14.45" x14ac:dyDescent="0.35">
      <c r="A25" s="39">
        <f>'Hotel 2a'!A25</f>
        <v>38.799999999999997</v>
      </c>
      <c r="B25" s="40">
        <f>'Hotel 2a'!B25</f>
        <v>67</v>
      </c>
      <c r="C25" s="41">
        <f>'Hotel 2a'!C25</f>
        <v>13</v>
      </c>
      <c r="E25" s="39"/>
      <c r="F25" s="40"/>
      <c r="G25" s="41"/>
    </row>
    <row r="26" spans="1:19" ht="14.45" x14ac:dyDescent="0.35">
      <c r="I26" t="s">
        <v>337</v>
      </c>
    </row>
    <row r="27" spans="1:19" ht="14.45" x14ac:dyDescent="0.35">
      <c r="A27" s="33">
        <f>AVERAGE(A6:A25)</f>
        <v>37.289999999999992</v>
      </c>
      <c r="B27" s="34">
        <f>AVERAGE(B6:B25)</f>
        <v>74.5</v>
      </c>
      <c r="C27" s="35">
        <f>AVERAGE(C6:C25)</f>
        <v>15.55</v>
      </c>
      <c r="D27" s="32" t="s">
        <v>48</v>
      </c>
      <c r="E27" s="33">
        <f>AVERAGE(E6:E25)</f>
        <v>39.444444444444443</v>
      </c>
      <c r="F27" s="34">
        <f>AVERAGE(F6:F25)</f>
        <v>62.277777777777779</v>
      </c>
      <c r="G27" s="35">
        <f>AVERAGE(G6:G25)</f>
        <v>20.111111111111111</v>
      </c>
    </row>
    <row r="28" spans="1:19" ht="16.5" x14ac:dyDescent="0.35">
      <c r="A28" s="39">
        <f>VAR(A6:A25)</f>
        <v>1.0419999999999989</v>
      </c>
      <c r="B28" s="40">
        <f>VAR(B6:B25)</f>
        <v>59.94736842105263</v>
      </c>
      <c r="C28" s="41">
        <f>VAR(C6:C25)</f>
        <v>89.102631578947353</v>
      </c>
      <c r="D28" s="32" t="s">
        <v>107</v>
      </c>
      <c r="E28" s="39">
        <f>VAR(E6:E25)</f>
        <v>1.4967320261437886</v>
      </c>
      <c r="F28" s="40">
        <f>VAR(F6:F25)</f>
        <v>175.15359477124173</v>
      </c>
      <c r="G28" s="41">
        <f>VAR(G6:G25)</f>
        <v>24.457516339869258</v>
      </c>
      <c r="I28" t="s">
        <v>51</v>
      </c>
      <c r="J28" s="48">
        <f>[1]!HotellingT2(A6:C25,E6:G23,3)</f>
        <v>36.696830581824329</v>
      </c>
      <c r="L28" t="str">
        <f t="array" ref="L28:M32">[1]!Hotelling(A6:C25,E6:G23,3,TRUE)</f>
        <v>T2</v>
      </c>
      <c r="M28" s="223">
        <v>36.696830581824337</v>
      </c>
    </row>
    <row r="29" spans="1:19" ht="14.45" x14ac:dyDescent="0.35">
      <c r="I29" t="s">
        <v>54</v>
      </c>
      <c r="J29" s="49">
        <f>[1]!HotellingF(A6:C25,E6:G23,3)</f>
        <v>11.552705923907659</v>
      </c>
      <c r="L29" t="str">
        <v>df1</v>
      </c>
      <c r="M29" s="173">
        <v>3</v>
      </c>
    </row>
    <row r="30" spans="1:19" ht="14.45" x14ac:dyDescent="0.35">
      <c r="I30" t="s">
        <v>55</v>
      </c>
      <c r="J30" s="49">
        <f>[1]!Hotellingdf1(A6:C25,E6:G23,3)</f>
        <v>3</v>
      </c>
      <c r="L30" t="str">
        <v>df2</v>
      </c>
      <c r="M30" s="173">
        <v>34.222360584560427</v>
      </c>
    </row>
    <row r="31" spans="1:19" ht="14.45" x14ac:dyDescent="0.35">
      <c r="I31" t="s">
        <v>56</v>
      </c>
      <c r="J31" s="49">
        <f>[1]!Hotellingdf2(A6:C25,E6:G23,3)</f>
        <v>34.222360584560427</v>
      </c>
      <c r="L31" t="str">
        <v>F</v>
      </c>
      <c r="M31" s="173">
        <v>11.552705923907661</v>
      </c>
    </row>
    <row r="32" spans="1:19" ht="14.45" x14ac:dyDescent="0.35">
      <c r="I32" t="s">
        <v>65</v>
      </c>
      <c r="J32" s="52">
        <f>[1]!T2TEST(A6:C25,E6:G23,3)</f>
        <v>2.2006340904878741E-5</v>
      </c>
      <c r="L32" t="str">
        <v>p-value</v>
      </c>
      <c r="M32" s="174">
        <v>2.2006340904878741E-5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8"/>
  <dimension ref="A1:J28"/>
  <sheetViews>
    <sheetView workbookViewId="0"/>
  </sheetViews>
  <sheetFormatPr defaultRowHeight="15" x14ac:dyDescent="0.25"/>
  <sheetData>
    <row r="1" spans="1:10" x14ac:dyDescent="0.35">
      <c r="A1" s="42" t="s">
        <v>659</v>
      </c>
    </row>
    <row r="3" spans="1:10" x14ac:dyDescent="0.35">
      <c r="A3" t="s">
        <v>90</v>
      </c>
      <c r="E3" t="s">
        <v>94</v>
      </c>
      <c r="I3" t="s">
        <v>635</v>
      </c>
    </row>
    <row r="4" spans="1:10" x14ac:dyDescent="0.35">
      <c r="I4" t="s">
        <v>660</v>
      </c>
    </row>
    <row r="5" spans="1:10" x14ac:dyDescent="0.35">
      <c r="A5" s="47" t="s">
        <v>91</v>
      </c>
      <c r="B5" s="47" t="s">
        <v>92</v>
      </c>
      <c r="C5" s="47" t="s">
        <v>93</v>
      </c>
      <c r="D5" s="47"/>
      <c r="E5" s="47" t="s">
        <v>91</v>
      </c>
      <c r="F5" s="47" t="s">
        <v>92</v>
      </c>
      <c r="G5" s="47" t="s">
        <v>93</v>
      </c>
    </row>
    <row r="6" spans="1:10" x14ac:dyDescent="0.35">
      <c r="A6" s="33">
        <f>'Hotel 2a'!A6</f>
        <v>36.5</v>
      </c>
      <c r="B6" s="34">
        <f>'Hotel 2a'!B6</f>
        <v>72</v>
      </c>
      <c r="C6" s="35">
        <f>'Hotel 2a'!C6</f>
        <v>18</v>
      </c>
      <c r="E6" s="33">
        <f>'Hotel 2a'!E6</f>
        <v>40.9</v>
      </c>
      <c r="F6" s="34">
        <f>'Hotel 2a'!F6</f>
        <v>54</v>
      </c>
      <c r="G6" s="35">
        <f>'Hotel 2a'!G6</f>
        <v>14</v>
      </c>
      <c r="I6" t="str">
        <f t="array" ref="I6:J10">[1]!Hotelling(A6:C25,E6:G23, 3,TRUE)</f>
        <v>T2</v>
      </c>
      <c r="J6" s="206">
        <v>36.696830581824337</v>
      </c>
    </row>
    <row r="7" spans="1:10" x14ac:dyDescent="0.35">
      <c r="A7" s="36">
        <f>'Hotel 2a'!A7</f>
        <v>36.6</v>
      </c>
      <c r="B7" s="37">
        <v>82</v>
      </c>
      <c r="C7" s="38">
        <v>4</v>
      </c>
      <c r="E7" s="36">
        <f>'Hotel 2a'!E7</f>
        <v>39.5</v>
      </c>
      <c r="F7" s="37">
        <f>'Hotel 2a'!F7</f>
        <v>75</v>
      </c>
      <c r="G7" s="38">
        <f>'Hotel 2a'!G7</f>
        <v>18</v>
      </c>
      <c r="I7" t="str">
        <v>df1</v>
      </c>
      <c r="J7" s="98">
        <v>3</v>
      </c>
    </row>
    <row r="8" spans="1:10" x14ac:dyDescent="0.35">
      <c r="A8" s="36">
        <f>'Hotel 2a'!A8</f>
        <v>38.200000000000003</v>
      </c>
      <c r="B8" s="37">
        <v>65</v>
      </c>
      <c r="C8" s="38">
        <f>'Hotel 2a'!C8</f>
        <v>29</v>
      </c>
      <c r="E8" s="36">
        <f>'Hotel 2a'!E8</f>
        <v>39.4</v>
      </c>
      <c r="F8" s="37">
        <f>'Hotel 2a'!F8</f>
        <v>57</v>
      </c>
      <c r="G8" s="38">
        <f>'Hotel 2a'!G8</f>
        <v>24</v>
      </c>
      <c r="I8" t="str">
        <v>df2</v>
      </c>
      <c r="J8" s="98">
        <v>34.222360584560427</v>
      </c>
    </row>
    <row r="9" spans="1:10" x14ac:dyDescent="0.35">
      <c r="A9" s="36">
        <f>'Hotel 2a'!A9</f>
        <v>37.6</v>
      </c>
      <c r="B9" s="37">
        <f>'Hotel 2a'!B9</f>
        <v>82</v>
      </c>
      <c r="C9" s="38">
        <v>12</v>
      </c>
      <c r="E9" s="36">
        <f>'Hotel 2a'!E9</f>
        <v>38.200000000000003</v>
      </c>
      <c r="F9" s="37">
        <f>'Hotel 2a'!F9</f>
        <v>71</v>
      </c>
      <c r="G9" s="38">
        <f>'Hotel 2a'!G9</f>
        <v>24</v>
      </c>
      <c r="I9" t="str">
        <v>F</v>
      </c>
      <c r="J9" s="98">
        <v>11.552705923907661</v>
      </c>
    </row>
    <row r="10" spans="1:10" x14ac:dyDescent="0.35">
      <c r="A10" s="36">
        <f>'Hotel 2a'!A10</f>
        <v>37</v>
      </c>
      <c r="B10" s="37">
        <f>'Hotel 2a'!B10</f>
        <v>68</v>
      </c>
      <c r="C10" s="38">
        <f>'Hotel 2a'!C10</f>
        <v>25</v>
      </c>
      <c r="E10" s="36">
        <f>'Hotel 2a'!E10</f>
        <v>39.700000000000003</v>
      </c>
      <c r="F10" s="37">
        <f>'Hotel 2a'!F10</f>
        <v>65</v>
      </c>
      <c r="G10" s="38">
        <f>'Hotel 2a'!G10</f>
        <v>22</v>
      </c>
      <c r="I10" t="str">
        <v>p-value</v>
      </c>
      <c r="J10" s="99">
        <v>2.2006340904878741E-5</v>
      </c>
    </row>
    <row r="11" spans="1:10" x14ac:dyDescent="0.35">
      <c r="A11" s="36">
        <f>'Hotel 2a'!A11</f>
        <v>37.9</v>
      </c>
      <c r="B11" s="37">
        <v>82</v>
      </c>
      <c r="C11" s="38">
        <f>'Hotel 2a'!C11</f>
        <v>27</v>
      </c>
      <c r="E11" s="36">
        <f>'Hotel 2a'!E11</f>
        <v>38.9</v>
      </c>
      <c r="F11" s="37">
        <f>'Hotel 2a'!F11</f>
        <v>49</v>
      </c>
      <c r="G11" s="38">
        <f>'Hotel 2a'!G11</f>
        <v>30</v>
      </c>
    </row>
    <row r="12" spans="1:10" x14ac:dyDescent="0.35">
      <c r="A12" s="36">
        <f>'Hotel 2a'!A12</f>
        <v>37.4</v>
      </c>
      <c r="B12" s="37">
        <f>'Hotel 2a'!B12</f>
        <v>80</v>
      </c>
      <c r="C12" s="38">
        <f>'Hotel 2a'!C12</f>
        <v>25</v>
      </c>
      <c r="E12" s="36">
        <f>'Hotel 2a'!E12</f>
        <v>38.6</v>
      </c>
      <c r="F12" s="37">
        <f>'Hotel 2a'!F12</f>
        <v>58</v>
      </c>
      <c r="G12" s="38">
        <f>'Hotel 2a'!G12</f>
        <v>25</v>
      </c>
    </row>
    <row r="13" spans="1:10" x14ac:dyDescent="0.35">
      <c r="A13" s="36">
        <f>'Hotel 2a'!A13</f>
        <v>35.200000000000003</v>
      </c>
      <c r="B13" s="37">
        <v>93</v>
      </c>
      <c r="C13" s="38">
        <f>'Hotel 2a'!C13</f>
        <v>8</v>
      </c>
      <c r="E13" s="36">
        <f>'Hotel 2a'!E13</f>
        <v>39.9</v>
      </c>
      <c r="F13" s="37">
        <f>'Hotel 2a'!F13</f>
        <v>52</v>
      </c>
      <c r="G13" s="38">
        <f>'Hotel 2a'!G13</f>
        <v>17</v>
      </c>
    </row>
    <row r="14" spans="1:10" x14ac:dyDescent="0.35">
      <c r="A14" s="36">
        <f>'Hotel 2a'!A14</f>
        <v>38.200000000000003</v>
      </c>
      <c r="B14" s="37">
        <f>'Hotel 2a'!B14</f>
        <v>65</v>
      </c>
      <c r="C14" s="38">
        <v>2</v>
      </c>
      <c r="E14" s="36">
        <f>'Hotel 2a'!E14</f>
        <v>41.3</v>
      </c>
      <c r="F14" s="37">
        <f>'Hotel 2a'!F14</f>
        <v>62</v>
      </c>
      <c r="G14" s="38">
        <f>'Hotel 2a'!G14</f>
        <v>18</v>
      </c>
    </row>
    <row r="15" spans="1:10" x14ac:dyDescent="0.35">
      <c r="A15" s="36">
        <f>'Hotel 2a'!A15</f>
        <v>37.5</v>
      </c>
      <c r="B15" s="37">
        <v>66</v>
      </c>
      <c r="C15" s="38">
        <f>'Hotel 2a'!C15</f>
        <v>11</v>
      </c>
      <c r="E15" s="36">
        <f>'Hotel 2a'!E15</f>
        <v>38.1</v>
      </c>
      <c r="F15" s="37">
        <f>'Hotel 2a'!F15</f>
        <v>57</v>
      </c>
      <c r="G15" s="38">
        <f>'Hotel 2a'!G15</f>
        <v>20</v>
      </c>
    </row>
    <row r="16" spans="1:10" x14ac:dyDescent="0.35">
      <c r="A16" s="36">
        <f>'Hotel 2a'!A16</f>
        <v>35.799999999999997</v>
      </c>
      <c r="B16" s="37">
        <f>'Hotel 2a'!B16</f>
        <v>70</v>
      </c>
      <c r="C16" s="38">
        <v>3</v>
      </c>
      <c r="E16" s="36">
        <f>'Hotel 2a'!E16</f>
        <v>39.6</v>
      </c>
      <c r="F16" s="37">
        <f>'Hotel 2a'!F16</f>
        <v>78</v>
      </c>
      <c r="G16" s="38">
        <f>'Hotel 2a'!G16</f>
        <v>19</v>
      </c>
    </row>
    <row r="17" spans="1:7" x14ac:dyDescent="0.35">
      <c r="A17" s="36">
        <f>'Hotel 2a'!A17</f>
        <v>37.4</v>
      </c>
      <c r="B17" s="37">
        <f>'Hotel 2a'!B17</f>
        <v>76</v>
      </c>
      <c r="C17" s="38">
        <f>'Hotel 2a'!C17</f>
        <v>13</v>
      </c>
      <c r="E17" s="36">
        <f>'Hotel 2a'!E17</f>
        <v>37.1</v>
      </c>
      <c r="F17" s="37">
        <f>'Hotel 2a'!F17</f>
        <v>92</v>
      </c>
      <c r="G17" s="38">
        <f>'Hotel 2a'!G17</f>
        <v>15</v>
      </c>
    </row>
    <row r="18" spans="1:7" x14ac:dyDescent="0.35">
      <c r="A18" s="36">
        <f>'Hotel 2a'!A18</f>
        <v>37.200000000000003</v>
      </c>
      <c r="B18" s="37">
        <v>83</v>
      </c>
      <c r="C18" s="38">
        <f>'Hotel 2a'!C18</f>
        <v>29</v>
      </c>
      <c r="E18" s="36">
        <f>'Hotel 2a'!E18</f>
        <v>39.5</v>
      </c>
      <c r="F18" s="37">
        <f>'Hotel 2a'!F18</f>
        <v>63</v>
      </c>
      <c r="G18" s="38">
        <f>'Hotel 2a'!G18</f>
        <v>13</v>
      </c>
    </row>
    <row r="19" spans="1:7" x14ac:dyDescent="0.35">
      <c r="A19" s="36">
        <f>'Hotel 2a'!A19</f>
        <v>36.5</v>
      </c>
      <c r="B19" s="37">
        <v>68</v>
      </c>
      <c r="C19" s="38">
        <f>'Hotel 2a'!C19</f>
        <v>24</v>
      </c>
      <c r="E19" s="36">
        <f>'Hotel 2a'!E19</f>
        <v>40.299999999999997</v>
      </c>
      <c r="F19" s="37">
        <f>'Hotel 2a'!F19</f>
        <v>52</v>
      </c>
      <c r="G19" s="38">
        <f>'Hotel 2a'!G19</f>
        <v>25</v>
      </c>
    </row>
    <row r="20" spans="1:7" x14ac:dyDescent="0.35">
      <c r="A20" s="36">
        <f>'Hotel 2a'!A20</f>
        <v>38.299999999999997</v>
      </c>
      <c r="B20" s="37">
        <f>'Hotel 2a'!B20</f>
        <v>77</v>
      </c>
      <c r="C20" s="38">
        <f>'Hotel 2a'!C20</f>
        <v>12</v>
      </c>
      <c r="E20" s="36">
        <f>'Hotel 2a'!E20</f>
        <v>41.5</v>
      </c>
      <c r="F20" s="37">
        <f>'Hotel 2a'!F20</f>
        <v>46</v>
      </c>
      <c r="G20" s="38">
        <f>'Hotel 2a'!G20</f>
        <v>27</v>
      </c>
    </row>
    <row r="21" spans="1:7" x14ac:dyDescent="0.35">
      <c r="A21" s="36">
        <f>'Hotel 2a'!A21</f>
        <v>37.5</v>
      </c>
      <c r="B21" s="37">
        <f>'Hotel 2a'!B21</f>
        <v>66</v>
      </c>
      <c r="C21" s="38">
        <v>28</v>
      </c>
      <c r="E21" s="36">
        <f>'Hotel 2a'!E21</f>
        <v>39.299999999999997</v>
      </c>
      <c r="F21" s="37">
        <f>'Hotel 2a'!F21</f>
        <v>56</v>
      </c>
      <c r="G21" s="38">
        <f>'Hotel 2a'!G21</f>
        <v>14</v>
      </c>
    </row>
    <row r="22" spans="1:7" x14ac:dyDescent="0.35">
      <c r="A22" s="36">
        <f>'Hotel 2a'!A22</f>
        <v>36</v>
      </c>
      <c r="B22" s="37">
        <f>'Hotel 2a'!B22</f>
        <v>79</v>
      </c>
      <c r="C22" s="38">
        <f>'Hotel 2a'!C22</f>
        <v>14</v>
      </c>
      <c r="E22" s="36">
        <f>'Hotel 2a'!E22</f>
        <v>37.6</v>
      </c>
      <c r="F22" s="37">
        <f>'Hotel 2a'!F22</f>
        <v>86</v>
      </c>
      <c r="G22" s="38">
        <f>'Hotel 2a'!G22</f>
        <v>16</v>
      </c>
    </row>
    <row r="23" spans="1:7" x14ac:dyDescent="0.35">
      <c r="A23" s="36">
        <f>'Hotel 2a'!A23</f>
        <v>36.9</v>
      </c>
      <c r="B23" s="37">
        <v>73</v>
      </c>
      <c r="C23" s="38">
        <f>'Hotel 2a'!C23</f>
        <v>12</v>
      </c>
      <c r="E23" s="36">
        <f>'Hotel 2a'!E23</f>
        <v>40.6</v>
      </c>
      <c r="F23" s="37">
        <f>'Hotel 2a'!F23</f>
        <v>48</v>
      </c>
      <c r="G23" s="38">
        <f>'Hotel 2a'!G23</f>
        <v>21</v>
      </c>
    </row>
    <row r="24" spans="1:7" x14ac:dyDescent="0.35">
      <c r="A24" s="36">
        <f>'Hotel 2a'!A24</f>
        <v>39.299999999999997</v>
      </c>
      <c r="B24" s="37">
        <v>76</v>
      </c>
      <c r="C24" s="38">
        <v>2</v>
      </c>
      <c r="E24" s="36"/>
      <c r="F24" s="37"/>
      <c r="G24" s="38"/>
    </row>
    <row r="25" spans="1:7" x14ac:dyDescent="0.35">
      <c r="A25" s="39">
        <f>'Hotel 2a'!A25</f>
        <v>38.799999999999997</v>
      </c>
      <c r="B25" s="40">
        <f>'Hotel 2a'!B25</f>
        <v>67</v>
      </c>
      <c r="C25" s="41">
        <f>'Hotel 2a'!C25</f>
        <v>13</v>
      </c>
      <c r="E25" s="39"/>
      <c r="F25" s="40"/>
      <c r="G25" s="41"/>
    </row>
    <row r="27" spans="1:7" x14ac:dyDescent="0.35">
      <c r="A27" s="33">
        <f>AVERAGE(A6:A25)</f>
        <v>37.289999999999992</v>
      </c>
      <c r="B27" s="34">
        <f>AVERAGE(B6:B25)</f>
        <v>74.5</v>
      </c>
      <c r="C27" s="35">
        <f>AVERAGE(C6:C25)</f>
        <v>15.55</v>
      </c>
      <c r="D27" s="32" t="s">
        <v>48</v>
      </c>
      <c r="E27" s="33">
        <f>AVERAGE(E6:E25)</f>
        <v>39.444444444444443</v>
      </c>
      <c r="F27" s="34">
        <f>AVERAGE(F6:F25)</f>
        <v>62.277777777777779</v>
      </c>
      <c r="G27" s="35">
        <f>AVERAGE(G6:G25)</f>
        <v>20.111111111111111</v>
      </c>
    </row>
    <row r="28" spans="1:7" x14ac:dyDescent="0.35">
      <c r="A28" s="39">
        <f>VAR(A6:A25)</f>
        <v>1.0419999999999989</v>
      </c>
      <c r="B28" s="40">
        <f>VAR(B6:B25)</f>
        <v>59.94736842105263</v>
      </c>
      <c r="C28" s="41">
        <f>VAR(C6:C25)</f>
        <v>89.102631578947353</v>
      </c>
      <c r="D28" s="32" t="s">
        <v>107</v>
      </c>
      <c r="E28" s="39">
        <f>VAR(E6:E25)</f>
        <v>1.4967320261437886</v>
      </c>
      <c r="F28" s="40">
        <f>VAR(F6:F25)</f>
        <v>175.15359477124173</v>
      </c>
      <c r="G28" s="41">
        <f>VAR(G6:G25)</f>
        <v>24.457516339869258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6"/>
  <dimension ref="A1:AK25"/>
  <sheetViews>
    <sheetView workbookViewId="0"/>
  </sheetViews>
  <sheetFormatPr defaultRowHeight="15" x14ac:dyDescent="0.25"/>
  <cols>
    <col min="24" max="24" width="11.28515625" customWidth="1"/>
  </cols>
  <sheetData>
    <row r="1" spans="1:37" ht="14.45" x14ac:dyDescent="0.35">
      <c r="A1" s="42" t="s">
        <v>665</v>
      </c>
    </row>
    <row r="3" spans="1:37" thickBot="1" x14ac:dyDescent="0.4">
      <c r="A3" s="32" t="s">
        <v>41</v>
      </c>
      <c r="B3" s="32" t="s">
        <v>637</v>
      </c>
      <c r="C3" s="32" t="s">
        <v>638</v>
      </c>
      <c r="D3" s="32" t="s">
        <v>639</v>
      </c>
      <c r="E3" s="32" t="s">
        <v>640</v>
      </c>
      <c r="G3" s="32" t="str">
        <f t="shared" ref="G3:G18" si="0">A3</f>
        <v>Subject</v>
      </c>
      <c r="H3" s="32" t="s">
        <v>647</v>
      </c>
      <c r="I3" s="32" t="s">
        <v>648</v>
      </c>
      <c r="J3" s="32" t="s">
        <v>649</v>
      </c>
      <c r="L3" s="32" t="s">
        <v>650</v>
      </c>
      <c r="N3" t="s">
        <v>635</v>
      </c>
      <c r="Q3" t="s">
        <v>661</v>
      </c>
      <c r="T3" t="s">
        <v>635</v>
      </c>
      <c r="X3" t="s">
        <v>174</v>
      </c>
      <c r="AE3" t="s">
        <v>183</v>
      </c>
      <c r="AI3" t="s">
        <v>175</v>
      </c>
      <c r="AJ3">
        <v>0.05</v>
      </c>
    </row>
    <row r="4" spans="1:37" thickTop="1" x14ac:dyDescent="0.35">
      <c r="A4" s="32">
        <v>1</v>
      </c>
      <c r="B4" s="243">
        <v>16</v>
      </c>
      <c r="C4" s="244">
        <v>22</v>
      </c>
      <c r="D4" s="244">
        <v>23</v>
      </c>
      <c r="E4" s="245">
        <v>25</v>
      </c>
      <c r="G4" s="32">
        <f t="shared" si="0"/>
        <v>1</v>
      </c>
      <c r="H4" s="251">
        <f t="shared" ref="H4:H18" si="1">C4-B4</f>
        <v>6</v>
      </c>
      <c r="I4" s="252">
        <f t="shared" ref="I4:I18" si="2">D4-C4</f>
        <v>1</v>
      </c>
      <c r="J4" s="253">
        <f t="shared" ref="J4:J18" si="3">E4-D4</f>
        <v>2</v>
      </c>
      <c r="L4" s="223">
        <v>0</v>
      </c>
      <c r="N4" t="s">
        <v>651</v>
      </c>
      <c r="Q4" t="s">
        <v>662</v>
      </c>
      <c r="T4" t="s">
        <v>652</v>
      </c>
      <c r="AE4" s="94" t="s">
        <v>184</v>
      </c>
      <c r="AF4" s="94" t="s">
        <v>179</v>
      </c>
      <c r="AG4" s="94" t="s">
        <v>62</v>
      </c>
      <c r="AH4" s="94" t="s">
        <v>185</v>
      </c>
      <c r="AI4" s="94" t="s">
        <v>54</v>
      </c>
      <c r="AJ4" s="94" t="s">
        <v>186</v>
      </c>
      <c r="AK4" s="94" t="s">
        <v>643</v>
      </c>
    </row>
    <row r="5" spans="1:37" ht="14.45" x14ac:dyDescent="0.35">
      <c r="A5" s="32">
        <f>A4+1</f>
        <v>2</v>
      </c>
      <c r="B5" s="246">
        <v>12</v>
      </c>
      <c r="C5" s="73">
        <v>18</v>
      </c>
      <c r="D5" s="73">
        <v>24</v>
      </c>
      <c r="E5" s="247">
        <v>29</v>
      </c>
      <c r="G5" s="32">
        <f t="shared" si="0"/>
        <v>2</v>
      </c>
      <c r="H5" s="66">
        <f t="shared" si="1"/>
        <v>6</v>
      </c>
      <c r="I5" s="56">
        <f t="shared" si="2"/>
        <v>6</v>
      </c>
      <c r="J5" s="67">
        <f t="shared" si="3"/>
        <v>5</v>
      </c>
      <c r="L5" s="49">
        <v>0</v>
      </c>
      <c r="X5" t="str">
        <f>A3</f>
        <v>Subject</v>
      </c>
      <c r="Y5" t="str">
        <f>B3</f>
        <v>Before</v>
      </c>
      <c r="Z5" t="str">
        <f>C3</f>
        <v>1 week</v>
      </c>
      <c r="AA5" t="str">
        <f>D3</f>
        <v>2 weeks</v>
      </c>
      <c r="AB5" t="str">
        <f>E3</f>
        <v>3 weeks</v>
      </c>
      <c r="AC5" s="32" t="s">
        <v>34</v>
      </c>
      <c r="AE5" t="s">
        <v>642</v>
      </c>
      <c r="AF5">
        <f>(AG6+1)*DEVSQ(AC6:AC20)</f>
        <v>1938.4333333333334</v>
      </c>
      <c r="AG5">
        <f>COUNT(Y6:Y20)-1</f>
        <v>14</v>
      </c>
      <c r="AH5">
        <f>AF5/AG5</f>
        <v>138.4595238095238</v>
      </c>
      <c r="AI5">
        <f>AH5/AH7</f>
        <v>14.520099875156061</v>
      </c>
      <c r="AJ5">
        <f>FDIST(AI5,AG5,AG7)</f>
        <v>8.1670607503918935E-12</v>
      </c>
      <c r="AK5">
        <f>FINV(AJ3,AG5,AG7)</f>
        <v>1.9350088132446253</v>
      </c>
    </row>
    <row r="6" spans="1:37" ht="14.45" x14ac:dyDescent="0.35">
      <c r="A6" s="32">
        <f t="shared" ref="A6:A18" si="4">A5+1</f>
        <v>3</v>
      </c>
      <c r="B6" s="246">
        <v>23</v>
      </c>
      <c r="C6" s="73">
        <v>24</v>
      </c>
      <c r="D6" s="73">
        <v>26</v>
      </c>
      <c r="E6" s="247">
        <v>27</v>
      </c>
      <c r="G6" s="32">
        <f t="shared" si="0"/>
        <v>3</v>
      </c>
      <c r="H6" s="66">
        <f t="shared" si="1"/>
        <v>1</v>
      </c>
      <c r="I6" s="56">
        <f t="shared" si="2"/>
        <v>2</v>
      </c>
      <c r="J6" s="67">
        <f t="shared" si="3"/>
        <v>1</v>
      </c>
      <c r="L6" s="52">
        <v>0</v>
      </c>
      <c r="N6" t="str">
        <f t="array" ref="N6:O10">[1]!Hotelling(H4:J18,L4:L6, 0,TRUE)</f>
        <v>T2</v>
      </c>
      <c r="O6" s="206">
        <v>107.46823651658595</v>
      </c>
      <c r="Q6" t="str">
        <f t="array" ref="Q6:R10">[1]!T2_RepeatedMeasures(B4:E18,TRUE)</f>
        <v>T2</v>
      </c>
      <c r="R6" s="223">
        <v>107.46823651658595</v>
      </c>
      <c r="T6" t="str">
        <f t="array" ref="T6:U10">[1]!T2_RepeatedMeasures(B4:E18,TRUE)</f>
        <v>T2</v>
      </c>
      <c r="U6" s="206">
        <v>107.46823651658595</v>
      </c>
      <c r="X6">
        <f t="shared" ref="X6:X20" si="5">A4</f>
        <v>1</v>
      </c>
      <c r="Y6" s="203">
        <f t="shared" ref="Y6:Y20" si="6">B4</f>
        <v>16</v>
      </c>
      <c r="Z6" s="264">
        <f t="shared" ref="Z6:Z20" si="7">C4</f>
        <v>22</v>
      </c>
      <c r="AA6" s="264">
        <f t="shared" ref="AA6:AA20" si="8">D4</f>
        <v>23</v>
      </c>
      <c r="AB6" s="82">
        <f t="shared" ref="AB6:AB20" si="9">E4</f>
        <v>25</v>
      </c>
      <c r="AC6">
        <f>AVERAGE(Y6:AB6)</f>
        <v>21.5</v>
      </c>
      <c r="AE6" t="s">
        <v>176</v>
      </c>
      <c r="AF6">
        <f>(AG5+1)*DEVSQ(Y21:AB21)</f>
        <v>833.25000000000023</v>
      </c>
      <c r="AG6">
        <f>COUNT(Y6:AB6)-1</f>
        <v>3</v>
      </c>
      <c r="AH6">
        <f>AF6/AG6</f>
        <v>277.75000000000006</v>
      </c>
      <c r="AI6">
        <f>AH6/AH7</f>
        <v>29.127340823970059</v>
      </c>
      <c r="AJ6">
        <f>FDIST(AI6,AG6,AG7)</f>
        <v>2.3962181631669464E-10</v>
      </c>
      <c r="AK6">
        <f>FINV(AJ3,AG6,AG7)</f>
        <v>2.8270487120861261</v>
      </c>
    </row>
    <row r="7" spans="1:37" ht="14.45" x14ac:dyDescent="0.35">
      <c r="A7" s="32">
        <f t="shared" si="4"/>
        <v>4</v>
      </c>
      <c r="B7" s="246">
        <v>8</v>
      </c>
      <c r="C7" s="73">
        <v>20</v>
      </c>
      <c r="D7" s="73">
        <v>28</v>
      </c>
      <c r="E7" s="247">
        <v>30</v>
      </c>
      <c r="G7" s="32">
        <f t="shared" si="0"/>
        <v>4</v>
      </c>
      <c r="H7" s="66">
        <f t="shared" si="1"/>
        <v>12</v>
      </c>
      <c r="I7" s="56">
        <f t="shared" si="2"/>
        <v>8</v>
      </c>
      <c r="J7" s="67">
        <f t="shared" si="3"/>
        <v>2</v>
      </c>
      <c r="N7" t="str">
        <v>df1</v>
      </c>
      <c r="O7" s="98">
        <v>3</v>
      </c>
      <c r="Q7" t="str">
        <v>df1</v>
      </c>
      <c r="R7" s="49">
        <v>3</v>
      </c>
      <c r="T7" t="str">
        <v>df1</v>
      </c>
      <c r="U7" s="98">
        <v>3</v>
      </c>
      <c r="X7">
        <f t="shared" si="5"/>
        <v>2</v>
      </c>
      <c r="Y7" s="83">
        <f t="shared" si="6"/>
        <v>12</v>
      </c>
      <c r="Z7" s="37">
        <f t="shared" si="7"/>
        <v>18</v>
      </c>
      <c r="AA7" s="37">
        <f t="shared" si="8"/>
        <v>24</v>
      </c>
      <c r="AB7" s="84">
        <f t="shared" si="9"/>
        <v>29</v>
      </c>
      <c r="AC7">
        <f t="shared" ref="AC7:AC20" si="10">AVERAGE(Y7:AB7)</f>
        <v>20.75</v>
      </c>
      <c r="AE7" t="s">
        <v>641</v>
      </c>
      <c r="AF7">
        <f>AF8-AF5-AF6</f>
        <v>400.49999999999977</v>
      </c>
      <c r="AG7">
        <f>AG8-AG5-AG6</f>
        <v>42</v>
      </c>
      <c r="AH7">
        <f>AF7/AG7</f>
        <v>9.5357142857142811</v>
      </c>
    </row>
    <row r="8" spans="1:37" ht="14.45" x14ac:dyDescent="0.35">
      <c r="A8" s="32">
        <f t="shared" si="4"/>
        <v>5</v>
      </c>
      <c r="B8" s="246">
        <v>3</v>
      </c>
      <c r="C8" s="73">
        <v>12</v>
      </c>
      <c r="D8" s="73">
        <v>13</v>
      </c>
      <c r="E8" s="247">
        <v>17</v>
      </c>
      <c r="G8" s="32">
        <f t="shared" si="0"/>
        <v>5</v>
      </c>
      <c r="H8" s="66">
        <f t="shared" si="1"/>
        <v>9</v>
      </c>
      <c r="I8" s="56">
        <f t="shared" si="2"/>
        <v>1</v>
      </c>
      <c r="J8" s="67">
        <f t="shared" si="3"/>
        <v>4</v>
      </c>
      <c r="N8" t="str">
        <v>df2</v>
      </c>
      <c r="O8" s="98">
        <v>12</v>
      </c>
      <c r="Q8" t="str">
        <v>df2</v>
      </c>
      <c r="R8" s="49">
        <v>12</v>
      </c>
      <c r="T8" t="str">
        <v>df2</v>
      </c>
      <c r="U8" s="98">
        <v>12</v>
      </c>
      <c r="X8">
        <f t="shared" si="5"/>
        <v>3</v>
      </c>
      <c r="Y8" s="83">
        <f t="shared" si="6"/>
        <v>23</v>
      </c>
      <c r="Z8" s="37">
        <f t="shared" si="7"/>
        <v>24</v>
      </c>
      <c r="AA8" s="37">
        <f t="shared" si="8"/>
        <v>26</v>
      </c>
      <c r="AB8" s="84">
        <f t="shared" si="9"/>
        <v>27</v>
      </c>
      <c r="AC8">
        <f t="shared" si="10"/>
        <v>25</v>
      </c>
      <c r="AE8" t="s">
        <v>168</v>
      </c>
      <c r="AF8">
        <f>DEVSQ(Y6:AB20)</f>
        <v>3172.1833333333334</v>
      </c>
      <c r="AG8">
        <f>(AG5+1)*(AG6+1)-1</f>
        <v>59</v>
      </c>
    </row>
    <row r="9" spans="1:37" ht="14.45" x14ac:dyDescent="0.35">
      <c r="A9" s="32">
        <f t="shared" si="4"/>
        <v>6</v>
      </c>
      <c r="B9" s="246">
        <v>5</v>
      </c>
      <c r="C9" s="73">
        <v>13</v>
      </c>
      <c r="D9" s="73">
        <v>11</v>
      </c>
      <c r="E9" s="247">
        <v>15</v>
      </c>
      <c r="G9" s="32">
        <f t="shared" si="0"/>
        <v>6</v>
      </c>
      <c r="H9" s="66">
        <f t="shared" si="1"/>
        <v>8</v>
      </c>
      <c r="I9" s="56">
        <f t="shared" si="2"/>
        <v>-2</v>
      </c>
      <c r="J9" s="67">
        <f t="shared" si="3"/>
        <v>4</v>
      </c>
      <c r="N9" t="str">
        <v>F</v>
      </c>
      <c r="O9" s="98">
        <v>30.70521043331027</v>
      </c>
      <c r="Q9" t="str">
        <v>F</v>
      </c>
      <c r="R9" s="49">
        <v>30.70521043331027</v>
      </c>
      <c r="T9" t="str">
        <v>F</v>
      </c>
      <c r="U9" s="98">
        <v>30.70521043331027</v>
      </c>
      <c r="X9">
        <f t="shared" si="5"/>
        <v>4</v>
      </c>
      <c r="Y9" s="83">
        <f t="shared" si="6"/>
        <v>8</v>
      </c>
      <c r="Z9" s="37">
        <f t="shared" si="7"/>
        <v>20</v>
      </c>
      <c r="AA9" s="37">
        <f t="shared" si="8"/>
        <v>28</v>
      </c>
      <c r="AB9" s="84">
        <f t="shared" si="9"/>
        <v>30</v>
      </c>
      <c r="AC9">
        <f t="shared" si="10"/>
        <v>21.5</v>
      </c>
      <c r="AE9" s="218"/>
      <c r="AF9" s="218"/>
      <c r="AG9" s="218"/>
      <c r="AH9" s="218"/>
      <c r="AI9" s="218"/>
      <c r="AJ9" s="218"/>
      <c r="AK9" s="218"/>
    </row>
    <row r="10" spans="1:37" thickBot="1" x14ac:dyDescent="0.4">
      <c r="A10" s="32">
        <f t="shared" si="4"/>
        <v>7</v>
      </c>
      <c r="B10" s="246">
        <v>19</v>
      </c>
      <c r="C10" s="73">
        <v>22</v>
      </c>
      <c r="D10" s="73">
        <v>25</v>
      </c>
      <c r="E10" s="247">
        <v>26</v>
      </c>
      <c r="G10" s="32">
        <f t="shared" si="0"/>
        <v>7</v>
      </c>
      <c r="H10" s="66">
        <f t="shared" si="1"/>
        <v>3</v>
      </c>
      <c r="I10" s="56">
        <f t="shared" si="2"/>
        <v>3</v>
      </c>
      <c r="J10" s="67">
        <f t="shared" si="3"/>
        <v>1</v>
      </c>
      <c r="N10" t="str">
        <v>p-value</v>
      </c>
      <c r="O10" s="99">
        <v>6.5259910100312624E-6</v>
      </c>
      <c r="Q10" t="str">
        <v>p-value</v>
      </c>
      <c r="R10" s="52">
        <v>6.5259910100312624E-6</v>
      </c>
      <c r="T10" t="str">
        <v>p-value</v>
      </c>
      <c r="U10" s="99">
        <v>6.5259910100312624E-6</v>
      </c>
      <c r="X10">
        <f t="shared" si="5"/>
        <v>5</v>
      </c>
      <c r="Y10" s="83">
        <f t="shared" si="6"/>
        <v>3</v>
      </c>
      <c r="Z10" s="37">
        <f t="shared" si="7"/>
        <v>12</v>
      </c>
      <c r="AA10" s="37">
        <f t="shared" si="8"/>
        <v>13</v>
      </c>
      <c r="AB10" s="84">
        <f t="shared" si="9"/>
        <v>17</v>
      </c>
      <c r="AC10">
        <f t="shared" si="10"/>
        <v>11.25</v>
      </c>
      <c r="AE10" t="s">
        <v>644</v>
      </c>
      <c r="AI10" t="s">
        <v>175</v>
      </c>
      <c r="AJ10">
        <v>0.05</v>
      </c>
    </row>
    <row r="11" spans="1:37" thickTop="1" x14ac:dyDescent="0.35">
      <c r="A11" s="32">
        <f t="shared" si="4"/>
        <v>8</v>
      </c>
      <c r="B11" s="246">
        <v>22</v>
      </c>
      <c r="C11" s="73">
        <v>22</v>
      </c>
      <c r="D11" s="73">
        <v>23</v>
      </c>
      <c r="E11" s="247">
        <v>26</v>
      </c>
      <c r="G11" s="32">
        <f t="shared" si="0"/>
        <v>8</v>
      </c>
      <c r="H11" s="66">
        <f t="shared" si="1"/>
        <v>0</v>
      </c>
      <c r="I11" s="56">
        <f t="shared" si="2"/>
        <v>1</v>
      </c>
      <c r="J11" s="67">
        <f t="shared" si="3"/>
        <v>3</v>
      </c>
      <c r="X11">
        <f t="shared" si="5"/>
        <v>6</v>
      </c>
      <c r="Y11" s="83">
        <f t="shared" si="6"/>
        <v>5</v>
      </c>
      <c r="Z11" s="37">
        <f t="shared" si="7"/>
        <v>13</v>
      </c>
      <c r="AA11" s="37">
        <f t="shared" si="8"/>
        <v>11</v>
      </c>
      <c r="AB11" s="84">
        <f t="shared" si="9"/>
        <v>15</v>
      </c>
      <c r="AC11">
        <f t="shared" si="10"/>
        <v>11</v>
      </c>
      <c r="AE11" s="94" t="s">
        <v>184</v>
      </c>
      <c r="AF11" s="94" t="s">
        <v>179</v>
      </c>
      <c r="AG11" s="94" t="s">
        <v>62</v>
      </c>
      <c r="AH11" s="94" t="s">
        <v>185</v>
      </c>
      <c r="AI11" s="94" t="s">
        <v>54</v>
      </c>
      <c r="AJ11" s="94" t="s">
        <v>186</v>
      </c>
      <c r="AK11" s="94" t="s">
        <v>643</v>
      </c>
    </row>
    <row r="12" spans="1:37" ht="14.45" x14ac:dyDescent="0.35">
      <c r="A12" s="32">
        <f t="shared" si="4"/>
        <v>9</v>
      </c>
      <c r="B12" s="246">
        <v>12</v>
      </c>
      <c r="C12" s="73">
        <v>20</v>
      </c>
      <c r="D12" s="73">
        <v>22</v>
      </c>
      <c r="E12" s="247">
        <v>24</v>
      </c>
      <c r="G12" s="32">
        <f t="shared" si="0"/>
        <v>9</v>
      </c>
      <c r="H12" s="66">
        <f t="shared" si="1"/>
        <v>8</v>
      </c>
      <c r="I12" s="56">
        <f t="shared" si="2"/>
        <v>2</v>
      </c>
      <c r="J12" s="67">
        <f t="shared" si="3"/>
        <v>2</v>
      </c>
      <c r="X12">
        <f t="shared" si="5"/>
        <v>7</v>
      </c>
      <c r="Y12" s="83">
        <f t="shared" si="6"/>
        <v>19</v>
      </c>
      <c r="Z12" s="37">
        <f t="shared" si="7"/>
        <v>22</v>
      </c>
      <c r="AA12" s="37">
        <f t="shared" si="8"/>
        <v>25</v>
      </c>
      <c r="AB12" s="84">
        <f t="shared" si="9"/>
        <v>26</v>
      </c>
      <c r="AC12">
        <f t="shared" si="10"/>
        <v>23</v>
      </c>
      <c r="AE12" t="s">
        <v>176</v>
      </c>
      <c r="AF12">
        <f>AF6</f>
        <v>833.25000000000023</v>
      </c>
      <c r="AG12">
        <f>AG6*Y24</f>
        <v>1.4797473731988162</v>
      </c>
      <c r="AH12">
        <f>AF12/AG12</f>
        <v>563.10287491758652</v>
      </c>
      <c r="AI12">
        <f>AH12/AH13</f>
        <v>29.127340823970059</v>
      </c>
      <c r="AJ12">
        <f>FDIST(AI12,AG12,AG13)</f>
        <v>2.7788822413657475E-5</v>
      </c>
      <c r="AK12">
        <f>FINV(AJ10,AG12,AG13)</f>
        <v>4.3512435033292896</v>
      </c>
    </row>
    <row r="13" spans="1:37" ht="14.45" x14ac:dyDescent="0.35">
      <c r="A13" s="32">
        <f t="shared" si="4"/>
        <v>10</v>
      </c>
      <c r="B13" s="246">
        <v>16</v>
      </c>
      <c r="C13" s="73">
        <v>22</v>
      </c>
      <c r="D13" s="73">
        <v>26</v>
      </c>
      <c r="E13" s="247">
        <v>29</v>
      </c>
      <c r="G13" s="32">
        <f t="shared" si="0"/>
        <v>10</v>
      </c>
      <c r="H13" s="66">
        <f t="shared" si="1"/>
        <v>6</v>
      </c>
      <c r="I13" s="56">
        <f t="shared" si="2"/>
        <v>4</v>
      </c>
      <c r="J13" s="67">
        <f t="shared" si="3"/>
        <v>3</v>
      </c>
      <c r="X13">
        <f t="shared" si="5"/>
        <v>8</v>
      </c>
      <c r="Y13" s="83">
        <f t="shared" si="6"/>
        <v>22</v>
      </c>
      <c r="Z13" s="37">
        <f t="shared" si="7"/>
        <v>22</v>
      </c>
      <c r="AA13" s="37">
        <f t="shared" si="8"/>
        <v>23</v>
      </c>
      <c r="AB13" s="84">
        <f t="shared" si="9"/>
        <v>26</v>
      </c>
      <c r="AC13">
        <f t="shared" si="10"/>
        <v>23.25</v>
      </c>
      <c r="AE13" t="s">
        <v>641</v>
      </c>
      <c r="AF13">
        <f>AF7</f>
        <v>400.49999999999977</v>
      </c>
      <c r="AG13">
        <f>AG7*Y24</f>
        <v>20.716463224783425</v>
      </c>
      <c r="AH13">
        <f>AF13/AG13</f>
        <v>19.332450508293107</v>
      </c>
    </row>
    <row r="14" spans="1:37" ht="14.45" x14ac:dyDescent="0.35">
      <c r="A14" s="32">
        <f t="shared" si="4"/>
        <v>11</v>
      </c>
      <c r="B14" s="246">
        <v>14</v>
      </c>
      <c r="C14" s="73">
        <v>25</v>
      </c>
      <c r="D14" s="73">
        <v>18</v>
      </c>
      <c r="E14" s="247">
        <v>21</v>
      </c>
      <c r="G14" s="32">
        <f t="shared" si="0"/>
        <v>11</v>
      </c>
      <c r="H14" s="66">
        <f t="shared" si="1"/>
        <v>11</v>
      </c>
      <c r="I14" s="56">
        <f t="shared" si="2"/>
        <v>-7</v>
      </c>
      <c r="J14" s="67">
        <f t="shared" si="3"/>
        <v>3</v>
      </c>
      <c r="X14">
        <f t="shared" si="5"/>
        <v>9</v>
      </c>
      <c r="Y14" s="83">
        <f t="shared" si="6"/>
        <v>12</v>
      </c>
      <c r="Z14" s="37">
        <f t="shared" si="7"/>
        <v>20</v>
      </c>
      <c r="AA14" s="37">
        <f t="shared" si="8"/>
        <v>22</v>
      </c>
      <c r="AB14" s="84">
        <f t="shared" si="9"/>
        <v>24</v>
      </c>
      <c r="AC14">
        <f t="shared" si="10"/>
        <v>19.5</v>
      </c>
      <c r="AE14" s="218"/>
      <c r="AF14" s="218"/>
      <c r="AG14" s="218"/>
      <c r="AH14" s="218"/>
      <c r="AI14" s="218"/>
      <c r="AJ14" s="218"/>
      <c r="AK14" s="218"/>
    </row>
    <row r="15" spans="1:37" thickBot="1" x14ac:dyDescent="0.4">
      <c r="A15" s="32">
        <f t="shared" si="4"/>
        <v>12</v>
      </c>
      <c r="B15" s="246">
        <v>24</v>
      </c>
      <c r="C15" s="73">
        <v>26</v>
      </c>
      <c r="D15" s="73">
        <v>21</v>
      </c>
      <c r="E15" s="247">
        <v>23</v>
      </c>
      <c r="G15" s="32">
        <f t="shared" si="0"/>
        <v>12</v>
      </c>
      <c r="H15" s="66">
        <f t="shared" si="1"/>
        <v>2</v>
      </c>
      <c r="I15" s="56">
        <f t="shared" si="2"/>
        <v>-5</v>
      </c>
      <c r="J15" s="67">
        <f t="shared" si="3"/>
        <v>2</v>
      </c>
      <c r="X15">
        <f t="shared" si="5"/>
        <v>10</v>
      </c>
      <c r="Y15" s="83">
        <f t="shared" si="6"/>
        <v>16</v>
      </c>
      <c r="Z15" s="37">
        <f t="shared" si="7"/>
        <v>22</v>
      </c>
      <c r="AA15" s="37">
        <f t="shared" si="8"/>
        <v>26</v>
      </c>
      <c r="AB15" s="84">
        <f t="shared" si="9"/>
        <v>29</v>
      </c>
      <c r="AC15">
        <f t="shared" si="10"/>
        <v>23.25</v>
      </c>
      <c r="AE15" t="s">
        <v>645</v>
      </c>
      <c r="AI15" t="s">
        <v>175</v>
      </c>
      <c r="AJ15">
        <v>0.05</v>
      </c>
    </row>
    <row r="16" spans="1:37" thickTop="1" x14ac:dyDescent="0.35">
      <c r="A16" s="32">
        <f t="shared" si="4"/>
        <v>13</v>
      </c>
      <c r="B16" s="246">
        <v>9</v>
      </c>
      <c r="C16" s="73">
        <v>12</v>
      </c>
      <c r="D16" s="73">
        <v>20</v>
      </c>
      <c r="E16" s="247">
        <v>23</v>
      </c>
      <c r="G16" s="32">
        <f t="shared" si="0"/>
        <v>13</v>
      </c>
      <c r="H16" s="66">
        <f t="shared" si="1"/>
        <v>3</v>
      </c>
      <c r="I16" s="56">
        <f t="shared" si="2"/>
        <v>8</v>
      </c>
      <c r="J16" s="67">
        <f t="shared" si="3"/>
        <v>3</v>
      </c>
      <c r="X16">
        <f t="shared" si="5"/>
        <v>11</v>
      </c>
      <c r="Y16" s="83">
        <f t="shared" si="6"/>
        <v>14</v>
      </c>
      <c r="Z16" s="37">
        <f t="shared" si="7"/>
        <v>25</v>
      </c>
      <c r="AA16" s="37">
        <f t="shared" si="8"/>
        <v>18</v>
      </c>
      <c r="AB16" s="84">
        <f t="shared" si="9"/>
        <v>21</v>
      </c>
      <c r="AC16">
        <f t="shared" si="10"/>
        <v>19.5</v>
      </c>
      <c r="AE16" s="94" t="s">
        <v>184</v>
      </c>
      <c r="AF16" s="94" t="s">
        <v>179</v>
      </c>
      <c r="AG16" s="94" t="s">
        <v>62</v>
      </c>
      <c r="AH16" s="94" t="s">
        <v>185</v>
      </c>
      <c r="AI16" s="94" t="s">
        <v>54</v>
      </c>
      <c r="AJ16" s="94" t="s">
        <v>186</v>
      </c>
      <c r="AK16" s="94" t="s">
        <v>643</v>
      </c>
    </row>
    <row r="17" spans="1:37" ht="14.45" x14ac:dyDescent="0.35">
      <c r="A17" s="32">
        <f t="shared" si="4"/>
        <v>14</v>
      </c>
      <c r="B17" s="246">
        <v>3</v>
      </c>
      <c r="C17" s="73">
        <v>9</v>
      </c>
      <c r="D17" s="73">
        <v>13</v>
      </c>
      <c r="E17" s="247">
        <v>16</v>
      </c>
      <c r="G17" s="32">
        <f t="shared" si="0"/>
        <v>14</v>
      </c>
      <c r="H17" s="66">
        <f t="shared" si="1"/>
        <v>6</v>
      </c>
      <c r="I17" s="56">
        <f t="shared" si="2"/>
        <v>4</v>
      </c>
      <c r="J17" s="67">
        <f t="shared" si="3"/>
        <v>3</v>
      </c>
      <c r="X17">
        <f t="shared" si="5"/>
        <v>12</v>
      </c>
      <c r="Y17" s="83">
        <f t="shared" si="6"/>
        <v>24</v>
      </c>
      <c r="Z17" s="37">
        <f t="shared" si="7"/>
        <v>26</v>
      </c>
      <c r="AA17" s="37">
        <f t="shared" si="8"/>
        <v>21</v>
      </c>
      <c r="AB17" s="84">
        <f t="shared" si="9"/>
        <v>23</v>
      </c>
      <c r="AC17">
        <f t="shared" si="10"/>
        <v>23.5</v>
      </c>
      <c r="AE17" t="s">
        <v>176</v>
      </c>
      <c r="AF17">
        <f>AF6</f>
        <v>833.25000000000023</v>
      </c>
      <c r="AG17">
        <f>AG6*Y25</f>
        <v>1.613083313890145</v>
      </c>
      <c r="AH17">
        <f>AF17/AG17</f>
        <v>516.55732399247086</v>
      </c>
      <c r="AI17">
        <f>AH17/AH18</f>
        <v>29.127340823970059</v>
      </c>
      <c r="AJ17">
        <f>FDIST(AI17,AG17,AG18)</f>
        <v>2.0259798720373061E-5</v>
      </c>
      <c r="AK17">
        <f>FINV(AJ15,AG17,AG18)</f>
        <v>4.3009495017776587</v>
      </c>
    </row>
    <row r="18" spans="1:37" ht="14.45" x14ac:dyDescent="0.35">
      <c r="A18" s="32">
        <f t="shared" si="4"/>
        <v>15</v>
      </c>
      <c r="B18" s="248">
        <v>2</v>
      </c>
      <c r="C18" s="249">
        <v>8</v>
      </c>
      <c r="D18" s="249">
        <v>6</v>
      </c>
      <c r="E18" s="250">
        <v>10</v>
      </c>
      <c r="G18" s="32">
        <f t="shared" si="0"/>
        <v>15</v>
      </c>
      <c r="H18" s="57">
        <f t="shared" si="1"/>
        <v>6</v>
      </c>
      <c r="I18" s="58">
        <f t="shared" si="2"/>
        <v>-2</v>
      </c>
      <c r="J18" s="59">
        <f t="shared" si="3"/>
        <v>4</v>
      </c>
      <c r="X18">
        <f t="shared" si="5"/>
        <v>13</v>
      </c>
      <c r="Y18" s="83">
        <f t="shared" si="6"/>
        <v>9</v>
      </c>
      <c r="Z18" s="37">
        <f t="shared" si="7"/>
        <v>12</v>
      </c>
      <c r="AA18" s="37">
        <f t="shared" si="8"/>
        <v>20</v>
      </c>
      <c r="AB18" s="84">
        <f t="shared" si="9"/>
        <v>23</v>
      </c>
      <c r="AC18">
        <f t="shared" si="10"/>
        <v>16</v>
      </c>
      <c r="AE18" t="s">
        <v>641</v>
      </c>
      <c r="AF18">
        <f>AF7</f>
        <v>400.49999999999977</v>
      </c>
      <c r="AG18">
        <f>AG7*Y25</f>
        <v>22.58316639446203</v>
      </c>
      <c r="AH18">
        <f>AF18/AG18</f>
        <v>17.734448438471084</v>
      </c>
    </row>
    <row r="19" spans="1:37" ht="14.45" x14ac:dyDescent="0.35">
      <c r="X19">
        <f t="shared" si="5"/>
        <v>14</v>
      </c>
      <c r="Y19" s="83">
        <f t="shared" si="6"/>
        <v>3</v>
      </c>
      <c r="Z19" s="37">
        <f t="shared" si="7"/>
        <v>9</v>
      </c>
      <c r="AA19" s="37">
        <f t="shared" si="8"/>
        <v>13</v>
      </c>
      <c r="AB19" s="84">
        <f t="shared" si="9"/>
        <v>16</v>
      </c>
      <c r="AC19">
        <f t="shared" si="10"/>
        <v>10.25</v>
      </c>
      <c r="AE19" s="218"/>
      <c r="AF19" s="218"/>
      <c r="AG19" s="218"/>
      <c r="AH19" s="218"/>
      <c r="AI19" s="218"/>
      <c r="AJ19" s="218"/>
      <c r="AK19" s="218"/>
    </row>
    <row r="20" spans="1:37" ht="14.45" x14ac:dyDescent="0.35">
      <c r="X20">
        <f t="shared" si="5"/>
        <v>15</v>
      </c>
      <c r="Y20" s="85">
        <f t="shared" si="6"/>
        <v>2</v>
      </c>
      <c r="Z20" s="86">
        <f t="shared" si="7"/>
        <v>8</v>
      </c>
      <c r="AA20" s="86">
        <f t="shared" si="8"/>
        <v>6</v>
      </c>
      <c r="AB20" s="87">
        <f t="shared" si="9"/>
        <v>10</v>
      </c>
      <c r="AC20">
        <f t="shared" si="10"/>
        <v>6.5</v>
      </c>
    </row>
    <row r="21" spans="1:37" ht="14.45" x14ac:dyDescent="0.35">
      <c r="X21" t="s">
        <v>34</v>
      </c>
      <c r="Y21">
        <f>AVERAGE(Y6:Y20)</f>
        <v>12.533333333333333</v>
      </c>
      <c r="Z21">
        <f>AVERAGE(Z6:Z20)</f>
        <v>18.333333333333332</v>
      </c>
      <c r="AA21">
        <f>AVERAGE(AA6:AA20)</f>
        <v>19.933333333333334</v>
      </c>
      <c r="AB21">
        <f>AVERAGE(AB6:AB20)</f>
        <v>22.733333333333334</v>
      </c>
      <c r="AC21">
        <f>AVERAGE(AC6:AC20)</f>
        <v>18.383333333333333</v>
      </c>
    </row>
    <row r="22" spans="1:37" ht="14.45" x14ac:dyDescent="0.35">
      <c r="X22" t="s">
        <v>178</v>
      </c>
      <c r="Y22">
        <f>VAR(Y6:Y20)</f>
        <v>55.838095238095221</v>
      </c>
      <c r="Z22">
        <f>VAR(Z6:Z20)</f>
        <v>35.523809523809504</v>
      </c>
      <c r="AA22">
        <f>VAR(AA6:AA20)</f>
        <v>41.352380952380955</v>
      </c>
      <c r="AB22">
        <f>VAR(AB6:AB20)</f>
        <v>34.352380952380955</v>
      </c>
      <c r="AC22">
        <f>VAR(AC6:AC20)</f>
        <v>34.614880952380972</v>
      </c>
    </row>
    <row r="24" spans="1:37" ht="14.45" x14ac:dyDescent="0.35">
      <c r="X24" t="s">
        <v>663</v>
      </c>
      <c r="Y24" s="206">
        <f>[1]!GGEpsilon(Y6:AB20)</f>
        <v>0.49324912439960539</v>
      </c>
    </row>
    <row r="25" spans="1:37" ht="14.45" x14ac:dyDescent="0.35">
      <c r="X25" t="s">
        <v>664</v>
      </c>
      <c r="Y25" s="99">
        <f>[1]!HFEpsilon(Y6:AB20)</f>
        <v>0.53769443796338168</v>
      </c>
    </row>
  </sheetData>
  <pageMargins left="0.7" right="0.7" top="0.75" bottom="0.75" header="0.3" footer="0.3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9"/>
  <dimension ref="A1:BP59"/>
  <sheetViews>
    <sheetView workbookViewId="0"/>
  </sheetViews>
  <sheetFormatPr defaultRowHeight="15" x14ac:dyDescent="0.25"/>
  <cols>
    <col min="2" max="6" width="6.5703125" customWidth="1"/>
    <col min="14" max="14" width="14.28515625" customWidth="1"/>
  </cols>
  <sheetData>
    <row r="1" spans="1:68" ht="14.45" x14ac:dyDescent="0.35">
      <c r="A1" s="42" t="s">
        <v>646</v>
      </c>
    </row>
    <row r="3" spans="1:68" ht="14.45" x14ac:dyDescent="0.35">
      <c r="H3" t="s">
        <v>666</v>
      </c>
      <c r="N3" t="s">
        <v>147</v>
      </c>
      <c r="V3" t="s">
        <v>232</v>
      </c>
      <c r="AA3" t="s">
        <v>233</v>
      </c>
      <c r="AF3" t="s">
        <v>234</v>
      </c>
      <c r="AP3" t="s">
        <v>235</v>
      </c>
      <c r="AX3" t="s">
        <v>108</v>
      </c>
      <c r="BA3" t="s">
        <v>236</v>
      </c>
    </row>
    <row r="4" spans="1:68" thickBot="1" x14ac:dyDescent="0.4"/>
    <row r="5" spans="1:68" thickTop="1" x14ac:dyDescent="0.35">
      <c r="A5" s="74" t="s">
        <v>653</v>
      </c>
      <c r="B5" s="47" t="s">
        <v>654</v>
      </c>
      <c r="C5" s="47" t="s">
        <v>655</v>
      </c>
      <c r="D5" s="47" t="s">
        <v>656</v>
      </c>
      <c r="E5" s="47" t="s">
        <v>657</v>
      </c>
      <c r="F5" s="47" t="s">
        <v>658</v>
      </c>
      <c r="H5" s="32" t="str">
        <f>A5</f>
        <v>Age</v>
      </c>
      <c r="I5" s="47" t="s">
        <v>667</v>
      </c>
      <c r="J5" s="47" t="s">
        <v>668</v>
      </c>
      <c r="K5" s="47" t="s">
        <v>669</v>
      </c>
      <c r="L5" s="47" t="s">
        <v>670</v>
      </c>
      <c r="N5" s="94"/>
      <c r="O5" s="94" t="s">
        <v>148</v>
      </c>
      <c r="P5" s="94" t="s">
        <v>54</v>
      </c>
      <c r="Q5" s="94" t="s">
        <v>55</v>
      </c>
      <c r="R5" s="94" t="s">
        <v>56</v>
      </c>
      <c r="S5" s="94" t="s">
        <v>65</v>
      </c>
      <c r="T5" s="94" t="s">
        <v>149</v>
      </c>
      <c r="V5" t="s">
        <v>154</v>
      </c>
      <c r="AA5" t="s">
        <v>290</v>
      </c>
      <c r="AF5" t="s">
        <v>173</v>
      </c>
      <c r="AI5" t="str">
        <f>I5</f>
        <v>Diff  1</v>
      </c>
      <c r="AP5" s="32" t="s">
        <v>228</v>
      </c>
      <c r="AQ5" s="32" t="s">
        <v>65</v>
      </c>
      <c r="AS5" t="s">
        <v>227</v>
      </c>
      <c r="AX5" t="s">
        <v>113</v>
      </c>
      <c r="AY5" s="206">
        <f>[1]!BOXM(H6:L26)</f>
        <v>26.229757839753852</v>
      </c>
      <c r="BB5" s="32" t="str">
        <f t="array" ref="BB5:BE5">$I$5:$L$5</f>
        <v>Diff  1</v>
      </c>
      <c r="BC5" s="32" t="str">
        <v>Diff  2</v>
      </c>
      <c r="BD5" s="32" t="str">
        <v>Diff  3</v>
      </c>
      <c r="BE5" s="32" t="str">
        <v>Diff  4</v>
      </c>
      <c r="BF5" s="32" t="s">
        <v>100</v>
      </c>
      <c r="BH5" s="32" t="s">
        <v>222</v>
      </c>
      <c r="BJ5" t="s">
        <v>218</v>
      </c>
      <c r="BO5" t="s">
        <v>194</v>
      </c>
      <c r="BP5" s="206">
        <f>MDETERM(BJ12:BM15)/MDETERM(BJ6:BM9+BJ12:BM15)</f>
        <v>0.58893127065451178</v>
      </c>
    </row>
    <row r="6" spans="1:68" ht="14.45" x14ac:dyDescent="0.35">
      <c r="A6" s="37" t="s">
        <v>287</v>
      </c>
      <c r="B6" s="254">
        <v>250</v>
      </c>
      <c r="C6" s="255">
        <v>278</v>
      </c>
      <c r="D6" s="255">
        <v>442</v>
      </c>
      <c r="E6" s="255">
        <v>368</v>
      </c>
      <c r="F6" s="256">
        <v>456</v>
      </c>
      <c r="H6" s="223" t="str">
        <f t="shared" ref="H6:H26" si="0">A6</f>
        <v>Young</v>
      </c>
      <c r="I6" s="203">
        <f>C6-B6</f>
        <v>28</v>
      </c>
      <c r="J6" s="264">
        <f>D6-C6</f>
        <v>164</v>
      </c>
      <c r="K6" s="264">
        <f>E6-D6</f>
        <v>-74</v>
      </c>
      <c r="L6" s="205">
        <f>F6-E6</f>
        <v>88</v>
      </c>
      <c r="N6" t="s">
        <v>150</v>
      </c>
      <c r="O6">
        <f>[1]!MANOVA_PillaiTrace(H6:L26)</f>
        <v>0.6762267581008492</v>
      </c>
      <c r="P6">
        <f>[1]!MANOVA_PillaiF(H6:L26)</f>
        <v>2.0433310984008131</v>
      </c>
      <c r="Q6">
        <f>[1]!MANOVA_Pillaidf1(H6:L26)</f>
        <v>8</v>
      </c>
      <c r="R6">
        <f>[1]!MANOVA_Pillaidf2(H6:L26)</f>
        <v>32</v>
      </c>
      <c r="S6">
        <f>FDIST(P6,Q6,R6)</f>
        <v>7.2590479865821428E-2</v>
      </c>
      <c r="T6">
        <f>P6*Q6/(P6*Q6+R6)</f>
        <v>0.3381133790504246</v>
      </c>
      <c r="V6" s="203">
        <f t="array" ref="V6:Y9">[1]!COVP(I6:L26)*COUNT(I6:I26)</f>
        <v>107415.99999999999</v>
      </c>
      <c r="W6" s="264">
        <v>-22001.999999999996</v>
      </c>
      <c r="X6" s="264">
        <v>8589</v>
      </c>
      <c r="Y6" s="205">
        <v>-11552.999999999995</v>
      </c>
      <c r="AA6" s="203">
        <f t="array" ref="AA6:AD9">[1]!ExtractCov(H6:L26,AA5)</f>
        <v>3301.9047619047619</v>
      </c>
      <c r="AB6" s="264">
        <v>1401.2619047619048</v>
      </c>
      <c r="AC6" s="264">
        <v>-543.11904761904759</v>
      </c>
      <c r="AD6" s="205">
        <v>1402.0952380952381</v>
      </c>
      <c r="AP6" s="203">
        <f t="array" ref="AP6">MMULT(I6:L6-$AS$18:$AV$18,MMULT($AS$12:$AV$15,TRANSPOSE(I6:L6-$AS$18:$AV$18)))</f>
        <v>2.30918047929514</v>
      </c>
      <c r="AQ6" s="205">
        <f>CHIDIST(AP6,COUNT($I$6:$L$6))</f>
        <v>0.679098104414394</v>
      </c>
      <c r="AR6" s="70" t="str">
        <f>IF(AQ6&lt;0.001,"*","")</f>
        <v/>
      </c>
      <c r="AS6" s="203">
        <f t="array" ref="AS6:AV9">[1]!COV(I6:L26)</f>
        <v>5370.8</v>
      </c>
      <c r="AT6" s="264">
        <v>-1100.1000000000001</v>
      </c>
      <c r="AU6" s="264">
        <v>429.45000000000005</v>
      </c>
      <c r="AV6" s="205">
        <v>-577.64999999999986</v>
      </c>
      <c r="AX6" t="s">
        <v>54</v>
      </c>
      <c r="AY6" s="98">
        <f>[1]!BOXF(H6:L26)</f>
        <v>0.87120150290924547</v>
      </c>
      <c r="BA6" t="s">
        <v>290</v>
      </c>
      <c r="BB6" s="203">
        <f t="shared" ref="BB6:BE8" si="1">AVERAGEIF($H$6:$H$26,$BA6,I$6:I$26)</f>
        <v>64.714285714285708</v>
      </c>
      <c r="BC6" s="264">
        <f t="shared" si="1"/>
        <v>198.28571428571428</v>
      </c>
      <c r="BD6" s="264">
        <f t="shared" si="1"/>
        <v>-35.857142857142854</v>
      </c>
      <c r="BE6" s="205">
        <f t="shared" si="1"/>
        <v>28.285714285714285</v>
      </c>
      <c r="BF6" s="206">
        <f>COUNTIF($H$6:$H$26,BA6)</f>
        <v>7</v>
      </c>
      <c r="BH6" s="263">
        <v>1</v>
      </c>
      <c r="BJ6" s="203">
        <f t="array" ref="BJ6:BM9">MMULT(TRANSPOSE(BB12:BE12),BB12:BE12)/BF11</f>
        <v>26231.142857142855</v>
      </c>
      <c r="BK6" s="264">
        <v>-20430.857142857141</v>
      </c>
      <c r="BL6" s="264">
        <v>12293.142857142857</v>
      </c>
      <c r="BM6" s="205">
        <v>-13505.142857142857</v>
      </c>
      <c r="BO6" t="s">
        <v>223</v>
      </c>
      <c r="BP6" s="98">
        <f>COUNT($I$6:$I$26)</f>
        <v>21</v>
      </c>
    </row>
    <row r="7" spans="1:68" thickBot="1" x14ac:dyDescent="0.4">
      <c r="A7" s="37" t="s">
        <v>287</v>
      </c>
      <c r="B7" s="257">
        <v>65</v>
      </c>
      <c r="C7" s="258">
        <v>207</v>
      </c>
      <c r="D7" s="258">
        <v>341</v>
      </c>
      <c r="E7" s="258">
        <v>382</v>
      </c>
      <c r="F7" s="259">
        <v>298</v>
      </c>
      <c r="H7" s="49" t="str">
        <f t="shared" si="0"/>
        <v>Young</v>
      </c>
      <c r="I7" s="83">
        <f t="shared" ref="I7:I26" si="2">C7-B7</f>
        <v>142</v>
      </c>
      <c r="J7" s="37">
        <f t="shared" ref="J7:J26" si="3">D7-C7</f>
        <v>134</v>
      </c>
      <c r="K7" s="37">
        <f t="shared" ref="K7:K26" si="4">E7-D7</f>
        <v>41</v>
      </c>
      <c r="L7" s="84">
        <f t="shared" ref="L7:L26" si="5">F7-E7</f>
        <v>-84</v>
      </c>
      <c r="N7" t="s">
        <v>151</v>
      </c>
      <c r="O7">
        <f>[1]!MANOVA_WilksLambda(H6:L26)</f>
        <v>0.43254236101240651</v>
      </c>
      <c r="P7">
        <f>[1]!MANOVA_WilksF(H6:L26)</f>
        <v>1.9518651830860878</v>
      </c>
      <c r="Q7">
        <f>[1]!MANOVA_Wilksdf1(H6:L26)</f>
        <v>8</v>
      </c>
      <c r="R7">
        <f>[1]!MANOVA_Wilksdf2(H6:L26)</f>
        <v>30</v>
      </c>
      <c r="S7">
        <f>FDIST(P7,Q7,R7)</f>
        <v>8.8445381133001086E-2</v>
      </c>
      <c r="T7">
        <f>P7*Q7/(P7*Q7+R7)</f>
        <v>0.34232047240893487</v>
      </c>
      <c r="V7" s="83">
        <v>-22001.999999999996</v>
      </c>
      <c r="W7" s="37">
        <v>86422.28571428571</v>
      </c>
      <c r="X7" s="37">
        <v>-37078.857142857145</v>
      </c>
      <c r="Y7" s="84">
        <v>-4406.7142857142808</v>
      </c>
      <c r="AA7" s="83">
        <v>1401.2619047619048</v>
      </c>
      <c r="AB7" s="37">
        <v>5765.2380952380936</v>
      </c>
      <c r="AC7" s="37">
        <v>-1684.5476190476193</v>
      </c>
      <c r="AD7" s="84">
        <v>-2609.4285714285706</v>
      </c>
      <c r="AF7" t="s">
        <v>174</v>
      </c>
      <c r="AK7" t="s">
        <v>175</v>
      </c>
      <c r="AL7" s="122">
        <v>1.2500000000000001E-2</v>
      </c>
      <c r="AP7" s="83">
        <f t="array" ref="AP7">MMULT(I7:L7-$AS$18:$AV$18,MMULT($AS$12:$AV$15,TRANSPOSE(I7:L7-$AS$18:$AV$18)))</f>
        <v>2.236886820686248</v>
      </c>
      <c r="AQ7" s="84">
        <f t="shared" ref="AQ7:AQ26" si="6">CHIDIST(AP7,COUNT($I$6:$L$6))</f>
        <v>0.69228204165818807</v>
      </c>
      <c r="AR7" s="70" t="str">
        <f t="shared" ref="AR7:AR26" si="7">IF(AQ7&lt;0.001,"*","")</f>
        <v/>
      </c>
      <c r="AS7" s="83">
        <v>-1100.1000000000001</v>
      </c>
      <c r="AT7" s="37">
        <v>4321.1142857142868</v>
      </c>
      <c r="AU7" s="37">
        <v>-1853.9428571428573</v>
      </c>
      <c r="AV7" s="84">
        <v>-220.33571428571406</v>
      </c>
      <c r="AX7" t="s">
        <v>55</v>
      </c>
      <c r="AY7" s="98">
        <f>[1]!BOXdf1(H6:L26)</f>
        <v>20</v>
      </c>
      <c r="BA7" t="s">
        <v>288</v>
      </c>
      <c r="BB7" s="83">
        <f t="shared" si="1"/>
        <v>151.28571428571428</v>
      </c>
      <c r="BC7" s="37">
        <f t="shared" si="1"/>
        <v>130.85714285714286</v>
      </c>
      <c r="BD7" s="37">
        <f t="shared" si="1"/>
        <v>4.7142857142857144</v>
      </c>
      <c r="BE7" s="84">
        <f t="shared" si="1"/>
        <v>-16.285714285714285</v>
      </c>
      <c r="BF7" s="98">
        <f>COUNTIF($H$6:$H$26,BA7)</f>
        <v>7</v>
      </c>
      <c r="BH7" s="127">
        <v>-1</v>
      </c>
      <c r="BJ7" s="83">
        <v>-20430.857142857141</v>
      </c>
      <c r="BK7" s="37">
        <v>15913.142857142853</v>
      </c>
      <c r="BL7" s="37">
        <v>-9574.8571428571413</v>
      </c>
      <c r="BM7" s="84">
        <v>10518.857142857141</v>
      </c>
      <c r="BO7" t="s">
        <v>224</v>
      </c>
      <c r="BP7" s="98">
        <f>COUNT($I$6:$L$6)</f>
        <v>4</v>
      </c>
    </row>
    <row r="8" spans="1:68" thickTop="1" x14ac:dyDescent="0.35">
      <c r="A8" s="37" t="s">
        <v>287</v>
      </c>
      <c r="B8" s="257">
        <v>251</v>
      </c>
      <c r="C8" s="258">
        <v>261</v>
      </c>
      <c r="D8" s="258">
        <v>384</v>
      </c>
      <c r="E8" s="258">
        <v>421</v>
      </c>
      <c r="F8" s="259">
        <v>342</v>
      </c>
      <c r="H8" s="49" t="str">
        <f t="shared" si="0"/>
        <v>Young</v>
      </c>
      <c r="I8" s="83">
        <f t="shared" si="2"/>
        <v>10</v>
      </c>
      <c r="J8" s="37">
        <f t="shared" si="3"/>
        <v>123</v>
      </c>
      <c r="K8" s="37">
        <f t="shared" si="4"/>
        <v>37</v>
      </c>
      <c r="L8" s="84">
        <f t="shared" si="5"/>
        <v>-79</v>
      </c>
      <c r="N8" t="s">
        <v>152</v>
      </c>
      <c r="O8">
        <f>[1]!MANOVA_HotelTrace(H6:L26)</f>
        <v>1.0604476259868136</v>
      </c>
      <c r="P8">
        <f>[1]!MANOVA_HotelF(H6:L26)</f>
        <v>1.8557833454769239</v>
      </c>
      <c r="Q8">
        <f>[1]!MANOVA_Hoteldf1(H6:L26)</f>
        <v>8</v>
      </c>
      <c r="R8">
        <f>[1]!MANOVA_Hoteldf2(H6:L26)</f>
        <v>28</v>
      </c>
      <c r="S8">
        <f>FDIST(P8,Q8,R8)</f>
        <v>0.10817713990619217</v>
      </c>
      <c r="T8">
        <f>P8*Q8/(P8*Q8+R8)</f>
        <v>0.3465008245795031</v>
      </c>
      <c r="V8" s="83">
        <v>8589</v>
      </c>
      <c r="W8" s="37">
        <v>-37078.857142857145</v>
      </c>
      <c r="X8" s="37">
        <v>56100.57142857142</v>
      </c>
      <c r="Y8" s="84">
        <v>-40012.857142857138</v>
      </c>
      <c r="AA8" s="83">
        <v>-543.11904761904759</v>
      </c>
      <c r="AB8" s="37">
        <v>-1684.5476190476193</v>
      </c>
      <c r="AC8" s="37">
        <v>1692.1428571428571</v>
      </c>
      <c r="AD8" s="84">
        <v>-1463.8809523809523</v>
      </c>
      <c r="AF8" s="94" t="s">
        <v>176</v>
      </c>
      <c r="AG8" s="94" t="s">
        <v>100</v>
      </c>
      <c r="AH8" s="94" t="s">
        <v>177</v>
      </c>
      <c r="AI8" s="94" t="s">
        <v>34</v>
      </c>
      <c r="AJ8" s="94" t="s">
        <v>178</v>
      </c>
      <c r="AK8" s="94" t="s">
        <v>179</v>
      </c>
      <c r="AL8" s="94" t="s">
        <v>180</v>
      </c>
      <c r="AM8" s="94" t="s">
        <v>181</v>
      </c>
      <c r="AN8" s="94" t="s">
        <v>182</v>
      </c>
      <c r="AP8" s="83">
        <f t="array" ref="AP8">MMULT(I8:L8-$AS$18:$AV$18,MMULT($AS$12:$AV$15,TRANSPOSE(I8:L8-$AS$18:$AV$18)))</f>
        <v>4.1576760269967394</v>
      </c>
      <c r="AQ8" s="84">
        <f t="shared" si="6"/>
        <v>0.38508709248076656</v>
      </c>
      <c r="AR8" s="70" t="str">
        <f t="shared" si="7"/>
        <v/>
      </c>
      <c r="AS8" s="83">
        <v>429.45000000000005</v>
      </c>
      <c r="AT8" s="37">
        <v>-1853.9428571428573</v>
      </c>
      <c r="AU8" s="37">
        <v>2805.0285714285715</v>
      </c>
      <c r="AV8" s="84">
        <v>-2000.6428571428573</v>
      </c>
      <c r="AX8" t="s">
        <v>56</v>
      </c>
      <c r="AY8" s="98">
        <f>[1]!BOXdf2(H6:L26)</f>
        <v>1163.0166787527207</v>
      </c>
      <c r="BA8" t="s">
        <v>287</v>
      </c>
      <c r="BB8" s="85">
        <f t="shared" si="1"/>
        <v>75</v>
      </c>
      <c r="BC8" s="86">
        <f t="shared" si="1"/>
        <v>123</v>
      </c>
      <c r="BD8" s="86">
        <f t="shared" si="1"/>
        <v>-20.285714285714285</v>
      </c>
      <c r="BE8" s="87">
        <f t="shared" si="1"/>
        <v>21.142857142857142</v>
      </c>
      <c r="BF8" s="99">
        <f>COUNTIF($H$6:$H$26,BA8)</f>
        <v>7</v>
      </c>
      <c r="BH8" s="128"/>
      <c r="BJ8" s="83">
        <v>12293.142857142857</v>
      </c>
      <c r="BK8" s="37">
        <v>-9574.8571428571413</v>
      </c>
      <c r="BL8" s="37">
        <v>5761.1428571428569</v>
      </c>
      <c r="BM8" s="84">
        <v>-6329.1428571428569</v>
      </c>
      <c r="BO8" t="s">
        <v>225</v>
      </c>
      <c r="BP8" s="98">
        <f>COUNT(BB6:BB8)</f>
        <v>3</v>
      </c>
    </row>
    <row r="9" spans="1:68" ht="14.45" x14ac:dyDescent="0.35">
      <c r="A9" s="37" t="s">
        <v>287</v>
      </c>
      <c r="B9" s="257">
        <v>241</v>
      </c>
      <c r="C9" s="258">
        <v>314</v>
      </c>
      <c r="D9" s="258">
        <v>423</v>
      </c>
      <c r="E9" s="258">
        <v>415</v>
      </c>
      <c r="F9" s="259">
        <v>468</v>
      </c>
      <c r="H9" s="49" t="str">
        <f t="shared" si="0"/>
        <v>Young</v>
      </c>
      <c r="I9" s="83">
        <f t="shared" si="2"/>
        <v>73</v>
      </c>
      <c r="J9" s="37">
        <f t="shared" si="3"/>
        <v>109</v>
      </c>
      <c r="K9" s="37">
        <f t="shared" si="4"/>
        <v>-8</v>
      </c>
      <c r="L9" s="84">
        <f t="shared" si="5"/>
        <v>53</v>
      </c>
      <c r="N9" s="40" t="s">
        <v>153</v>
      </c>
      <c r="O9" s="40">
        <f>[1]!MANOVA_RoyRoot(H6:L26)</f>
        <v>0.70248126191202132</v>
      </c>
      <c r="P9" s="40"/>
      <c r="Q9" s="40"/>
      <c r="R9" s="40"/>
      <c r="S9" s="40"/>
      <c r="T9" s="40"/>
      <c r="V9" s="85">
        <v>-11552.999999999995</v>
      </c>
      <c r="W9" s="86">
        <v>-4406.7142857142808</v>
      </c>
      <c r="X9" s="86">
        <v>-40012.857142857138</v>
      </c>
      <c r="Y9" s="87">
        <v>97342.952380952367</v>
      </c>
      <c r="AA9" s="85">
        <v>1402.0952380952381</v>
      </c>
      <c r="AB9" s="86">
        <v>-2609.4285714285706</v>
      </c>
      <c r="AC9" s="86">
        <v>-1463.8809523809523</v>
      </c>
      <c r="AD9" s="87">
        <v>7865.9047619047615</v>
      </c>
      <c r="AF9" t="str">
        <f t="array" ref="AF9:AF11">[1]!SortUnique(H6:H26)</f>
        <v>Middle</v>
      </c>
      <c r="AG9">
        <f>COUNTIF($H$6:$H$26,$AF9)</f>
        <v>7</v>
      </c>
      <c r="AH9">
        <f>SUMIF($H$6:$H$26,$AF9,$I$6:$I$26)</f>
        <v>453</v>
      </c>
      <c r="AI9">
        <f>AVERAGEIF($H$6:$H$26,$AF9,$I$6:$I$26)</f>
        <v>64.714285714285708</v>
      </c>
      <c r="AJ9">
        <f t="array" ref="AJ9">VAR(IF($H$6:$H$26=$AF9,$I$6:$I$26))</f>
        <v>3301.9047619047619</v>
      </c>
      <c r="AK9">
        <f>($AG9-1)*AJ9</f>
        <v>19811.428571428572</v>
      </c>
      <c r="AL9">
        <f>SQRT(AI$16/AG9)</f>
        <v>24.576226921665896</v>
      </c>
      <c r="AM9">
        <f>AI9-AL9*TINV(AL$7,AG9-1)</f>
        <v>-21.824082660912765</v>
      </c>
      <c r="AN9">
        <f>AI9+AL9*TINV(AL$7,AG9-1)</f>
        <v>151.25265408948417</v>
      </c>
      <c r="AP9" s="83">
        <f t="array" ref="AP9">MMULT(I9:L9-$AS$18:$AV$18,MMULT($AS$12:$AV$15,TRANSPOSE(I9:L9-$AS$18:$AV$18)))</f>
        <v>0.94196526382440404</v>
      </c>
      <c r="AQ9" s="84">
        <f t="shared" si="6"/>
        <v>0.91846452543257517</v>
      </c>
      <c r="AR9" s="70" t="str">
        <f t="shared" si="7"/>
        <v/>
      </c>
      <c r="AS9" s="85">
        <v>-577.64999999999986</v>
      </c>
      <c r="AT9" s="86">
        <v>-220.33571428571406</v>
      </c>
      <c r="AU9" s="86">
        <v>-2000.6428571428573</v>
      </c>
      <c r="AV9" s="87">
        <v>4867.1476190476196</v>
      </c>
      <c r="AX9" t="s">
        <v>65</v>
      </c>
      <c r="AY9" s="99">
        <f>[1]!BOXTEST(H6:L26)</f>
        <v>0.62501548687279063</v>
      </c>
      <c r="BA9" t="s">
        <v>168</v>
      </c>
      <c r="BB9" s="207">
        <f>AVERAGE(I$6:I$26)</f>
        <v>97</v>
      </c>
      <c r="BC9" s="208">
        <f>AVERAGE(J$6:J$26)</f>
        <v>150.71428571428572</v>
      </c>
      <c r="BD9" s="208">
        <f>AVERAGE(K$6:K$26)</f>
        <v>-17.142857142857142</v>
      </c>
      <c r="BE9" s="209">
        <f>AVERAGE(L$6:L$26)</f>
        <v>11.047619047619047</v>
      </c>
      <c r="BF9" s="210">
        <f>SUM(BF6:BF8)</f>
        <v>21</v>
      </c>
      <c r="BJ9" s="85">
        <v>-13505.142857142857</v>
      </c>
      <c r="BK9" s="86">
        <v>10518.857142857141</v>
      </c>
      <c r="BL9" s="86">
        <v>-6329.1428571428569</v>
      </c>
      <c r="BM9" s="87">
        <v>6953.1428571428569</v>
      </c>
      <c r="BO9" t="s">
        <v>55</v>
      </c>
      <c r="BP9" s="98">
        <f>BP7</f>
        <v>4</v>
      </c>
    </row>
    <row r="10" spans="1:68" ht="14.45" x14ac:dyDescent="0.35">
      <c r="A10" s="37" t="s">
        <v>287</v>
      </c>
      <c r="B10" s="257">
        <v>154</v>
      </c>
      <c r="C10" s="258">
        <v>167</v>
      </c>
      <c r="D10" s="258">
        <v>257</v>
      </c>
      <c r="E10" s="258">
        <v>275</v>
      </c>
      <c r="F10" s="259">
        <v>332</v>
      </c>
      <c r="H10" s="49" t="str">
        <f t="shared" si="0"/>
        <v>Young</v>
      </c>
      <c r="I10" s="83">
        <f t="shared" si="2"/>
        <v>13</v>
      </c>
      <c r="J10" s="37">
        <f t="shared" si="3"/>
        <v>90</v>
      </c>
      <c r="K10" s="37">
        <f t="shared" si="4"/>
        <v>18</v>
      </c>
      <c r="L10" s="84">
        <f t="shared" si="5"/>
        <v>57</v>
      </c>
      <c r="AF10" t="str">
        <v>Old</v>
      </c>
      <c r="AG10">
        <f>COUNTIF($H$6:$H$26,$AF10)</f>
        <v>7</v>
      </c>
      <c r="AH10">
        <f>SUMIF($H$6:$H$26,$AF10,$I$6:$I$26)</f>
        <v>1059</v>
      </c>
      <c r="AI10">
        <f>AVERAGEIF($H$6:$H$26,$AF10,$I$6:$I$26)</f>
        <v>151.28571428571428</v>
      </c>
      <c r="AJ10">
        <f t="array" ref="AJ10">VAR(IF($H$6:$H$26=$AF10,$I$6:$I$26))</f>
        <v>4975.9047619047633</v>
      </c>
      <c r="AK10">
        <f>($AG10-1)*AJ10</f>
        <v>29855.42857142858</v>
      </c>
      <c r="AL10">
        <f>SQRT(AI$16/AG10)</f>
        <v>24.576226921665896</v>
      </c>
      <c r="AM10">
        <f>AI10-AL10*TINV(AL$7,AG10-1)</f>
        <v>64.747345910515804</v>
      </c>
      <c r="AN10">
        <f>AI10+AL10*TINV(AL$7,AG10-1)</f>
        <v>237.82408266091275</v>
      </c>
      <c r="AP10" s="83">
        <f t="array" ref="AP10">MMULT(I10:L10-$AS$18:$AV$18,MMULT($AS$12:$AV$15,TRANSPOSE(I10:L10-$AS$18:$AV$18)))</f>
        <v>3.4228185607876669</v>
      </c>
      <c r="AQ10" s="84">
        <f t="shared" si="6"/>
        <v>0.48971056258479317</v>
      </c>
      <c r="AR10" s="70" t="str">
        <f t="shared" si="7"/>
        <v/>
      </c>
      <c r="BO10" t="s">
        <v>56</v>
      </c>
      <c r="BP10" s="98">
        <f>BP6-BP7-BP8+1</f>
        <v>15</v>
      </c>
    </row>
    <row r="11" spans="1:68" ht="14.45" x14ac:dyDescent="0.35">
      <c r="A11" s="37" t="s">
        <v>287</v>
      </c>
      <c r="B11" s="257">
        <v>103</v>
      </c>
      <c r="C11" s="258">
        <v>286</v>
      </c>
      <c r="D11" s="258">
        <v>401</v>
      </c>
      <c r="E11" s="258">
        <v>291</v>
      </c>
      <c r="F11" s="259">
        <v>367</v>
      </c>
      <c r="H11" s="49" t="str">
        <f t="shared" si="0"/>
        <v>Young</v>
      </c>
      <c r="I11" s="83">
        <f t="shared" si="2"/>
        <v>183</v>
      </c>
      <c r="J11" s="37">
        <f t="shared" si="3"/>
        <v>115</v>
      </c>
      <c r="K11" s="37">
        <f t="shared" si="4"/>
        <v>-110</v>
      </c>
      <c r="L11" s="84">
        <f t="shared" si="5"/>
        <v>76</v>
      </c>
      <c r="V11" t="s">
        <v>155</v>
      </c>
      <c r="AA11" t="s">
        <v>288</v>
      </c>
      <c r="AF11" t="str">
        <v>Young</v>
      </c>
      <c r="AG11">
        <f>COUNTIF($H$6:$H$26,$AF11)</f>
        <v>7</v>
      </c>
      <c r="AH11">
        <f>SUMIF($H$6:$H$26,$AF11,$I$6:$I$26)</f>
        <v>525</v>
      </c>
      <c r="AI11">
        <f>AVERAGEIF($H$6:$H$26,$AF11,$I$6:$I$26)</f>
        <v>75</v>
      </c>
      <c r="AJ11">
        <f t="array" ref="AJ11">VAR(IF($H$6:$H$26=$AF11,$I$6:$I$26))</f>
        <v>4406</v>
      </c>
      <c r="AK11">
        <f>($AG11-1)*AJ11</f>
        <v>26436</v>
      </c>
      <c r="AL11">
        <f>SQRT(AI$16/AG11)</f>
        <v>24.576226921665896</v>
      </c>
      <c r="AM11">
        <f>AI11-AL11*TINV(AL$7,AG11-1)</f>
        <v>-11.538368375198473</v>
      </c>
      <c r="AN11">
        <f>AI11+AL11*TINV(AL$7,AG11-1)</f>
        <v>161.53836837519847</v>
      </c>
      <c r="AP11" s="83">
        <f t="array" ref="AP11">MMULT(I11:L11-$AS$18:$AV$18,MMULT($AS$12:$AV$15,TRANSPOSE(I11:L11-$AS$18:$AV$18)))</f>
        <v>7.823618420070801</v>
      </c>
      <c r="AQ11" s="84">
        <f t="shared" si="6"/>
        <v>9.8257188889563862E-2</v>
      </c>
      <c r="AR11" s="70" t="str">
        <f t="shared" si="7"/>
        <v/>
      </c>
      <c r="AS11" t="s">
        <v>229</v>
      </c>
      <c r="BA11" t="s">
        <v>217</v>
      </c>
      <c r="BF11" s="210">
        <f>SUMPRODUCT(BH6:BH8^2/BF6:BF8)</f>
        <v>0.2857142857142857</v>
      </c>
      <c r="BJ11" t="s">
        <v>156</v>
      </c>
      <c r="BO11" t="s">
        <v>54</v>
      </c>
      <c r="BP11" s="98">
        <f>(1-BP5)/BP5*(BP10/BP9)</f>
        <v>2.6174662678930574</v>
      </c>
    </row>
    <row r="12" spans="1:68" ht="14.45" x14ac:dyDescent="0.35">
      <c r="A12" s="37" t="s">
        <v>287</v>
      </c>
      <c r="B12" s="260">
        <v>230</v>
      </c>
      <c r="C12" s="258">
        <v>306</v>
      </c>
      <c r="D12" s="261">
        <v>432</v>
      </c>
      <c r="E12" s="261">
        <v>386</v>
      </c>
      <c r="F12" s="262">
        <v>423</v>
      </c>
      <c r="H12" s="49" t="str">
        <f t="shared" si="0"/>
        <v>Young</v>
      </c>
      <c r="I12" s="83">
        <f t="shared" si="2"/>
        <v>76</v>
      </c>
      <c r="J12" s="37">
        <f t="shared" si="3"/>
        <v>126</v>
      </c>
      <c r="K12" s="37">
        <f t="shared" si="4"/>
        <v>-46</v>
      </c>
      <c r="L12" s="84">
        <f t="shared" si="5"/>
        <v>37</v>
      </c>
      <c r="V12" s="203">
        <f t="array" ref="V12:Y15">V6:Y9-V18:Y21</f>
        <v>31313.142857142841</v>
      </c>
      <c r="W12" s="264">
        <v>-14028.857142857136</v>
      </c>
      <c r="X12" s="264">
        <v>13019.142857142855</v>
      </c>
      <c r="Y12" s="205">
        <v>-15837.142857142851</v>
      </c>
      <c r="AA12" s="203">
        <f t="array" ref="AA12:AD15">[1]!ExtractCov(H6:L26,AA11)</f>
        <v>4975.9047619047624</v>
      </c>
      <c r="AB12" s="264">
        <v>-2733.9523809523816</v>
      </c>
      <c r="AC12" s="264">
        <v>1339.0952380952383</v>
      </c>
      <c r="AD12" s="205">
        <v>-684.07142857142856</v>
      </c>
      <c r="AF12" s="218"/>
      <c r="AG12" s="218"/>
      <c r="AH12" s="218"/>
      <c r="AI12" s="218"/>
      <c r="AJ12" s="218"/>
      <c r="AK12" s="218"/>
      <c r="AL12" s="218"/>
      <c r="AM12" s="218"/>
      <c r="AN12" s="218"/>
      <c r="AP12" s="83">
        <f t="array" ref="AP12">MMULT(I12:L12-$AS$18:$AV$18,MMULT($AS$12:$AV$15,TRANSPOSE(I12:L12-$AS$18:$AV$18)))</f>
        <v>1.2296546186066508</v>
      </c>
      <c r="AQ12" s="84">
        <f t="shared" si="6"/>
        <v>0.87319246146672946</v>
      </c>
      <c r="AR12" s="70" t="str">
        <f t="shared" si="7"/>
        <v/>
      </c>
      <c r="AS12" s="203">
        <f t="array" ref="AS12:AV15">MINVERSE(AS6:AV9)</f>
        <v>2.0334661890782221E-4</v>
      </c>
      <c r="AT12" s="264">
        <v>7.9335676091656305E-5</v>
      </c>
      <c r="AU12" s="264">
        <v>5.8116388010546555E-5</v>
      </c>
      <c r="AV12" s="205">
        <v>5.1614171890988928E-5</v>
      </c>
      <c r="BA12" t="s">
        <v>48</v>
      </c>
      <c r="BB12" s="203">
        <f>SUMPRODUCT(BB6:BB8,$BH6:$BH8)</f>
        <v>-86.571428571428569</v>
      </c>
      <c r="BC12" s="264">
        <f>SUMPRODUCT(BC6:BC8,$BH6:$BH8)</f>
        <v>67.428571428571416</v>
      </c>
      <c r="BD12" s="264">
        <f>SUMPRODUCT(BD6:BD8,$BH6:$BH8)</f>
        <v>-40.571428571428569</v>
      </c>
      <c r="BE12" s="205">
        <f>SUMPRODUCT(BE6:BE8,$BH6:$BH8)</f>
        <v>44.571428571428569</v>
      </c>
      <c r="BJ12" s="203">
        <f t="array" ref="BJ12:BM15">$V$18:$Y$21</f>
        <v>76102.857142857145</v>
      </c>
      <c r="BK12" s="264">
        <v>-7973.1428571428605</v>
      </c>
      <c r="BL12" s="264">
        <v>-4430.142857142856</v>
      </c>
      <c r="BM12" s="205">
        <v>4284.142857142856</v>
      </c>
      <c r="BO12" t="s">
        <v>65</v>
      </c>
      <c r="BP12" s="98">
        <f>FDIST(BP11,BP9,BP10)</f>
        <v>7.6995551905708629E-2</v>
      </c>
    </row>
    <row r="13" spans="1:68" thickBot="1" x14ac:dyDescent="0.4">
      <c r="A13" s="223" t="s">
        <v>290</v>
      </c>
      <c r="B13" s="254">
        <v>54</v>
      </c>
      <c r="C13" s="255">
        <v>172</v>
      </c>
      <c r="D13" s="255">
        <v>307</v>
      </c>
      <c r="E13" s="255">
        <v>261</v>
      </c>
      <c r="F13" s="256">
        <v>360</v>
      </c>
      <c r="H13" s="223" t="str">
        <f t="shared" si="0"/>
        <v>Middle</v>
      </c>
      <c r="I13" s="217">
        <f t="shared" si="2"/>
        <v>118</v>
      </c>
      <c r="J13" s="218">
        <f t="shared" si="3"/>
        <v>135</v>
      </c>
      <c r="K13" s="218">
        <f t="shared" si="4"/>
        <v>-46</v>
      </c>
      <c r="L13" s="219">
        <f t="shared" si="5"/>
        <v>99</v>
      </c>
      <c r="V13" s="83">
        <v>-14028.857142857136</v>
      </c>
      <c r="W13" s="37">
        <v>23978.000000000007</v>
      </c>
      <c r="X13" s="37">
        <v>-8660.285714285721</v>
      </c>
      <c r="Y13" s="84">
        <v>7581.1428571428569</v>
      </c>
      <c r="AA13" s="83">
        <v>-2733.9523809523816</v>
      </c>
      <c r="AB13" s="37">
        <v>4115.4761904761908</v>
      </c>
      <c r="AC13" s="37">
        <v>-2664.7142857142858</v>
      </c>
      <c r="AD13" s="84">
        <v>684.11904761904771</v>
      </c>
      <c r="AF13" t="s">
        <v>183</v>
      </c>
      <c r="AP13" s="83">
        <f t="array" ref="AP13">MMULT(I13:L13-$AS$18:$AV$18,MMULT($AS$12:$AV$15,TRANSPOSE(I13:L13-$AS$18:$AV$18)))</f>
        <v>1.7952954082743398</v>
      </c>
      <c r="AQ13" s="84">
        <f t="shared" si="6"/>
        <v>0.77334297496806248</v>
      </c>
      <c r="AR13" s="70" t="str">
        <f t="shared" si="7"/>
        <v/>
      </c>
      <c r="AS13" s="83">
        <v>7.9335676091656318E-5</v>
      </c>
      <c r="AT13" s="37">
        <v>4.469183582042315E-4</v>
      </c>
      <c r="AU13" s="37">
        <v>4.3063538750646633E-4</v>
      </c>
      <c r="AV13" s="84">
        <v>2.066606603605031E-4</v>
      </c>
      <c r="BA13" t="s">
        <v>219</v>
      </c>
      <c r="BB13" s="85">
        <f t="array" ref="BB13:BE13">SQRT([1]!DIAG(BJ12:BM15)*BF11/(BP6-BP8))</f>
        <v>34.756033424578689</v>
      </c>
      <c r="BC13" s="86">
        <v>31.482997606994083</v>
      </c>
      <c r="BD13" s="86">
        <v>28.23813538903433</v>
      </c>
      <c r="BE13" s="87">
        <v>37.653329768167715</v>
      </c>
      <c r="BJ13" s="83">
        <v>-7973.1428571428605</v>
      </c>
      <c r="BK13" s="37">
        <v>62444.285714285703</v>
      </c>
      <c r="BL13" s="37">
        <v>-28418.571428571424</v>
      </c>
      <c r="BM13" s="84">
        <v>-11987.857142857138</v>
      </c>
      <c r="BO13" t="s">
        <v>226</v>
      </c>
      <c r="BP13" s="99">
        <f>(BP6-BP8)*(1-BP5)*BF11/BP5</f>
        <v>3.5896680245390491</v>
      </c>
    </row>
    <row r="14" spans="1:68" thickTop="1" x14ac:dyDescent="0.35">
      <c r="A14" s="49" t="s">
        <v>290</v>
      </c>
      <c r="B14" s="257">
        <v>20</v>
      </c>
      <c r="C14" s="258">
        <v>116</v>
      </c>
      <c r="D14" s="258">
        <v>425</v>
      </c>
      <c r="E14" s="258">
        <v>398</v>
      </c>
      <c r="F14" s="259">
        <v>268</v>
      </c>
      <c r="H14" s="49" t="str">
        <f t="shared" si="0"/>
        <v>Middle</v>
      </c>
      <c r="I14" s="36">
        <f t="shared" si="2"/>
        <v>96</v>
      </c>
      <c r="J14" s="37">
        <f t="shared" si="3"/>
        <v>309</v>
      </c>
      <c r="K14" s="37">
        <f t="shared" si="4"/>
        <v>-27</v>
      </c>
      <c r="L14" s="38">
        <f t="shared" si="5"/>
        <v>-130</v>
      </c>
      <c r="V14" s="83">
        <v>13019.142857142855</v>
      </c>
      <c r="W14" s="37">
        <v>-8660.285714285721</v>
      </c>
      <c r="X14" s="37">
        <v>5864.8571428571449</v>
      </c>
      <c r="Y14" s="84">
        <v>-6662.2857142857101</v>
      </c>
      <c r="AA14" s="83">
        <v>1339.0952380952383</v>
      </c>
      <c r="AB14" s="37">
        <v>-2664.7142857142858</v>
      </c>
      <c r="AC14" s="37">
        <v>3305.571428571428</v>
      </c>
      <c r="AD14" s="84">
        <v>-871.7619047619047</v>
      </c>
      <c r="AF14" s="94" t="s">
        <v>184</v>
      </c>
      <c r="AG14" s="94" t="s">
        <v>179</v>
      </c>
      <c r="AH14" s="94" t="s">
        <v>62</v>
      </c>
      <c r="AI14" s="94" t="s">
        <v>185</v>
      </c>
      <c r="AJ14" s="94" t="s">
        <v>54</v>
      </c>
      <c r="AK14" s="94" t="s">
        <v>186</v>
      </c>
      <c r="AL14" s="94" t="s">
        <v>187</v>
      </c>
      <c r="AM14" s="94" t="s">
        <v>188</v>
      </c>
      <c r="AN14" s="94" t="s">
        <v>189</v>
      </c>
      <c r="AP14" s="83">
        <f t="array" ref="AP14">MMULT(I14:L14-$AS$18:$AV$18,MMULT($AS$12:$AV$15,TRANSPOSE(I14:L14-$AS$18:$AV$18)))</f>
        <v>9.5396822048202274</v>
      </c>
      <c r="AQ14" s="84">
        <f t="shared" si="6"/>
        <v>4.8938221558646341E-2</v>
      </c>
      <c r="AR14" s="70" t="str">
        <f t="shared" si="7"/>
        <v/>
      </c>
      <c r="AS14" s="83">
        <v>5.8116388010546562E-5</v>
      </c>
      <c r="AT14" s="37">
        <v>4.3063538750646633E-4</v>
      </c>
      <c r="AU14" s="37">
        <v>9.2109268379435348E-4</v>
      </c>
      <c r="AV14" s="84">
        <v>4.050078074728035E-4</v>
      </c>
      <c r="BJ14" s="83">
        <v>-4430.142857142856</v>
      </c>
      <c r="BK14" s="37">
        <v>-28418.571428571424</v>
      </c>
      <c r="BL14" s="37">
        <v>50235.714285714275</v>
      </c>
      <c r="BM14" s="84">
        <v>-33350.571428571428</v>
      </c>
    </row>
    <row r="15" spans="1:68" ht="14.45" x14ac:dyDescent="0.35">
      <c r="A15" s="49" t="s">
        <v>290</v>
      </c>
      <c r="B15" s="257">
        <v>41</v>
      </c>
      <c r="C15" s="258">
        <v>168</v>
      </c>
      <c r="D15" s="258">
        <v>378</v>
      </c>
      <c r="E15" s="258">
        <v>317</v>
      </c>
      <c r="F15" s="259">
        <v>470</v>
      </c>
      <c r="H15" s="49" t="str">
        <f t="shared" si="0"/>
        <v>Middle</v>
      </c>
      <c r="I15" s="36">
        <f t="shared" si="2"/>
        <v>127</v>
      </c>
      <c r="J15" s="37">
        <f t="shared" si="3"/>
        <v>210</v>
      </c>
      <c r="K15" s="37">
        <f t="shared" si="4"/>
        <v>-61</v>
      </c>
      <c r="L15" s="38">
        <f t="shared" si="5"/>
        <v>153</v>
      </c>
      <c r="V15" s="85">
        <v>-15837.142857142851</v>
      </c>
      <c r="W15" s="86">
        <v>7581.1428571428569</v>
      </c>
      <c r="X15" s="86">
        <v>-6662.2857142857101</v>
      </c>
      <c r="Y15" s="87">
        <v>8023.2380952381063</v>
      </c>
      <c r="AA15" s="85">
        <v>-684.07142857142856</v>
      </c>
      <c r="AB15" s="86">
        <v>684.11904761904771</v>
      </c>
      <c r="AC15" s="86">
        <v>-871.7619047619047</v>
      </c>
      <c r="AD15" s="87">
        <v>1834.9047619047617</v>
      </c>
      <c r="AF15" t="s">
        <v>190</v>
      </c>
      <c r="AG15">
        <f>AG17-AG16</f>
        <v>31313.142857142841</v>
      </c>
      <c r="AH15">
        <f>[1]!COUNTAU(H6:H26)-1</f>
        <v>2</v>
      </c>
      <c r="AI15">
        <f>AG15/AH15</f>
        <v>15656.57142857142</v>
      </c>
      <c r="AJ15">
        <f>AI15/AI16</f>
        <v>3.703123592130948</v>
      </c>
      <c r="AK15">
        <f>FDIST(AJ15,AH15,AH16)</f>
        <v>4.4976729633925912E-2</v>
      </c>
      <c r="AL15">
        <f>FINV(AL7,AH15,AH16)</f>
        <v>5.6452554894323166</v>
      </c>
      <c r="AM15">
        <f>SQRT(DEVSQ(AI9:AI11)/(AI16*AH15))</f>
        <v>0.72733599939691362</v>
      </c>
      <c r="AN15">
        <f>(AG17-AH17*AI16)/(AG17+AI16)</f>
        <v>0.20473364301020461</v>
      </c>
      <c r="AP15" s="83">
        <f t="array" ref="AP15">MMULT(I15:L15-$AS$18:$AV$18,MMULT($AS$12:$AV$15,TRANSPOSE(I15:L15-$AS$18:$AV$18)))</f>
        <v>8.0972390905892624</v>
      </c>
      <c r="AQ15" s="84">
        <f t="shared" si="6"/>
        <v>8.8080448312840134E-2</v>
      </c>
      <c r="AR15" s="70" t="str">
        <f t="shared" si="7"/>
        <v/>
      </c>
      <c r="AS15" s="85">
        <v>5.1614171890988941E-5</v>
      </c>
      <c r="AT15" s="86">
        <v>2.066606603605031E-4</v>
      </c>
      <c r="AU15" s="86">
        <v>4.050078074728035E-4</v>
      </c>
      <c r="AV15" s="87">
        <v>3.8741903375526601E-4</v>
      </c>
      <c r="BA15" t="s">
        <v>69</v>
      </c>
      <c r="BJ15" s="85">
        <v>4284.142857142856</v>
      </c>
      <c r="BK15" s="86">
        <v>-11987.857142857138</v>
      </c>
      <c r="BL15" s="86">
        <v>-33350.571428571428</v>
      </c>
      <c r="BM15" s="87">
        <v>89319.714285714261</v>
      </c>
    </row>
    <row r="16" spans="1:68" ht="14.45" x14ac:dyDescent="0.35">
      <c r="A16" s="49" t="s">
        <v>290</v>
      </c>
      <c r="B16" s="257">
        <v>200</v>
      </c>
      <c r="C16" s="258">
        <v>157</v>
      </c>
      <c r="D16" s="258">
        <v>283</v>
      </c>
      <c r="E16" s="258">
        <v>259</v>
      </c>
      <c r="F16" s="259">
        <v>273</v>
      </c>
      <c r="H16" s="49" t="str">
        <f t="shared" si="0"/>
        <v>Middle</v>
      </c>
      <c r="I16" s="36">
        <f t="shared" si="2"/>
        <v>-43</v>
      </c>
      <c r="J16" s="37">
        <f t="shared" si="3"/>
        <v>126</v>
      </c>
      <c r="K16" s="37">
        <f t="shared" si="4"/>
        <v>-24</v>
      </c>
      <c r="L16" s="38">
        <f t="shared" si="5"/>
        <v>14</v>
      </c>
      <c r="AF16" t="s">
        <v>191</v>
      </c>
      <c r="AG16">
        <f>SUM(AK9:AK11)</f>
        <v>76102.857142857159</v>
      </c>
      <c r="AH16">
        <f>AH17-AH15</f>
        <v>18</v>
      </c>
      <c r="AI16">
        <f>AG16/AH16</f>
        <v>4227.9365079365089</v>
      </c>
      <c r="AP16" s="83">
        <f t="array" ref="AP16">MMULT(I16:L16-$AS$18:$AV$18,MMULT($AS$12:$AV$15,TRANSPOSE(I16:L16-$AS$18:$AV$18)))</f>
        <v>5.0225773299318117</v>
      </c>
      <c r="AQ16" s="84">
        <f t="shared" si="6"/>
        <v>0.28498875550735869</v>
      </c>
      <c r="AR16" s="70" t="str">
        <f t="shared" si="7"/>
        <v/>
      </c>
      <c r="BG16" t="s">
        <v>175</v>
      </c>
      <c r="BH16" s="206">
        <v>0.05</v>
      </c>
    </row>
    <row r="17" spans="1:60" ht="14.45" x14ac:dyDescent="0.35">
      <c r="A17" s="49" t="s">
        <v>290</v>
      </c>
      <c r="B17" s="257">
        <v>34</v>
      </c>
      <c r="C17" s="258">
        <v>86</v>
      </c>
      <c r="D17" s="258">
        <v>351</v>
      </c>
      <c r="E17" s="258">
        <v>280</v>
      </c>
      <c r="F17" s="259">
        <v>320</v>
      </c>
      <c r="H17" s="49" t="str">
        <f t="shared" si="0"/>
        <v>Middle</v>
      </c>
      <c r="I17" s="36">
        <f t="shared" si="2"/>
        <v>52</v>
      </c>
      <c r="J17" s="37">
        <f t="shared" si="3"/>
        <v>265</v>
      </c>
      <c r="K17" s="37">
        <f t="shared" si="4"/>
        <v>-71</v>
      </c>
      <c r="L17" s="38">
        <f t="shared" si="5"/>
        <v>40</v>
      </c>
      <c r="V17" t="s">
        <v>156</v>
      </c>
      <c r="AA17" t="s">
        <v>287</v>
      </c>
      <c r="AF17" s="40" t="s">
        <v>168</v>
      </c>
      <c r="AG17" s="40">
        <f>DEVSQ(I6:I26)</f>
        <v>107416</v>
      </c>
      <c r="AH17" s="40">
        <f>COUNT(I6:I26)-1</f>
        <v>20</v>
      </c>
      <c r="AI17" s="40">
        <f>AG17/AH17</f>
        <v>5370.8</v>
      </c>
      <c r="AJ17" s="40"/>
      <c r="AK17" s="40"/>
      <c r="AL17" s="40"/>
      <c r="AM17" s="40"/>
      <c r="AN17" s="40"/>
      <c r="AP17" s="83">
        <f t="array" ref="AP17">MMULT(I17:L17-$AS$18:$AV$18,MMULT($AS$12:$AV$15,TRANSPOSE(I17:L17-$AS$18:$AV$18)))</f>
        <v>3.3800794412764534</v>
      </c>
      <c r="AQ17" s="84">
        <f t="shared" si="6"/>
        <v>0.49634513323737217</v>
      </c>
      <c r="AR17" s="70" t="str">
        <f t="shared" si="7"/>
        <v/>
      </c>
      <c r="AS17" t="s">
        <v>230</v>
      </c>
      <c r="BA17" t="s">
        <v>66</v>
      </c>
      <c r="BB17" s="203">
        <f>BB12-BB13*$BH18</f>
        <v>-219.67717986688848</v>
      </c>
      <c r="BC17" s="264">
        <f>BC12-BC13*$BH18</f>
        <v>-53.142380909983956</v>
      </c>
      <c r="BD17" s="264">
        <f>BD12-BD13*$BH18</f>
        <v>-148.715478849683</v>
      </c>
      <c r="BE17" s="205">
        <f>BE12-BE13*$BH18</f>
        <v>-99.630146054270355</v>
      </c>
      <c r="BG17" t="s">
        <v>58</v>
      </c>
      <c r="BH17" s="98">
        <f>FINV(BH16,BP9,BP10)</f>
        <v>3.055568275906595</v>
      </c>
    </row>
    <row r="18" spans="1:60" ht="14.45" x14ac:dyDescent="0.35">
      <c r="A18" s="49" t="s">
        <v>290</v>
      </c>
      <c r="B18" s="257">
        <v>29</v>
      </c>
      <c r="C18" s="258">
        <v>81</v>
      </c>
      <c r="D18" s="258">
        <v>193</v>
      </c>
      <c r="E18" s="258">
        <v>240</v>
      </c>
      <c r="F18" s="259">
        <v>233</v>
      </c>
      <c r="H18" s="49" t="str">
        <f t="shared" si="0"/>
        <v>Middle</v>
      </c>
      <c r="I18" s="36">
        <f t="shared" si="2"/>
        <v>52</v>
      </c>
      <c r="J18" s="37">
        <f t="shared" si="3"/>
        <v>112</v>
      </c>
      <c r="K18" s="37">
        <f t="shared" si="4"/>
        <v>47</v>
      </c>
      <c r="L18" s="38">
        <f t="shared" si="5"/>
        <v>-7</v>
      </c>
      <c r="V18" s="203">
        <f t="array" ref="V18:Y21">[1]!COVPooled(H6:L26)*(COUNT(I6:I26)-[1]!COUNTAU(H6:H26))</f>
        <v>76102.857142857145</v>
      </c>
      <c r="W18" s="264">
        <v>-7973.1428571428605</v>
      </c>
      <c r="X18" s="264">
        <v>-4430.142857142856</v>
      </c>
      <c r="Y18" s="205">
        <v>4284.142857142856</v>
      </c>
      <c r="AA18" s="203">
        <f t="array" ref="AA18:AD21">[1]!ExtractCov(H6:L26,AA17)</f>
        <v>4406</v>
      </c>
      <c r="AB18" s="264">
        <v>3.833333333333333</v>
      </c>
      <c r="AC18" s="264">
        <v>-1534.3333333333335</v>
      </c>
      <c r="AD18" s="205">
        <v>-4.0000000000000426</v>
      </c>
      <c r="AP18" s="83">
        <f t="array" ref="AP18">MMULT(I18:L18-$AS$18:$AV$18,MMULT($AS$12:$AV$15,TRANSPOSE(I18:L18-$AS$18:$AV$18)))</f>
        <v>2.2345757093984306</v>
      </c>
      <c r="AQ18" s="84">
        <f t="shared" si="6"/>
        <v>0.69270441604351518</v>
      </c>
      <c r="AR18" s="70" t="str">
        <f t="shared" si="7"/>
        <v/>
      </c>
      <c r="AS18" s="207">
        <f>AVERAGE(I6:I26)</f>
        <v>97</v>
      </c>
      <c r="AT18" s="208">
        <f>AVERAGE(J6:J26)</f>
        <v>150.71428571428572</v>
      </c>
      <c r="AU18" s="208">
        <f>AVERAGE(K6:K26)</f>
        <v>-17.142857142857142</v>
      </c>
      <c r="AV18" s="209">
        <f>AVERAGE(L6:L26)</f>
        <v>11.047619047619047</v>
      </c>
      <c r="BA18" t="s">
        <v>67</v>
      </c>
      <c r="BB18" s="85">
        <f>BB12+BB13*$BH18</f>
        <v>46.534322724031355</v>
      </c>
      <c r="BC18" s="86">
        <f>BC12+BC13*$BH18</f>
        <v>187.99952376712679</v>
      </c>
      <c r="BD18" s="86">
        <f>BD12+BD13*$BH18</f>
        <v>67.572621706825856</v>
      </c>
      <c r="BE18" s="87">
        <f>BE12+BE13*$BH18</f>
        <v>188.77300319712748</v>
      </c>
      <c r="BG18" t="s">
        <v>113</v>
      </c>
      <c r="BH18" s="99">
        <f>SQRT(BP9*(BP6-BP8)*BH17/BP10)</f>
        <v>3.8297164026010666</v>
      </c>
    </row>
    <row r="19" spans="1:60" ht="14.45" x14ac:dyDescent="0.35">
      <c r="A19" s="52" t="s">
        <v>290</v>
      </c>
      <c r="B19" s="260">
        <v>3</v>
      </c>
      <c r="C19" s="261">
        <v>54</v>
      </c>
      <c r="D19" s="261">
        <v>285</v>
      </c>
      <c r="E19" s="261">
        <v>216</v>
      </c>
      <c r="F19" s="262">
        <v>245</v>
      </c>
      <c r="H19" s="52" t="str">
        <f t="shared" si="0"/>
        <v>Middle</v>
      </c>
      <c r="I19" s="39">
        <f t="shared" si="2"/>
        <v>51</v>
      </c>
      <c r="J19" s="40">
        <f t="shared" si="3"/>
        <v>231</v>
      </c>
      <c r="K19" s="40">
        <f t="shared" si="4"/>
        <v>-69</v>
      </c>
      <c r="L19" s="41">
        <f t="shared" si="5"/>
        <v>29</v>
      </c>
      <c r="V19" s="83">
        <v>-7973.1428571428605</v>
      </c>
      <c r="W19" s="37">
        <v>62444.285714285703</v>
      </c>
      <c r="X19" s="37">
        <v>-28418.571428571424</v>
      </c>
      <c r="Y19" s="84">
        <v>-11987.857142857138</v>
      </c>
      <c r="AA19" s="83">
        <v>3.833333333333333</v>
      </c>
      <c r="AB19" s="37">
        <v>526.66666666666663</v>
      </c>
      <c r="AC19" s="37">
        <v>-387.16666666666663</v>
      </c>
      <c r="AD19" s="84">
        <v>-72.666666666666643</v>
      </c>
      <c r="AF19" t="s">
        <v>173</v>
      </c>
      <c r="AI19" t="str">
        <f>J5</f>
        <v>Diff  2</v>
      </c>
      <c r="AP19" s="83">
        <f t="array" ref="AP19">MMULT(I19:L19-$AS$18:$AV$18,MMULT($AS$12:$AV$15,TRANSPOSE(I19:L19-$AS$18:$AV$18)))</f>
        <v>1.7747096463206657</v>
      </c>
      <c r="AQ19" s="84">
        <f t="shared" si="6"/>
        <v>0.77710598206702552</v>
      </c>
      <c r="AR19" s="70" t="str">
        <f t="shared" si="7"/>
        <v/>
      </c>
    </row>
    <row r="20" spans="1:60" ht="14.45" x14ac:dyDescent="0.35">
      <c r="A20" s="223" t="s">
        <v>288</v>
      </c>
      <c r="B20" s="257">
        <v>118</v>
      </c>
      <c r="C20" s="258">
        <v>124</v>
      </c>
      <c r="D20" s="258">
        <v>365</v>
      </c>
      <c r="E20" s="258">
        <v>311</v>
      </c>
      <c r="F20" s="259">
        <v>331</v>
      </c>
      <c r="H20" s="49" t="str">
        <f t="shared" si="0"/>
        <v>Old</v>
      </c>
      <c r="I20" s="83">
        <f t="shared" si="2"/>
        <v>6</v>
      </c>
      <c r="J20" s="37">
        <f t="shared" si="3"/>
        <v>241</v>
      </c>
      <c r="K20" s="37">
        <f t="shared" si="4"/>
        <v>-54</v>
      </c>
      <c r="L20" s="84">
        <f t="shared" si="5"/>
        <v>20</v>
      </c>
      <c r="V20" s="83">
        <v>-4430.142857142856</v>
      </c>
      <c r="W20" s="37">
        <v>-28418.571428571424</v>
      </c>
      <c r="X20" s="37">
        <v>50235.714285714275</v>
      </c>
      <c r="Y20" s="84">
        <v>-33350.571428571428</v>
      </c>
      <c r="AA20" s="83">
        <v>-1534.3333333333335</v>
      </c>
      <c r="AB20" s="37">
        <v>-387.16666666666663</v>
      </c>
      <c r="AC20" s="37">
        <v>3374.9047619047619</v>
      </c>
      <c r="AD20" s="84">
        <v>-3222.7857142857142</v>
      </c>
      <c r="AP20" s="83">
        <f t="array" ref="AP20">MMULT(I20:L20-$AS$18:$AV$18,MMULT($AS$12:$AV$15,TRANSPOSE(I20:L20-$AS$18:$AV$18)))</f>
        <v>2.812160378648354</v>
      </c>
      <c r="AQ20" s="84">
        <f t="shared" si="6"/>
        <v>0.58973544353575758</v>
      </c>
      <c r="AR20" s="70" t="str">
        <f t="shared" si="7"/>
        <v/>
      </c>
      <c r="BA20" t="s">
        <v>221</v>
      </c>
    </row>
    <row r="21" spans="1:60" thickBot="1" x14ac:dyDescent="0.4">
      <c r="A21" s="49" t="s">
        <v>288</v>
      </c>
      <c r="B21" s="257">
        <v>83</v>
      </c>
      <c r="C21" s="258">
        <v>266</v>
      </c>
      <c r="D21" s="258">
        <v>382</v>
      </c>
      <c r="E21" s="258">
        <v>369</v>
      </c>
      <c r="F21" s="259">
        <v>295</v>
      </c>
      <c r="H21" s="49" t="str">
        <f t="shared" si="0"/>
        <v>Old</v>
      </c>
      <c r="I21" s="83">
        <f t="shared" si="2"/>
        <v>183</v>
      </c>
      <c r="J21" s="37">
        <f t="shared" si="3"/>
        <v>116</v>
      </c>
      <c r="K21" s="37">
        <f t="shared" si="4"/>
        <v>-13</v>
      </c>
      <c r="L21" s="84">
        <f t="shared" si="5"/>
        <v>-74</v>
      </c>
      <c r="V21" s="85">
        <v>4284.142857142856</v>
      </c>
      <c r="W21" s="86">
        <v>-11987.857142857138</v>
      </c>
      <c r="X21" s="86">
        <v>-33350.571428571428</v>
      </c>
      <c r="Y21" s="87">
        <v>89319.714285714261</v>
      </c>
      <c r="AA21" s="85">
        <v>-4.0000000000000426</v>
      </c>
      <c r="AB21" s="86">
        <v>-72.666666666666643</v>
      </c>
      <c r="AC21" s="86">
        <v>-3222.7857142857142</v>
      </c>
      <c r="AD21" s="87">
        <v>5185.8095238095229</v>
      </c>
      <c r="AF21" t="s">
        <v>174</v>
      </c>
      <c r="AK21" t="s">
        <v>175</v>
      </c>
      <c r="AL21" s="122">
        <v>1.2500000000000001E-2</v>
      </c>
      <c r="AP21" s="83">
        <f t="array" ref="AP21">MMULT(I21:L21-$AS$18:$AV$18,MMULT($AS$12:$AV$15,TRANSPOSE(I21:L21-$AS$18:$AV$18)))</f>
        <v>4.4842720147812392</v>
      </c>
      <c r="AQ21" s="84">
        <f t="shared" si="6"/>
        <v>0.34441648791271079</v>
      </c>
      <c r="AR21" s="70" t="str">
        <f t="shared" si="7"/>
        <v/>
      </c>
      <c r="BG21" t="s">
        <v>175</v>
      </c>
      <c r="BH21" s="206">
        <f>BH16/BP7</f>
        <v>1.2500000000000001E-2</v>
      </c>
    </row>
    <row r="22" spans="1:60" thickTop="1" x14ac:dyDescent="0.35">
      <c r="A22" s="49" t="s">
        <v>288</v>
      </c>
      <c r="B22" s="257">
        <v>38</v>
      </c>
      <c r="C22" s="258">
        <v>207</v>
      </c>
      <c r="D22" s="258">
        <v>289</v>
      </c>
      <c r="E22" s="258">
        <v>385</v>
      </c>
      <c r="F22" s="259">
        <v>373</v>
      </c>
      <c r="H22" s="49" t="str">
        <f t="shared" si="0"/>
        <v>Old</v>
      </c>
      <c r="I22" s="83">
        <f t="shared" si="2"/>
        <v>169</v>
      </c>
      <c r="J22" s="37">
        <f t="shared" si="3"/>
        <v>82</v>
      </c>
      <c r="K22" s="37">
        <f t="shared" si="4"/>
        <v>96</v>
      </c>
      <c r="L22" s="84">
        <f t="shared" si="5"/>
        <v>-12</v>
      </c>
      <c r="AF22" s="94" t="s">
        <v>176</v>
      </c>
      <c r="AG22" s="94" t="s">
        <v>100</v>
      </c>
      <c r="AH22" s="94" t="s">
        <v>177</v>
      </c>
      <c r="AI22" s="94" t="s">
        <v>34</v>
      </c>
      <c r="AJ22" s="94" t="s">
        <v>178</v>
      </c>
      <c r="AK22" s="94" t="s">
        <v>179</v>
      </c>
      <c r="AL22" s="94" t="s">
        <v>180</v>
      </c>
      <c r="AM22" s="94" t="s">
        <v>181</v>
      </c>
      <c r="AN22" s="94" t="s">
        <v>182</v>
      </c>
      <c r="AP22" s="83">
        <f t="array" ref="AP22">MMULT(I22:L22-$AS$18:$AV$18,MMULT($AS$12:$AV$15,TRANSPOSE(I22:L22-$AS$18:$AV$18)))</f>
        <v>6.9982210791409605</v>
      </c>
      <c r="AQ22" s="84">
        <f t="shared" si="6"/>
        <v>0.13598226309039016</v>
      </c>
      <c r="AR22" s="70" t="str">
        <f t="shared" si="7"/>
        <v/>
      </c>
      <c r="BA22" t="s">
        <v>66</v>
      </c>
      <c r="BB22" s="203">
        <f>BB12-BB13*$BH23</f>
        <v>-183.00304330621134</v>
      </c>
      <c r="BC22" s="264">
        <f>BC12-BC13*$BH23</f>
        <v>-19.921911258753326</v>
      </c>
      <c r="BD22" s="264">
        <f>BD12-BD13*$BH23</f>
        <v>-118.9189476740634</v>
      </c>
      <c r="BE22" s="205">
        <f>BE12-BE13*$BH23</f>
        <v>-59.898818229460232</v>
      </c>
      <c r="BG22" t="s">
        <v>62</v>
      </c>
      <c r="BH22" s="98">
        <f>BP6-BP8</f>
        <v>18</v>
      </c>
    </row>
    <row r="23" spans="1:60" ht="14.45" x14ac:dyDescent="0.35">
      <c r="A23" s="49" t="s">
        <v>288</v>
      </c>
      <c r="B23" s="257">
        <v>71</v>
      </c>
      <c r="C23" s="258">
        <v>211</v>
      </c>
      <c r="D23" s="258">
        <v>356</v>
      </c>
      <c r="E23" s="258">
        <v>380</v>
      </c>
      <c r="F23" s="259">
        <v>305</v>
      </c>
      <c r="H23" s="49" t="str">
        <f t="shared" si="0"/>
        <v>Old</v>
      </c>
      <c r="I23" s="83">
        <f t="shared" si="2"/>
        <v>140</v>
      </c>
      <c r="J23" s="37">
        <f t="shared" si="3"/>
        <v>145</v>
      </c>
      <c r="K23" s="37">
        <f t="shared" si="4"/>
        <v>24</v>
      </c>
      <c r="L23" s="84">
        <f t="shared" si="5"/>
        <v>-75</v>
      </c>
      <c r="AA23" t="s">
        <v>157</v>
      </c>
      <c r="AF23" t="str">
        <f t="array" ref="AF23:AF25">[1]!SortUnique(H6:H26)</f>
        <v>Middle</v>
      </c>
      <c r="AG23">
        <f>COUNTIF($H$6:$H$26,$AF23)</f>
        <v>7</v>
      </c>
      <c r="AH23">
        <f>SUMIF($H$6:$H$26,$AF23,$J$6:$J$26)</f>
        <v>1388</v>
      </c>
      <c r="AI23">
        <f>AVERAGEIF($H$6:$H$26,$AF23,$J$6:$J$26)</f>
        <v>198.28571428571428</v>
      </c>
      <c r="AJ23">
        <f t="array" ref="AJ23">VAR(IF($H$6:$H$26=$AF23,$J$6:$J$26))</f>
        <v>5765.2380952380963</v>
      </c>
      <c r="AK23">
        <f>($AG23-1)*AJ23</f>
        <v>34591.42857142858</v>
      </c>
      <c r="AL23">
        <f>SQRT(AI$30/AG23)</f>
        <v>22.261841099985368</v>
      </c>
      <c r="AM23">
        <f>AI23-AL23*TINV(AL$21,AG23-1)</f>
        <v>119.89681382669785</v>
      </c>
      <c r="AN23">
        <f>AI23+AL23*TINV(AL$21,AG23-1)</f>
        <v>276.67461474473072</v>
      </c>
      <c r="AP23" s="83">
        <f t="array" ref="AP23">MMULT(I23:L23-$AS$18:$AV$18,MMULT($AS$12:$AV$15,TRANSPOSE(I23:L23-$AS$18:$AV$18)))</f>
        <v>1.7360568809955628</v>
      </c>
      <c r="AQ23" s="84">
        <f t="shared" si="6"/>
        <v>0.78415790011623254</v>
      </c>
      <c r="AR23" s="70" t="str">
        <f t="shared" si="7"/>
        <v/>
      </c>
      <c r="BA23" t="s">
        <v>67</v>
      </c>
      <c r="BB23" s="85">
        <f>BB12+BB13*$BH23</f>
        <v>9.8601861633541859</v>
      </c>
      <c r="BC23" s="86">
        <f>BC12+BC13*$BH23</f>
        <v>154.77905411589614</v>
      </c>
      <c r="BD23" s="86">
        <f>BD12+BD13*$BH23</f>
        <v>37.776090531206265</v>
      </c>
      <c r="BE23" s="87">
        <f>BE12+BE13*$BH23</f>
        <v>149.04167537231737</v>
      </c>
      <c r="BG23" t="s">
        <v>63</v>
      </c>
      <c r="BH23" s="99">
        <f>TINV(BH21,BH22)</f>
        <v>2.7745287719336948</v>
      </c>
    </row>
    <row r="24" spans="1:60" ht="14.45" x14ac:dyDescent="0.35">
      <c r="A24" s="49" t="s">
        <v>288</v>
      </c>
      <c r="B24" s="257">
        <v>123</v>
      </c>
      <c r="C24" s="258">
        <v>331</v>
      </c>
      <c r="D24" s="258">
        <v>407</v>
      </c>
      <c r="E24" s="258">
        <v>461</v>
      </c>
      <c r="F24" s="259">
        <v>445</v>
      </c>
      <c r="H24" s="49" t="str">
        <f t="shared" si="0"/>
        <v>Old</v>
      </c>
      <c r="I24" s="83">
        <f t="shared" si="2"/>
        <v>208</v>
      </c>
      <c r="J24" s="37">
        <f t="shared" si="3"/>
        <v>76</v>
      </c>
      <c r="K24" s="37">
        <f t="shared" si="4"/>
        <v>54</v>
      </c>
      <c r="L24" s="84">
        <f t="shared" si="5"/>
        <v>-16</v>
      </c>
      <c r="AA24" s="203">
        <f t="array" ref="AA24:AD27">[1]!COVPooled(H6:L26)</f>
        <v>4227.936507936508</v>
      </c>
      <c r="AB24" s="264">
        <v>-442.95238095238113</v>
      </c>
      <c r="AC24" s="264">
        <v>-246.11904761904754</v>
      </c>
      <c r="AD24" s="205">
        <v>238.00793650793642</v>
      </c>
      <c r="AF24" t="str">
        <v>Old</v>
      </c>
      <c r="AG24">
        <f>COUNTIF($H$6:$H$26,$AF24)</f>
        <v>7</v>
      </c>
      <c r="AH24">
        <f>SUMIF($H$6:$H$26,$AF24,$J$6:$J$26)</f>
        <v>916</v>
      </c>
      <c r="AI24">
        <f>AVERAGEIF($H$6:$H$26,$AF24,$J$6:$J$26)</f>
        <v>130.85714285714286</v>
      </c>
      <c r="AJ24">
        <f t="array" ref="AJ24">VAR(IF($H$6:$H$26=$AF24,$J$6:$J$26))</f>
        <v>4115.4761904761908</v>
      </c>
      <c r="AK24">
        <f>($AG24-1)*AJ24</f>
        <v>24692.857142857145</v>
      </c>
      <c r="AL24">
        <f>SQRT(AI$30/AG24)</f>
        <v>22.261841099985368</v>
      </c>
      <c r="AM24">
        <f>AI24-AL24*TINV(AL$21,AG24-1)</f>
        <v>52.468242398126435</v>
      </c>
      <c r="AN24">
        <f>AI24+AL24*TINV(AL$21,AG24-1)</f>
        <v>209.24604331615927</v>
      </c>
      <c r="AP24" s="83">
        <f t="array" ref="AP24">MMULT(I24:L24-$AS$18:$AV$18,MMULT($AS$12:$AV$15,TRANSPOSE(I24:L24-$AS$18:$AV$18)))</f>
        <v>3.9362368715624929</v>
      </c>
      <c r="AQ24" s="84">
        <f t="shared" si="6"/>
        <v>0.41470402455716715</v>
      </c>
      <c r="AR24" s="70" t="str">
        <f t="shared" si="7"/>
        <v/>
      </c>
    </row>
    <row r="25" spans="1:60" ht="14.45" x14ac:dyDescent="0.35">
      <c r="A25" s="49" t="s">
        <v>288</v>
      </c>
      <c r="B25" s="257">
        <v>71</v>
      </c>
      <c r="C25" s="258">
        <v>285</v>
      </c>
      <c r="D25" s="258">
        <v>471</v>
      </c>
      <c r="E25" s="258">
        <v>407</v>
      </c>
      <c r="F25" s="259">
        <v>433</v>
      </c>
      <c r="H25" s="49" t="str">
        <f t="shared" si="0"/>
        <v>Old</v>
      </c>
      <c r="I25" s="83">
        <f t="shared" si="2"/>
        <v>214</v>
      </c>
      <c r="J25" s="37">
        <f t="shared" si="3"/>
        <v>186</v>
      </c>
      <c r="K25" s="37">
        <f t="shared" si="4"/>
        <v>-64</v>
      </c>
      <c r="L25" s="84">
        <f t="shared" si="5"/>
        <v>26</v>
      </c>
      <c r="AA25" s="83">
        <v>-442.95238095238113</v>
      </c>
      <c r="AB25" s="37">
        <v>3469.1269841269836</v>
      </c>
      <c r="AC25" s="37">
        <v>-1578.8095238095236</v>
      </c>
      <c r="AD25" s="84">
        <v>-665.99206349206315</v>
      </c>
      <c r="AF25" t="str">
        <v>Young</v>
      </c>
      <c r="AG25">
        <f>COUNTIF($H$6:$H$26,$AF25)</f>
        <v>7</v>
      </c>
      <c r="AH25">
        <f>SUMIF($H$6:$H$26,$AF25,$J$6:$J$26)</f>
        <v>861</v>
      </c>
      <c r="AI25">
        <f>AVERAGEIF($H$6:$H$26,$AF25,$J$6:$J$26)</f>
        <v>123</v>
      </c>
      <c r="AJ25">
        <f t="array" ref="AJ25">VAR(IF($H$6:$H$26=$AF25,$J$6:$J$26))</f>
        <v>526.66666666666663</v>
      </c>
      <c r="AK25">
        <f>($AG25-1)*AJ25</f>
        <v>3160</v>
      </c>
      <c r="AL25">
        <f>SQRT(AI$30/AG25)</f>
        <v>22.261841099985368</v>
      </c>
      <c r="AM25">
        <f>AI25-AL25*TINV(AL$21,AG25-1)</f>
        <v>44.611099540983574</v>
      </c>
      <c r="AN25">
        <f>AI25+AL25*TINV(AL$21,AG25-1)</f>
        <v>201.38890045901644</v>
      </c>
      <c r="AP25" s="83">
        <f t="array" ref="AP25">MMULT(I25:L25-$AS$18:$AV$18,MMULT($AS$12:$AV$15,TRANSPOSE(I25:L25-$AS$18:$AV$18)))</f>
        <v>3.8739928043117784</v>
      </c>
      <c r="AQ25" s="84">
        <f t="shared" si="6"/>
        <v>0.42332758164864048</v>
      </c>
      <c r="AR25" s="70" t="str">
        <f t="shared" si="7"/>
        <v/>
      </c>
    </row>
    <row r="26" spans="1:60" ht="14.45" x14ac:dyDescent="0.35">
      <c r="A26" s="52" t="s">
        <v>288</v>
      </c>
      <c r="B26" s="260">
        <v>108</v>
      </c>
      <c r="C26" s="261">
        <v>247</v>
      </c>
      <c r="D26" s="261">
        <v>317</v>
      </c>
      <c r="E26" s="261">
        <v>307</v>
      </c>
      <c r="F26" s="262">
        <v>324</v>
      </c>
      <c r="H26" s="52" t="str">
        <f t="shared" si="0"/>
        <v>Old</v>
      </c>
      <c r="I26" s="85">
        <f t="shared" si="2"/>
        <v>139</v>
      </c>
      <c r="J26" s="86">
        <f t="shared" si="3"/>
        <v>70</v>
      </c>
      <c r="K26" s="86">
        <f t="shared" si="4"/>
        <v>-10</v>
      </c>
      <c r="L26" s="87">
        <f t="shared" si="5"/>
        <v>17</v>
      </c>
      <c r="AA26" s="83">
        <v>-246.11904761904754</v>
      </c>
      <c r="AB26" s="37">
        <v>-1578.8095238095236</v>
      </c>
      <c r="AC26" s="37">
        <v>2790.8730158730154</v>
      </c>
      <c r="AD26" s="84">
        <v>-1852.8095238095236</v>
      </c>
      <c r="AF26" s="218"/>
      <c r="AG26" s="218"/>
      <c r="AH26" s="218"/>
      <c r="AI26" s="218"/>
      <c r="AJ26" s="218"/>
      <c r="AK26" s="218"/>
      <c r="AL26" s="218"/>
      <c r="AM26" s="218"/>
      <c r="AN26" s="218"/>
      <c r="AP26" s="85">
        <f t="array" ref="AP26">MMULT(I26:L26-$AS$18:$AV$18,MMULT($AS$12:$AV$15,TRANSPOSE(I26:L26-$AS$18:$AV$18)))</f>
        <v>2.193100949680753</v>
      </c>
      <c r="AQ26" s="87">
        <f t="shared" si="6"/>
        <v>0.70029254365406146</v>
      </c>
      <c r="AR26" s="70" t="str">
        <f t="shared" si="7"/>
        <v/>
      </c>
    </row>
    <row r="27" spans="1:60" thickBot="1" x14ac:dyDescent="0.4">
      <c r="AA27" s="85">
        <v>238.00793650793642</v>
      </c>
      <c r="AB27" s="86">
        <v>-665.99206349206315</v>
      </c>
      <c r="AC27" s="86">
        <v>-1852.8095238095236</v>
      </c>
      <c r="AD27" s="87">
        <v>4962.206349206348</v>
      </c>
      <c r="AF27" t="s">
        <v>183</v>
      </c>
    </row>
    <row r="28" spans="1:60" thickTop="1" x14ac:dyDescent="0.35">
      <c r="AF28" s="94" t="s">
        <v>184</v>
      </c>
      <c r="AG28" s="94" t="s">
        <v>179</v>
      </c>
      <c r="AH28" s="94" t="s">
        <v>62</v>
      </c>
      <c r="AI28" s="94" t="s">
        <v>185</v>
      </c>
      <c r="AJ28" s="94" t="s">
        <v>54</v>
      </c>
      <c r="AK28" s="94" t="s">
        <v>186</v>
      </c>
      <c r="AL28" s="94" t="s">
        <v>187</v>
      </c>
      <c r="AM28" s="94" t="s">
        <v>188</v>
      </c>
      <c r="AN28" s="94" t="s">
        <v>189</v>
      </c>
    </row>
    <row r="29" spans="1:60" ht="14.45" x14ac:dyDescent="0.35">
      <c r="AA29" t="s">
        <v>231</v>
      </c>
      <c r="AF29" t="s">
        <v>190</v>
      </c>
      <c r="AG29">
        <f>AG31-AG30</f>
        <v>23978</v>
      </c>
      <c r="AH29">
        <f>[1]!COUNTAU(H6:H26)-1</f>
        <v>2</v>
      </c>
      <c r="AI29">
        <f>AG29/AH29</f>
        <v>11989</v>
      </c>
      <c r="AJ29">
        <f>AI29/AI30</f>
        <v>3.4559126993205367</v>
      </c>
      <c r="AK29">
        <f>FDIST(AJ29,AH29,AH30)</f>
        <v>5.3678773442443956E-2</v>
      </c>
      <c r="AL29">
        <f>FINV(AL21,AH29,AH30)</f>
        <v>5.6452554894323166</v>
      </c>
      <c r="AM29">
        <f>SQRT(DEVSQ(AI23:AI25)/(AI30*AH29))</f>
        <v>0.70263917780653817</v>
      </c>
      <c r="AN29">
        <f>(AG31-AH31*AI30)/(AG31+AI30)</f>
        <v>0.18955921950981777</v>
      </c>
    </row>
    <row r="30" spans="1:60" ht="14.45" x14ac:dyDescent="0.35">
      <c r="AA30" s="203">
        <f t="array" ref="AA30:AD33">[1]!CORR(I6:L26)</f>
        <v>1</v>
      </c>
      <c r="AB30" s="264">
        <v>-0.22835724674609575</v>
      </c>
      <c r="AC30" s="264">
        <v>0.11064313490045397</v>
      </c>
      <c r="AD30" s="205">
        <v>-0.11298168001675708</v>
      </c>
      <c r="AF30" t="s">
        <v>191</v>
      </c>
      <c r="AG30">
        <f>SUM(AK23:AK25)</f>
        <v>62444.285714285725</v>
      </c>
      <c r="AH30">
        <f>AH31-AH29</f>
        <v>18</v>
      </c>
      <c r="AI30">
        <f>AG30/AH30</f>
        <v>3469.1269841269846</v>
      </c>
    </row>
    <row r="31" spans="1:60" ht="14.45" x14ac:dyDescent="0.35">
      <c r="AA31" s="83">
        <v>-0.22835724674609575</v>
      </c>
      <c r="AB31" s="37">
        <v>1.0000000000000002</v>
      </c>
      <c r="AC31" s="37">
        <v>-0.53251252003024996</v>
      </c>
      <c r="AD31" s="84">
        <v>-4.8045173072063442E-2</v>
      </c>
      <c r="AF31" s="40" t="s">
        <v>168</v>
      </c>
      <c r="AG31" s="40">
        <f>DEVSQ(J6:J26)</f>
        <v>86422.285714285725</v>
      </c>
      <c r="AH31" s="40">
        <f>COUNT(J6:J26)-1</f>
        <v>20</v>
      </c>
      <c r="AI31" s="40">
        <f>AG31/AH31</f>
        <v>4321.1142857142859</v>
      </c>
      <c r="AJ31" s="40"/>
      <c r="AK31" s="40"/>
      <c r="AL31" s="40"/>
      <c r="AM31" s="40"/>
      <c r="AN31" s="40"/>
    </row>
    <row r="32" spans="1:60" ht="14.45" x14ac:dyDescent="0.35">
      <c r="AA32" s="83">
        <v>0.11064313490045397</v>
      </c>
      <c r="AB32" s="37">
        <v>-0.53251252003024996</v>
      </c>
      <c r="AC32" s="37">
        <v>1</v>
      </c>
      <c r="AD32" s="84">
        <v>-0.5414566151986917</v>
      </c>
    </row>
    <row r="33" spans="27:40" x14ac:dyDescent="0.25">
      <c r="AA33" s="85">
        <v>-0.11298168001675708</v>
      </c>
      <c r="AB33" s="86">
        <v>-4.8045173072063442E-2</v>
      </c>
      <c r="AC33" s="86">
        <v>-0.5414566151986917</v>
      </c>
      <c r="AD33" s="87">
        <v>1.0000000000000002</v>
      </c>
      <c r="AF33" t="s">
        <v>173</v>
      </c>
      <c r="AI33" t="str">
        <f>K5</f>
        <v>Diff  3</v>
      </c>
    </row>
    <row r="35" spans="27:40" ht="15.75" thickBot="1" x14ac:dyDescent="0.3">
      <c r="AF35" t="s">
        <v>174</v>
      </c>
      <c r="AK35" t="s">
        <v>175</v>
      </c>
      <c r="AL35" s="122">
        <v>1.2500000000000001E-2</v>
      </c>
    </row>
    <row r="36" spans="27:40" ht="15.75" thickTop="1" x14ac:dyDescent="0.25">
      <c r="AF36" s="94" t="s">
        <v>176</v>
      </c>
      <c r="AG36" s="94" t="s">
        <v>100</v>
      </c>
      <c r="AH36" s="94" t="s">
        <v>177</v>
      </c>
      <c r="AI36" s="94" t="s">
        <v>34</v>
      </c>
      <c r="AJ36" s="94" t="s">
        <v>178</v>
      </c>
      <c r="AK36" s="94" t="s">
        <v>179</v>
      </c>
      <c r="AL36" s="94" t="s">
        <v>180</v>
      </c>
      <c r="AM36" s="94" t="s">
        <v>181</v>
      </c>
      <c r="AN36" s="94" t="s">
        <v>182</v>
      </c>
    </row>
    <row r="37" spans="27:40" x14ac:dyDescent="0.25">
      <c r="AF37" t="str">
        <f t="array" ref="AF37:AF39">[1]!SortUnique(H6:H26)</f>
        <v>Middle</v>
      </c>
      <c r="AG37">
        <f>COUNTIF($H$6:$H$26,$AF37)</f>
        <v>7</v>
      </c>
      <c r="AH37">
        <f>SUMIF($H$6:$H$26,$AF37,$K$6:$K$26)</f>
        <v>-251</v>
      </c>
      <c r="AI37">
        <f>AVERAGEIF($H$6:$H$26,$AF37,$K$6:$K$26)</f>
        <v>-35.857142857142854</v>
      </c>
      <c r="AJ37">
        <f t="array" ref="AJ37">VAR(IF($H$6:$H$26=$AF37,$K$6:$K$26))</f>
        <v>1692.1428571428571</v>
      </c>
      <c r="AK37">
        <f>($AG37-1)*AJ37</f>
        <v>10152.857142857143</v>
      </c>
      <c r="AL37">
        <f>SQRT(AI$44/AG37)</f>
        <v>19.967377021650005</v>
      </c>
      <c r="AM37">
        <f>AI37-AL37*TINV(AL$35,AG37-1)</f>
        <v>-106.16672429507716</v>
      </c>
      <c r="AN37">
        <f>AI37+AL37*TINV(AL$35,AG37-1)</f>
        <v>34.452438580791444</v>
      </c>
    </row>
    <row r="38" spans="27:40" x14ac:dyDescent="0.25">
      <c r="AF38" t="str">
        <v>Old</v>
      </c>
      <c r="AG38">
        <f>COUNTIF($H$6:$H$26,$AF38)</f>
        <v>7</v>
      </c>
      <c r="AH38">
        <f>SUMIF($H$6:$H$26,$AF38,$K$6:$K$26)</f>
        <v>33</v>
      </c>
      <c r="AI38">
        <f>AVERAGEIF($H$6:$H$26,$AF38,$K$6:$K$26)</f>
        <v>4.7142857142857144</v>
      </c>
      <c r="AJ38">
        <f t="array" ref="AJ38">VAR(IF($H$6:$H$26=$AF38,$K$6:$K$26))</f>
        <v>3305.5714285714289</v>
      </c>
      <c r="AK38">
        <f>($AG38-1)*AJ38</f>
        <v>19833.428571428572</v>
      </c>
      <c r="AL38">
        <f>SQRT(AI$44/AG38)</f>
        <v>19.967377021650005</v>
      </c>
      <c r="AM38">
        <f>AI38-AL38*TINV(AL$35,AG38-1)</f>
        <v>-65.59529572364859</v>
      </c>
      <c r="AN38">
        <f>AI38+AL38*TINV(AL$35,AG38-1)</f>
        <v>75.023867152220006</v>
      </c>
    </row>
    <row r="39" spans="27:40" x14ac:dyDescent="0.25">
      <c r="AF39" t="str">
        <v>Young</v>
      </c>
      <c r="AG39">
        <f>COUNTIF($H$6:$H$26,$AF39)</f>
        <v>7</v>
      </c>
      <c r="AH39">
        <f>SUMIF($H$6:$H$26,$AF39,$K$6:$K$26)</f>
        <v>-142</v>
      </c>
      <c r="AI39">
        <f>AVERAGEIF($H$6:$H$26,$AF39,$K$6:$K$26)</f>
        <v>-20.285714285714285</v>
      </c>
      <c r="AJ39">
        <f t="array" ref="AJ39">VAR(IF($H$6:$H$26=$AF39,$K$6:$K$26))</f>
        <v>3374.9047619047619</v>
      </c>
      <c r="AK39">
        <f>($AG39-1)*AJ39</f>
        <v>20249.428571428572</v>
      </c>
      <c r="AL39">
        <f>SQRT(AI$44/AG39)</f>
        <v>19.967377021650005</v>
      </c>
      <c r="AM39">
        <f>AI39-AL39*TINV(AL$35,AG39-1)</f>
        <v>-90.595295723648576</v>
      </c>
      <c r="AN39">
        <f>AI39+AL39*TINV(AL$35,AG39-1)</f>
        <v>50.023867152220014</v>
      </c>
    </row>
    <row r="40" spans="27:40" x14ac:dyDescent="0.25">
      <c r="AF40" s="218"/>
      <c r="AG40" s="218"/>
      <c r="AH40" s="218"/>
      <c r="AI40" s="218"/>
      <c r="AJ40" s="218"/>
      <c r="AK40" s="218"/>
      <c r="AL40" s="218"/>
      <c r="AM40" s="218"/>
      <c r="AN40" s="218"/>
    </row>
    <row r="41" spans="27:40" ht="15.75" thickBot="1" x14ac:dyDescent="0.3">
      <c r="AF41" t="s">
        <v>183</v>
      </c>
    </row>
    <row r="42" spans="27:40" ht="15.75" thickTop="1" x14ac:dyDescent="0.25">
      <c r="AF42" s="94" t="s">
        <v>184</v>
      </c>
      <c r="AG42" s="94" t="s">
        <v>179</v>
      </c>
      <c r="AH42" s="94" t="s">
        <v>62</v>
      </c>
      <c r="AI42" s="94" t="s">
        <v>185</v>
      </c>
      <c r="AJ42" s="94" t="s">
        <v>54</v>
      </c>
      <c r="AK42" s="94" t="s">
        <v>186</v>
      </c>
      <c r="AL42" s="94" t="s">
        <v>187</v>
      </c>
      <c r="AM42" s="94" t="s">
        <v>188</v>
      </c>
      <c r="AN42" s="94" t="s">
        <v>189</v>
      </c>
    </row>
    <row r="43" spans="27:40" x14ac:dyDescent="0.25">
      <c r="AF43" t="s">
        <v>190</v>
      </c>
      <c r="AG43">
        <f>AG45-AG44</f>
        <v>5864.8571428571377</v>
      </c>
      <c r="AH43">
        <f>[1]!COUNTAU(H6:H26)-1</f>
        <v>2</v>
      </c>
      <c r="AI43">
        <f>AG43/AH43</f>
        <v>2932.4285714285688</v>
      </c>
      <c r="AJ43">
        <f>AI43/AI44</f>
        <v>1.05072088724584</v>
      </c>
      <c r="AK43">
        <f>FDIST(AJ43,AH43,AH44)</f>
        <v>0.3701754997928387</v>
      </c>
      <c r="AL43">
        <f>FINV(AL35,AH43,AH44)</f>
        <v>5.6452554894323166</v>
      </c>
      <c r="AM43">
        <f>SQRT(DEVSQ(AI37:AI39)/(AI44*AH43))</f>
        <v>0.38743126344199819</v>
      </c>
      <c r="AN43">
        <f>(AG45-AH45*AI44)/(AG45+AI44)</f>
        <v>4.807338549459147E-3</v>
      </c>
    </row>
    <row r="44" spans="27:40" x14ac:dyDescent="0.25">
      <c r="AF44" t="s">
        <v>191</v>
      </c>
      <c r="AG44">
        <f>SUM(AK37:AK39)</f>
        <v>50235.71428571429</v>
      </c>
      <c r="AH44">
        <f>AH45-AH43</f>
        <v>18</v>
      </c>
      <c r="AI44">
        <f>AG44/AH44</f>
        <v>2790.8730158730159</v>
      </c>
    </row>
    <row r="45" spans="27:40" x14ac:dyDescent="0.25">
      <c r="AF45" s="40" t="s">
        <v>168</v>
      </c>
      <c r="AG45" s="40">
        <f>DEVSQ(K6:K26)</f>
        <v>56100.571428571428</v>
      </c>
      <c r="AH45" s="40">
        <f>COUNT(K6:K26)-1</f>
        <v>20</v>
      </c>
      <c r="AI45" s="40">
        <f>AG45/AH45</f>
        <v>2805.0285714285715</v>
      </c>
      <c r="AJ45" s="40"/>
      <c r="AK45" s="40"/>
      <c r="AL45" s="40"/>
      <c r="AM45" s="40"/>
      <c r="AN45" s="40"/>
    </row>
    <row r="47" spans="27:40" x14ac:dyDescent="0.25">
      <c r="AF47" t="s">
        <v>173</v>
      </c>
      <c r="AI47" t="str">
        <f>L5</f>
        <v>Diff  4</v>
      </c>
    </row>
    <row r="49" spans="32:40" ht="15.75" thickBot="1" x14ac:dyDescent="0.3">
      <c r="AF49" t="s">
        <v>174</v>
      </c>
      <c r="AK49" t="s">
        <v>175</v>
      </c>
      <c r="AL49" s="122">
        <v>1.2500000000000001E-2</v>
      </c>
    </row>
    <row r="50" spans="32:40" ht="15.75" thickTop="1" x14ac:dyDescent="0.25">
      <c r="AF50" s="94" t="s">
        <v>176</v>
      </c>
      <c r="AG50" s="94" t="s">
        <v>100</v>
      </c>
      <c r="AH50" s="94" t="s">
        <v>177</v>
      </c>
      <c r="AI50" s="94" t="s">
        <v>34</v>
      </c>
      <c r="AJ50" s="94" t="s">
        <v>178</v>
      </c>
      <c r="AK50" s="94" t="s">
        <v>179</v>
      </c>
      <c r="AL50" s="94" t="s">
        <v>180</v>
      </c>
      <c r="AM50" s="94" t="s">
        <v>181</v>
      </c>
      <c r="AN50" s="94" t="s">
        <v>182</v>
      </c>
    </row>
    <row r="51" spans="32:40" x14ac:dyDescent="0.25">
      <c r="AF51" t="str">
        <f t="array" ref="AF51:AF53">[1]!SortUnique(H6:H26)</f>
        <v>Middle</v>
      </c>
      <c r="AG51">
        <f>COUNTIF($H$6:$H$26,$AF51)</f>
        <v>7</v>
      </c>
      <c r="AH51">
        <f>SUMIF($H$6:$H$26,$AF51,$L$6:$L$26)</f>
        <v>198</v>
      </c>
      <c r="AI51">
        <f>AVERAGEIF($H$6:$H$26,$AF51,$L$6:$L$26)</f>
        <v>28.285714285714285</v>
      </c>
      <c r="AJ51">
        <f t="array" ref="AJ51">VAR(IF($H$6:$H$26=$AF51,$L$6:$L$26))</f>
        <v>7865.9047619047624</v>
      </c>
      <c r="AK51">
        <f>($AG51-1)*AJ51</f>
        <v>47195.428571428572</v>
      </c>
      <c r="AL51">
        <f>SQRT(AI$58/AG51)</f>
        <v>26.624924813324693</v>
      </c>
      <c r="AM51">
        <f>AI51-AL51*TINV(AL$49,AG51-1)</f>
        <v>-65.466575632565537</v>
      </c>
      <c r="AN51">
        <f>AI51+AL51*TINV(AL$49,AG51-1)</f>
        <v>122.03800420399412</v>
      </c>
    </row>
    <row r="52" spans="32:40" x14ac:dyDescent="0.25">
      <c r="AF52" t="str">
        <v>Old</v>
      </c>
      <c r="AG52">
        <f>COUNTIF($H$6:$H$26,$AF52)</f>
        <v>7</v>
      </c>
      <c r="AH52">
        <f>SUMIF($H$6:$H$26,$AF52,$L$6:$L$26)</f>
        <v>-114</v>
      </c>
      <c r="AI52">
        <f>AVERAGEIF($H$6:$H$26,$AF52,$L$6:$L$26)</f>
        <v>-16.285714285714285</v>
      </c>
      <c r="AJ52">
        <f t="array" ref="AJ52">VAR(IF($H$6:$H$26=$AF52,$L$6:$L$26))</f>
        <v>1834.9047619047617</v>
      </c>
      <c r="AK52">
        <f>($AG52-1)*AJ52</f>
        <v>11009.428571428571</v>
      </c>
      <c r="AL52">
        <f>SQRT(AI$58/AG52)</f>
        <v>26.624924813324693</v>
      </c>
      <c r="AM52">
        <f>AI52-AL52*TINV(AL$49,AG52-1)</f>
        <v>-110.03800420399412</v>
      </c>
      <c r="AN52">
        <f>AI52+AL52*TINV(AL$49,AG52-1)</f>
        <v>77.466575632565537</v>
      </c>
    </row>
    <row r="53" spans="32:40" x14ac:dyDescent="0.25">
      <c r="AF53" t="str">
        <v>Young</v>
      </c>
      <c r="AG53">
        <f>COUNTIF($H$6:$H$26,$AF53)</f>
        <v>7</v>
      </c>
      <c r="AH53">
        <f>SUMIF($H$6:$H$26,$AF53,$L$6:$L$26)</f>
        <v>148</v>
      </c>
      <c r="AI53">
        <f>AVERAGEIF($H$6:$H$26,$AF53,$L$6:$L$26)</f>
        <v>21.142857142857142</v>
      </c>
      <c r="AJ53">
        <f t="array" ref="AJ53">VAR(IF($H$6:$H$26=$AF53,$L$6:$L$26))</f>
        <v>5185.8095238095239</v>
      </c>
      <c r="AK53">
        <f>($AG53-1)*AJ53</f>
        <v>31114.857142857145</v>
      </c>
      <c r="AL53">
        <f>SQRT(AI$58/AG53)</f>
        <v>26.624924813324693</v>
      </c>
      <c r="AM53">
        <f>AI53-AL53*TINV(AL$49,AG53-1)</f>
        <v>-72.60943277542269</v>
      </c>
      <c r="AN53">
        <f>AI53+AL53*TINV(AL$49,AG53-1)</f>
        <v>114.89514706113697</v>
      </c>
    </row>
    <row r="54" spans="32:40" x14ac:dyDescent="0.25">
      <c r="AF54" s="218"/>
      <c r="AG54" s="218"/>
      <c r="AH54" s="218"/>
      <c r="AI54" s="218"/>
      <c r="AJ54" s="218"/>
      <c r="AK54" s="218"/>
      <c r="AL54" s="218"/>
      <c r="AM54" s="218"/>
      <c r="AN54" s="218"/>
    </row>
    <row r="55" spans="32:40" ht="15.75" thickBot="1" x14ac:dyDescent="0.3">
      <c r="AF55" t="s">
        <v>183</v>
      </c>
    </row>
    <row r="56" spans="32:40" ht="15.75" thickTop="1" x14ac:dyDescent="0.25">
      <c r="AF56" s="94" t="s">
        <v>184</v>
      </c>
      <c r="AG56" s="94" t="s">
        <v>179</v>
      </c>
      <c r="AH56" s="94" t="s">
        <v>62</v>
      </c>
      <c r="AI56" s="94" t="s">
        <v>185</v>
      </c>
      <c r="AJ56" s="94" t="s">
        <v>54</v>
      </c>
      <c r="AK56" s="94" t="s">
        <v>186</v>
      </c>
      <c r="AL56" s="94" t="s">
        <v>187</v>
      </c>
      <c r="AM56" s="94" t="s">
        <v>188</v>
      </c>
      <c r="AN56" s="94" t="s">
        <v>189</v>
      </c>
    </row>
    <row r="57" spans="32:40" x14ac:dyDescent="0.25">
      <c r="AF57" t="s">
        <v>190</v>
      </c>
      <c r="AG57">
        <f>AG59-AG58</f>
        <v>8023.2380952380918</v>
      </c>
      <c r="AH57">
        <f>[1]!COUNTAU(H6:H26)-1</f>
        <v>2</v>
      </c>
      <c r="AI57">
        <f>AG57/AH57</f>
        <v>4011.6190476190459</v>
      </c>
      <c r="AJ57">
        <f>AI57/AI58</f>
        <v>0.80843454812407389</v>
      </c>
      <c r="AK57">
        <f>FDIST(AJ57,AH57,AH58)</f>
        <v>0.46108957122819705</v>
      </c>
      <c r="AL57">
        <f>FINV(AL49,AH57,AH58)</f>
        <v>5.6452554894323166</v>
      </c>
      <c r="AM57">
        <f>SQRT(DEVSQ(AI51:AI53)/(AI58*AH57))</f>
        <v>0.33983915273554138</v>
      </c>
      <c r="AN57">
        <f>(AG59-AH59*AI58)/(AG59+AI58)</f>
        <v>-1.8583369859081843E-2</v>
      </c>
    </row>
    <row r="58" spans="32:40" x14ac:dyDescent="0.25">
      <c r="AF58" t="s">
        <v>191</v>
      </c>
      <c r="AG58">
        <f>SUM(AK51:AK53)</f>
        <v>89319.71428571429</v>
      </c>
      <c r="AH58">
        <f>AH59-AH57</f>
        <v>18</v>
      </c>
      <c r="AI58">
        <f>AG58/AH58</f>
        <v>4962.2063492063498</v>
      </c>
    </row>
    <row r="59" spans="32:40" x14ac:dyDescent="0.25">
      <c r="AF59" s="40" t="s">
        <v>168</v>
      </c>
      <c r="AG59" s="40">
        <f>DEVSQ(L6:L26)</f>
        <v>97342.952380952382</v>
      </c>
      <c r="AH59" s="40">
        <f>COUNT(L6:L26)-1</f>
        <v>20</v>
      </c>
      <c r="AI59" s="40">
        <f>AG59/AH59</f>
        <v>4867.1476190476187</v>
      </c>
      <c r="AJ59" s="40"/>
      <c r="AK59" s="40"/>
      <c r="AL59" s="40"/>
      <c r="AM59" s="40"/>
      <c r="AN59" s="40"/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0"/>
  <dimension ref="A1:AB26"/>
  <sheetViews>
    <sheetView workbookViewId="0"/>
  </sheetViews>
  <sheetFormatPr defaultRowHeight="15" x14ac:dyDescent="0.25"/>
  <cols>
    <col min="2" max="3" width="6.5703125" customWidth="1"/>
    <col min="8" max="8" width="15.7109375" customWidth="1"/>
    <col min="19" max="19" width="6.42578125" customWidth="1"/>
    <col min="20" max="20" width="15.7109375" customWidth="1"/>
  </cols>
  <sheetData>
    <row r="1" spans="1:28" ht="14.45" x14ac:dyDescent="0.35">
      <c r="A1" s="42" t="s">
        <v>678</v>
      </c>
    </row>
    <row r="3" spans="1:28" ht="14.45" x14ac:dyDescent="0.35">
      <c r="E3" t="s">
        <v>666</v>
      </c>
      <c r="H3" t="s">
        <v>147</v>
      </c>
      <c r="P3" t="s">
        <v>671</v>
      </c>
    </row>
    <row r="4" spans="1:28" thickBot="1" x14ac:dyDescent="0.4"/>
    <row r="5" spans="1:28" thickTop="1" x14ac:dyDescent="0.35">
      <c r="A5" s="74" t="s">
        <v>653</v>
      </c>
      <c r="B5" s="47" t="s">
        <v>654</v>
      </c>
      <c r="C5" s="47" t="s">
        <v>655</v>
      </c>
      <c r="E5" t="str">
        <f>A5</f>
        <v>Age</v>
      </c>
      <c r="F5" s="47" t="s">
        <v>667</v>
      </c>
      <c r="H5" s="94"/>
      <c r="I5" s="94" t="s">
        <v>148</v>
      </c>
      <c r="J5" s="94" t="s">
        <v>54</v>
      </c>
      <c r="K5" s="94" t="s">
        <v>55</v>
      </c>
      <c r="L5" s="94" t="s">
        <v>56</v>
      </c>
      <c r="M5" s="94" t="s">
        <v>65</v>
      </c>
      <c r="N5" s="94" t="s">
        <v>149</v>
      </c>
      <c r="P5" t="str">
        <f t="array" ref="P5:R12">[1]!StdAnova1(E6:F26)</f>
        <v>Middle</v>
      </c>
      <c r="Q5" t="str">
        <v>Old</v>
      </c>
      <c r="R5" t="str">
        <v>Young</v>
      </c>
      <c r="T5" t="s">
        <v>173</v>
      </c>
    </row>
    <row r="6" spans="1:28" ht="14.45" x14ac:dyDescent="0.35">
      <c r="A6" s="37" t="s">
        <v>287</v>
      </c>
      <c r="B6" s="254">
        <v>250</v>
      </c>
      <c r="C6" s="256">
        <v>278</v>
      </c>
      <c r="E6" t="str">
        <f t="shared" ref="E6:E26" si="0">A6</f>
        <v>Young</v>
      </c>
      <c r="F6" s="206">
        <f>C6-B6</f>
        <v>28</v>
      </c>
      <c r="H6" t="s">
        <v>150</v>
      </c>
      <c r="I6">
        <f>[1]!MANOVA_PillaiTrace(E6:F26)</f>
        <v>0.29151283660853933</v>
      </c>
      <c r="J6">
        <f>[1]!MANOVA_PillaiF(E6:F26)</f>
        <v>3.7031235921309511</v>
      </c>
      <c r="K6">
        <f>[1]!MANOVA_Pillaidf1(E6:F26)</f>
        <v>2</v>
      </c>
      <c r="L6">
        <f>[1]!MANOVA_Pillaidf2(E6:F26)</f>
        <v>18</v>
      </c>
      <c r="M6">
        <f>[1]!F_DIST_RT(J6,K6,L6)</f>
        <v>4.4976729633925849E-2</v>
      </c>
      <c r="N6">
        <f>J6*K6/(J6*K6+L6)</f>
        <v>0.29151283660853933</v>
      </c>
      <c r="P6" s="203">
        <v>118</v>
      </c>
      <c r="Q6" s="264">
        <v>6</v>
      </c>
      <c r="R6" s="205">
        <v>28</v>
      </c>
    </row>
    <row r="7" spans="1:28" thickBot="1" x14ac:dyDescent="0.4">
      <c r="A7" s="37" t="s">
        <v>287</v>
      </c>
      <c r="B7" s="257">
        <v>65</v>
      </c>
      <c r="C7" s="259">
        <v>207</v>
      </c>
      <c r="E7" t="str">
        <f t="shared" si="0"/>
        <v>Young</v>
      </c>
      <c r="F7" s="98">
        <f t="shared" ref="F7:F26" si="1">C7-B7</f>
        <v>142</v>
      </c>
      <c r="H7" t="s">
        <v>151</v>
      </c>
      <c r="I7">
        <f>[1]!MANOVA_WilksLambda(E6:F26)</f>
        <v>0.70848716339146067</v>
      </c>
      <c r="J7">
        <f t="array" ref="J7">[1]!MANOVA_WilksF(E6:F26)</f>
        <v>3.7031235921309511</v>
      </c>
      <c r="K7">
        <f>[1]!MANOVA_Wilksdf1(E6:F26)</f>
        <v>2</v>
      </c>
      <c r="L7">
        <f>[1]!MANOVA_Wilksdf2(E6:F26)</f>
        <v>18</v>
      </c>
      <c r="M7">
        <f>[1]!F_DIST_RT(J7,K7,L7)</f>
        <v>4.4976729633925849E-2</v>
      </c>
      <c r="N7">
        <f>J7*K7/(J7*K7+L7)</f>
        <v>0.29151283660853933</v>
      </c>
      <c r="P7" s="83">
        <v>96</v>
      </c>
      <c r="Q7" s="37">
        <v>183</v>
      </c>
      <c r="R7" s="84">
        <v>142</v>
      </c>
      <c r="T7" t="s">
        <v>174</v>
      </c>
      <c r="Y7" t="s">
        <v>175</v>
      </c>
      <c r="Z7">
        <v>0.05</v>
      </c>
    </row>
    <row r="8" spans="1:28" thickTop="1" x14ac:dyDescent="0.35">
      <c r="A8" s="37" t="s">
        <v>287</v>
      </c>
      <c r="B8" s="257">
        <v>251</v>
      </c>
      <c r="C8" s="259">
        <v>261</v>
      </c>
      <c r="E8" t="str">
        <f t="shared" si="0"/>
        <v>Young</v>
      </c>
      <c r="F8" s="98">
        <f t="shared" si="1"/>
        <v>10</v>
      </c>
      <c r="H8" t="s">
        <v>152</v>
      </c>
      <c r="I8">
        <f>[1]!MANOVA_HotelTrace(E6:F26)</f>
        <v>0.411458176903439</v>
      </c>
      <c r="J8">
        <f>[1]!MANOVA_HotelF(E6:F26)</f>
        <v>3.7031235921309511</v>
      </c>
      <c r="K8">
        <f>[1]!MANOVA_Hoteldf1(E6:F26)</f>
        <v>2</v>
      </c>
      <c r="L8">
        <f>[1]!MANOVA_Hoteldf2(E6:F26)</f>
        <v>18</v>
      </c>
      <c r="M8">
        <f>[1]!F_DIST_RT(J8,K8,L8)</f>
        <v>4.4976729633925849E-2</v>
      </c>
      <c r="N8">
        <f>J8*K8/(J8*K8+L8)</f>
        <v>0.29151283660853933</v>
      </c>
      <c r="P8" s="83">
        <v>127</v>
      </c>
      <c r="Q8" s="37">
        <v>169</v>
      </c>
      <c r="R8" s="84">
        <v>10</v>
      </c>
      <c r="T8" s="94" t="s">
        <v>176</v>
      </c>
      <c r="U8" s="94" t="s">
        <v>100</v>
      </c>
      <c r="V8" s="94" t="s">
        <v>177</v>
      </c>
      <c r="W8" s="94" t="s">
        <v>34</v>
      </c>
      <c r="X8" s="94" t="s">
        <v>178</v>
      </c>
      <c r="Y8" s="94" t="s">
        <v>179</v>
      </c>
      <c r="Z8" s="94" t="s">
        <v>180</v>
      </c>
      <c r="AA8" s="94" t="s">
        <v>181</v>
      </c>
      <c r="AB8" s="94" t="s">
        <v>182</v>
      </c>
    </row>
    <row r="9" spans="1:28" ht="14.45" x14ac:dyDescent="0.35">
      <c r="A9" s="37" t="s">
        <v>287</v>
      </c>
      <c r="B9" s="257">
        <v>241</v>
      </c>
      <c r="C9" s="259">
        <v>314</v>
      </c>
      <c r="E9" t="str">
        <f t="shared" si="0"/>
        <v>Young</v>
      </c>
      <c r="F9" s="98">
        <f t="shared" si="1"/>
        <v>73</v>
      </c>
      <c r="H9" s="40" t="s">
        <v>153</v>
      </c>
      <c r="I9" s="40">
        <f>[1]!MANOVA_RoyRoot(E6:F26)</f>
        <v>0.411458176903439</v>
      </c>
      <c r="J9" s="40"/>
      <c r="K9" s="40"/>
      <c r="L9" s="40"/>
      <c r="M9" s="40"/>
      <c r="N9" s="40"/>
      <c r="P9" s="83">
        <v>-43</v>
      </c>
      <c r="Q9" s="37">
        <v>140</v>
      </c>
      <c r="R9" s="84">
        <v>73</v>
      </c>
      <c r="T9" t="str">
        <f>P5</f>
        <v>Middle</v>
      </c>
      <c r="U9">
        <f>COUNT(P6:P12)</f>
        <v>7</v>
      </c>
      <c r="V9">
        <f>SUM(P6:P12)</f>
        <v>453</v>
      </c>
      <c r="W9">
        <f>AVERAGE(P6:P12)</f>
        <v>64.714285714285708</v>
      </c>
      <c r="X9">
        <f>VAR(P6:P12)</f>
        <v>3301.9047619047619</v>
      </c>
      <c r="Y9">
        <f>DEVSQ(P6:P12)</f>
        <v>19811.428571428572</v>
      </c>
      <c r="Z9">
        <f>SQRT(W16/U9)</f>
        <v>24.576226921665892</v>
      </c>
      <c r="AA9">
        <f>W9-Z9*TINV(Z7,U9-1)</f>
        <v>4.5784248032333821</v>
      </c>
      <c r="AB9">
        <f>W9+Z9*TINV(Z7,U9-1)</f>
        <v>124.85014662533803</v>
      </c>
    </row>
    <row r="10" spans="1:28" ht="14.45" x14ac:dyDescent="0.35">
      <c r="A10" s="37" t="s">
        <v>287</v>
      </c>
      <c r="B10" s="257">
        <v>154</v>
      </c>
      <c r="C10" s="259">
        <v>167</v>
      </c>
      <c r="E10" t="str">
        <f t="shared" si="0"/>
        <v>Young</v>
      </c>
      <c r="F10" s="98">
        <f t="shared" si="1"/>
        <v>13</v>
      </c>
      <c r="P10" s="83">
        <v>52</v>
      </c>
      <c r="Q10" s="37">
        <v>208</v>
      </c>
      <c r="R10" s="84">
        <v>13</v>
      </c>
      <c r="T10" t="str">
        <f>Q5</f>
        <v>Old</v>
      </c>
      <c r="U10">
        <f>COUNT(Q6:Q12)</f>
        <v>7</v>
      </c>
      <c r="V10">
        <f>SUM(Q6:Q12)</f>
        <v>1059</v>
      </c>
      <c r="W10">
        <f>AVERAGE(Q6:Q12)</f>
        <v>151.28571428571428</v>
      </c>
      <c r="X10">
        <f>VAR(Q6:Q12)</f>
        <v>4975.9047619047633</v>
      </c>
      <c r="Y10">
        <f>DEVSQ(Q6:Q12)</f>
        <v>29855.428571428576</v>
      </c>
      <c r="Z10">
        <f>SQRT(W16/U10)</f>
        <v>24.576226921665892</v>
      </c>
      <c r="AA10">
        <f>W10-Z10*TINV(Z7,U10-1)</f>
        <v>91.149853374661944</v>
      </c>
      <c r="AB10">
        <f>W10+Z10*TINV(Z7,U10-1)</f>
        <v>211.42157519676661</v>
      </c>
    </row>
    <row r="11" spans="1:28" ht="14.45" x14ac:dyDescent="0.35">
      <c r="A11" s="37" t="s">
        <v>287</v>
      </c>
      <c r="B11" s="257">
        <v>103</v>
      </c>
      <c r="C11" s="259">
        <v>286</v>
      </c>
      <c r="E11" t="str">
        <f t="shared" si="0"/>
        <v>Young</v>
      </c>
      <c r="F11" s="98">
        <f t="shared" si="1"/>
        <v>183</v>
      </c>
      <c r="P11" s="83">
        <v>52</v>
      </c>
      <c r="Q11" s="37">
        <v>214</v>
      </c>
      <c r="R11" s="84">
        <v>183</v>
      </c>
      <c r="T11" t="str">
        <f>R5</f>
        <v>Young</v>
      </c>
      <c r="U11">
        <f>COUNT(R6:R12)</f>
        <v>7</v>
      </c>
      <c r="V11">
        <f>SUM(R6:R12)</f>
        <v>525</v>
      </c>
      <c r="W11">
        <f>AVERAGE(R6:R12)</f>
        <v>75</v>
      </c>
      <c r="X11">
        <f>VAR(R6:R12)</f>
        <v>4406</v>
      </c>
      <c r="Y11">
        <f>DEVSQ(R6:R12)</f>
        <v>26436</v>
      </c>
      <c r="Z11">
        <f>SQRT(W16/U11)</f>
        <v>24.576226921665892</v>
      </c>
      <c r="AA11">
        <f>W11-Z11*TINV(Z7,U11-1)</f>
        <v>14.864139088947674</v>
      </c>
      <c r="AB11">
        <f>W11+Z11*TINV(Z7,U11-1)</f>
        <v>135.13586091105233</v>
      </c>
    </row>
    <row r="12" spans="1:28" ht="14.45" x14ac:dyDescent="0.35">
      <c r="A12" s="37" t="s">
        <v>287</v>
      </c>
      <c r="B12" s="260">
        <v>230</v>
      </c>
      <c r="C12" s="259">
        <v>306</v>
      </c>
      <c r="E12" t="str">
        <f t="shared" si="0"/>
        <v>Young</v>
      </c>
      <c r="F12" s="98">
        <f t="shared" si="1"/>
        <v>76</v>
      </c>
      <c r="P12" s="85">
        <v>51</v>
      </c>
      <c r="Q12" s="86">
        <v>139</v>
      </c>
      <c r="R12" s="87">
        <v>76</v>
      </c>
      <c r="T12" s="218"/>
      <c r="U12" s="218"/>
      <c r="V12" s="218"/>
      <c r="W12" s="218"/>
      <c r="X12" s="218"/>
      <c r="Y12" s="218"/>
      <c r="Z12" s="218"/>
      <c r="AA12" s="218"/>
      <c r="AB12" s="218"/>
    </row>
    <row r="13" spans="1:28" thickBot="1" x14ac:dyDescent="0.4">
      <c r="A13" s="223" t="s">
        <v>290</v>
      </c>
      <c r="B13" s="254">
        <v>54</v>
      </c>
      <c r="C13" s="256">
        <v>172</v>
      </c>
      <c r="E13" t="str">
        <f t="shared" si="0"/>
        <v>Middle</v>
      </c>
      <c r="F13" s="98">
        <f t="shared" si="1"/>
        <v>118</v>
      </c>
      <c r="T13" t="s">
        <v>183</v>
      </c>
    </row>
    <row r="14" spans="1:28" thickTop="1" x14ac:dyDescent="0.35">
      <c r="A14" s="49" t="s">
        <v>290</v>
      </c>
      <c r="B14" s="257">
        <v>20</v>
      </c>
      <c r="C14" s="259">
        <v>116</v>
      </c>
      <c r="E14" t="str">
        <f t="shared" si="0"/>
        <v>Middle</v>
      </c>
      <c r="F14" s="98">
        <f t="shared" si="1"/>
        <v>96</v>
      </c>
      <c r="T14" s="94" t="s">
        <v>184</v>
      </c>
      <c r="U14" s="94" t="s">
        <v>179</v>
      </c>
      <c r="V14" s="94" t="s">
        <v>62</v>
      </c>
      <c r="W14" s="94" t="s">
        <v>185</v>
      </c>
      <c r="X14" s="94" t="s">
        <v>54</v>
      </c>
      <c r="Y14" s="94" t="s">
        <v>186</v>
      </c>
      <c r="Z14" s="94" t="s">
        <v>187</v>
      </c>
      <c r="AA14" s="94" t="s">
        <v>188</v>
      </c>
      <c r="AB14" s="94" t="s">
        <v>189</v>
      </c>
    </row>
    <row r="15" spans="1:28" ht="14.45" x14ac:dyDescent="0.35">
      <c r="A15" s="49" t="s">
        <v>290</v>
      </c>
      <c r="B15" s="257">
        <v>41</v>
      </c>
      <c r="C15" s="259">
        <v>168</v>
      </c>
      <c r="E15" t="str">
        <f t="shared" si="0"/>
        <v>Middle</v>
      </c>
      <c r="F15" s="98">
        <f t="shared" si="1"/>
        <v>127</v>
      </c>
      <c r="T15" t="s">
        <v>190</v>
      </c>
      <c r="U15">
        <f>U17-U16</f>
        <v>31313.142857142855</v>
      </c>
      <c r="V15">
        <f>COUNTA(T9:T11)-1</f>
        <v>2</v>
      </c>
      <c r="W15">
        <f>U15/V15</f>
        <v>15656.571428571428</v>
      </c>
      <c r="X15">
        <f>W15/W16</f>
        <v>3.7031235921309502</v>
      </c>
      <c r="Y15">
        <f>FDIST(X15,V15,V16)</f>
        <v>4.4976729633925815E-2</v>
      </c>
      <c r="Z15">
        <f>FINV(Z7,V15,V16)</f>
        <v>3.5545571456617879</v>
      </c>
      <c r="AA15">
        <f>SQRT(DEVSQ(W9:W11)/(W16*V15))</f>
        <v>0.72733599939691362</v>
      </c>
      <c r="AB15">
        <f>(U17-V17*W16)/(U17+W16)</f>
        <v>0.20473364301020475</v>
      </c>
    </row>
    <row r="16" spans="1:28" ht="14.45" x14ac:dyDescent="0.35">
      <c r="A16" s="49" t="s">
        <v>290</v>
      </c>
      <c r="B16" s="257">
        <v>200</v>
      </c>
      <c r="C16" s="259">
        <v>157</v>
      </c>
      <c r="E16" t="str">
        <f t="shared" si="0"/>
        <v>Middle</v>
      </c>
      <c r="F16" s="98">
        <f t="shared" si="1"/>
        <v>-43</v>
      </c>
      <c r="T16" t="s">
        <v>191</v>
      </c>
      <c r="U16">
        <f>SUM(Y9:Y11)</f>
        <v>76102.857142857145</v>
      </c>
      <c r="V16">
        <f>V17-V15</f>
        <v>18</v>
      </c>
      <c r="W16">
        <f>U16/V16</f>
        <v>4227.936507936508</v>
      </c>
    </row>
    <row r="17" spans="1:28" ht="14.45" x14ac:dyDescent="0.35">
      <c r="A17" s="49" t="s">
        <v>290</v>
      </c>
      <c r="B17" s="257">
        <v>34</v>
      </c>
      <c r="C17" s="259">
        <v>86</v>
      </c>
      <c r="E17" t="str">
        <f t="shared" si="0"/>
        <v>Middle</v>
      </c>
      <c r="F17" s="98">
        <f t="shared" si="1"/>
        <v>52</v>
      </c>
      <c r="T17" s="40" t="s">
        <v>168</v>
      </c>
      <c r="U17" s="40">
        <f>DEVSQ(P6:R12)</f>
        <v>107416</v>
      </c>
      <c r="V17" s="40">
        <f>COUNT(P6:R12)-1</f>
        <v>20</v>
      </c>
      <c r="W17" s="40">
        <f>U17/V17</f>
        <v>5370.8</v>
      </c>
      <c r="X17" s="40"/>
      <c r="Y17" s="40"/>
      <c r="Z17" s="40"/>
      <c r="AA17" s="40"/>
      <c r="AB17" s="40"/>
    </row>
    <row r="18" spans="1:28" ht="14.45" x14ac:dyDescent="0.35">
      <c r="A18" s="49" t="s">
        <v>290</v>
      </c>
      <c r="B18" s="257">
        <v>29</v>
      </c>
      <c r="C18" s="259">
        <v>81</v>
      </c>
      <c r="E18" t="str">
        <f t="shared" si="0"/>
        <v>Middle</v>
      </c>
      <c r="F18" s="98">
        <f t="shared" si="1"/>
        <v>52</v>
      </c>
    </row>
    <row r="19" spans="1:28" ht="14.45" x14ac:dyDescent="0.35">
      <c r="A19" s="52" t="s">
        <v>290</v>
      </c>
      <c r="B19" s="260">
        <v>3</v>
      </c>
      <c r="C19" s="262">
        <v>54</v>
      </c>
      <c r="E19" t="str">
        <f t="shared" si="0"/>
        <v>Middle</v>
      </c>
      <c r="F19" s="98">
        <f t="shared" si="1"/>
        <v>51</v>
      </c>
    </row>
    <row r="20" spans="1:28" ht="14.45" x14ac:dyDescent="0.35">
      <c r="A20" s="223" t="s">
        <v>288</v>
      </c>
      <c r="B20" s="257">
        <v>118</v>
      </c>
      <c r="C20" s="259">
        <v>124</v>
      </c>
      <c r="E20" t="str">
        <f t="shared" si="0"/>
        <v>Old</v>
      </c>
      <c r="F20" s="98">
        <f t="shared" si="1"/>
        <v>6</v>
      </c>
    </row>
    <row r="21" spans="1:28" ht="14.45" x14ac:dyDescent="0.35">
      <c r="A21" s="49" t="s">
        <v>288</v>
      </c>
      <c r="B21" s="257">
        <v>83</v>
      </c>
      <c r="C21" s="259">
        <v>266</v>
      </c>
      <c r="E21" t="str">
        <f t="shared" si="0"/>
        <v>Old</v>
      </c>
      <c r="F21" s="98">
        <f t="shared" si="1"/>
        <v>183</v>
      </c>
    </row>
    <row r="22" spans="1:28" ht="14.45" x14ac:dyDescent="0.35">
      <c r="A22" s="49" t="s">
        <v>288</v>
      </c>
      <c r="B22" s="257">
        <v>38</v>
      </c>
      <c r="C22" s="259">
        <v>207</v>
      </c>
      <c r="E22" t="str">
        <f t="shared" si="0"/>
        <v>Old</v>
      </c>
      <c r="F22" s="98">
        <f t="shared" si="1"/>
        <v>169</v>
      </c>
    </row>
    <row r="23" spans="1:28" ht="14.45" x14ac:dyDescent="0.35">
      <c r="A23" s="49" t="s">
        <v>288</v>
      </c>
      <c r="B23" s="257">
        <v>71</v>
      </c>
      <c r="C23" s="259">
        <v>211</v>
      </c>
      <c r="E23" t="str">
        <f t="shared" si="0"/>
        <v>Old</v>
      </c>
      <c r="F23" s="98">
        <f t="shared" si="1"/>
        <v>140</v>
      </c>
    </row>
    <row r="24" spans="1:28" ht="14.45" x14ac:dyDescent="0.35">
      <c r="A24" s="49" t="s">
        <v>288</v>
      </c>
      <c r="B24" s="257">
        <v>123</v>
      </c>
      <c r="C24" s="259">
        <v>331</v>
      </c>
      <c r="E24" t="str">
        <f t="shared" si="0"/>
        <v>Old</v>
      </c>
      <c r="F24" s="98">
        <f t="shared" si="1"/>
        <v>208</v>
      </c>
    </row>
    <row r="25" spans="1:28" ht="14.45" x14ac:dyDescent="0.35">
      <c r="A25" s="49" t="s">
        <v>288</v>
      </c>
      <c r="B25" s="257">
        <v>71</v>
      </c>
      <c r="C25" s="259">
        <v>285</v>
      </c>
      <c r="E25" t="str">
        <f t="shared" si="0"/>
        <v>Old</v>
      </c>
      <c r="F25" s="98">
        <f t="shared" si="1"/>
        <v>214</v>
      </c>
    </row>
    <row r="26" spans="1:28" ht="14.45" x14ac:dyDescent="0.35">
      <c r="A26" s="52" t="s">
        <v>288</v>
      </c>
      <c r="B26" s="260">
        <v>108</v>
      </c>
      <c r="C26" s="262">
        <v>247</v>
      </c>
      <c r="E26" t="str">
        <f t="shared" si="0"/>
        <v>Old</v>
      </c>
      <c r="F26" s="99">
        <f t="shared" si="1"/>
        <v>139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9"/>
  <dimension ref="A1:I12"/>
  <sheetViews>
    <sheetView workbookViewId="0"/>
  </sheetViews>
  <sheetFormatPr defaultRowHeight="15" x14ac:dyDescent="0.25"/>
  <cols>
    <col min="3" max="3" width="3" customWidth="1"/>
    <col min="4" max="4" width="30" customWidth="1"/>
    <col min="6" max="6" width="10" customWidth="1"/>
    <col min="8" max="8" width="3.28515625" customWidth="1"/>
    <col min="9" max="9" width="31" customWidth="1"/>
  </cols>
  <sheetData>
    <row r="1" spans="1:9" ht="14.45" x14ac:dyDescent="0.35">
      <c r="A1" s="42" t="s">
        <v>980</v>
      </c>
    </row>
    <row r="3" spans="1:9" ht="14.45" x14ac:dyDescent="0.35">
      <c r="A3" t="s">
        <v>468</v>
      </c>
      <c r="B3" s="146">
        <v>0.5</v>
      </c>
      <c r="C3" s="37"/>
      <c r="F3" t="s">
        <v>468</v>
      </c>
      <c r="G3" s="146">
        <v>0.5</v>
      </c>
    </row>
    <row r="4" spans="1:9" x14ac:dyDescent="0.25">
      <c r="A4" t="s">
        <v>52</v>
      </c>
      <c r="B4" s="173">
        <v>50</v>
      </c>
      <c r="C4" s="37"/>
      <c r="F4" t="s">
        <v>968</v>
      </c>
      <c r="G4" s="173">
        <v>0.95</v>
      </c>
    </row>
    <row r="5" spans="1:9" ht="14.45" x14ac:dyDescent="0.35">
      <c r="A5" t="s">
        <v>53</v>
      </c>
      <c r="B5" s="173">
        <v>3</v>
      </c>
      <c r="C5" s="37"/>
      <c r="F5" t="s">
        <v>53</v>
      </c>
      <c r="G5" s="173">
        <v>3</v>
      </c>
    </row>
    <row r="6" spans="1:9" ht="14.45" x14ac:dyDescent="0.35">
      <c r="A6" t="s">
        <v>979</v>
      </c>
      <c r="B6" s="173">
        <f>B4-B5</f>
        <v>47</v>
      </c>
      <c r="C6" s="37"/>
      <c r="D6" s="37" t="str">
        <f>[1]!FTEXT(B6)</f>
        <v>=B4-B5</v>
      </c>
      <c r="F6" t="s">
        <v>220</v>
      </c>
      <c r="G6" s="173">
        <v>0.05</v>
      </c>
    </row>
    <row r="7" spans="1:9" ht="14.45" x14ac:dyDescent="0.35">
      <c r="A7" t="s">
        <v>967</v>
      </c>
      <c r="B7" s="173">
        <f>B3^2*B4</f>
        <v>12.5</v>
      </c>
      <c r="C7" s="37"/>
      <c r="D7" s="37" t="str">
        <f>[1]!FTEXT(B7)</f>
        <v>=B3^2*B4</v>
      </c>
      <c r="F7" t="s">
        <v>52</v>
      </c>
      <c r="G7" s="173">
        <f>[1]!Hotel1_SIZE(G3,G5,G4)</f>
        <v>73</v>
      </c>
      <c r="I7" t="str">
        <f>[1]!FTEXT(G7:G15)</f>
        <v>=Hotel1_SIZE(G3,G5,G4)</v>
      </c>
    </row>
    <row r="8" spans="1:9" ht="14.45" x14ac:dyDescent="0.35">
      <c r="A8" t="s">
        <v>220</v>
      </c>
      <c r="B8" s="173">
        <v>0.05</v>
      </c>
      <c r="C8" s="37"/>
      <c r="D8" s="37"/>
      <c r="F8" t="s">
        <v>979</v>
      </c>
      <c r="G8" s="173">
        <f>G7-G5</f>
        <v>70</v>
      </c>
      <c r="I8" t="str">
        <f>[1]!FTEXT(G8:G16)</f>
        <v>=G7-G5</v>
      </c>
    </row>
    <row r="9" spans="1:9" ht="14.45" x14ac:dyDescent="0.35">
      <c r="A9" t="s">
        <v>973</v>
      </c>
      <c r="B9" s="173">
        <f>[1]!F_INV_RT(B8,B5,B6)</f>
        <v>2.8023551760961718</v>
      </c>
      <c r="C9" s="37"/>
      <c r="D9" s="37" t="str">
        <f>[1]!FTEXT(B9)</f>
        <v>=F_INV_RT(B8,B5,B6)</v>
      </c>
      <c r="F9" t="s">
        <v>967</v>
      </c>
      <c r="G9" s="173">
        <f>G3^2*G7</f>
        <v>18.25</v>
      </c>
      <c r="I9" t="str">
        <f>[1]!FTEXT(G9:G17)</f>
        <v>=G3^2*G7</v>
      </c>
    </row>
    <row r="10" spans="1:9" x14ac:dyDescent="0.25">
      <c r="A10" t="s">
        <v>968</v>
      </c>
      <c r="B10" s="52">
        <f>1 - [1]!NF_DIST(B9, B5, B6, B7,TRUE)</f>
        <v>0.82277752569019136</v>
      </c>
      <c r="C10" s="37"/>
      <c r="D10" s="37" t="str">
        <f>[1]!FTEXT(B10)</f>
        <v>=1 - NF_DIST(B9, B5, B6, B7,TRUE)</v>
      </c>
      <c r="F10" t="s">
        <v>973</v>
      </c>
      <c r="G10" s="173">
        <f>[1]!F_INV_RT(G6,G5,G8)</f>
        <v>2.7355414509129541</v>
      </c>
      <c r="I10" t="str">
        <f>[1]!FTEXT(G10:G18)</f>
        <v>=F_INV_RT(G6,G5,G8)</v>
      </c>
    </row>
    <row r="11" spans="1:9" ht="14.45" x14ac:dyDescent="0.35">
      <c r="D11" s="37"/>
      <c r="F11" t="s">
        <v>981</v>
      </c>
      <c r="G11" s="52">
        <f>1 - [1]!NF_DIST(G10, G5, G8, G9,TRUE)</f>
        <v>0.95096948971336404</v>
      </c>
      <c r="I11" t="str">
        <f>[1]!FTEXT(G11:G19)</f>
        <v>=1 - NF_DIST(G10, G5, G8, G9,TRUE)</v>
      </c>
    </row>
    <row r="12" spans="1:9" ht="14.45" x14ac:dyDescent="0.35">
      <c r="B12" s="431">
        <f>[1]!Hotel1_POWER(B3,B4,B5)</f>
        <v>0.82277752569019136</v>
      </c>
      <c r="C12" s="37"/>
      <c r="D12" s="37" t="str">
        <f>[1]!FTEXT(B12)</f>
        <v>=Hotel1_POWER(B3,B4,B5)</v>
      </c>
    </row>
  </sheetData>
  <pageMargins left="0.7" right="0.7" top="0.75" bottom="0.75" header="0.3" footer="0.3"/>
  <pageSetup paperSize="9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0"/>
  <dimension ref="A1:I13"/>
  <sheetViews>
    <sheetView workbookViewId="0"/>
  </sheetViews>
  <sheetFormatPr defaultRowHeight="15" x14ac:dyDescent="0.25"/>
  <cols>
    <col min="3" max="3" width="3.140625" customWidth="1"/>
    <col min="4" max="4" width="30.42578125" customWidth="1"/>
    <col min="5" max="5" width="9.140625" customWidth="1"/>
    <col min="6" max="6" width="10" customWidth="1"/>
    <col min="8" max="8" width="3.140625" customWidth="1"/>
    <col min="9" max="9" width="33.42578125" customWidth="1"/>
  </cols>
  <sheetData>
    <row r="1" spans="1:9" ht="14.45" x14ac:dyDescent="0.35">
      <c r="A1" s="42" t="s">
        <v>982</v>
      </c>
    </row>
    <row r="3" spans="1:9" ht="14.45" x14ac:dyDescent="0.35">
      <c r="A3" t="s">
        <v>468</v>
      </c>
      <c r="B3" s="146">
        <v>0.5</v>
      </c>
      <c r="C3" s="37"/>
      <c r="D3" s="37"/>
      <c r="F3" t="s">
        <v>468</v>
      </c>
      <c r="G3" s="146">
        <v>0.5</v>
      </c>
    </row>
    <row r="4" spans="1:9" x14ac:dyDescent="0.25">
      <c r="A4" t="s">
        <v>103</v>
      </c>
      <c r="B4" s="173">
        <v>70</v>
      </c>
      <c r="C4" s="37"/>
      <c r="D4" s="37"/>
      <c r="F4" t="s">
        <v>968</v>
      </c>
      <c r="G4" s="173">
        <v>0.95</v>
      </c>
    </row>
    <row r="5" spans="1:9" ht="14.45" x14ac:dyDescent="0.35">
      <c r="A5" t="s">
        <v>104</v>
      </c>
      <c r="B5" s="173">
        <v>50</v>
      </c>
      <c r="C5" s="37"/>
      <c r="D5" s="37"/>
      <c r="F5" t="s">
        <v>983</v>
      </c>
      <c r="G5" s="173">
        <v>1</v>
      </c>
    </row>
    <row r="6" spans="1:9" ht="14.45" x14ac:dyDescent="0.35">
      <c r="A6" t="s">
        <v>53</v>
      </c>
      <c r="B6" s="173">
        <v>3</v>
      </c>
      <c r="C6" s="37"/>
      <c r="D6" s="37"/>
      <c r="F6" t="s">
        <v>53</v>
      </c>
      <c r="G6" s="173">
        <v>3</v>
      </c>
    </row>
    <row r="7" spans="1:9" ht="14.45" x14ac:dyDescent="0.35">
      <c r="A7" t="s">
        <v>979</v>
      </c>
      <c r="B7" s="173">
        <f>B4+B5-B6-1</f>
        <v>116</v>
      </c>
      <c r="C7" s="37"/>
      <c r="D7" s="37" t="str">
        <f>[1]!FTEXT(B7)</f>
        <v>=B4+B5-B6-1</v>
      </c>
      <c r="F7" t="s">
        <v>220</v>
      </c>
      <c r="G7" s="173">
        <v>0.05</v>
      </c>
    </row>
    <row r="8" spans="1:9" ht="14.45" x14ac:dyDescent="0.35">
      <c r="A8" t="s">
        <v>967</v>
      </c>
      <c r="B8" s="173">
        <f>B3^2*B4*B5/(B4+B5)</f>
        <v>7.291666666666667</v>
      </c>
      <c r="C8" s="37"/>
      <c r="D8" s="37" t="str">
        <f>[1]!FTEXT(B8)</f>
        <v>=B3^2*B4*B5/(B4+B5)</v>
      </c>
      <c r="F8" t="s">
        <v>103</v>
      </c>
      <c r="G8" s="173">
        <f>[1]!Hotel2_SIZE(G3,G6,G4,G7,G5)</f>
        <v>140</v>
      </c>
      <c r="I8" t="str">
        <f>[1]!FTEXT(G8)</f>
        <v>=Hotel2_SIZE(G3,G6,G4,G7,G5)</v>
      </c>
    </row>
    <row r="9" spans="1:9" ht="14.45" x14ac:dyDescent="0.35">
      <c r="A9" t="s">
        <v>220</v>
      </c>
      <c r="B9" s="173">
        <v>0.05</v>
      </c>
      <c r="C9" s="37"/>
      <c r="D9" s="37"/>
      <c r="F9" t="s">
        <v>104</v>
      </c>
      <c r="G9" s="173">
        <f>G8*G5</f>
        <v>140</v>
      </c>
      <c r="I9" t="str">
        <f>[1]!FTEXT(G9)</f>
        <v>=G8*G5</v>
      </c>
    </row>
    <row r="10" spans="1:9" ht="14.45" x14ac:dyDescent="0.35">
      <c r="A10" t="s">
        <v>973</v>
      </c>
      <c r="B10" s="173">
        <f>[1]!F_INV_RT(B9,B6,B7)</f>
        <v>2.6828094071219</v>
      </c>
      <c r="C10" s="37"/>
      <c r="D10" s="37" t="str">
        <f>[1]!FTEXT(B10)</f>
        <v>=F_INV_RT(B9,B6,B7)</v>
      </c>
      <c r="F10" t="s">
        <v>979</v>
      </c>
      <c r="G10" s="173">
        <f>G8+G9-G6-1</f>
        <v>276</v>
      </c>
      <c r="I10" t="str">
        <f>[1]!FTEXT(G10)</f>
        <v>=G8+G9-G6-1</v>
      </c>
    </row>
    <row r="11" spans="1:9" x14ac:dyDescent="0.25">
      <c r="A11" t="s">
        <v>968</v>
      </c>
      <c r="B11" s="52">
        <f>1 - [1]!NF_DIST(B10, B6, B7, B8,TRUE)</f>
        <v>0.5930187328539106</v>
      </c>
      <c r="C11" s="37"/>
      <c r="D11" s="37" t="str">
        <f>[1]!FTEXT(B11)</f>
        <v>=1 - NF_DIST(B10, B6, B7, B8,TRUE)</v>
      </c>
      <c r="F11" t="s">
        <v>967</v>
      </c>
      <c r="G11" s="173">
        <f>G3^2*G8*G9/(G8+G9)</f>
        <v>17.5</v>
      </c>
      <c r="I11" t="str">
        <f>[1]!FTEXT(G11)</f>
        <v>=G3^2*G8*G9/(G8+G9)</v>
      </c>
    </row>
    <row r="12" spans="1:9" ht="14.45" x14ac:dyDescent="0.35">
      <c r="D12" s="37"/>
      <c r="F12" t="s">
        <v>973</v>
      </c>
      <c r="G12" s="173">
        <f>[1]!F_INV_RT(G7,G6,G10)</f>
        <v>2.6373108578343745</v>
      </c>
      <c r="I12" t="str">
        <f>[1]!FTEXT(G12)</f>
        <v>=F_INV_RT(G7,G6,G10)</v>
      </c>
    </row>
    <row r="13" spans="1:9" ht="14.45" x14ac:dyDescent="0.35">
      <c r="B13" s="431">
        <f>[1]!Hotel2_POWER(B3,B4,B5,B6)</f>
        <v>0.5930187328539106</v>
      </c>
      <c r="C13" s="37"/>
      <c r="D13" s="37" t="str">
        <f>[1]!FTEXT(B13)</f>
        <v>=Hotel2_POWER(B3,B4,B5,B6)</v>
      </c>
      <c r="F13" t="s">
        <v>981</v>
      </c>
      <c r="G13" s="52">
        <f>1 - [1]!NF_DIST(G12, G6, G10, G11,TRUE)</f>
        <v>0.95099080908828704</v>
      </c>
      <c r="I13" t="str">
        <f>[1]!FTEXT(G13)</f>
        <v>=1 - NF_DIST(G12, G6, G10, G11,TRUE)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N20"/>
  <sheetViews>
    <sheetView workbookViewId="0"/>
  </sheetViews>
  <sheetFormatPr defaultRowHeight="15" x14ac:dyDescent="0.25"/>
  <cols>
    <col min="4" max="4" width="5.7109375" customWidth="1"/>
    <col min="5" max="6" width="10.85546875" customWidth="1"/>
    <col min="7" max="7" width="5.28515625" customWidth="1"/>
    <col min="8" max="13" width="10.85546875" customWidth="1"/>
  </cols>
  <sheetData>
    <row r="1" spans="1:14" ht="14.45" x14ac:dyDescent="0.35">
      <c r="A1" s="42" t="s">
        <v>108</v>
      </c>
    </row>
    <row r="3" spans="1:14" ht="14.45" x14ac:dyDescent="0.35">
      <c r="A3" t="str">
        <f>'Hotel 2a'!I9</f>
        <v>Covariance - Drug</v>
      </c>
      <c r="E3" t="s">
        <v>108</v>
      </c>
      <c r="I3" s="32" t="s">
        <v>121</v>
      </c>
      <c r="J3" s="32" t="s">
        <v>123</v>
      </c>
      <c r="K3" s="32" t="s">
        <v>124</v>
      </c>
      <c r="L3" s="32" t="s">
        <v>109</v>
      </c>
      <c r="M3" s="32" t="s">
        <v>110</v>
      </c>
      <c r="N3" s="32" t="s">
        <v>122</v>
      </c>
    </row>
    <row r="4" spans="1:14" ht="14.45" x14ac:dyDescent="0.35">
      <c r="H4" t="s">
        <v>90</v>
      </c>
      <c r="I4" s="72">
        <f>'Hotel 2a'!J7-1</f>
        <v>19</v>
      </c>
      <c r="J4" s="34">
        <f>1/I4</f>
        <v>5.2631578947368418E-2</v>
      </c>
      <c r="K4" s="34">
        <f>J4^2</f>
        <v>2.7700831024930744E-3</v>
      </c>
      <c r="L4" s="34">
        <f>MDETERM(A5:C7)</f>
        <v>2460.6301224668277</v>
      </c>
      <c r="M4" s="34">
        <f>LN(L4)</f>
        <v>7.808172743470517</v>
      </c>
      <c r="N4" s="34">
        <f>M4*I4</f>
        <v>148.35528212593982</v>
      </c>
    </row>
    <row r="5" spans="1:14" ht="14.45" x14ac:dyDescent="0.35">
      <c r="A5" s="33">
        <f>'Hotel 2'!I11</f>
        <v>1.2567368421052636</v>
      </c>
      <c r="B5" s="34">
        <f>'Hotel 2'!J11</f>
        <v>-9.9426315789473776</v>
      </c>
      <c r="C5" s="35">
        <f>'Hotel 2'!K11</f>
        <v>3.2663157894736892</v>
      </c>
      <c r="E5" t="s">
        <v>203</v>
      </c>
      <c r="F5" s="48">
        <f>COUNTA(H4:H5)</f>
        <v>2</v>
      </c>
      <c r="H5" t="s">
        <v>94</v>
      </c>
      <c r="I5" s="73">
        <f>'Hotel 2a'!K7-1</f>
        <v>17</v>
      </c>
      <c r="J5" s="37">
        <f>1/I5</f>
        <v>5.8823529411764705E-2</v>
      </c>
      <c r="K5" s="37">
        <f>J5^2</f>
        <v>3.4602076124567475E-3</v>
      </c>
      <c r="L5" s="37">
        <f>MDETERM(A11:C13)</f>
        <v>2842.1891624262134</v>
      </c>
      <c r="M5" s="37">
        <f>LN(L5)</f>
        <v>7.9523298660571884</v>
      </c>
      <c r="N5" s="37">
        <f>M5*I5</f>
        <v>135.1896077229722</v>
      </c>
    </row>
    <row r="6" spans="1:14" ht="14.45" x14ac:dyDescent="0.35">
      <c r="A6" s="36">
        <f>'Hotel 2'!I12</f>
        <v>-9.9426315789473776</v>
      </c>
      <c r="B6" s="37">
        <f>'Hotel 2'!J12</f>
        <v>169.31315789473683</v>
      </c>
      <c r="C6" s="38">
        <f>'Hotel 2'!K12</f>
        <v>-38.299999999999997</v>
      </c>
      <c r="E6" t="s">
        <v>53</v>
      </c>
      <c r="F6" s="52">
        <f>COUNT(A5:C5)</f>
        <v>3</v>
      </c>
      <c r="H6" t="s">
        <v>112</v>
      </c>
      <c r="I6" s="74">
        <f>SUM(I4:I5)</f>
        <v>36</v>
      </c>
      <c r="J6" s="40">
        <f>1/I6</f>
        <v>2.7777777777777776E-2</v>
      </c>
      <c r="K6" s="40">
        <f>J6^2</f>
        <v>7.716049382716049E-4</v>
      </c>
      <c r="L6" s="40">
        <f>MDETERM(A17:C19)</f>
        <v>2873.9655751778951</v>
      </c>
      <c r="M6" s="40">
        <f>LN(L6)</f>
        <v>7.9634480885497991</v>
      </c>
      <c r="N6" s="37">
        <f>M6*I6</f>
        <v>286.68413118779279</v>
      </c>
    </row>
    <row r="7" spans="1:14" ht="14.45" x14ac:dyDescent="0.35">
      <c r="A7" s="39">
        <f>'Hotel 2'!I13</f>
        <v>3.2663157894736892</v>
      </c>
      <c r="B7" s="40">
        <f>'Hotel 2'!J13</f>
        <v>-38.299999999999997</v>
      </c>
      <c r="C7" s="41">
        <f>'Hotel 2'!K13</f>
        <v>31.8</v>
      </c>
      <c r="H7" t="s">
        <v>96</v>
      </c>
      <c r="I7" s="47"/>
      <c r="J7" s="34">
        <f>SUM(J4:J5)-J6</f>
        <v>8.3677330581355347E-2</v>
      </c>
      <c r="K7" s="34">
        <f>SUM(K4:K5)-K6</f>
        <v>5.458685776678217E-3</v>
      </c>
      <c r="L7" s="34"/>
      <c r="M7" s="64"/>
      <c r="N7" s="34">
        <f>N6-SUM(N4:N5)</f>
        <v>3.1392413388807654</v>
      </c>
    </row>
    <row r="9" spans="1:14" ht="14.45" x14ac:dyDescent="0.35">
      <c r="A9" t="str">
        <f>'Hotel 2a'!M9</f>
        <v>Covariance - Placebo</v>
      </c>
    </row>
    <row r="11" spans="1:14" ht="14.45" x14ac:dyDescent="0.35">
      <c r="A11" s="33">
        <f>'Hotel 2'!M11</f>
        <v>1.4967320261437886</v>
      </c>
      <c r="B11" s="34">
        <f>'Hotel 2'!N11</f>
        <v>-10.430718954248354</v>
      </c>
      <c r="C11" s="35">
        <f>'Hotel 2'!O11</f>
        <v>0.64771241830065429</v>
      </c>
      <c r="E11" t="s">
        <v>113</v>
      </c>
      <c r="F11" s="48">
        <f>N7</f>
        <v>3.1392413388807654</v>
      </c>
      <c r="H11" t="s">
        <v>283</v>
      </c>
      <c r="I11" s="48">
        <f>(F6-1)*(F6+2)/(6*(F5-1))*K7</f>
        <v>9.097809627797028E-3</v>
      </c>
    </row>
    <row r="12" spans="1:14" ht="14.45" x14ac:dyDescent="0.35">
      <c r="A12" s="36">
        <f>'Hotel 2'!M12</f>
        <v>-10.430718954248354</v>
      </c>
      <c r="B12" s="37">
        <f>'Hotel 2'!N12</f>
        <v>175.15359477124181</v>
      </c>
      <c r="C12" s="38">
        <f>'Hotel 2'!O12</f>
        <v>-28.562091503267972</v>
      </c>
      <c r="E12" t="s">
        <v>114</v>
      </c>
      <c r="F12" s="49">
        <f>(2*F6^2+3*F6-1)/(6*(F6+1)*(F5-1))*J7</f>
        <v>9.0650441463134959E-2</v>
      </c>
      <c r="H12" t="s">
        <v>56</v>
      </c>
      <c r="I12" s="49">
        <f>(F14+2)/ABS(I11-F12^2)</f>
        <v>9087.7377767667494</v>
      </c>
    </row>
    <row r="13" spans="1:14" x14ac:dyDescent="0.25">
      <c r="A13" s="39">
        <f>'Hotel 2'!M13</f>
        <v>0.64771241830065429</v>
      </c>
      <c r="B13" s="40">
        <f>'Hotel 2'!N13</f>
        <v>-28.562091503267972</v>
      </c>
      <c r="C13" s="41">
        <f>'Hotel 2'!O13</f>
        <v>24.457516339869276</v>
      </c>
      <c r="E13" s="71" t="s">
        <v>115</v>
      </c>
      <c r="F13" s="49">
        <f>F11*(1-F12)</f>
        <v>2.8546677256519013</v>
      </c>
      <c r="H13" t="s">
        <v>116</v>
      </c>
      <c r="I13" s="49">
        <f>F14/(1-F12-F14/I12)</f>
        <v>6.6029167655782279</v>
      </c>
    </row>
    <row r="14" spans="1:14" ht="14.45" x14ac:dyDescent="0.35">
      <c r="E14" s="71" t="s">
        <v>62</v>
      </c>
      <c r="F14" s="49">
        <f>F6*(F6+1)*(F5-1)/2</f>
        <v>6</v>
      </c>
      <c r="H14" t="s">
        <v>117</v>
      </c>
      <c r="I14" s="49">
        <f>I12/(1-F12+2/I12)</f>
        <v>9991.2501736878748</v>
      </c>
    </row>
    <row r="15" spans="1:14" ht="14.45" x14ac:dyDescent="0.35">
      <c r="A15" t="str">
        <f>'Hotel 2a'!Q9</f>
        <v>Covariance - Pooled</v>
      </c>
      <c r="E15" s="71" t="s">
        <v>65</v>
      </c>
      <c r="F15" s="49">
        <f>CHIDIST(F13,F14)</f>
        <v>0.82685409552680311</v>
      </c>
      <c r="H15" t="s">
        <v>118</v>
      </c>
      <c r="I15" s="49">
        <f>F11/I13</f>
        <v>0.47543251722420538</v>
      </c>
    </row>
    <row r="16" spans="1:14" x14ac:dyDescent="0.25">
      <c r="E16" s="71" t="s">
        <v>57</v>
      </c>
      <c r="F16" s="49">
        <v>1E-3</v>
      </c>
      <c r="H16" t="s">
        <v>119</v>
      </c>
      <c r="I16" s="49">
        <f>I12*F11/(F14*(I14-F11))</f>
        <v>0.47604267211559748</v>
      </c>
    </row>
    <row r="17" spans="1:9" x14ac:dyDescent="0.25">
      <c r="A17" s="33">
        <f>'Hotel 2'!Q11</f>
        <v>1.3700679012345671</v>
      </c>
      <c r="B17" s="34">
        <f>'Hotel 2'!R11</f>
        <v>-10.173117283950615</v>
      </c>
      <c r="C17" s="35">
        <f>'Hotel 2'!S11</f>
        <v>2.0297530864197562</v>
      </c>
      <c r="E17" s="71" t="s">
        <v>120</v>
      </c>
      <c r="F17" s="49">
        <f>CHIINV(F16,F14)</f>
        <v>22.457744484825326</v>
      </c>
      <c r="H17" t="s">
        <v>54</v>
      </c>
      <c r="I17" s="49">
        <f>IF(I11&gt;F12^2,I15,I16)</f>
        <v>0.47543251722420538</v>
      </c>
    </row>
    <row r="18" spans="1:9" ht="14.45" x14ac:dyDescent="0.35">
      <c r="A18" s="36">
        <f>'Hotel 2'!Q12</f>
        <v>-10.173117283950615</v>
      </c>
      <c r="B18" s="37">
        <f>'Hotel 2'!R12</f>
        <v>172.07114197530862</v>
      </c>
      <c r="C18" s="38">
        <f>'Hotel 2'!S12</f>
        <v>-33.70154320987654</v>
      </c>
      <c r="E18" s="71" t="s">
        <v>60</v>
      </c>
      <c r="F18" s="51" t="str">
        <f>IF(F15&lt;F16,"yes","no")</f>
        <v>no</v>
      </c>
      <c r="H18" t="s">
        <v>65</v>
      </c>
      <c r="I18" s="49">
        <f>FDIST(I17,F14,I12)</f>
        <v>0.82708534597291006</v>
      </c>
    </row>
    <row r="19" spans="1:9" ht="14.45" x14ac:dyDescent="0.35">
      <c r="A19" s="39">
        <f>'Hotel 2'!Q13</f>
        <v>2.0297530864197562</v>
      </c>
      <c r="B19" s="40">
        <f>'Hotel 2'!R13</f>
        <v>-33.70154320987654</v>
      </c>
      <c r="C19" s="41">
        <f>'Hotel 2'!S13</f>
        <v>28.332716049382714</v>
      </c>
      <c r="H19" t="s">
        <v>58</v>
      </c>
      <c r="I19" s="49">
        <f>FINV(F16,F14,I12)</f>
        <v>3.7467609956770263</v>
      </c>
    </row>
    <row r="20" spans="1:9" ht="14.45" x14ac:dyDescent="0.35">
      <c r="H20" t="s">
        <v>60</v>
      </c>
      <c r="I20" s="51" t="str">
        <f>IF(I18&lt;F16,"yes","no")</f>
        <v>no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N20"/>
  <sheetViews>
    <sheetView workbookViewId="0"/>
  </sheetViews>
  <sheetFormatPr defaultRowHeight="15" x14ac:dyDescent="0.25"/>
  <cols>
    <col min="4" max="4" width="5.7109375" customWidth="1"/>
    <col min="5" max="6" width="10.85546875" customWidth="1"/>
    <col min="7" max="7" width="6.42578125" customWidth="1"/>
    <col min="8" max="13" width="10.85546875" customWidth="1"/>
  </cols>
  <sheetData>
    <row r="1" spans="1:14" ht="14.45" x14ac:dyDescent="0.35">
      <c r="A1" s="42" t="s">
        <v>108</v>
      </c>
    </row>
    <row r="3" spans="1:14" ht="14.45" x14ac:dyDescent="0.35">
      <c r="A3" t="str">
        <f>'Hotel 2a'!I9</f>
        <v>Covariance - Drug</v>
      </c>
      <c r="E3" t="s">
        <v>108</v>
      </c>
      <c r="I3" s="32" t="s">
        <v>121</v>
      </c>
      <c r="J3" s="32" t="s">
        <v>123</v>
      </c>
      <c r="K3" s="32" t="s">
        <v>124</v>
      </c>
      <c r="L3" s="32" t="s">
        <v>109</v>
      </c>
      <c r="M3" s="32" t="s">
        <v>110</v>
      </c>
      <c r="N3" s="32" t="s">
        <v>122</v>
      </c>
    </row>
    <row r="4" spans="1:14" ht="14.45" x14ac:dyDescent="0.35">
      <c r="H4" t="s">
        <v>90</v>
      </c>
      <c r="I4" s="72">
        <f>'Hotel 2a'!J7-1</f>
        <v>19</v>
      </c>
      <c r="J4" s="34">
        <f>1/I4</f>
        <v>5.2631578947368418E-2</v>
      </c>
      <c r="K4" s="34">
        <f>J4^2</f>
        <v>2.7700831024930744E-3</v>
      </c>
      <c r="L4" s="34">
        <f>MDETERM(A5:C7)</f>
        <v>4369.30822481411</v>
      </c>
      <c r="M4" s="34">
        <f>LN(L4)</f>
        <v>8.3823599746008473</v>
      </c>
      <c r="N4" s="34">
        <f>M4*I4</f>
        <v>159.26483951741611</v>
      </c>
    </row>
    <row r="5" spans="1:14" ht="14.45" x14ac:dyDescent="0.35">
      <c r="A5" s="33">
        <f>'Hotel 2a'!I11</f>
        <v>1.0419999999999989</v>
      </c>
      <c r="B5" s="34">
        <f>'Hotel 2a'!J11</f>
        <v>-6.5621052631578909</v>
      </c>
      <c r="C5" s="35">
        <f>'Hotel 2a'!K11</f>
        <v>0.25894736842105781</v>
      </c>
      <c r="E5" t="s">
        <v>203</v>
      </c>
      <c r="F5" s="48">
        <f>COUNTA(H4:H5)</f>
        <v>2</v>
      </c>
      <c r="H5" t="s">
        <v>94</v>
      </c>
      <c r="I5" s="73">
        <f>'Hotel 2a'!K7-1</f>
        <v>17</v>
      </c>
      <c r="J5" s="37">
        <f>1/I5</f>
        <v>5.8823529411764705E-2</v>
      </c>
      <c r="K5" s="37">
        <f>J5^2</f>
        <v>3.4602076124567475E-3</v>
      </c>
      <c r="L5" s="37">
        <f>MDETERM(A11:C13)</f>
        <v>2842.1891624262134</v>
      </c>
      <c r="M5" s="37">
        <f>LN(L5)</f>
        <v>7.9523298660571884</v>
      </c>
      <c r="N5" s="37">
        <f>M5*I5</f>
        <v>135.1896077229722</v>
      </c>
    </row>
    <row r="6" spans="1:14" ht="14.45" x14ac:dyDescent="0.35">
      <c r="A6" s="36">
        <f>'Hotel 2a'!I12</f>
        <v>-6.5621052631578909</v>
      </c>
      <c r="B6" s="37">
        <f>'Hotel 2a'!J12</f>
        <v>154.19999999999999</v>
      </c>
      <c r="C6" s="38">
        <f>'Hotel 2a'!K12</f>
        <v>-35.905263157894723</v>
      </c>
      <c r="E6" t="s">
        <v>53</v>
      </c>
      <c r="F6" s="52">
        <f>COUNT(A5:C5)</f>
        <v>3</v>
      </c>
      <c r="H6" t="s">
        <v>112</v>
      </c>
      <c r="I6" s="74">
        <f>SUM(I4:I5)</f>
        <v>36</v>
      </c>
      <c r="J6" s="40">
        <f>1/I6</f>
        <v>2.7777777777777776E-2</v>
      </c>
      <c r="K6" s="40">
        <f>J6^2</f>
        <v>7.716049382716049E-4</v>
      </c>
      <c r="L6" s="40">
        <f>MDETERM(A17:C19)</f>
        <v>3869.6803191229387</v>
      </c>
      <c r="M6" s="40">
        <f>LN(L6)</f>
        <v>8.2609271777340627</v>
      </c>
      <c r="N6" s="37">
        <f>M6*I6</f>
        <v>297.39337839842625</v>
      </c>
    </row>
    <row r="7" spans="1:14" ht="14.45" x14ac:dyDescent="0.35">
      <c r="A7" s="39">
        <f>'Hotel 2a'!I13</f>
        <v>0.25894736842105781</v>
      </c>
      <c r="B7" s="40">
        <f>'Hotel 2a'!J13</f>
        <v>-35.905263157894723</v>
      </c>
      <c r="C7" s="41">
        <f>'Hotel 2a'!K13</f>
        <v>47.621052631578941</v>
      </c>
      <c r="H7" t="s">
        <v>96</v>
      </c>
      <c r="I7" s="47"/>
      <c r="J7" s="34">
        <f>SUM(J4:J5)-J6</f>
        <v>8.3677330581355347E-2</v>
      </c>
      <c r="K7" s="34">
        <f>SUM(K4:K5)-K6</f>
        <v>5.458685776678217E-3</v>
      </c>
      <c r="L7" s="34"/>
      <c r="M7" s="64"/>
      <c r="N7" s="34">
        <f>N6-SUM(N4:N5)</f>
        <v>2.938931158037974</v>
      </c>
    </row>
    <row r="9" spans="1:14" ht="14.45" x14ac:dyDescent="0.35">
      <c r="A9" t="str">
        <f>'Hotel 2a'!M9</f>
        <v>Covariance - Placebo</v>
      </c>
    </row>
    <row r="11" spans="1:14" ht="14.45" x14ac:dyDescent="0.35">
      <c r="A11" s="33">
        <f>'Hotel 2a'!M11</f>
        <v>1.4967320261437886</v>
      </c>
      <c r="B11" s="34">
        <f>'Hotel 2a'!N11</f>
        <v>-10.430718954248354</v>
      </c>
      <c r="C11" s="35">
        <f>'Hotel 2a'!O11</f>
        <v>0.64771241830065429</v>
      </c>
      <c r="E11" t="s">
        <v>113</v>
      </c>
      <c r="F11" s="48">
        <f>N7</f>
        <v>2.938931158037974</v>
      </c>
      <c r="H11" t="s">
        <v>283</v>
      </c>
      <c r="I11" s="48">
        <f>(F6-1)*(F6+2)/(6*(F5-1))*K7</f>
        <v>9.097809627797028E-3</v>
      </c>
    </row>
    <row r="12" spans="1:14" ht="14.45" x14ac:dyDescent="0.35">
      <c r="A12" s="36">
        <f>'Hotel 2a'!M12</f>
        <v>-10.430718954248354</v>
      </c>
      <c r="B12" s="37">
        <f>'Hotel 2a'!N12</f>
        <v>175.15359477124181</v>
      </c>
      <c r="C12" s="38">
        <f>'Hotel 2a'!O12</f>
        <v>-28.562091503267972</v>
      </c>
      <c r="E12" t="s">
        <v>114</v>
      </c>
      <c r="F12" s="49">
        <f>(2*F6^2+3*F6-1)/(6*(F6+1)*(F5-1))*J7</f>
        <v>9.0650441463134959E-2</v>
      </c>
      <c r="H12" t="s">
        <v>56</v>
      </c>
      <c r="I12" s="49">
        <f>(F14+2)/ABS(I11-F12^2)</f>
        <v>9087.7377767667494</v>
      </c>
    </row>
    <row r="13" spans="1:14" x14ac:dyDescent="0.25">
      <c r="A13" s="39">
        <f>'Hotel 2a'!M13</f>
        <v>0.64771241830065429</v>
      </c>
      <c r="B13" s="40">
        <f>'Hotel 2a'!N13</f>
        <v>-28.562091503267972</v>
      </c>
      <c r="C13" s="41">
        <f>'Hotel 2a'!O13</f>
        <v>24.457516339869276</v>
      </c>
      <c r="E13" s="71" t="s">
        <v>115</v>
      </c>
      <c r="F13" s="49">
        <f>F11*(1-F12)</f>
        <v>2.6725157511320692</v>
      </c>
      <c r="H13" t="s">
        <v>116</v>
      </c>
      <c r="I13" s="49">
        <f>F14/(1-F12-F14/I12)</f>
        <v>6.6029167655782279</v>
      </c>
    </row>
    <row r="14" spans="1:14" ht="14.45" x14ac:dyDescent="0.35">
      <c r="E14" s="71" t="s">
        <v>62</v>
      </c>
      <c r="F14" s="49">
        <f>F6*(F6+1)*(F5-1)/2</f>
        <v>6</v>
      </c>
      <c r="H14" t="s">
        <v>117</v>
      </c>
      <c r="I14" s="49">
        <f>I12/(1-F12+2/I12)</f>
        <v>9991.2501736878748</v>
      </c>
    </row>
    <row r="15" spans="1:14" ht="14.45" x14ac:dyDescent="0.35">
      <c r="A15" t="str">
        <f>'Hotel 2a'!Q9</f>
        <v>Covariance - Pooled</v>
      </c>
      <c r="E15" s="71" t="s">
        <v>65</v>
      </c>
      <c r="F15" s="49">
        <f>CHIDIST(F13,F14)</f>
        <v>0.84868281069778884</v>
      </c>
      <c r="H15" t="s">
        <v>118</v>
      </c>
      <c r="I15" s="49">
        <f>F11/I13</f>
        <v>0.44509589661329119</v>
      </c>
    </row>
    <row r="16" spans="1:14" x14ac:dyDescent="0.25">
      <c r="E16" s="71" t="s">
        <v>57</v>
      </c>
      <c r="F16" s="49">
        <v>1E-3</v>
      </c>
      <c r="H16" t="s">
        <v>119</v>
      </c>
      <c r="I16" s="49">
        <f>I12*F11/(F14*(I14-F11))</f>
        <v>0.44565818084268888</v>
      </c>
    </row>
    <row r="17" spans="1:9" x14ac:dyDescent="0.25">
      <c r="A17" s="33">
        <f>'Hotel 2a'!Q11</f>
        <v>1.2567345679012329</v>
      </c>
      <c r="B17" s="34">
        <f>'Hotel 2a'!R11</f>
        <v>-8.3889506172839425</v>
      </c>
      <c r="C17" s="35">
        <f>'Hotel 2a'!S11</f>
        <v>0.4425308641975339</v>
      </c>
      <c r="E17" s="71" t="s">
        <v>120</v>
      </c>
      <c r="F17" s="49">
        <f>CHIINV(F16,F14)</f>
        <v>22.457744484825326</v>
      </c>
      <c r="H17" t="s">
        <v>54</v>
      </c>
      <c r="I17" s="49">
        <f>IF(I11&gt;F12^2,I15,I16)</f>
        <v>0.44509589661329119</v>
      </c>
    </row>
    <row r="18" spans="1:9" ht="14.45" x14ac:dyDescent="0.35">
      <c r="A18" s="36">
        <f>'Hotel 2a'!Q12</f>
        <v>-8.3889506172839425</v>
      </c>
      <c r="B18" s="37">
        <f>'Hotel 2a'!R12</f>
        <v>164.09475308641973</v>
      </c>
      <c r="C18" s="38">
        <f>'Hotel 2a'!S12</f>
        <v>-32.437654320987647</v>
      </c>
      <c r="E18" s="71" t="s">
        <v>60</v>
      </c>
      <c r="F18" s="51" t="str">
        <f>IF(F15&lt;F16,"yes","no")</f>
        <v>no</v>
      </c>
      <c r="H18" t="s">
        <v>65</v>
      </c>
      <c r="I18" s="49">
        <f>FDIST(I17,F14,I12)</f>
        <v>0.8488875088367317</v>
      </c>
    </row>
    <row r="19" spans="1:9" ht="14.45" x14ac:dyDescent="0.35">
      <c r="A19" s="39">
        <f>'Hotel 2a'!Q13</f>
        <v>0.4425308641975339</v>
      </c>
      <c r="B19" s="40">
        <f>'Hotel 2a'!R13</f>
        <v>-32.437654320987647</v>
      </c>
      <c r="C19" s="41">
        <f>'Hotel 2a'!S13</f>
        <v>36.682716049382712</v>
      </c>
      <c r="H19" t="s">
        <v>58</v>
      </c>
      <c r="I19" s="49">
        <f>FINV(F16,F14,I12)</f>
        <v>3.7467609956770263</v>
      </c>
    </row>
    <row r="20" spans="1:9" ht="14.45" x14ac:dyDescent="0.35">
      <c r="H20" t="s">
        <v>60</v>
      </c>
      <c r="I20" s="51" t="str">
        <f>IF(I18&lt;F16,"yes","no")</f>
        <v>no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/>
  <dimension ref="A1:W20"/>
  <sheetViews>
    <sheetView workbookViewId="0"/>
  </sheetViews>
  <sheetFormatPr defaultRowHeight="15" x14ac:dyDescent="0.25"/>
  <cols>
    <col min="5" max="6" width="10.85546875" customWidth="1"/>
    <col min="7" max="7" width="6.42578125" customWidth="1"/>
    <col min="8" max="8" width="10.85546875" customWidth="1"/>
    <col min="9" max="13" width="8.5703125" customWidth="1"/>
    <col min="15" max="15" width="9.7109375" customWidth="1"/>
    <col min="16" max="17" width="7.5703125" customWidth="1"/>
  </cols>
  <sheetData>
    <row r="1" spans="1:23" ht="14.45" x14ac:dyDescent="0.35">
      <c r="A1" s="42" t="s">
        <v>108</v>
      </c>
      <c r="P1" t="s">
        <v>126</v>
      </c>
    </row>
    <row r="3" spans="1:23" ht="14.45" x14ac:dyDescent="0.35">
      <c r="A3" t="str">
        <f>'Hotel 2a'!I9</f>
        <v>Covariance - Drug</v>
      </c>
      <c r="E3" t="s">
        <v>108</v>
      </c>
      <c r="I3" s="32" t="s">
        <v>121</v>
      </c>
      <c r="J3" s="32" t="s">
        <v>123</v>
      </c>
      <c r="K3" s="32" t="s">
        <v>124</v>
      </c>
      <c r="L3" s="32" t="s">
        <v>109</v>
      </c>
      <c r="M3" s="32" t="s">
        <v>110</v>
      </c>
      <c r="N3" s="32" t="s">
        <v>122</v>
      </c>
      <c r="P3" t="s">
        <v>128</v>
      </c>
      <c r="S3" t="s">
        <v>295</v>
      </c>
      <c r="V3" t="s">
        <v>294</v>
      </c>
    </row>
    <row r="4" spans="1:23" ht="14.45" x14ac:dyDescent="0.35">
      <c r="H4" t="s">
        <v>90</v>
      </c>
      <c r="I4" s="72">
        <f>'Hotel 2a'!J7-1</f>
        <v>19</v>
      </c>
      <c r="J4" s="34">
        <f>1/I4</f>
        <v>5.2631578947368418E-2</v>
      </c>
      <c r="K4" s="34">
        <f>J4^2</f>
        <v>2.7700831024930744E-3</v>
      </c>
      <c r="L4" s="34">
        <f>MDETERM(A5:C7)</f>
        <v>4814.17369062545</v>
      </c>
      <c r="M4" s="34">
        <f>LN(L4)</f>
        <v>8.4793196980048613</v>
      </c>
      <c r="N4" s="34">
        <f>M4*I4</f>
        <v>161.10707426209237</v>
      </c>
    </row>
    <row r="5" spans="1:23" ht="14.45" x14ac:dyDescent="0.35">
      <c r="A5" s="33">
        <f>'Hotel 3a'!I11</f>
        <v>1.0419999999999989</v>
      </c>
      <c r="B5" s="34">
        <f>'Hotel 3a'!J11</f>
        <v>-2.7947368421052605</v>
      </c>
      <c r="C5" s="35">
        <f>'Hotel 3a'!K11</f>
        <v>0.35842105263158314</v>
      </c>
      <c r="E5" t="s">
        <v>203</v>
      </c>
      <c r="F5" s="48">
        <f>COUNTA(H4:H5)</f>
        <v>2</v>
      </c>
      <c r="H5" t="s">
        <v>94</v>
      </c>
      <c r="I5" s="73">
        <f>'Hotel 2a'!K7-1</f>
        <v>17</v>
      </c>
      <c r="J5" s="37">
        <f>1/I5</f>
        <v>5.8823529411764705E-2</v>
      </c>
      <c r="K5" s="37">
        <f>J5^2</f>
        <v>3.4602076124567475E-3</v>
      </c>
      <c r="L5" s="37">
        <f>MDETERM(A11:C13)</f>
        <v>2842.1891624262134</v>
      </c>
      <c r="M5" s="37">
        <f>LN(L5)</f>
        <v>7.9523298660571884</v>
      </c>
      <c r="N5" s="37">
        <f>M5*I5</f>
        <v>135.1896077229722</v>
      </c>
      <c r="P5" s="33">
        <f>A5</f>
        <v>1.0419999999999989</v>
      </c>
      <c r="Q5" s="35">
        <f>I4+1</f>
        <v>20</v>
      </c>
      <c r="S5" t="s">
        <v>113</v>
      </c>
      <c r="T5" s="146" t="e">
        <f>[1]!BOXM(P5:Q6,F6)</f>
        <v>#VALUE!</v>
      </c>
      <c r="V5" t="s">
        <v>113</v>
      </c>
      <c r="W5" s="146" t="e">
        <f>[1]!BOXM(P5:Q6,F6)</f>
        <v>#VALUE!</v>
      </c>
    </row>
    <row r="6" spans="1:23" ht="14.45" x14ac:dyDescent="0.35">
      <c r="A6" s="36">
        <f>'Hotel 3a'!I12</f>
        <v>-2.7947368421052605</v>
      </c>
      <c r="B6" s="37">
        <f>'Hotel 3a'!J12</f>
        <v>59.94736842105263</v>
      </c>
      <c r="C6" s="38">
        <f>'Hotel 3a'!K12</f>
        <v>-7.8157894736842097</v>
      </c>
      <c r="E6" t="s">
        <v>53</v>
      </c>
      <c r="F6" s="52">
        <f>COUNT(A5:C5)</f>
        <v>3</v>
      </c>
      <c r="H6" t="s">
        <v>112</v>
      </c>
      <c r="I6" s="74">
        <f>SUM(I4:I5)</f>
        <v>36</v>
      </c>
      <c r="J6" s="40">
        <f>1/I6</f>
        <v>2.7777777777777776E-2</v>
      </c>
      <c r="K6" s="40">
        <f>J6^2</f>
        <v>7.716049382716049E-4</v>
      </c>
      <c r="L6" s="40">
        <f>MDETERM(A17:C19)</f>
        <v>5711.8229315926937</v>
      </c>
      <c r="M6" s="40">
        <f>LN(L6)</f>
        <v>8.6502935041679034</v>
      </c>
      <c r="N6" s="37">
        <f>M6*I6</f>
        <v>311.41056615004453</v>
      </c>
      <c r="P6" s="39">
        <f>A11</f>
        <v>1.4967320261437886</v>
      </c>
      <c r="Q6" s="41">
        <f>I5+1</f>
        <v>18</v>
      </c>
      <c r="S6" t="s">
        <v>62</v>
      </c>
      <c r="T6" s="49">
        <f>[1]!BOXdf1(P5:Q6,3)</f>
        <v>6</v>
      </c>
      <c r="V6" t="s">
        <v>131</v>
      </c>
      <c r="W6" s="49" t="e">
        <f>[1]!BOXF(P5:Q6,3)</f>
        <v>#VALUE!</v>
      </c>
    </row>
    <row r="7" spans="1:23" ht="14.45" x14ac:dyDescent="0.35">
      <c r="A7" s="39">
        <f>'Hotel 3a'!I13</f>
        <v>0.35842105263158314</v>
      </c>
      <c r="B7" s="40">
        <f>'Hotel 3a'!J13</f>
        <v>-7.8157894736842097</v>
      </c>
      <c r="C7" s="41">
        <f>'Hotel 3a'!K13</f>
        <v>89.102631578947353</v>
      </c>
      <c r="H7" t="s">
        <v>96</v>
      </c>
      <c r="I7" s="47"/>
      <c r="J7" s="34">
        <f>SUM(J4:J5)-J6</f>
        <v>8.3677330581355347E-2</v>
      </c>
      <c r="K7" s="34">
        <f>SUM(K4:K5)-K6</f>
        <v>5.458685776678217E-3</v>
      </c>
      <c r="L7" s="34"/>
      <c r="M7" s="64"/>
      <c r="N7" s="34">
        <f>N6-SUM(N4:N5)</f>
        <v>15.113884164979993</v>
      </c>
      <c r="S7" t="s">
        <v>65</v>
      </c>
      <c r="T7" s="52" t="e">
        <f>[1]!BOXTEST(P5:Q6,3,FALSE)</f>
        <v>#VALUE!</v>
      </c>
      <c r="V7" t="s">
        <v>55</v>
      </c>
      <c r="W7" s="49">
        <f>[1]!BOXdf1(P5:Q6,3)</f>
        <v>6</v>
      </c>
    </row>
    <row r="8" spans="1:23" ht="14.45" x14ac:dyDescent="0.35">
      <c r="P8" s="78" t="s">
        <v>129</v>
      </c>
      <c r="Q8" s="80">
        <v>20</v>
      </c>
      <c r="V8" t="s">
        <v>56</v>
      </c>
      <c r="W8" s="49">
        <f>[1]!BOXdf2(P5:Q6,3)</f>
        <v>9087.7377767667313</v>
      </c>
    </row>
    <row r="9" spans="1:23" ht="14.45" x14ac:dyDescent="0.35">
      <c r="A9" t="str">
        <f>'Hotel 2a'!M9</f>
        <v>Covariance - Placebo</v>
      </c>
      <c r="P9" s="79" t="s">
        <v>130</v>
      </c>
      <c r="Q9" s="81">
        <v>18</v>
      </c>
      <c r="V9" t="s">
        <v>65</v>
      </c>
      <c r="W9" s="52" t="e">
        <f>[1]!BOXTEST(P5:Q6,3)</f>
        <v>#VALUE!</v>
      </c>
    </row>
    <row r="10" spans="1:23" ht="14.45" x14ac:dyDescent="0.35">
      <c r="S10" t="s">
        <v>127</v>
      </c>
    </row>
    <row r="11" spans="1:23" ht="14.45" x14ac:dyDescent="0.35">
      <c r="A11" s="33">
        <f>'Hotel 3a'!M11</f>
        <v>1.4967320261437886</v>
      </c>
      <c r="B11" s="34">
        <f>'Hotel 3a'!N11</f>
        <v>-10.430718954248354</v>
      </c>
      <c r="C11" s="35">
        <f>'Hotel 3a'!O11</f>
        <v>0.64771241830065429</v>
      </c>
      <c r="E11" t="s">
        <v>113</v>
      </c>
      <c r="F11" s="48">
        <f>N7</f>
        <v>15.113884164979993</v>
      </c>
      <c r="H11" t="s">
        <v>283</v>
      </c>
      <c r="I11" s="48">
        <f>(F6-1)*(F6+2)/(6*(F5-1))*K7</f>
        <v>9.097809627797028E-3</v>
      </c>
    </row>
    <row r="12" spans="1:23" ht="14.45" x14ac:dyDescent="0.35">
      <c r="A12" s="36">
        <f>'Hotel 3a'!M12</f>
        <v>-10.430718954248354</v>
      </c>
      <c r="B12" s="37">
        <f>'Hotel 3a'!N12</f>
        <v>175.15359477124181</v>
      </c>
      <c r="C12" s="38">
        <f>'Hotel 3a'!O12</f>
        <v>-28.562091503267972</v>
      </c>
      <c r="E12" t="s">
        <v>114</v>
      </c>
      <c r="F12" s="49">
        <f>(2*F6^2+3*F6-1)/(6*(F6+1)*(F5-1))*J7</f>
        <v>9.0650441463134959E-2</v>
      </c>
      <c r="H12" t="s">
        <v>56</v>
      </c>
      <c r="I12" s="49">
        <f>(F14+2)/ABS(I11-F12^2)</f>
        <v>9087.7377767667494</v>
      </c>
      <c r="S12" s="33" t="e">
        <f t="array" ref="S12:U14">[1]!COVPooled(P5:Q6,3)</f>
        <v>#VALUE!</v>
      </c>
      <c r="T12" s="34" t="e">
        <v>#VALUE!</v>
      </c>
      <c r="U12" s="35" t="e">
        <v>#VALUE!</v>
      </c>
    </row>
    <row r="13" spans="1:23" x14ac:dyDescent="0.25">
      <c r="A13" s="39">
        <f>'Hotel 3a'!M13</f>
        <v>0.64771241830065429</v>
      </c>
      <c r="B13" s="40">
        <f>'Hotel 3a'!N13</f>
        <v>-28.562091503267972</v>
      </c>
      <c r="C13" s="41">
        <f>'Hotel 3a'!O13</f>
        <v>24.457516339869276</v>
      </c>
      <c r="E13" s="71" t="s">
        <v>115</v>
      </c>
      <c r="F13" s="49">
        <f>F11*(1-F12)</f>
        <v>13.743803893201871</v>
      </c>
      <c r="H13" t="s">
        <v>116</v>
      </c>
      <c r="I13" s="49">
        <f>F14/(1-F12-F14/I12)</f>
        <v>6.6029167655782279</v>
      </c>
      <c r="S13" s="36" t="e">
        <v>#VALUE!</v>
      </c>
      <c r="T13" s="37" t="e">
        <v>#VALUE!</v>
      </c>
      <c r="U13" s="38" t="e">
        <v>#VALUE!</v>
      </c>
    </row>
    <row r="14" spans="1:23" ht="14.45" x14ac:dyDescent="0.35">
      <c r="E14" s="71" t="s">
        <v>62</v>
      </c>
      <c r="F14" s="49">
        <f>F6*(F6+1)*(F5-1)/2</f>
        <v>6</v>
      </c>
      <c r="H14" t="s">
        <v>117</v>
      </c>
      <c r="I14" s="49">
        <f>I12/(1-F12+2/I12)</f>
        <v>9991.2501736878748</v>
      </c>
      <c r="S14" s="39" t="e">
        <v>#VALUE!</v>
      </c>
      <c r="T14" s="40" t="e">
        <v>#VALUE!</v>
      </c>
      <c r="U14" s="41" t="e">
        <v>#VALUE!</v>
      </c>
    </row>
    <row r="15" spans="1:23" ht="14.45" x14ac:dyDescent="0.35">
      <c r="A15" t="str">
        <f>'Hotel 2a'!Q9</f>
        <v>Covariance - Pooled</v>
      </c>
      <c r="E15" s="71" t="s">
        <v>65</v>
      </c>
      <c r="F15" s="49">
        <f>CHIDIST(F13,F14)</f>
        <v>3.2632685034474126E-2</v>
      </c>
      <c r="H15" t="s">
        <v>118</v>
      </c>
      <c r="I15" s="49">
        <f>F11/I13</f>
        <v>2.2889708747761937</v>
      </c>
    </row>
    <row r="16" spans="1:23" x14ac:dyDescent="0.25">
      <c r="E16" s="71" t="s">
        <v>57</v>
      </c>
      <c r="F16" s="49">
        <v>0.05</v>
      </c>
      <c r="H16" t="s">
        <v>119</v>
      </c>
      <c r="I16" s="49">
        <f>I12*F11/(F14*(I14-F11))</f>
        <v>2.2946595103492755</v>
      </c>
    </row>
    <row r="17" spans="1:9" x14ac:dyDescent="0.25">
      <c r="A17" s="33">
        <f t="array" ref="A17:C19">(A5:C7*I4+A11:C13*I5)/I6</f>
        <v>1.2567345679012329</v>
      </c>
      <c r="B17" s="34">
        <v>-6.400617283950611</v>
      </c>
      <c r="C17" s="35">
        <v>0.49503086419753345</v>
      </c>
      <c r="E17" s="71" t="s">
        <v>120</v>
      </c>
      <c r="F17" s="49">
        <f>CHIINV(F16,F14)</f>
        <v>12.591587243743978</v>
      </c>
      <c r="H17" t="s">
        <v>54</v>
      </c>
      <c r="I17" s="49">
        <f>IF(I11&gt;F12^2,I15,I16)</f>
        <v>2.2889708747761937</v>
      </c>
    </row>
    <row r="18" spans="1:9" ht="14.45" x14ac:dyDescent="0.35">
      <c r="A18" s="36">
        <v>-6.400617283950611</v>
      </c>
      <c r="B18" s="37">
        <v>114.35030864197532</v>
      </c>
      <c r="C18" s="38">
        <v>-17.612654320987655</v>
      </c>
      <c r="E18" s="71" t="s">
        <v>60</v>
      </c>
      <c r="F18" s="51" t="str">
        <f>IF(F15&lt;F16,"yes","no")</f>
        <v>yes</v>
      </c>
      <c r="H18" t="s">
        <v>65</v>
      </c>
      <c r="I18" s="49">
        <f>FDIST(I17,F14,I12)</f>
        <v>3.2845360381327467E-2</v>
      </c>
    </row>
    <row r="19" spans="1:9" ht="14.45" x14ac:dyDescent="0.35">
      <c r="A19" s="39">
        <v>0.49503086419753345</v>
      </c>
      <c r="B19" s="40">
        <v>-17.612654320987655</v>
      </c>
      <c r="C19" s="41">
        <v>58.575771604938268</v>
      </c>
      <c r="H19" t="s">
        <v>58</v>
      </c>
      <c r="I19" s="49">
        <f>FINV(F16,F14,I12)</f>
        <v>2.0995901868025331</v>
      </c>
    </row>
    <row r="20" spans="1:9" ht="14.45" x14ac:dyDescent="0.35">
      <c r="H20" t="s">
        <v>60</v>
      </c>
      <c r="I20" s="51" t="str">
        <f>IF(I18&lt;F16,"yes","no")</f>
        <v>yes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/>
  <dimension ref="A1:L19"/>
  <sheetViews>
    <sheetView workbookViewId="0"/>
  </sheetViews>
  <sheetFormatPr defaultRowHeight="15" x14ac:dyDescent="0.25"/>
  <cols>
    <col min="5" max="6" width="7.5703125" customWidth="1"/>
  </cols>
  <sheetData>
    <row r="1" spans="1:12" x14ac:dyDescent="0.35">
      <c r="A1" s="42" t="s">
        <v>108</v>
      </c>
      <c r="E1" t="s">
        <v>126</v>
      </c>
    </row>
    <row r="3" spans="1:12" x14ac:dyDescent="0.35">
      <c r="A3" t="str">
        <f>'Hotel 2a'!I9</f>
        <v>Covariance - Drug</v>
      </c>
      <c r="E3" t="s">
        <v>128</v>
      </c>
      <c r="H3" t="s">
        <v>295</v>
      </c>
      <c r="K3" t="s">
        <v>294</v>
      </c>
    </row>
    <row r="5" spans="1:12" x14ac:dyDescent="0.35">
      <c r="A5" s="33">
        <f>'Hotel 3a'!I11</f>
        <v>1.0419999999999989</v>
      </c>
      <c r="B5" s="34">
        <f>'Hotel 3a'!J11</f>
        <v>-2.7947368421052605</v>
      </c>
      <c r="C5" s="35">
        <f>'Hotel 3a'!K11</f>
        <v>0.35842105263158314</v>
      </c>
      <c r="E5" s="138">
        <f>A5</f>
        <v>1.0419999999999989</v>
      </c>
      <c r="F5" s="140">
        <f>'Hotel 2a'!J7</f>
        <v>20</v>
      </c>
      <c r="H5" t="s">
        <v>113</v>
      </c>
      <c r="I5" s="146" t="e">
        <f>[1]!BOXM(E5:F6,F8)</f>
        <v>#VALUE!</v>
      </c>
      <c r="K5" t="s">
        <v>113</v>
      </c>
      <c r="L5" s="146" t="e">
        <f>[1]!BOXM(E5:F6,F8)</f>
        <v>#VALUE!</v>
      </c>
    </row>
    <row r="6" spans="1:12" x14ac:dyDescent="0.35">
      <c r="A6" s="36">
        <f>'Hotel 3a'!I12</f>
        <v>-2.7947368421052605</v>
      </c>
      <c r="B6" s="37">
        <f>'Hotel 3a'!J12</f>
        <v>59.94736842105263</v>
      </c>
      <c r="C6" s="38">
        <f>'Hotel 3a'!K12</f>
        <v>-7.8157894736842097</v>
      </c>
      <c r="E6" s="39">
        <f>A11</f>
        <v>1.4967320261437886</v>
      </c>
      <c r="F6" s="41">
        <f>'Hotel 2a'!K7</f>
        <v>18</v>
      </c>
      <c r="H6" t="s">
        <v>62</v>
      </c>
      <c r="I6" s="49">
        <f>[1]!BOXdf1(E5:F6,F8)</f>
        <v>6</v>
      </c>
      <c r="K6" t="s">
        <v>131</v>
      </c>
      <c r="L6" s="49" t="e">
        <f>[1]!BOXF(E5:F6,F8)</f>
        <v>#VALUE!</v>
      </c>
    </row>
    <row r="7" spans="1:12" x14ac:dyDescent="0.35">
      <c r="A7" s="39">
        <f>'Hotel 3a'!I13</f>
        <v>0.35842105263158314</v>
      </c>
      <c r="B7" s="40">
        <f>'Hotel 3a'!J13</f>
        <v>-7.8157894736842097</v>
      </c>
      <c r="C7" s="41">
        <f>'Hotel 3a'!K13</f>
        <v>89.102631578947353</v>
      </c>
      <c r="H7" t="s">
        <v>65</v>
      </c>
      <c r="I7" s="52" t="e">
        <f>[1]!BOXTEST(E5:F6,F8,FALSE)</f>
        <v>#VALUE!</v>
      </c>
      <c r="K7" t="s">
        <v>55</v>
      </c>
      <c r="L7" s="49">
        <f>[1]!BOXdf1(E5:F6,F8)</f>
        <v>6</v>
      </c>
    </row>
    <row r="8" spans="1:12" x14ac:dyDescent="0.35">
      <c r="E8" t="s">
        <v>53</v>
      </c>
      <c r="F8" s="146">
        <f>COUNT(A5:C5)</f>
        <v>3</v>
      </c>
      <c r="K8" t="s">
        <v>56</v>
      </c>
      <c r="L8" s="49">
        <f>[1]!BOXdf2(E5:F6,F8)</f>
        <v>9087.7377767667313</v>
      </c>
    </row>
    <row r="9" spans="1:12" x14ac:dyDescent="0.35">
      <c r="A9" t="str">
        <f>'Hotel 2a'!M9</f>
        <v>Covariance - Placebo</v>
      </c>
      <c r="E9" t="s">
        <v>203</v>
      </c>
      <c r="F9" s="52">
        <v>2</v>
      </c>
      <c r="K9" t="s">
        <v>65</v>
      </c>
      <c r="L9" s="52" t="e">
        <f>[1]!BOXTEST(E5:F6,F8)</f>
        <v>#VALUE!</v>
      </c>
    </row>
    <row r="10" spans="1:12" x14ac:dyDescent="0.35">
      <c r="H10" t="s">
        <v>127</v>
      </c>
    </row>
    <row r="11" spans="1:12" x14ac:dyDescent="0.35">
      <c r="A11" s="33">
        <f>'Hotel 3a'!M11</f>
        <v>1.4967320261437886</v>
      </c>
      <c r="B11" s="34">
        <f>'Hotel 3a'!N11</f>
        <v>-10.430718954248354</v>
      </c>
      <c r="C11" s="35">
        <f>'Hotel 3a'!O11</f>
        <v>0.64771241830065429</v>
      </c>
    </row>
    <row r="12" spans="1:12" x14ac:dyDescent="0.35">
      <c r="A12" s="36">
        <f>'Hotel 3a'!M12</f>
        <v>-10.430718954248354</v>
      </c>
      <c r="B12" s="37">
        <f>'Hotel 3a'!N12</f>
        <v>175.15359477124181</v>
      </c>
      <c r="C12" s="38">
        <f>'Hotel 3a'!O12</f>
        <v>-28.562091503267972</v>
      </c>
      <c r="E12" s="78" t="s">
        <v>129</v>
      </c>
      <c r="F12" s="80">
        <v>20</v>
      </c>
      <c r="H12" s="33" t="e">
        <f t="array" ref="H12:J14">[1]!COVPooled(E5:F6,F8)</f>
        <v>#VALUE!</v>
      </c>
      <c r="I12" s="34" t="e">
        <v>#VALUE!</v>
      </c>
      <c r="J12" s="35" t="e">
        <v>#VALUE!</v>
      </c>
    </row>
    <row r="13" spans="1:12" x14ac:dyDescent="0.35">
      <c r="A13" s="39">
        <f>'Hotel 3a'!M13</f>
        <v>0.64771241830065429</v>
      </c>
      <c r="B13" s="40">
        <f>'Hotel 3a'!N13</f>
        <v>-28.562091503267972</v>
      </c>
      <c r="C13" s="41">
        <f>'Hotel 3a'!O13</f>
        <v>24.457516339869276</v>
      </c>
      <c r="E13" s="79" t="s">
        <v>130</v>
      </c>
      <c r="F13" s="81">
        <v>18</v>
      </c>
      <c r="H13" s="36" t="e">
        <v>#VALUE!</v>
      </c>
      <c r="I13" s="37" t="e">
        <v>#VALUE!</v>
      </c>
      <c r="J13" s="38" t="e">
        <v>#VALUE!</v>
      </c>
    </row>
    <row r="14" spans="1:12" x14ac:dyDescent="0.35">
      <c r="H14" s="39" t="e">
        <v>#VALUE!</v>
      </c>
      <c r="I14" s="40" t="e">
        <v>#VALUE!</v>
      </c>
      <c r="J14" s="41" t="e">
        <v>#VALUE!</v>
      </c>
    </row>
    <row r="15" spans="1:12" x14ac:dyDescent="0.35">
      <c r="A15" t="str">
        <f>'Hotel 2a'!Q9</f>
        <v>Covariance - Pooled</v>
      </c>
    </row>
    <row r="17" spans="1:3" x14ac:dyDescent="0.35">
      <c r="A17" s="33">
        <f t="array" ref="A17:C19">(A5:C7*(F5-1)+A11:C13*(F6-1))/(SUM(F5:F6)-F9)</f>
        <v>1.2567345679012329</v>
      </c>
      <c r="B17" s="34">
        <v>-6.400617283950611</v>
      </c>
      <c r="C17" s="35">
        <v>0.49503086419753345</v>
      </c>
    </row>
    <row r="18" spans="1:3" x14ac:dyDescent="0.35">
      <c r="A18" s="36">
        <v>-6.400617283950611</v>
      </c>
      <c r="B18" s="37">
        <v>114.35030864197532</v>
      </c>
      <c r="C18" s="38">
        <v>-17.612654320987655</v>
      </c>
    </row>
    <row r="19" spans="1:3" x14ac:dyDescent="0.35">
      <c r="A19" s="39">
        <v>0.49503086419753345</v>
      </c>
      <c r="B19" s="40">
        <v>-17.612654320987655</v>
      </c>
      <c r="C19" s="41">
        <v>58.575771604938268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AP35"/>
  <sheetViews>
    <sheetView workbookViewId="0">
      <selection activeCell="F1" sqref="F1"/>
    </sheetView>
  </sheetViews>
  <sheetFormatPr defaultRowHeight="15" x14ac:dyDescent="0.25"/>
  <cols>
    <col min="13" max="13" width="11" bestFit="1" customWidth="1"/>
    <col min="27" max="27" width="4.42578125" customWidth="1"/>
    <col min="31" max="31" width="4" customWidth="1"/>
  </cols>
  <sheetData>
    <row r="1" spans="1:42" ht="14.45" x14ac:dyDescent="0.35">
      <c r="A1" s="42" t="s">
        <v>147</v>
      </c>
      <c r="P1" t="s">
        <v>169</v>
      </c>
      <c r="X1" t="s">
        <v>199</v>
      </c>
      <c r="AI1" t="s">
        <v>151</v>
      </c>
      <c r="AL1" t="s">
        <v>200</v>
      </c>
      <c r="AO1" t="s">
        <v>201</v>
      </c>
    </row>
    <row r="3" spans="1:42" ht="16.5" x14ac:dyDescent="0.35">
      <c r="B3" s="47" t="s">
        <v>144</v>
      </c>
      <c r="C3" s="47" t="s">
        <v>145</v>
      </c>
      <c r="D3" s="47" t="s">
        <v>146</v>
      </c>
      <c r="F3" t="s">
        <v>165</v>
      </c>
      <c r="L3" s="70" t="s">
        <v>154</v>
      </c>
      <c r="P3" t="s">
        <v>154</v>
      </c>
      <c r="T3" t="s">
        <v>156</v>
      </c>
      <c r="X3" t="s">
        <v>192</v>
      </c>
      <c r="AB3" t="s">
        <v>193</v>
      </c>
      <c r="AI3" s="110" t="s">
        <v>52</v>
      </c>
      <c r="AJ3" s="112">
        <f>COUNTA(A4:A35)</f>
        <v>32</v>
      </c>
      <c r="AL3" s="110" t="s">
        <v>52</v>
      </c>
      <c r="AM3" s="112">
        <f>AJ3</f>
        <v>32</v>
      </c>
      <c r="AN3" s="37"/>
      <c r="AO3" s="110" t="s">
        <v>202</v>
      </c>
      <c r="AP3" s="112">
        <f>AG6</f>
        <v>0.5345015348635207</v>
      </c>
    </row>
    <row r="4" spans="1:42" ht="14.45" x14ac:dyDescent="0.35">
      <c r="A4" t="s">
        <v>158</v>
      </c>
      <c r="B4" s="75">
        <v>76.7</v>
      </c>
      <c r="C4" s="100">
        <v>29.5</v>
      </c>
      <c r="D4" s="101">
        <v>7.5</v>
      </c>
      <c r="L4" s="110">
        <f t="array" ref="L4:N6">MMULT(TRANSPOSE(B4:D35-G10:I10),B4:D35-G10:I10)</f>
        <v>4968.8671874999991</v>
      </c>
      <c r="M4" s="111">
        <v>776.69031249999966</v>
      </c>
      <c r="N4" s="112">
        <v>-110.1915625</v>
      </c>
      <c r="X4" s="110">
        <f t="array" ref="X4:Z6">MMULT(L9:N11,MINVERSE(L14:N16))</f>
        <v>0.44677890345434956</v>
      </c>
      <c r="Y4" s="111">
        <v>-0.20966193638670122</v>
      </c>
      <c r="Z4" s="112">
        <v>2.757106566681149</v>
      </c>
      <c r="AB4" s="110">
        <f t="array" ref="AB4:AD6">MMULT(L9:N11,MINVERSE(L4:N6))</f>
        <v>0.23176419132955128</v>
      </c>
      <c r="AC4" s="111">
        <v>-0.1093494842342259</v>
      </c>
      <c r="AD4" s="112">
        <v>1.4089904837612559</v>
      </c>
      <c r="AF4" t="s">
        <v>194</v>
      </c>
      <c r="AG4" s="48">
        <f>MDETERM(L14:N16)/MDETERM(L4:N6)</f>
        <v>0.48941378290183707</v>
      </c>
      <c r="AI4" s="123" t="s">
        <v>53</v>
      </c>
      <c r="AJ4" s="90">
        <f>COUNTA(B3:D3)</f>
        <v>3</v>
      </c>
      <c r="AL4" s="123" t="s">
        <v>53</v>
      </c>
      <c r="AM4" s="90">
        <f>AJ4</f>
        <v>3</v>
      </c>
      <c r="AN4" s="37"/>
      <c r="AO4" s="123" t="s">
        <v>54</v>
      </c>
      <c r="AP4" s="90">
        <f>(2*AM8+AM6+1)*AP3/(2*AM7+AM6+1)/(AM6-AP3)</f>
        <v>2.0233965109296368</v>
      </c>
    </row>
    <row r="5" spans="1:42" ht="14.45" x14ac:dyDescent="0.35">
      <c r="A5" t="s">
        <v>158</v>
      </c>
      <c r="B5" s="102">
        <v>60.5</v>
      </c>
      <c r="C5" s="103">
        <v>32.1</v>
      </c>
      <c r="D5" s="104">
        <v>6.3</v>
      </c>
      <c r="G5" s="47" t="s">
        <v>144</v>
      </c>
      <c r="H5" s="47" t="s">
        <v>145</v>
      </c>
      <c r="I5" s="47" t="s">
        <v>146</v>
      </c>
      <c r="J5" s="113" t="s">
        <v>167</v>
      </c>
      <c r="L5" s="36">
        <v>776.69031249999966</v>
      </c>
      <c r="M5" s="37">
        <v>2955.8921874999996</v>
      </c>
      <c r="N5" s="90">
        <v>146.33906250000001</v>
      </c>
      <c r="P5" t="s">
        <v>158</v>
      </c>
      <c r="T5" t="s">
        <v>158</v>
      </c>
      <c r="X5" s="36">
        <v>2.7943080897250852E-2</v>
      </c>
      <c r="Y5" s="37">
        <v>2.5127327516487708E-2</v>
      </c>
      <c r="Z5" s="90">
        <v>0.25064036193852446</v>
      </c>
      <c r="AB5" s="36">
        <v>1.0854098128861733E-2</v>
      </c>
      <c r="AC5" s="37">
        <v>3.1470155153552379E-2</v>
      </c>
      <c r="AD5" s="90">
        <v>0.13976636535163384</v>
      </c>
      <c r="AF5" t="s">
        <v>195</v>
      </c>
      <c r="AG5" s="49">
        <f>[1]!TRACE(X4:Z6)</f>
        <v>0.99463857861861404</v>
      </c>
      <c r="AI5" s="123" t="s">
        <v>203</v>
      </c>
      <c r="AJ5" s="90">
        <f>COUNTA(F6:F9)</f>
        <v>4</v>
      </c>
      <c r="AL5" s="123" t="s">
        <v>203</v>
      </c>
      <c r="AM5" s="90">
        <f>AJ5</f>
        <v>4</v>
      </c>
      <c r="AN5" s="37"/>
      <c r="AO5" s="123" t="s">
        <v>55</v>
      </c>
      <c r="AP5" s="90">
        <f>AM11</f>
        <v>9</v>
      </c>
    </row>
    <row r="6" spans="1:42" ht="14.45" x14ac:dyDescent="0.35">
      <c r="A6" t="s">
        <v>158</v>
      </c>
      <c r="B6" s="102">
        <v>96.1</v>
      </c>
      <c r="C6" s="103">
        <v>40.700000000000003</v>
      </c>
      <c r="D6" s="104">
        <v>4.2</v>
      </c>
      <c r="F6" s="60" t="s">
        <v>158</v>
      </c>
      <c r="G6" s="110">
        <f t="shared" ref="G6:I9" si="0">AVERAGEIF($A$4:$A$35,$F6,B$4:B$35)</f>
        <v>69.712500000000006</v>
      </c>
      <c r="H6" s="111">
        <f t="shared" si="0"/>
        <v>32.737499999999997</v>
      </c>
      <c r="I6" s="112">
        <f t="shared" si="0"/>
        <v>6.3874999999999984</v>
      </c>
      <c r="J6">
        <f>COUNTIF($A$4:$A$35,F6)</f>
        <v>8</v>
      </c>
      <c r="L6" s="39">
        <v>-110.1915625</v>
      </c>
      <c r="M6" s="40">
        <v>146.33906250000001</v>
      </c>
      <c r="N6" s="41">
        <v>144.78468750000002</v>
      </c>
      <c r="P6" s="110">
        <f t="array" ref="P6:R8">MMULT(TRANSPOSE(B4:D11-G10:I10),B4:D11-G10:I10)</f>
        <v>2325.2738281250004</v>
      </c>
      <c r="Q6" s="111">
        <v>588.32304687500005</v>
      </c>
      <c r="R6" s="112">
        <v>-63.113359374999803</v>
      </c>
      <c r="T6" s="110">
        <f t="array" ref="T6:V8">MMULT(TRANSPOSE(B4:D11-G6:I6),B4:D11-G6:I6)</f>
        <v>1799.9887499999993</v>
      </c>
      <c r="U6" s="111">
        <v>486.42624999999981</v>
      </c>
      <c r="V6" s="112">
        <v>-174.32874999999993</v>
      </c>
      <c r="X6" s="39">
        <v>8.1280124788998959E-2</v>
      </c>
      <c r="Y6" s="40">
        <v>-3.4757270026679166E-2</v>
      </c>
      <c r="Z6" s="41">
        <v>0.52273234764777676</v>
      </c>
      <c r="AB6" s="39">
        <v>4.1254499723941837E-2</v>
      </c>
      <c r="AC6" s="40">
        <v>-1.627043233193725E-2</v>
      </c>
      <c r="AD6" s="41">
        <v>0.27126718838041697</v>
      </c>
      <c r="AF6" t="s">
        <v>196</v>
      </c>
      <c r="AG6" s="52">
        <f>[1]!TRACE(AB4:AD6)</f>
        <v>0.5345015348635207</v>
      </c>
      <c r="AI6" s="123" t="s">
        <v>204</v>
      </c>
      <c r="AJ6" s="90">
        <f>AJ3-AJ5-(AJ4-AJ5+2)/2</f>
        <v>27.5</v>
      </c>
      <c r="AL6" s="123" t="s">
        <v>61</v>
      </c>
      <c r="AM6" s="90">
        <f>MIN(AJ4,AJ5-1)</f>
        <v>3</v>
      </c>
      <c r="AN6" s="37"/>
      <c r="AO6" s="123" t="s">
        <v>56</v>
      </c>
      <c r="AP6" s="90">
        <f>AM6*(2*AM8+AM6+1)</f>
        <v>84</v>
      </c>
    </row>
    <row r="7" spans="1:42" x14ac:dyDescent="0.25">
      <c r="A7" t="s">
        <v>158</v>
      </c>
      <c r="B7" s="102">
        <v>88.1</v>
      </c>
      <c r="C7" s="103">
        <v>45.1</v>
      </c>
      <c r="D7" s="104">
        <v>4.9000000000000004</v>
      </c>
      <c r="F7" s="60" t="s">
        <v>159</v>
      </c>
      <c r="G7" s="36">
        <f t="shared" si="0"/>
        <v>62.575000000000003</v>
      </c>
      <c r="H7" s="37">
        <f t="shared" si="0"/>
        <v>28.2</v>
      </c>
      <c r="I7" s="90">
        <f t="shared" si="0"/>
        <v>4.3500000000000005</v>
      </c>
      <c r="J7">
        <f>COUNTIF($A$4:$A$35,F7)</f>
        <v>8</v>
      </c>
      <c r="P7" s="36">
        <v>588.32304687500005</v>
      </c>
      <c r="Q7" s="37">
        <v>400.8450781250001</v>
      </c>
      <c r="R7" s="90">
        <v>17.347734375000051</v>
      </c>
      <c r="T7" s="36">
        <v>486.42624999999981</v>
      </c>
      <c r="U7" s="37">
        <v>381.07875000000007</v>
      </c>
      <c r="V7" s="90">
        <v>-4.2262500000000047</v>
      </c>
      <c r="AI7" s="123" t="s">
        <v>205</v>
      </c>
      <c r="AJ7" s="90">
        <f>AJ4^2*(AJ5-1)^2-4</f>
        <v>77</v>
      </c>
      <c r="AL7" s="123" t="s">
        <v>64</v>
      </c>
      <c r="AM7" s="90">
        <f>(ABS(AJ4-AJ5+1)-1)/2</f>
        <v>-0.5</v>
      </c>
      <c r="AN7" s="37"/>
      <c r="AO7" s="123" t="s">
        <v>57</v>
      </c>
      <c r="AP7" s="90">
        <v>0.05</v>
      </c>
    </row>
    <row r="8" spans="1:42" ht="14.45" x14ac:dyDescent="0.35">
      <c r="A8" t="s">
        <v>158</v>
      </c>
      <c r="B8" s="102">
        <v>50.2</v>
      </c>
      <c r="C8" s="103">
        <v>34.1</v>
      </c>
      <c r="D8" s="104">
        <v>11.7</v>
      </c>
      <c r="F8" s="60" t="s">
        <v>161</v>
      </c>
      <c r="G8" s="36">
        <f t="shared" si="0"/>
        <v>55.3125</v>
      </c>
      <c r="H8" s="37">
        <f t="shared" si="0"/>
        <v>30.637499999999996</v>
      </c>
      <c r="I8" s="90">
        <f t="shared" si="0"/>
        <v>3.8624999999999998</v>
      </c>
      <c r="J8">
        <f>COUNTIF($A$4:$A$35,F8)</f>
        <v>8</v>
      </c>
      <c r="L8" t="s">
        <v>155</v>
      </c>
      <c r="P8" s="39">
        <v>-63.113359374999803</v>
      </c>
      <c r="Q8" s="40">
        <v>17.347734375000051</v>
      </c>
      <c r="R8" s="41">
        <v>65.815703125000013</v>
      </c>
      <c r="T8" s="39">
        <v>-174.32874999999993</v>
      </c>
      <c r="U8" s="40">
        <v>-4.2262500000000047</v>
      </c>
      <c r="V8" s="41">
        <v>42.268749999999983</v>
      </c>
      <c r="X8" t="s">
        <v>198</v>
      </c>
      <c r="AI8" s="123" t="s">
        <v>206</v>
      </c>
      <c r="AJ8" s="90">
        <f>AJ4^2+(AJ5-1)^2-5</f>
        <v>13</v>
      </c>
      <c r="AL8" s="123" t="s">
        <v>207</v>
      </c>
      <c r="AM8" s="90">
        <f>(AM3-AM5-AM4-1)/2</f>
        <v>12</v>
      </c>
      <c r="AN8" s="37"/>
      <c r="AO8" s="123" t="s">
        <v>58</v>
      </c>
      <c r="AP8" s="90">
        <f>FINV(AP7,AP5,AP6)</f>
        <v>1.9933120301272056</v>
      </c>
    </row>
    <row r="9" spans="1:42" ht="16.5" x14ac:dyDescent="0.35">
      <c r="A9" t="s">
        <v>158</v>
      </c>
      <c r="B9" s="102">
        <v>55</v>
      </c>
      <c r="C9" s="103">
        <v>31.1</v>
      </c>
      <c r="D9" s="104">
        <v>6.9</v>
      </c>
      <c r="F9" s="60" t="s">
        <v>160</v>
      </c>
      <c r="G9" s="39">
        <f t="shared" si="0"/>
        <v>58.837499999999999</v>
      </c>
      <c r="H9" s="40">
        <f t="shared" si="0"/>
        <v>33.087500000000006</v>
      </c>
      <c r="I9" s="41">
        <f t="shared" si="0"/>
        <v>4.0875000000000004</v>
      </c>
      <c r="J9">
        <f>COUNTIF($A$4:$A$35,F9)</f>
        <v>8</v>
      </c>
      <c r="L9" s="110">
        <f t="array" ref="L9:N11">MMULT(TRANSPOSE(G15:I18),G15:I18*J15:J18)</f>
        <v>911.41593750000084</v>
      </c>
      <c r="M9" s="111">
        <v>62.974062499999881</v>
      </c>
      <c r="N9" s="112">
        <v>162.45968749999994</v>
      </c>
      <c r="AI9" s="123" t="s">
        <v>208</v>
      </c>
      <c r="AJ9" s="90">
        <f>IF(AJ8&gt;0,SQRT(AJ7/AJ8),1)</f>
        <v>2.433737233777904</v>
      </c>
      <c r="AL9" s="123" t="s">
        <v>51</v>
      </c>
      <c r="AM9" s="90">
        <f>AG5</f>
        <v>0.99463857861861404</v>
      </c>
      <c r="AN9" s="37"/>
      <c r="AO9" s="91" t="s">
        <v>59</v>
      </c>
      <c r="AP9" s="93">
        <f>FDIST(AP4,AP5,AP6)</f>
        <v>4.6408000307959295E-2</v>
      </c>
    </row>
    <row r="10" spans="1:42" ht="16.5" x14ac:dyDescent="0.35">
      <c r="A10" t="s">
        <v>158</v>
      </c>
      <c r="B10" s="102">
        <v>65.400000000000006</v>
      </c>
      <c r="C10" s="103">
        <v>21.6</v>
      </c>
      <c r="D10" s="104">
        <v>4.3</v>
      </c>
      <c r="F10" t="s">
        <v>216</v>
      </c>
      <c r="G10" s="114">
        <f>AVERAGE(B4:B35)</f>
        <v>61.609374999999993</v>
      </c>
      <c r="H10" s="115">
        <f>AVERAGE(C4:C35)</f>
        <v>31.165624999999999</v>
      </c>
      <c r="I10" s="116">
        <f>AVERAGE(D4:D35)</f>
        <v>4.6718749999999991</v>
      </c>
      <c r="L10" s="36">
        <v>62.974062499999881</v>
      </c>
      <c r="M10" s="37">
        <v>121.90593750000016</v>
      </c>
      <c r="N10" s="90">
        <v>23.645312499999932</v>
      </c>
      <c r="P10" t="s">
        <v>159</v>
      </c>
      <c r="T10" t="s">
        <v>159</v>
      </c>
      <c r="X10" t="s">
        <v>192</v>
      </c>
      <c r="AI10" s="123" t="s">
        <v>114</v>
      </c>
      <c r="AJ10" s="90">
        <f>(AJ4*(AJ5-1)-2)/2</f>
        <v>3.5</v>
      </c>
      <c r="AL10" s="123" t="s">
        <v>54</v>
      </c>
      <c r="AM10" s="90">
        <f>AM9*AM12/(AM11*AM6)</f>
        <v>2.7260464747324979</v>
      </c>
      <c r="AN10" s="37"/>
      <c r="AO10" s="37"/>
    </row>
    <row r="11" spans="1:42" x14ac:dyDescent="0.25">
      <c r="A11" t="s">
        <v>158</v>
      </c>
      <c r="B11" s="102">
        <v>65.7</v>
      </c>
      <c r="C11" s="103">
        <v>27.7</v>
      </c>
      <c r="D11" s="104">
        <v>5.3</v>
      </c>
      <c r="L11" s="91">
        <v>162.45968749999994</v>
      </c>
      <c r="M11" s="92">
        <v>23.645312499999932</v>
      </c>
      <c r="N11" s="93">
        <v>32.348437499999953</v>
      </c>
      <c r="P11" s="110">
        <f t="array" ref="P11:R13">MMULT(TRANSPOSE(B12:D19-G10:I10),B12:D19-G10:I10)</f>
        <v>474.07445312500033</v>
      </c>
      <c r="Q11" s="111">
        <v>-25.90945312500024</v>
      </c>
      <c r="R11" s="112">
        <v>-46.756484375000049</v>
      </c>
      <c r="T11" s="110">
        <f t="array" ref="T11:V13">MMULT(TRANSPOSE(B12:D19-G7:I7),B12:D19-G7:I7)</f>
        <v>466.61500000000012</v>
      </c>
      <c r="U11" s="111">
        <v>-3.0000000000000533</v>
      </c>
      <c r="V11" s="112">
        <v>-44.270000000000024</v>
      </c>
      <c r="X11" s="110">
        <f t="array" ref="X11:Z13">X4:Z6</f>
        <v>0.44677890345434956</v>
      </c>
      <c r="Y11" s="111">
        <v>-0.20966193638670122</v>
      </c>
      <c r="Z11" s="112">
        <v>2.757106566681149</v>
      </c>
      <c r="AB11" t="s">
        <v>194</v>
      </c>
      <c r="AC11" s="48">
        <f t="array" ref="AC11">1/PRODUCT(1+X15:Z15)</f>
        <v>0.48941378290183751</v>
      </c>
      <c r="AI11" s="124" t="s">
        <v>209</v>
      </c>
      <c r="AJ11" s="90">
        <f>AG4</f>
        <v>0.48941378290183707</v>
      </c>
      <c r="AL11" s="123" t="s">
        <v>55</v>
      </c>
      <c r="AM11" s="90">
        <f>AM6*(2*AM7+AM6+1)</f>
        <v>9</v>
      </c>
      <c r="AN11" s="37"/>
      <c r="AO11" s="37"/>
    </row>
    <row r="12" spans="1:42" ht="17.25" x14ac:dyDescent="0.25">
      <c r="A12" t="s">
        <v>159</v>
      </c>
      <c r="B12" s="102">
        <v>67.3</v>
      </c>
      <c r="C12" s="103">
        <v>48.3</v>
      </c>
      <c r="D12" s="104">
        <v>5.5</v>
      </c>
      <c r="F12" t="s">
        <v>166</v>
      </c>
      <c r="P12" s="36">
        <v>-25.90945312500024</v>
      </c>
      <c r="Q12" s="37">
        <v>1051.2194531249997</v>
      </c>
      <c r="R12" s="90">
        <v>68.376484374999976</v>
      </c>
      <c r="T12" s="36">
        <v>-3.0000000000000533</v>
      </c>
      <c r="U12" s="37">
        <v>980.86</v>
      </c>
      <c r="V12" s="90">
        <v>60.739999999999995</v>
      </c>
      <c r="X12" s="36">
        <v>2.7943080897250852E-2</v>
      </c>
      <c r="Y12" s="37">
        <v>2.5127327516487708E-2</v>
      </c>
      <c r="Z12" s="90">
        <v>0.25064036193852446</v>
      </c>
      <c r="AB12" t="s">
        <v>195</v>
      </c>
      <c r="AC12" s="49">
        <f>SUM(X15:Z15)</f>
        <v>0.99463857861861205</v>
      </c>
      <c r="AI12" s="123" t="s">
        <v>210</v>
      </c>
      <c r="AJ12" s="90">
        <f>AJ11^(-1/AJ9)-1</f>
        <v>0.34124824185183122</v>
      </c>
      <c r="AL12" s="123" t="s">
        <v>56</v>
      </c>
      <c r="AM12" s="90">
        <f>2*(AM6*AM8+1)</f>
        <v>74</v>
      </c>
      <c r="AN12" s="37"/>
      <c r="AO12" s="37"/>
    </row>
    <row r="13" spans="1:42" x14ac:dyDescent="0.25">
      <c r="A13" t="s">
        <v>159</v>
      </c>
      <c r="B13" s="102">
        <v>61.3</v>
      </c>
      <c r="C13" s="103">
        <v>28.9</v>
      </c>
      <c r="D13" s="104">
        <v>6.9</v>
      </c>
      <c r="L13" t="s">
        <v>156</v>
      </c>
      <c r="P13" s="39">
        <v>-46.756484375000049</v>
      </c>
      <c r="Q13" s="40">
        <v>68.376484374999976</v>
      </c>
      <c r="R13" s="41">
        <v>22.288828124999998</v>
      </c>
      <c r="T13" s="39">
        <v>-44.270000000000024</v>
      </c>
      <c r="U13" s="40">
        <v>60.739999999999995</v>
      </c>
      <c r="V13" s="41">
        <v>21.46</v>
      </c>
      <c r="X13" s="39">
        <v>8.1280124788998959E-2</v>
      </c>
      <c r="Y13" s="40">
        <v>-3.4757270026679166E-2</v>
      </c>
      <c r="Z13" s="41">
        <v>0.52273234764777676</v>
      </c>
      <c r="AB13" t="s">
        <v>196</v>
      </c>
      <c r="AC13" s="49">
        <f t="array" ref="AC13">SUM(X15:Z15/(1+X15:Z15))</f>
        <v>0.53450153486352014</v>
      </c>
      <c r="AI13" s="123" t="s">
        <v>54</v>
      </c>
      <c r="AJ13" s="90">
        <f>AJ12*AJ15/AJ14</f>
        <v>2.4049573708677707</v>
      </c>
      <c r="AL13" s="125" t="s">
        <v>57</v>
      </c>
      <c r="AM13" s="90">
        <v>0.05</v>
      </c>
      <c r="AN13" s="37"/>
      <c r="AO13" s="37"/>
    </row>
    <row r="14" spans="1:42" ht="14.45" x14ac:dyDescent="0.35">
      <c r="A14" t="s">
        <v>159</v>
      </c>
      <c r="B14" s="102">
        <v>58.2</v>
      </c>
      <c r="C14" s="103">
        <v>42.5</v>
      </c>
      <c r="D14" s="104">
        <v>4.8</v>
      </c>
      <c r="G14" s="47" t="s">
        <v>144</v>
      </c>
      <c r="H14" s="47" t="s">
        <v>145</v>
      </c>
      <c r="I14" s="47" t="s">
        <v>146</v>
      </c>
      <c r="J14" s="113" t="s">
        <v>167</v>
      </c>
      <c r="L14" s="110">
        <f t="shared" ref="L14:N16" si="1">P32-L9</f>
        <v>4057.4512499999983</v>
      </c>
      <c r="M14" s="111">
        <f t="shared" si="1"/>
        <v>713.71624999999983</v>
      </c>
      <c r="N14" s="112">
        <f t="shared" si="1"/>
        <v>-272.65124999999995</v>
      </c>
      <c r="AB14" t="s">
        <v>197</v>
      </c>
      <c r="AC14" s="52">
        <f>X15</f>
        <v>0.94364290775757032</v>
      </c>
      <c r="AI14" s="123" t="s">
        <v>55</v>
      </c>
      <c r="AJ14" s="90">
        <f>AJ4*(AJ5-1)</f>
        <v>9</v>
      </c>
      <c r="AL14" s="123" t="s">
        <v>58</v>
      </c>
      <c r="AM14" s="90">
        <f>FINV(AM13,AM11,AM12)</f>
        <v>2.0090248999382183</v>
      </c>
      <c r="AN14" s="37"/>
      <c r="AO14" s="37"/>
    </row>
    <row r="15" spans="1:42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  <c r="F15" s="60" t="s">
        <v>158</v>
      </c>
      <c r="G15" s="117">
        <f t="shared" ref="G15:I18" si="2">G6-G$10</f>
        <v>8.1031250000000128</v>
      </c>
      <c r="H15" s="118">
        <f t="shared" si="2"/>
        <v>1.5718749999999986</v>
      </c>
      <c r="I15" s="119">
        <f t="shared" si="2"/>
        <v>1.7156249999999993</v>
      </c>
      <c r="J15">
        <f>COUNTIF($A$4:$A$35,F15)</f>
        <v>8</v>
      </c>
      <c r="K15" s="113"/>
      <c r="L15" s="36">
        <f t="shared" si="1"/>
        <v>713.71624999999983</v>
      </c>
      <c r="M15" s="37">
        <f t="shared" si="1"/>
        <v>2833.9862499999995</v>
      </c>
      <c r="N15" s="90">
        <f t="shared" si="1"/>
        <v>122.69375000000008</v>
      </c>
      <c r="P15" t="s">
        <v>161</v>
      </c>
      <c r="T15" t="s">
        <v>161</v>
      </c>
      <c r="X15" s="53">
        <f t="array" ref="X15:Z15">[1]!eVALUES(X11:Z13)</f>
        <v>0.94364290775757032</v>
      </c>
      <c r="Y15" s="108">
        <v>4.5312515186991316E-2</v>
      </c>
      <c r="Z15" s="109">
        <v>5.6831556740503698E-3</v>
      </c>
      <c r="AI15" s="123" t="s">
        <v>56</v>
      </c>
      <c r="AJ15" s="90">
        <f>AJ6*AJ9-AJ10</f>
        <v>63.427773928892364</v>
      </c>
      <c r="AL15" s="91" t="s">
        <v>59</v>
      </c>
      <c r="AM15" s="93">
        <f>FDIST(AM10,AM11,AM12)</f>
        <v>8.3985125298040135E-3</v>
      </c>
      <c r="AN15" s="37"/>
      <c r="AO15" s="37"/>
    </row>
    <row r="16" spans="1:42" x14ac:dyDescent="0.25">
      <c r="A16" t="s">
        <v>159</v>
      </c>
      <c r="B16" s="102">
        <v>66.900000000000006</v>
      </c>
      <c r="C16" s="103">
        <v>23.9</v>
      </c>
      <c r="D16" s="104">
        <v>1.1000000000000001</v>
      </c>
      <c r="F16" s="60" t="s">
        <v>159</v>
      </c>
      <c r="G16" s="76">
        <f t="shared" si="2"/>
        <v>0.96562500000000995</v>
      </c>
      <c r="H16" s="103">
        <f t="shared" si="2"/>
        <v>-2.9656249999999993</v>
      </c>
      <c r="I16" s="104">
        <f t="shared" si="2"/>
        <v>-0.32187499999999858</v>
      </c>
      <c r="J16">
        <f>COUNTIF($A$4:$A$35,F16)</f>
        <v>8</v>
      </c>
      <c r="L16" s="91">
        <f t="shared" si="1"/>
        <v>-272.65124999999995</v>
      </c>
      <c r="M16" s="92">
        <f t="shared" si="1"/>
        <v>122.69375000000008</v>
      </c>
      <c r="N16" s="93">
        <f t="shared" si="1"/>
        <v>112.43625000000006</v>
      </c>
      <c r="P16" s="110">
        <f t="array" ref="P16:R18">MMULT(TRANSPOSE(B20:D27-G10:I10),B20:D27-G10:I10)</f>
        <v>1309.4338281249991</v>
      </c>
      <c r="Q16" s="111">
        <v>-4.5694531250001376</v>
      </c>
      <c r="R16" s="112">
        <v>58.876015624999887</v>
      </c>
      <c r="T16" s="110">
        <f t="array" ref="T16:V18">MMULT(TRANSPOSE(B20:D27-G8:I8),B20:D27-G8:I8)</f>
        <v>992.22874999999976</v>
      </c>
      <c r="U16" s="111">
        <v>-31.17375000000002</v>
      </c>
      <c r="V16" s="112">
        <v>18.103749999999966</v>
      </c>
      <c r="AI16" s="125" t="s">
        <v>57</v>
      </c>
      <c r="AJ16" s="90">
        <v>0.05</v>
      </c>
    </row>
    <row r="17" spans="1:36" ht="14.45" x14ac:dyDescent="0.35">
      <c r="A17" t="s">
        <v>159</v>
      </c>
      <c r="B17" s="102">
        <v>55.4</v>
      </c>
      <c r="C17" s="103">
        <v>29.1</v>
      </c>
      <c r="D17" s="104">
        <v>5</v>
      </c>
      <c r="F17" s="60" t="s">
        <v>161</v>
      </c>
      <c r="G17" s="76">
        <f t="shared" si="2"/>
        <v>-6.2968749999999929</v>
      </c>
      <c r="H17" s="103">
        <f t="shared" si="2"/>
        <v>-0.52812500000000284</v>
      </c>
      <c r="I17" s="104">
        <f t="shared" si="2"/>
        <v>-0.80937499999999929</v>
      </c>
      <c r="J17">
        <f>COUNTIF($A$4:$A$35,F17)</f>
        <v>8</v>
      </c>
      <c r="P17" s="36">
        <v>-4.5694531250001376</v>
      </c>
      <c r="Q17" s="37">
        <v>576.65007812499994</v>
      </c>
      <c r="R17" s="90">
        <v>20.050859375000002</v>
      </c>
      <c r="T17" s="36">
        <v>-31.17375000000002</v>
      </c>
      <c r="U17" s="37">
        <v>574.41874999999993</v>
      </c>
      <c r="V17" s="90">
        <v>16.631250000000012</v>
      </c>
      <c r="AI17" s="123" t="s">
        <v>58</v>
      </c>
      <c r="AJ17" s="90">
        <f>FINV(AJ16,AJ14,AJ15)</f>
        <v>2.0322422110018468</v>
      </c>
    </row>
    <row r="18" spans="1:36" ht="14.45" x14ac:dyDescent="0.35">
      <c r="A18" t="s">
        <v>159</v>
      </c>
      <c r="B18" s="102">
        <v>50.5</v>
      </c>
      <c r="C18" s="103">
        <v>18</v>
      </c>
      <c r="D18" s="104">
        <v>4.8</v>
      </c>
      <c r="F18" s="60" t="s">
        <v>160</v>
      </c>
      <c r="G18" s="77">
        <f t="shared" si="2"/>
        <v>-2.7718749999999943</v>
      </c>
      <c r="H18" s="120">
        <f t="shared" si="2"/>
        <v>1.9218750000000071</v>
      </c>
      <c r="I18" s="121">
        <f t="shared" si="2"/>
        <v>-0.58437499999999876</v>
      </c>
      <c r="J18">
        <f>COUNTIF($A$4:$A$35,F18)</f>
        <v>8</v>
      </c>
      <c r="P18" s="39">
        <v>58.876015624999887</v>
      </c>
      <c r="Q18" s="40">
        <v>20.050859375000002</v>
      </c>
      <c r="R18" s="41">
        <v>29.339453124999988</v>
      </c>
      <c r="T18" s="39">
        <v>18.103749999999966</v>
      </c>
      <c r="U18" s="40">
        <v>16.631250000000012</v>
      </c>
      <c r="V18" s="41">
        <v>24.098749999999999</v>
      </c>
      <c r="AI18" s="91" t="s">
        <v>59</v>
      </c>
      <c r="AJ18" s="93">
        <f>FDIST(AJ13,AJ14,AJ15)</f>
        <v>2.0551028729060238E-2</v>
      </c>
    </row>
    <row r="19" spans="1:36" ht="14.45" x14ac:dyDescent="0.35">
      <c r="A19" t="s">
        <v>159</v>
      </c>
      <c r="B19" s="102">
        <v>64.099999999999994</v>
      </c>
      <c r="C19" s="103">
        <v>14.5</v>
      </c>
      <c r="D19" s="104">
        <v>3.7</v>
      </c>
    </row>
    <row r="20" spans="1:36" ht="14.45" x14ac:dyDescent="0.35">
      <c r="A20" t="s">
        <v>161</v>
      </c>
      <c r="B20" s="102">
        <v>62.8</v>
      </c>
      <c r="C20" s="103">
        <v>25.9</v>
      </c>
      <c r="D20" s="104">
        <v>2.9</v>
      </c>
      <c r="P20" t="s">
        <v>160</v>
      </c>
      <c r="T20" t="s">
        <v>160</v>
      </c>
    </row>
    <row r="21" spans="1:36" ht="14.45" x14ac:dyDescent="0.35">
      <c r="A21" t="s">
        <v>161</v>
      </c>
      <c r="B21" s="102">
        <v>45</v>
      </c>
      <c r="C21" s="103">
        <v>15.9</v>
      </c>
      <c r="D21" s="104">
        <v>1.2</v>
      </c>
      <c r="P21" s="110">
        <f t="array" ref="P21:R23">MMULT(TRANSPOSE(B28:D35-G10:I10),B28:D35-G10:I10)</f>
        <v>860.08507812499988</v>
      </c>
      <c r="Q21" s="111">
        <v>218.8461718750001</v>
      </c>
      <c r="R21" s="112">
        <v>-59.19773437500006</v>
      </c>
      <c r="T21" s="110">
        <f t="array" ref="T21:V23">MMULT(TRANSPOSE(B28:D35-G9:I9),B28:D35-G9:I9)</f>
        <v>798.6187500000002</v>
      </c>
      <c r="U21" s="111">
        <v>261.46375000000006</v>
      </c>
      <c r="V21" s="112">
        <v>-72.156250000000014</v>
      </c>
    </row>
    <row r="22" spans="1:36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  <c r="P22" s="36">
        <v>218.8461718750001</v>
      </c>
      <c r="Q22" s="37">
        <v>927.17757812500008</v>
      </c>
      <c r="R22" s="90">
        <v>40.563984375000011</v>
      </c>
      <c r="T22" s="36">
        <v>261.46375000000006</v>
      </c>
      <c r="U22" s="37">
        <v>897.62875000000008</v>
      </c>
      <c r="V22" s="90">
        <v>49.548750000000005</v>
      </c>
    </row>
    <row r="23" spans="1:36" ht="14.45" x14ac:dyDescent="0.35">
      <c r="A23" t="s">
        <v>161</v>
      </c>
      <c r="B23" s="102">
        <v>75.599999999999994</v>
      </c>
      <c r="C23" s="103">
        <v>27.7</v>
      </c>
      <c r="D23" s="104">
        <v>6.3</v>
      </c>
      <c r="P23" s="39">
        <v>-59.19773437500006</v>
      </c>
      <c r="Q23" s="40">
        <v>40.563984375000011</v>
      </c>
      <c r="R23" s="41">
        <v>27.340703124999994</v>
      </c>
      <c r="T23" s="39">
        <v>-72.156250000000014</v>
      </c>
      <c r="U23" s="40">
        <v>49.548750000000005</v>
      </c>
      <c r="V23" s="41">
        <v>24.608750000000001</v>
      </c>
    </row>
    <row r="24" spans="1:36" ht="14.45" x14ac:dyDescent="0.35">
      <c r="A24" t="s">
        <v>161</v>
      </c>
      <c r="B24" s="102">
        <v>46.6</v>
      </c>
      <c r="C24" s="103">
        <v>46.9</v>
      </c>
      <c r="D24" s="104">
        <v>3.6</v>
      </c>
    </row>
    <row r="25" spans="1:36" ht="14.45" x14ac:dyDescent="0.35">
      <c r="A25" t="s">
        <v>161</v>
      </c>
      <c r="B25" s="102">
        <v>50.6</v>
      </c>
      <c r="C25" s="103">
        <v>29.7</v>
      </c>
      <c r="D25" s="104">
        <v>4.7</v>
      </c>
      <c r="P25" t="s">
        <v>168</v>
      </c>
      <c r="T25" t="s">
        <v>168</v>
      </c>
    </row>
    <row r="26" spans="1:36" ht="14.45" x14ac:dyDescent="0.35">
      <c r="A26" t="s">
        <v>161</v>
      </c>
      <c r="B26" s="102">
        <v>45.7</v>
      </c>
      <c r="C26" s="103">
        <v>27.6</v>
      </c>
      <c r="D26" s="104">
        <v>6.2</v>
      </c>
      <c r="P26" s="110">
        <f t="array" ref="P26:R28">P6:R8+P11:R13+P16:R18+P21:R23</f>
        <v>4968.8671875</v>
      </c>
      <c r="Q26" s="111">
        <v>776.69031249999978</v>
      </c>
      <c r="R26" s="112">
        <v>-110.19156250000003</v>
      </c>
      <c r="T26" s="110">
        <f t="array" ref="T26:V28">T6:V8+T11:V13+T16:V18+T21:V23</f>
        <v>4057.4512499999992</v>
      </c>
      <c r="U26" s="111">
        <v>713.71624999999972</v>
      </c>
      <c r="V26" s="112">
        <v>-272.65125</v>
      </c>
    </row>
    <row r="27" spans="1:36" ht="14.45" x14ac:dyDescent="0.35">
      <c r="A27" t="s">
        <v>161</v>
      </c>
      <c r="B27" s="102">
        <v>68.400000000000006</v>
      </c>
      <c r="C27" s="103">
        <v>35.299999999999997</v>
      </c>
      <c r="D27" s="104">
        <v>1.9</v>
      </c>
      <c r="P27" s="36">
        <v>776.69031249999978</v>
      </c>
      <c r="Q27" s="37">
        <v>2955.8921874999996</v>
      </c>
      <c r="R27" s="90">
        <v>146.33906250000004</v>
      </c>
      <c r="T27" s="36">
        <v>713.71624999999972</v>
      </c>
      <c r="U27" s="37">
        <v>2833.9862499999999</v>
      </c>
      <c r="V27" s="90">
        <v>122.69374999999999</v>
      </c>
    </row>
    <row r="28" spans="1:36" ht="14.45" x14ac:dyDescent="0.35">
      <c r="A28" t="s">
        <v>160</v>
      </c>
      <c r="B28" s="102">
        <v>52.5</v>
      </c>
      <c r="C28" s="103">
        <v>39</v>
      </c>
      <c r="D28" s="104">
        <v>3.1</v>
      </c>
      <c r="P28" s="39">
        <v>-110.19156250000003</v>
      </c>
      <c r="Q28" s="40">
        <v>146.33906250000004</v>
      </c>
      <c r="R28" s="41">
        <v>144.78468749999999</v>
      </c>
      <c r="T28" s="39">
        <v>-272.65125</v>
      </c>
      <c r="U28" s="40">
        <v>122.69374999999999</v>
      </c>
      <c r="V28" s="41">
        <v>112.43624999999999</v>
      </c>
    </row>
    <row r="29" spans="1:36" ht="14.45" x14ac:dyDescent="0.35">
      <c r="A29" t="s">
        <v>160</v>
      </c>
      <c r="B29" s="102">
        <v>80</v>
      </c>
      <c r="C29" s="103">
        <v>54.2</v>
      </c>
      <c r="D29" s="104">
        <v>4</v>
      </c>
    </row>
    <row r="30" spans="1:36" ht="14.45" x14ac:dyDescent="0.35">
      <c r="A30" t="s">
        <v>160</v>
      </c>
      <c r="B30" s="102">
        <v>54.7</v>
      </c>
      <c r="C30" s="103">
        <v>32.1</v>
      </c>
      <c r="D30" s="104">
        <v>5.7</v>
      </c>
      <c r="P30" t="s">
        <v>170</v>
      </c>
      <c r="T30" t="s">
        <v>170</v>
      </c>
    </row>
    <row r="31" spans="1:36" ht="14.45" x14ac:dyDescent="0.35">
      <c r="A31" t="s">
        <v>160</v>
      </c>
      <c r="B31" s="102">
        <v>63.5</v>
      </c>
      <c r="C31" s="103">
        <v>25.6</v>
      </c>
      <c r="D31" s="104">
        <v>3</v>
      </c>
    </row>
    <row r="32" spans="1:36" ht="14.45" x14ac:dyDescent="0.35">
      <c r="A32" t="s">
        <v>160</v>
      </c>
      <c r="B32" s="102">
        <v>46.3</v>
      </c>
      <c r="C32" s="103">
        <v>31.8</v>
      </c>
      <c r="D32" s="104">
        <v>7.4</v>
      </c>
      <c r="P32" s="110">
        <f t="array" ref="P32:R34">[1]!COV(B4:D35)*(COUNT(B4:B35)-1)</f>
        <v>4968.8671874999991</v>
      </c>
      <c r="Q32" s="111">
        <v>776.69031249999966</v>
      </c>
      <c r="R32" s="112">
        <v>-110.1915625</v>
      </c>
      <c r="T32" s="110">
        <f t="array" ref="T32:V34">[1]!COVPooled(A4:D35)*(COUNT(B4:B35)-COUNT(G6:G9))</f>
        <v>4057.4512499999992</v>
      </c>
      <c r="U32" s="111">
        <v>713.71624999999983</v>
      </c>
      <c r="V32" s="112">
        <v>-272.65125</v>
      </c>
    </row>
    <row r="33" spans="1:22" x14ac:dyDescent="0.25">
      <c r="A33" t="s">
        <v>160</v>
      </c>
      <c r="B33" s="102">
        <v>61.5</v>
      </c>
      <c r="C33" s="103">
        <v>16.8</v>
      </c>
      <c r="D33" s="104">
        <v>1.9</v>
      </c>
      <c r="P33" s="36">
        <v>776.69031249999966</v>
      </c>
      <c r="Q33" s="37">
        <v>2955.8921874999996</v>
      </c>
      <c r="R33" s="90">
        <v>146.33906250000001</v>
      </c>
      <c r="T33" s="36">
        <v>713.71624999999983</v>
      </c>
      <c r="U33" s="37">
        <v>2833.9862499999999</v>
      </c>
      <c r="V33" s="90">
        <v>122.69374999999999</v>
      </c>
    </row>
    <row r="34" spans="1:22" x14ac:dyDescent="0.25">
      <c r="A34" t="s">
        <v>160</v>
      </c>
      <c r="B34" s="102">
        <v>62.9</v>
      </c>
      <c r="C34" s="103">
        <v>25.8</v>
      </c>
      <c r="D34" s="104">
        <v>2.4</v>
      </c>
      <c r="P34" s="91">
        <v>-110.1915625</v>
      </c>
      <c r="Q34" s="92">
        <v>146.33906250000001</v>
      </c>
      <c r="R34" s="93">
        <v>144.78468750000002</v>
      </c>
      <c r="T34" s="91">
        <v>-272.65125</v>
      </c>
      <c r="U34" s="92">
        <v>122.69374999999999</v>
      </c>
      <c r="V34" s="93">
        <v>112.43624999999996</v>
      </c>
    </row>
    <row r="35" spans="1:22" x14ac:dyDescent="0.25">
      <c r="A35" t="s">
        <v>160</v>
      </c>
      <c r="B35" s="105">
        <v>49.3</v>
      </c>
      <c r="C35" s="106">
        <v>39.4</v>
      </c>
      <c r="D35" s="107">
        <v>5.2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/>
  <dimension ref="A1:T35"/>
  <sheetViews>
    <sheetView zoomScaleNormal="100" workbookViewId="0"/>
  </sheetViews>
  <sheetFormatPr defaultRowHeight="15" x14ac:dyDescent="0.25"/>
  <cols>
    <col min="6" max="6" width="16.140625" customWidth="1"/>
  </cols>
  <sheetData>
    <row r="1" spans="1:20" ht="14.45" x14ac:dyDescent="0.35">
      <c r="A1" s="42" t="s">
        <v>171</v>
      </c>
      <c r="F1" t="s">
        <v>147</v>
      </c>
      <c r="N1" t="s">
        <v>232</v>
      </c>
      <c r="R1" t="s">
        <v>233</v>
      </c>
    </row>
    <row r="2" spans="1:20" thickBot="1" x14ac:dyDescent="0.4"/>
    <row r="3" spans="1:20" thickTop="1" x14ac:dyDescent="0.35">
      <c r="B3" s="47" t="s">
        <v>144</v>
      </c>
      <c r="C3" s="47" t="s">
        <v>145</v>
      </c>
      <c r="D3" s="47" t="s">
        <v>146</v>
      </c>
      <c r="F3" s="94"/>
      <c r="G3" s="94" t="s">
        <v>148</v>
      </c>
      <c r="H3" s="94" t="s">
        <v>54</v>
      </c>
      <c r="I3" s="94" t="s">
        <v>55</v>
      </c>
      <c r="J3" s="94" t="s">
        <v>56</v>
      </c>
      <c r="K3" s="94" t="s">
        <v>65</v>
      </c>
      <c r="L3" s="94" t="s">
        <v>149</v>
      </c>
      <c r="N3" t="s">
        <v>154</v>
      </c>
      <c r="R3" t="s">
        <v>160</v>
      </c>
    </row>
    <row r="4" spans="1:20" ht="14.45" x14ac:dyDescent="0.35">
      <c r="A4" t="s">
        <v>158</v>
      </c>
      <c r="B4" s="75">
        <v>76.7</v>
      </c>
      <c r="C4" s="100">
        <v>29.5</v>
      </c>
      <c r="D4" s="101">
        <v>7.5</v>
      </c>
      <c r="F4" t="s">
        <v>150</v>
      </c>
      <c r="G4">
        <f>[1]!MANOVA_PillaiTrace(A4:D35)</f>
        <v>0.5345015348635207</v>
      </c>
      <c r="H4">
        <f>[1]!MANOVA_PillaiF(A4:D35)</f>
        <v>2.0233965109296368</v>
      </c>
      <c r="I4">
        <f>[1]!MANOVA_Pillaidf1(A4:D35)</f>
        <v>9</v>
      </c>
      <c r="J4">
        <f>[1]!MANOVA_Pillaidf2(A4:D35)</f>
        <v>84</v>
      </c>
      <c r="K4">
        <f>[1]!F_DIST_RT(H4,I4,J4)</f>
        <v>4.6408000307959218E-2</v>
      </c>
      <c r="L4">
        <f>H4*I4/(H4*I4+J4)</f>
        <v>0.17816717828784023</v>
      </c>
      <c r="N4" s="130">
        <f t="array" ref="N4:P6">[1]!COVP(B4:D35)*COUNT(B4:B35)</f>
        <v>4968.8671874999991</v>
      </c>
      <c r="O4" s="141">
        <v>776.69031249999966</v>
      </c>
      <c r="P4" s="82">
        <v>-110.1915625</v>
      </c>
      <c r="R4" s="130">
        <f t="array" ref="R4:T6">[1]!ExtractCov(A4:D35,R3)</f>
        <v>114.08839285714288</v>
      </c>
      <c r="S4" s="141">
        <v>37.351964285714295</v>
      </c>
      <c r="T4" s="82">
        <v>-10.308035714285715</v>
      </c>
    </row>
    <row r="5" spans="1:20" ht="14.45" x14ac:dyDescent="0.35">
      <c r="A5" t="s">
        <v>158</v>
      </c>
      <c r="B5" s="102">
        <v>60.5</v>
      </c>
      <c r="C5" s="103">
        <v>32.1</v>
      </c>
      <c r="D5" s="104">
        <v>6.3</v>
      </c>
      <c r="F5" t="s">
        <v>151</v>
      </c>
      <c r="G5">
        <f>[1]!MANOVA_WilksLambda(A4:D35)</f>
        <v>0.48941378290183696</v>
      </c>
      <c r="H5">
        <f>[1]!MANOVA_WilksF(A4:D35)</f>
        <v>2.4049573708677712</v>
      </c>
      <c r="I5">
        <f>[1]!MANOVA_Wilksdf1(A4:D35)</f>
        <v>9</v>
      </c>
      <c r="J5">
        <f>[1]!MANOVA_Wilksdf2(A4:D35)</f>
        <v>63.427773928892357</v>
      </c>
      <c r="K5">
        <f>[1]!F_DIST_RT(H5,I5,J5)</f>
        <v>2.0471936357816189E-2</v>
      </c>
      <c r="L5">
        <f>H5*I5/(H5*I5+J5)</f>
        <v>0.25442586331421951</v>
      </c>
      <c r="N5" s="83">
        <v>776.69031249999966</v>
      </c>
      <c r="O5" s="37">
        <v>2955.8921874999996</v>
      </c>
      <c r="P5" s="84">
        <v>146.33906250000001</v>
      </c>
      <c r="R5" s="83">
        <v>37.351964285714295</v>
      </c>
      <c r="S5" s="37">
        <v>128.23267857142858</v>
      </c>
      <c r="T5" s="84">
        <v>7.0783928571428572</v>
      </c>
    </row>
    <row r="6" spans="1:20" ht="14.45" x14ac:dyDescent="0.35">
      <c r="A6" t="s">
        <v>158</v>
      </c>
      <c r="B6" s="102">
        <v>96.1</v>
      </c>
      <c r="C6" s="103">
        <v>40.700000000000003</v>
      </c>
      <c r="D6" s="104">
        <v>4.2</v>
      </c>
      <c r="F6" t="s">
        <v>152</v>
      </c>
      <c r="G6">
        <f>[1]!MANOVA_HotelTrace(A4:D35)</f>
        <v>0.99463857861861438</v>
      </c>
      <c r="H6">
        <f>[1]!MANOVA_HotelF(A4:D35)</f>
        <v>2.7260464747324988</v>
      </c>
      <c r="I6">
        <f>[1]!MANOVA_Hoteldf1(A4:D35)</f>
        <v>9</v>
      </c>
      <c r="J6">
        <f>[1]!MANOVA_Hoteldf2(A4:D35)</f>
        <v>74</v>
      </c>
      <c r="K6">
        <f>[1]!F_DIST_RT(H6,I6,J6)</f>
        <v>8.3985125298039476E-3</v>
      </c>
      <c r="L6">
        <f>H6*I6/(H6*I6+J6)</f>
        <v>0.24899338426821341</v>
      </c>
      <c r="N6" s="85">
        <v>-110.1915625</v>
      </c>
      <c r="O6" s="86">
        <v>146.33906250000001</v>
      </c>
      <c r="P6" s="87">
        <v>144.78468750000002</v>
      </c>
      <c r="R6" s="85">
        <v>-10.308035714285715</v>
      </c>
      <c r="S6" s="86">
        <v>7.0783928571428572</v>
      </c>
      <c r="T6" s="87">
        <v>3.515535714285714</v>
      </c>
    </row>
    <row r="7" spans="1:20" ht="14.45" x14ac:dyDescent="0.35">
      <c r="A7" t="s">
        <v>158</v>
      </c>
      <c r="B7" s="102">
        <v>88.1</v>
      </c>
      <c r="C7" s="103">
        <v>45.1</v>
      </c>
      <c r="D7" s="104">
        <v>4.9000000000000004</v>
      </c>
      <c r="F7" s="40" t="s">
        <v>153</v>
      </c>
      <c r="G7" s="40">
        <f>[1]!MANOVA_RoyRoot(A4:D35)</f>
        <v>0.94364290775757154</v>
      </c>
      <c r="H7" s="40"/>
      <c r="I7" s="40"/>
      <c r="J7" s="40"/>
      <c r="K7" s="40"/>
      <c r="L7" s="40"/>
    </row>
    <row r="8" spans="1:20" ht="14.45" x14ac:dyDescent="0.35">
      <c r="A8" t="s">
        <v>158</v>
      </c>
      <c r="B8" s="102">
        <v>50.2</v>
      </c>
      <c r="C8" s="103">
        <v>34.1</v>
      </c>
      <c r="D8" s="104">
        <v>11.7</v>
      </c>
      <c r="N8" t="s">
        <v>155</v>
      </c>
      <c r="R8" t="s">
        <v>158</v>
      </c>
    </row>
    <row r="9" spans="1:20" ht="14.45" x14ac:dyDescent="0.35">
      <c r="A9" t="s">
        <v>158</v>
      </c>
      <c r="B9" s="102">
        <v>55</v>
      </c>
      <c r="C9" s="103">
        <v>31.1</v>
      </c>
      <c r="D9" s="104">
        <v>6.9</v>
      </c>
      <c r="N9" s="130">
        <f t="array" ref="N9:P11">N4:P6-N14:P16</f>
        <v>911.41593749999993</v>
      </c>
      <c r="O9" s="141">
        <v>62.974062499999832</v>
      </c>
      <c r="P9" s="82">
        <v>162.4596875</v>
      </c>
      <c r="R9" s="130">
        <f t="array" ref="R9:T11">[1]!ExtractCov(A4:D35,R8)</f>
        <v>257.1412499999999</v>
      </c>
      <c r="S9" s="141">
        <v>69.489464285714249</v>
      </c>
      <c r="T9" s="82">
        <v>-24.904107142857132</v>
      </c>
    </row>
    <row r="10" spans="1:20" ht="14.45" x14ac:dyDescent="0.35">
      <c r="A10" t="s">
        <v>158</v>
      </c>
      <c r="B10" s="102">
        <v>65.400000000000006</v>
      </c>
      <c r="C10" s="103">
        <v>21.6</v>
      </c>
      <c r="D10" s="104">
        <v>4.3</v>
      </c>
      <c r="N10" s="83">
        <v>62.974062499999832</v>
      </c>
      <c r="O10" s="37">
        <v>121.90593749999971</v>
      </c>
      <c r="P10" s="84">
        <v>23.645312500000017</v>
      </c>
      <c r="R10" s="83">
        <v>69.489464285714249</v>
      </c>
      <c r="S10" s="37">
        <v>54.439821428571435</v>
      </c>
      <c r="T10" s="84">
        <v>-0.60375000000000068</v>
      </c>
    </row>
    <row r="11" spans="1:20" ht="14.45" x14ac:dyDescent="0.35">
      <c r="A11" t="s">
        <v>158</v>
      </c>
      <c r="B11" s="102">
        <v>65.7</v>
      </c>
      <c r="C11" s="103">
        <v>27.7</v>
      </c>
      <c r="D11" s="104">
        <v>5.3</v>
      </c>
      <c r="N11" s="85">
        <v>162.4596875</v>
      </c>
      <c r="O11" s="86">
        <v>23.645312500000017</v>
      </c>
      <c r="P11" s="87">
        <v>32.34843750000006</v>
      </c>
      <c r="R11" s="85">
        <v>-24.904107142857132</v>
      </c>
      <c r="S11" s="86">
        <v>-0.60375000000000068</v>
      </c>
      <c r="T11" s="87">
        <v>6.0383928571428545</v>
      </c>
    </row>
    <row r="12" spans="1:20" ht="14.45" x14ac:dyDescent="0.35">
      <c r="A12" t="s">
        <v>159</v>
      </c>
      <c r="B12" s="102">
        <v>67.3</v>
      </c>
      <c r="C12" s="103">
        <v>48.3</v>
      </c>
      <c r="D12" s="104">
        <v>5.5</v>
      </c>
    </row>
    <row r="13" spans="1:20" ht="14.45" x14ac:dyDescent="0.35">
      <c r="A13" t="s">
        <v>159</v>
      </c>
      <c r="B13" s="102">
        <v>61.3</v>
      </c>
      <c r="C13" s="103">
        <v>28.9</v>
      </c>
      <c r="D13" s="104">
        <v>6.9</v>
      </c>
      <c r="N13" t="s">
        <v>156</v>
      </c>
      <c r="R13" t="s">
        <v>161</v>
      </c>
    </row>
    <row r="14" spans="1:20" ht="14.45" x14ac:dyDescent="0.35">
      <c r="A14" t="s">
        <v>159</v>
      </c>
      <c r="B14" s="102">
        <v>58.2</v>
      </c>
      <c r="C14" s="103">
        <v>42.5</v>
      </c>
      <c r="D14" s="104">
        <v>4.8</v>
      </c>
      <c r="N14" s="130">
        <f t="array" ref="N14:P16">[1]!COVPooled(A4:D35)*(COUNT(B4:B35)-[1]!COUNTAU(A4:A35))</f>
        <v>4057.4512499999992</v>
      </c>
      <c r="O14" s="141">
        <v>713.71624999999983</v>
      </c>
      <c r="P14" s="82">
        <v>-272.65125</v>
      </c>
      <c r="R14" s="130">
        <f t="array" ref="R14:T16">[1]!ExtractCov(A4:D35,R13)</f>
        <v>141.74696428571426</v>
      </c>
      <c r="S14" s="141">
        <v>-4.4533928571428598</v>
      </c>
      <c r="T14" s="82">
        <v>2.5862499999999948</v>
      </c>
    </row>
    <row r="15" spans="1:20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  <c r="N15" s="83">
        <v>713.71624999999983</v>
      </c>
      <c r="O15" s="37">
        <v>2833.9862499999999</v>
      </c>
      <c r="P15" s="84">
        <v>122.69374999999999</v>
      </c>
      <c r="R15" s="83">
        <v>-4.4533928571428598</v>
      </c>
      <c r="S15" s="37">
        <v>82.059821428571411</v>
      </c>
      <c r="T15" s="84">
        <v>2.3758928571428588</v>
      </c>
    </row>
    <row r="16" spans="1:20" ht="14.45" x14ac:dyDescent="0.35">
      <c r="A16" t="s">
        <v>159</v>
      </c>
      <c r="B16" s="102">
        <v>66.900000000000006</v>
      </c>
      <c r="C16" s="103">
        <v>23.9</v>
      </c>
      <c r="D16" s="104">
        <v>1.1000000000000001</v>
      </c>
      <c r="N16" s="85">
        <v>-272.65125</v>
      </c>
      <c r="O16" s="86">
        <v>122.69374999999999</v>
      </c>
      <c r="P16" s="87">
        <v>112.43624999999996</v>
      </c>
      <c r="R16" s="85">
        <v>2.5862499999999948</v>
      </c>
      <c r="S16" s="86">
        <v>2.3758928571428588</v>
      </c>
      <c r="T16" s="87">
        <v>3.442678571428571</v>
      </c>
    </row>
    <row r="17" spans="1:20" ht="14.45" x14ac:dyDescent="0.35">
      <c r="A17" t="s">
        <v>159</v>
      </c>
      <c r="B17" s="102">
        <v>55.4</v>
      </c>
      <c r="C17" s="103">
        <v>29.1</v>
      </c>
      <c r="D17" s="104">
        <v>5</v>
      </c>
    </row>
    <row r="18" spans="1:20" ht="14.45" x14ac:dyDescent="0.35">
      <c r="A18" t="s">
        <v>159</v>
      </c>
      <c r="B18" s="102">
        <v>50.5</v>
      </c>
      <c r="C18" s="103">
        <v>18</v>
      </c>
      <c r="D18" s="104">
        <v>4.8</v>
      </c>
      <c r="R18" t="s">
        <v>159</v>
      </c>
    </row>
    <row r="19" spans="1:20" ht="14.45" x14ac:dyDescent="0.35">
      <c r="A19" t="s">
        <v>159</v>
      </c>
      <c r="B19" s="102">
        <v>64.099999999999994</v>
      </c>
      <c r="C19" s="103">
        <v>14.5</v>
      </c>
      <c r="D19" s="104">
        <v>3.7</v>
      </c>
      <c r="R19" s="130">
        <f t="array" ref="R19:T21">[1]!ExtractCov(A4:D35,R18)</f>
        <v>66.65928571428573</v>
      </c>
      <c r="S19" s="141">
        <v>-0.42857142857143615</v>
      </c>
      <c r="T19" s="82">
        <v>-6.3242857142857174</v>
      </c>
    </row>
    <row r="20" spans="1:20" ht="14.45" x14ac:dyDescent="0.35">
      <c r="A20" t="s">
        <v>161</v>
      </c>
      <c r="B20" s="102">
        <v>62.8</v>
      </c>
      <c r="C20" s="103">
        <v>25.9</v>
      </c>
      <c r="D20" s="104">
        <v>2.9</v>
      </c>
      <c r="R20" s="83">
        <v>-0.42857142857143615</v>
      </c>
      <c r="S20" s="37">
        <v>140.12285714285713</v>
      </c>
      <c r="T20" s="84">
        <v>8.6771428571428562</v>
      </c>
    </row>
    <row r="21" spans="1:20" ht="14.45" x14ac:dyDescent="0.35">
      <c r="A21" t="s">
        <v>161</v>
      </c>
      <c r="B21" s="102">
        <v>45</v>
      </c>
      <c r="C21" s="103">
        <v>15.9</v>
      </c>
      <c r="D21" s="104">
        <v>1.2</v>
      </c>
      <c r="R21" s="85">
        <v>-6.3242857142857174</v>
      </c>
      <c r="S21" s="86">
        <v>8.6771428571428562</v>
      </c>
      <c r="T21" s="87">
        <v>3.0657142857142858</v>
      </c>
    </row>
    <row r="22" spans="1:20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</row>
    <row r="23" spans="1:20" ht="14.45" x14ac:dyDescent="0.35">
      <c r="A23" t="s">
        <v>161</v>
      </c>
      <c r="B23" s="102">
        <v>75.599999999999994</v>
      </c>
      <c r="C23" s="103">
        <v>27.7</v>
      </c>
      <c r="D23" s="104">
        <v>6.3</v>
      </c>
      <c r="R23" t="s">
        <v>157</v>
      </c>
    </row>
    <row r="24" spans="1:20" ht="14.45" x14ac:dyDescent="0.35">
      <c r="A24" t="s">
        <v>161</v>
      </c>
      <c r="B24" s="102">
        <v>46.6</v>
      </c>
      <c r="C24" s="103">
        <v>46.9</v>
      </c>
      <c r="D24" s="104">
        <v>3.6</v>
      </c>
      <c r="R24" s="130">
        <f t="array" ref="R24:T26">[1]!COVPooled(A4:D35)</f>
        <v>144.90897321428568</v>
      </c>
      <c r="S24" s="141">
        <v>25.489866071428565</v>
      </c>
      <c r="T24" s="82">
        <v>-9.7375446428571433</v>
      </c>
    </row>
    <row r="25" spans="1:20" ht="14.45" x14ac:dyDescent="0.35">
      <c r="A25" t="s">
        <v>161</v>
      </c>
      <c r="B25" s="102">
        <v>50.6</v>
      </c>
      <c r="C25" s="103">
        <v>29.7</v>
      </c>
      <c r="D25" s="104">
        <v>4.7</v>
      </c>
      <c r="R25" s="83">
        <v>25.489866071428565</v>
      </c>
      <c r="S25" s="37">
        <v>101.21379464285714</v>
      </c>
      <c r="T25" s="84">
        <v>4.3819196428571425</v>
      </c>
    </row>
    <row r="26" spans="1:20" ht="14.45" x14ac:dyDescent="0.35">
      <c r="A26" t="s">
        <v>161</v>
      </c>
      <c r="B26" s="102">
        <v>45.7</v>
      </c>
      <c r="C26" s="103">
        <v>27.6</v>
      </c>
      <c r="D26" s="104">
        <v>6.2</v>
      </c>
      <c r="R26" s="85">
        <v>-9.7375446428571433</v>
      </c>
      <c r="S26" s="86">
        <v>4.3819196428571425</v>
      </c>
      <c r="T26" s="87">
        <v>4.0155803571428557</v>
      </c>
    </row>
    <row r="27" spans="1:20" ht="14.45" x14ac:dyDescent="0.35">
      <c r="A27" t="s">
        <v>161</v>
      </c>
      <c r="B27" s="102">
        <v>68.400000000000006</v>
      </c>
      <c r="C27" s="103">
        <v>35.299999999999997</v>
      </c>
      <c r="D27" s="104">
        <v>1.9</v>
      </c>
    </row>
    <row r="28" spans="1:20" ht="14.45" x14ac:dyDescent="0.35">
      <c r="A28" t="s">
        <v>160</v>
      </c>
      <c r="B28" s="102">
        <v>52.5</v>
      </c>
      <c r="C28" s="103">
        <v>39</v>
      </c>
      <c r="D28" s="104">
        <v>3.1</v>
      </c>
      <c r="R28" t="s">
        <v>231</v>
      </c>
    </row>
    <row r="29" spans="1:20" ht="14.45" x14ac:dyDescent="0.35">
      <c r="A29" t="s">
        <v>160</v>
      </c>
      <c r="B29" s="102">
        <v>80</v>
      </c>
      <c r="C29" s="103">
        <v>54.2</v>
      </c>
      <c r="D29" s="104">
        <v>4</v>
      </c>
      <c r="R29" s="130">
        <f t="array" ref="R29:T31">[1]!CORR(B4:D35)</f>
        <v>0.99999999999999389</v>
      </c>
      <c r="S29" s="141">
        <v>0.20266320158048864</v>
      </c>
      <c r="T29" s="82">
        <v>-0.12991471067215016</v>
      </c>
    </row>
    <row r="30" spans="1:20" ht="14.45" x14ac:dyDescent="0.35">
      <c r="A30" t="s">
        <v>160</v>
      </c>
      <c r="B30" s="102">
        <v>54.7</v>
      </c>
      <c r="C30" s="103">
        <v>32.1</v>
      </c>
      <c r="D30" s="104">
        <v>5.7</v>
      </c>
      <c r="R30" s="83">
        <v>0.20266320158048864</v>
      </c>
      <c r="S30" s="37">
        <v>0.99999999999999833</v>
      </c>
      <c r="T30" s="84">
        <v>0.22369416566582276</v>
      </c>
    </row>
    <row r="31" spans="1:20" ht="14.45" x14ac:dyDescent="0.35">
      <c r="A31" t="s">
        <v>160</v>
      </c>
      <c r="B31" s="102">
        <v>63.5</v>
      </c>
      <c r="C31" s="103">
        <v>25.6</v>
      </c>
      <c r="D31" s="104">
        <v>3</v>
      </c>
      <c r="R31" s="85">
        <v>-0.12991471067215016</v>
      </c>
      <c r="S31" s="86">
        <v>0.22369416566582276</v>
      </c>
      <c r="T31" s="87">
        <v>0.99999999999999689</v>
      </c>
    </row>
    <row r="32" spans="1:20" ht="14.45" x14ac:dyDescent="0.35">
      <c r="A32" t="s">
        <v>160</v>
      </c>
      <c r="B32" s="102">
        <v>46.3</v>
      </c>
      <c r="C32" s="103">
        <v>31.8</v>
      </c>
      <c r="D32" s="104">
        <v>7.4</v>
      </c>
    </row>
    <row r="33" spans="1:4" ht="14.45" x14ac:dyDescent="0.35">
      <c r="A33" t="s">
        <v>160</v>
      </c>
      <c r="B33" s="102">
        <v>61.5</v>
      </c>
      <c r="C33" s="103">
        <v>16.8</v>
      </c>
      <c r="D33" s="104">
        <v>1.9</v>
      </c>
    </row>
    <row r="34" spans="1:4" x14ac:dyDescent="0.25">
      <c r="A34" t="s">
        <v>160</v>
      </c>
      <c r="B34" s="102">
        <v>62.9</v>
      </c>
      <c r="C34" s="103">
        <v>25.8</v>
      </c>
      <c r="D34" s="104">
        <v>2.4</v>
      </c>
    </row>
    <row r="35" spans="1:4" x14ac:dyDescent="0.25">
      <c r="A35" t="s">
        <v>160</v>
      </c>
      <c r="B35" s="105">
        <v>49.3</v>
      </c>
      <c r="C35" s="106">
        <v>39.4</v>
      </c>
      <c r="D35" s="107">
        <v>5.2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/>
  <dimension ref="A1:Q35"/>
  <sheetViews>
    <sheetView workbookViewId="0"/>
  </sheetViews>
  <sheetFormatPr defaultRowHeight="15" x14ac:dyDescent="0.25"/>
  <sheetData>
    <row r="1" spans="1:17" ht="14.45" x14ac:dyDescent="0.35">
      <c r="A1" s="42" t="s">
        <v>237</v>
      </c>
      <c r="F1" t="s">
        <v>239</v>
      </c>
      <c r="J1" t="s">
        <v>238</v>
      </c>
      <c r="N1" t="s">
        <v>241</v>
      </c>
    </row>
    <row r="3" spans="1:17" ht="14.45" x14ac:dyDescent="0.35">
      <c r="B3" s="47" t="s">
        <v>144</v>
      </c>
      <c r="C3" s="47" t="s">
        <v>145</v>
      </c>
      <c r="D3" s="47" t="s">
        <v>146</v>
      </c>
      <c r="F3" s="138">
        <f t="array" ref="F3:H5">[1]!COV(J16:L23)</f>
        <v>114.08839285714288</v>
      </c>
      <c r="G3" s="139">
        <v>37.351964285714295</v>
      </c>
      <c r="H3" s="140">
        <v>-10.308035714285715</v>
      </c>
      <c r="J3" s="37" t="str">
        <f t="array" ref="J3:L11">[1]!ExtractRows(A3:D35,"clay")</f>
        <v>yield</v>
      </c>
      <c r="K3" s="37" t="str">
        <v>water</v>
      </c>
      <c r="L3" s="37" t="str">
        <v>herbicide</v>
      </c>
      <c r="N3" t="str">
        <f t="array" ref="N3:Q12">[1]!ExtractCol(A3:D35,C3)</f>
        <v>clay</v>
      </c>
      <c r="O3" t="str">
        <v>loam</v>
      </c>
      <c r="P3" t="str">
        <v>salty</v>
      </c>
      <c r="Q3" t="str">
        <v>sandy</v>
      </c>
    </row>
    <row r="4" spans="1:17" ht="14.45" x14ac:dyDescent="0.35">
      <c r="A4" t="s">
        <v>158</v>
      </c>
      <c r="B4" s="75">
        <v>76.7</v>
      </c>
      <c r="C4" s="100">
        <v>29.5</v>
      </c>
      <c r="D4" s="101">
        <v>7.5</v>
      </c>
      <c r="F4" s="36">
        <v>37.351964285714295</v>
      </c>
      <c r="G4" s="37">
        <v>128.23267857142858</v>
      </c>
      <c r="H4" s="38">
        <v>7.0783928571428572</v>
      </c>
      <c r="J4" s="138">
        <v>52.5</v>
      </c>
      <c r="K4" s="139">
        <v>39</v>
      </c>
      <c r="L4" s="140">
        <v>3.1</v>
      </c>
      <c r="N4" s="138">
        <v>39</v>
      </c>
      <c r="O4" s="139">
        <v>29.5</v>
      </c>
      <c r="P4" s="139">
        <v>25.9</v>
      </c>
      <c r="Q4" s="140">
        <v>48.3</v>
      </c>
    </row>
    <row r="5" spans="1:17" ht="14.45" x14ac:dyDescent="0.35">
      <c r="A5" t="s">
        <v>158</v>
      </c>
      <c r="B5" s="102">
        <v>60.5</v>
      </c>
      <c r="C5" s="103">
        <v>32.1</v>
      </c>
      <c r="D5" s="104">
        <v>6.3</v>
      </c>
      <c r="F5" s="39">
        <v>-10.308035714285715</v>
      </c>
      <c r="G5" s="40">
        <v>7.0783928571428572</v>
      </c>
      <c r="H5" s="41">
        <v>3.515535714285714</v>
      </c>
      <c r="J5" s="36">
        <v>80</v>
      </c>
      <c r="K5" s="37">
        <v>54.2</v>
      </c>
      <c r="L5" s="90">
        <v>4</v>
      </c>
      <c r="N5" s="36">
        <v>54.2</v>
      </c>
      <c r="O5" s="37">
        <v>32.1</v>
      </c>
      <c r="P5" s="37">
        <v>15.9</v>
      </c>
      <c r="Q5" s="38">
        <v>28.9</v>
      </c>
    </row>
    <row r="6" spans="1:17" ht="14.45" x14ac:dyDescent="0.35">
      <c r="A6" t="s">
        <v>158</v>
      </c>
      <c r="B6" s="102">
        <v>96.1</v>
      </c>
      <c r="C6" s="103">
        <v>40.700000000000003</v>
      </c>
      <c r="D6" s="104">
        <v>4.2</v>
      </c>
      <c r="J6" s="36">
        <v>54.7</v>
      </c>
      <c r="K6" s="37">
        <v>32.1</v>
      </c>
      <c r="L6" s="90">
        <v>5.7</v>
      </c>
      <c r="N6" s="36">
        <v>32.1</v>
      </c>
      <c r="O6" s="37">
        <v>40.700000000000003</v>
      </c>
      <c r="P6" s="37">
        <v>36.1</v>
      </c>
      <c r="Q6" s="38">
        <v>42.5</v>
      </c>
    </row>
    <row r="7" spans="1:17" ht="14.45" x14ac:dyDescent="0.35">
      <c r="A7" t="s">
        <v>158</v>
      </c>
      <c r="B7" s="102">
        <v>88.1</v>
      </c>
      <c r="C7" s="103">
        <v>45.1</v>
      </c>
      <c r="D7" s="104">
        <v>4.9000000000000004</v>
      </c>
      <c r="F7" s="138">
        <f t="array" ref="F7:H9">[1]!ExtractCov(A3:D35,"clay")</f>
        <v>114.08839285714288</v>
      </c>
      <c r="G7" s="139">
        <v>37.351964285714295</v>
      </c>
      <c r="H7" s="140">
        <v>-10.308035714285715</v>
      </c>
      <c r="J7" s="36">
        <v>63.5</v>
      </c>
      <c r="K7" s="37">
        <v>25.6</v>
      </c>
      <c r="L7" s="90">
        <v>3</v>
      </c>
      <c r="N7" s="36">
        <v>25.6</v>
      </c>
      <c r="O7" s="37">
        <v>45.1</v>
      </c>
      <c r="P7" s="37">
        <v>27.7</v>
      </c>
      <c r="Q7" s="38">
        <v>20.399999999999999</v>
      </c>
    </row>
    <row r="8" spans="1:17" ht="14.45" x14ac:dyDescent="0.35">
      <c r="A8" t="s">
        <v>158</v>
      </c>
      <c r="B8" s="102">
        <v>50.2</v>
      </c>
      <c r="C8" s="103">
        <v>34.1</v>
      </c>
      <c r="D8" s="104">
        <v>11.7</v>
      </c>
      <c r="F8" s="36">
        <v>37.351964285714295</v>
      </c>
      <c r="G8" s="37">
        <v>128.23267857142858</v>
      </c>
      <c r="H8" s="38">
        <v>7.0783928571428572</v>
      </c>
      <c r="J8" s="36">
        <v>46.3</v>
      </c>
      <c r="K8" s="37">
        <v>31.8</v>
      </c>
      <c r="L8" s="90">
        <v>7.4</v>
      </c>
      <c r="N8" s="36">
        <v>31.8</v>
      </c>
      <c r="O8" s="37">
        <v>34.1</v>
      </c>
      <c r="P8" s="37">
        <v>46.9</v>
      </c>
      <c r="Q8" s="38">
        <v>23.9</v>
      </c>
    </row>
    <row r="9" spans="1:17" ht="14.45" x14ac:dyDescent="0.35">
      <c r="A9" t="s">
        <v>158</v>
      </c>
      <c r="B9" s="102">
        <v>55</v>
      </c>
      <c r="C9" s="103">
        <v>31.1</v>
      </c>
      <c r="D9" s="104">
        <v>6.9</v>
      </c>
      <c r="F9" s="39">
        <v>-10.308035714285715</v>
      </c>
      <c r="G9" s="40">
        <v>7.0783928571428572</v>
      </c>
      <c r="H9" s="41">
        <v>3.515535714285714</v>
      </c>
      <c r="J9" s="36">
        <v>61.5</v>
      </c>
      <c r="K9" s="37">
        <v>16.8</v>
      </c>
      <c r="L9" s="90">
        <v>1.9</v>
      </c>
      <c r="N9" s="36">
        <v>16.8</v>
      </c>
      <c r="O9" s="37">
        <v>31.1</v>
      </c>
      <c r="P9" s="37">
        <v>29.7</v>
      </c>
      <c r="Q9" s="38">
        <v>29.1</v>
      </c>
    </row>
    <row r="10" spans="1:17" ht="14.45" x14ac:dyDescent="0.35">
      <c r="A10" t="s">
        <v>158</v>
      </c>
      <c r="B10" s="102">
        <v>65.400000000000006</v>
      </c>
      <c r="C10" s="103">
        <v>21.6</v>
      </c>
      <c r="D10" s="104">
        <v>4.3</v>
      </c>
      <c r="J10" s="36">
        <v>62.9</v>
      </c>
      <c r="K10" s="37">
        <v>25.8</v>
      </c>
      <c r="L10" s="90">
        <v>2.4</v>
      </c>
      <c r="N10" s="36">
        <v>25.8</v>
      </c>
      <c r="O10" s="37">
        <v>21.6</v>
      </c>
      <c r="P10" s="37">
        <v>27.6</v>
      </c>
      <c r="Q10" s="38">
        <v>18</v>
      </c>
    </row>
    <row r="11" spans="1:17" ht="14.45" x14ac:dyDescent="0.35">
      <c r="A11" t="s">
        <v>158</v>
      </c>
      <c r="B11" s="102">
        <v>65.7</v>
      </c>
      <c r="C11" s="103">
        <v>27.7</v>
      </c>
      <c r="D11" s="104">
        <v>5.3</v>
      </c>
      <c r="F11" t="s">
        <v>240</v>
      </c>
      <c r="J11" s="39">
        <v>49.3</v>
      </c>
      <c r="K11" s="40">
        <v>39.4</v>
      </c>
      <c r="L11" s="41">
        <v>5.2</v>
      </c>
      <c r="N11" s="39">
        <v>39.4</v>
      </c>
      <c r="O11" s="40">
        <v>27.7</v>
      </c>
      <c r="P11" s="40">
        <v>35.299999999999997</v>
      </c>
      <c r="Q11" s="41">
        <v>14.5</v>
      </c>
    </row>
    <row r="12" spans="1:17" ht="14.45" x14ac:dyDescent="0.35">
      <c r="A12" t="s">
        <v>159</v>
      </c>
      <c r="B12" s="102">
        <v>67.3</v>
      </c>
      <c r="C12" s="103">
        <v>48.3</v>
      </c>
      <c r="D12" s="104">
        <v>5.5</v>
      </c>
      <c r="N12" t="str">
        <v/>
      </c>
      <c r="O12" t="str">
        <v/>
      </c>
      <c r="P12" t="str">
        <v/>
      </c>
      <c r="Q12" t="str">
        <v/>
      </c>
    </row>
    <row r="13" spans="1:17" ht="14.45" x14ac:dyDescent="0.35">
      <c r="A13" t="s">
        <v>159</v>
      </c>
      <c r="B13" s="102">
        <v>61.3</v>
      </c>
      <c r="C13" s="103">
        <v>28.9</v>
      </c>
      <c r="D13" s="104">
        <v>6.9</v>
      </c>
      <c r="F13" s="138">
        <f t="array" ref="F13:H15">[1]!ExtractCov(A3:D35)</f>
        <v>144.90897321428568</v>
      </c>
      <c r="G13" s="139">
        <v>25.489866071428565</v>
      </c>
      <c r="H13" s="140">
        <v>-9.7375446428571433</v>
      </c>
      <c r="J13" t="s">
        <v>238</v>
      </c>
    </row>
    <row r="14" spans="1:17" ht="14.45" x14ac:dyDescent="0.35">
      <c r="A14" t="s">
        <v>159</v>
      </c>
      <c r="B14" s="102">
        <v>58.2</v>
      </c>
      <c r="C14" s="103">
        <v>42.5</v>
      </c>
      <c r="D14" s="104">
        <v>4.8</v>
      </c>
      <c r="F14" s="36">
        <v>25.489866071428565</v>
      </c>
      <c r="G14" s="37">
        <v>101.21379464285714</v>
      </c>
      <c r="H14" s="38">
        <v>4.3819196428571425</v>
      </c>
    </row>
    <row r="15" spans="1:17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  <c r="F15" s="39">
        <v>-9.7375446428571433</v>
      </c>
      <c r="G15" s="40">
        <v>4.3819196428571425</v>
      </c>
      <c r="H15" s="41">
        <v>4.0155803571428557</v>
      </c>
      <c r="J15" t="str">
        <f t="array" ref="J15:L24">[1]!ExtractRows(A3:D35,"clay",TRUE)</f>
        <v>yield</v>
      </c>
      <c r="K15" t="str">
        <v>water</v>
      </c>
      <c r="L15" t="str">
        <v>herbicide</v>
      </c>
    </row>
    <row r="16" spans="1:17" ht="14.45" x14ac:dyDescent="0.35">
      <c r="A16" t="s">
        <v>159</v>
      </c>
      <c r="B16" s="102">
        <v>66.900000000000006</v>
      </c>
      <c r="C16" s="103">
        <v>23.9</v>
      </c>
      <c r="D16" s="104">
        <v>1.1000000000000001</v>
      </c>
      <c r="J16" s="138">
        <v>52.5</v>
      </c>
      <c r="K16" s="139">
        <v>39</v>
      </c>
      <c r="L16" s="140">
        <v>3.1</v>
      </c>
    </row>
    <row r="17" spans="1:12" ht="14.45" x14ac:dyDescent="0.35">
      <c r="A17" t="s">
        <v>159</v>
      </c>
      <c r="B17" s="102">
        <v>55.4</v>
      </c>
      <c r="C17" s="103">
        <v>29.1</v>
      </c>
      <c r="D17" s="104">
        <v>5</v>
      </c>
      <c r="J17" s="36">
        <v>80</v>
      </c>
      <c r="K17" s="37">
        <v>54.2</v>
      </c>
      <c r="L17" s="38">
        <v>4</v>
      </c>
    </row>
    <row r="18" spans="1:12" ht="14.45" x14ac:dyDescent="0.35">
      <c r="A18" t="s">
        <v>159</v>
      </c>
      <c r="B18" s="102">
        <v>50.5</v>
      </c>
      <c r="C18" s="103">
        <v>18</v>
      </c>
      <c r="D18" s="104">
        <v>4.8</v>
      </c>
      <c r="J18" s="36">
        <v>54.7</v>
      </c>
      <c r="K18" s="37">
        <v>32.1</v>
      </c>
      <c r="L18" s="38">
        <v>5.7</v>
      </c>
    </row>
    <row r="19" spans="1:12" ht="14.45" x14ac:dyDescent="0.35">
      <c r="A19" t="s">
        <v>159</v>
      </c>
      <c r="B19" s="102">
        <v>64.099999999999994</v>
      </c>
      <c r="C19" s="103">
        <v>14.5</v>
      </c>
      <c r="D19" s="104">
        <v>3.7</v>
      </c>
      <c r="J19" s="36">
        <v>63.5</v>
      </c>
      <c r="K19" s="37">
        <v>25.6</v>
      </c>
      <c r="L19" s="38">
        <v>3</v>
      </c>
    </row>
    <row r="20" spans="1:12" ht="14.45" x14ac:dyDescent="0.35">
      <c r="A20" t="s">
        <v>161</v>
      </c>
      <c r="B20" s="102">
        <v>62.8</v>
      </c>
      <c r="C20" s="103">
        <v>25.9</v>
      </c>
      <c r="D20" s="104">
        <v>2.9</v>
      </c>
      <c r="J20" s="36">
        <v>46.3</v>
      </c>
      <c r="K20" s="37">
        <v>31.8</v>
      </c>
      <c r="L20" s="38">
        <v>7.4</v>
      </c>
    </row>
    <row r="21" spans="1:12" ht="14.45" x14ac:dyDescent="0.35">
      <c r="A21" t="s">
        <v>161</v>
      </c>
      <c r="B21" s="102">
        <v>45</v>
      </c>
      <c r="C21" s="103">
        <v>15.9</v>
      </c>
      <c r="D21" s="104">
        <v>1.2</v>
      </c>
      <c r="J21" s="36">
        <v>61.5</v>
      </c>
      <c r="K21" s="37">
        <v>16.8</v>
      </c>
      <c r="L21" s="38">
        <v>1.9</v>
      </c>
    </row>
    <row r="22" spans="1:12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  <c r="J22" s="36">
        <v>62.9</v>
      </c>
      <c r="K22" s="37">
        <v>25.8</v>
      </c>
      <c r="L22" s="38">
        <v>2.4</v>
      </c>
    </row>
    <row r="23" spans="1:12" ht="14.45" x14ac:dyDescent="0.35">
      <c r="A23" t="s">
        <v>161</v>
      </c>
      <c r="B23" s="102">
        <v>75.599999999999994</v>
      </c>
      <c r="C23" s="103">
        <v>27.7</v>
      </c>
      <c r="D23" s="104">
        <v>6.3</v>
      </c>
      <c r="J23" s="36">
        <v>49.3</v>
      </c>
      <c r="K23" s="37">
        <v>39.4</v>
      </c>
      <c r="L23" s="38">
        <v>5.2</v>
      </c>
    </row>
    <row r="24" spans="1:12" ht="14.45" x14ac:dyDescent="0.35">
      <c r="A24" t="s">
        <v>161</v>
      </c>
      <c r="B24" s="102">
        <v>46.6</v>
      </c>
      <c r="C24" s="103">
        <v>46.9</v>
      </c>
      <c r="D24" s="104">
        <v>3.6</v>
      </c>
      <c r="J24" s="39" t="e">
        <v>#N/A</v>
      </c>
      <c r="K24" s="40" t="e">
        <v>#N/A</v>
      </c>
      <c r="L24" s="41" t="e">
        <v>#N/A</v>
      </c>
    </row>
    <row r="25" spans="1:12" ht="14.45" x14ac:dyDescent="0.35">
      <c r="A25" t="s">
        <v>161</v>
      </c>
      <c r="B25" s="102">
        <v>50.6</v>
      </c>
      <c r="C25" s="103">
        <v>29.7</v>
      </c>
      <c r="D25" s="104">
        <v>4.7</v>
      </c>
    </row>
    <row r="26" spans="1:12" ht="14.45" x14ac:dyDescent="0.35">
      <c r="A26" t="s">
        <v>161</v>
      </c>
      <c r="B26" s="102">
        <v>45.7</v>
      </c>
      <c r="C26" s="103">
        <v>27.6</v>
      </c>
      <c r="D26" s="104">
        <v>6.2</v>
      </c>
      <c r="J26" s="138">
        <f t="array" ref="J26:L35">[1]!ExtractRows(A4:D35,A28,FALSE)</f>
        <v>52.5</v>
      </c>
      <c r="K26" s="139">
        <v>39</v>
      </c>
      <c r="L26" s="140">
        <v>3.1</v>
      </c>
    </row>
    <row r="27" spans="1:12" ht="14.45" x14ac:dyDescent="0.35">
      <c r="A27" t="s">
        <v>161</v>
      </c>
      <c r="B27" s="102">
        <v>68.400000000000006</v>
      </c>
      <c r="C27" s="103">
        <v>35.299999999999997</v>
      </c>
      <c r="D27" s="104">
        <v>1.9</v>
      </c>
      <c r="J27" s="36">
        <v>80</v>
      </c>
      <c r="K27" s="37">
        <v>54.2</v>
      </c>
      <c r="L27" s="90">
        <v>4</v>
      </c>
    </row>
    <row r="28" spans="1:12" ht="14.45" x14ac:dyDescent="0.35">
      <c r="A28" t="s">
        <v>160</v>
      </c>
      <c r="B28" s="102">
        <v>52.5</v>
      </c>
      <c r="C28" s="103">
        <v>39</v>
      </c>
      <c r="D28" s="104">
        <v>3.1</v>
      </c>
      <c r="J28" s="36">
        <v>54.7</v>
      </c>
      <c r="K28" s="37">
        <v>32.1</v>
      </c>
      <c r="L28" s="90">
        <v>5.7</v>
      </c>
    </row>
    <row r="29" spans="1:12" ht="14.45" x14ac:dyDescent="0.35">
      <c r="A29" t="s">
        <v>160</v>
      </c>
      <c r="B29" s="102">
        <v>80</v>
      </c>
      <c r="C29" s="103">
        <v>54.2</v>
      </c>
      <c r="D29" s="104">
        <v>4</v>
      </c>
      <c r="J29" s="36">
        <v>63.5</v>
      </c>
      <c r="K29" s="37">
        <v>25.6</v>
      </c>
      <c r="L29" s="90">
        <v>3</v>
      </c>
    </row>
    <row r="30" spans="1:12" ht="14.45" x14ac:dyDescent="0.35">
      <c r="A30" t="s">
        <v>160</v>
      </c>
      <c r="B30" s="102">
        <v>54.7</v>
      </c>
      <c r="C30" s="103">
        <v>32.1</v>
      </c>
      <c r="D30" s="104">
        <v>5.7</v>
      </c>
      <c r="J30" s="36">
        <v>46.3</v>
      </c>
      <c r="K30" s="37">
        <v>31.8</v>
      </c>
      <c r="L30" s="90">
        <v>7.4</v>
      </c>
    </row>
    <row r="31" spans="1:12" ht="14.45" x14ac:dyDescent="0.35">
      <c r="A31" t="s">
        <v>160</v>
      </c>
      <c r="B31" s="102">
        <v>63.5</v>
      </c>
      <c r="C31" s="103">
        <v>25.6</v>
      </c>
      <c r="D31" s="104">
        <v>3</v>
      </c>
      <c r="J31" s="36">
        <v>61.5</v>
      </c>
      <c r="K31" s="37">
        <v>16.8</v>
      </c>
      <c r="L31" s="90">
        <v>1.9</v>
      </c>
    </row>
    <row r="32" spans="1:12" x14ac:dyDescent="0.25">
      <c r="A32" t="s">
        <v>160</v>
      </c>
      <c r="B32" s="102">
        <v>46.3</v>
      </c>
      <c r="C32" s="103">
        <v>31.8</v>
      </c>
      <c r="D32" s="104">
        <v>7.4</v>
      </c>
      <c r="J32" s="36">
        <v>62.9</v>
      </c>
      <c r="K32" s="37">
        <v>25.8</v>
      </c>
      <c r="L32" s="90">
        <v>2.4</v>
      </c>
    </row>
    <row r="33" spans="1:12" x14ac:dyDescent="0.25">
      <c r="A33" t="s">
        <v>160</v>
      </c>
      <c r="B33" s="102">
        <v>61.5</v>
      </c>
      <c r="C33" s="103">
        <v>16.8</v>
      </c>
      <c r="D33" s="104">
        <v>1.9</v>
      </c>
      <c r="J33" s="36">
        <v>49.3</v>
      </c>
      <c r="K33" s="37">
        <v>39.4</v>
      </c>
      <c r="L33" s="90">
        <v>5.2</v>
      </c>
    </row>
    <row r="34" spans="1:12" x14ac:dyDescent="0.25">
      <c r="A34" t="s">
        <v>160</v>
      </c>
      <c r="B34" s="102">
        <v>62.9</v>
      </c>
      <c r="C34" s="103">
        <v>25.8</v>
      </c>
      <c r="D34" s="104">
        <v>2.4</v>
      </c>
      <c r="J34" s="36" t="e">
        <v>#N/A</v>
      </c>
      <c r="K34" s="37" t="e">
        <v>#N/A</v>
      </c>
      <c r="L34" s="90" t="e">
        <v>#N/A</v>
      </c>
    </row>
    <row r="35" spans="1:12" x14ac:dyDescent="0.25">
      <c r="A35" t="s">
        <v>160</v>
      </c>
      <c r="B35" s="105">
        <v>49.3</v>
      </c>
      <c r="C35" s="106">
        <v>39.4</v>
      </c>
      <c r="D35" s="107">
        <v>5.2</v>
      </c>
      <c r="J35" s="39" t="e">
        <v>#N/A</v>
      </c>
      <c r="K35" s="40" t="e">
        <v>#N/A</v>
      </c>
      <c r="L35" s="41" t="e">
        <v>#N/A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AP119"/>
  <sheetViews>
    <sheetView zoomScaleNormal="100" workbookViewId="0"/>
  </sheetViews>
  <sheetFormatPr defaultRowHeight="15" x14ac:dyDescent="0.25"/>
  <cols>
    <col min="4" max="4" width="11" customWidth="1"/>
    <col min="7" max="7" width="9.140625" customWidth="1"/>
  </cols>
  <sheetData>
    <row r="1" spans="1:42" ht="14.45" x14ac:dyDescent="0.35">
      <c r="A1" s="42" t="s">
        <v>248</v>
      </c>
      <c r="F1" s="42" t="s">
        <v>260</v>
      </c>
      <c r="Z1" t="s">
        <v>249</v>
      </c>
      <c r="AM1" t="s">
        <v>250</v>
      </c>
    </row>
    <row r="3" spans="1:42" ht="14.45" x14ac:dyDescent="0.35">
      <c r="B3" s="47" t="s">
        <v>144</v>
      </c>
      <c r="C3" s="47" t="s">
        <v>145</v>
      </c>
      <c r="D3" s="47" t="s">
        <v>146</v>
      </c>
      <c r="F3" t="s">
        <v>162</v>
      </c>
      <c r="Z3" t="s">
        <v>242</v>
      </c>
      <c r="AM3" t="s">
        <v>100</v>
      </c>
      <c r="AN3">
        <f>COUNT(F6:F13)</f>
        <v>8</v>
      </c>
      <c r="AO3">
        <f>2*AN3</f>
        <v>16</v>
      </c>
    </row>
    <row r="4" spans="1:42" ht="14.45" x14ac:dyDescent="0.35">
      <c r="A4" t="s">
        <v>158</v>
      </c>
      <c r="B4" s="75">
        <v>76.7</v>
      </c>
      <c r="C4" s="100">
        <v>29.5</v>
      </c>
      <c r="D4" s="101">
        <v>7.5</v>
      </c>
      <c r="AM4" t="s">
        <v>34</v>
      </c>
      <c r="AN4">
        <f>AVERAGE(F6:F13)</f>
        <v>33.087500000000006</v>
      </c>
    </row>
    <row r="5" spans="1:42" ht="14.45" x14ac:dyDescent="0.35">
      <c r="A5" t="s">
        <v>158</v>
      </c>
      <c r="B5" s="102">
        <v>60.5</v>
      </c>
      <c r="C5" s="103">
        <v>32.1</v>
      </c>
      <c r="D5" s="104">
        <v>6.3</v>
      </c>
      <c r="F5" s="47" t="str">
        <f t="array" ref="F5:I13">[1]!ExtractCol(A3:D35,"water")</f>
        <v>clay</v>
      </c>
      <c r="G5" s="47" t="str">
        <v>loam</v>
      </c>
      <c r="H5" s="47" t="str">
        <v>salty</v>
      </c>
      <c r="I5" s="47" t="str">
        <v>sandy</v>
      </c>
      <c r="L5" t="str">
        <f>F5</f>
        <v>clay</v>
      </c>
      <c r="M5" t="str">
        <f>G5</f>
        <v>loam</v>
      </c>
      <c r="N5" t="str">
        <f>H5</f>
        <v>salty</v>
      </c>
      <c r="O5" t="str">
        <f>I5</f>
        <v>sandy</v>
      </c>
      <c r="Z5" t="s">
        <v>100</v>
      </c>
      <c r="AA5">
        <f>COUNT(B4:B35)</f>
        <v>32</v>
      </c>
      <c r="AB5">
        <f>2*AA5</f>
        <v>64</v>
      </c>
      <c r="AM5" t="s">
        <v>243</v>
      </c>
      <c r="AN5">
        <f>STDEV(F6:F13)</f>
        <v>11.323986867328488</v>
      </c>
    </row>
    <row r="6" spans="1:42" ht="14.45" x14ac:dyDescent="0.35">
      <c r="A6" t="s">
        <v>158</v>
      </c>
      <c r="B6" s="102">
        <v>96.1</v>
      </c>
      <c r="C6" s="103">
        <v>40.700000000000003</v>
      </c>
      <c r="D6" s="104">
        <v>4.2</v>
      </c>
      <c r="F6" s="33">
        <v>39</v>
      </c>
      <c r="G6" s="88">
        <v>29.5</v>
      </c>
      <c r="H6" s="88">
        <v>25.9</v>
      </c>
      <c r="I6" s="89">
        <v>48.3</v>
      </c>
      <c r="K6" t="s">
        <v>139</v>
      </c>
      <c r="L6" s="95">
        <f>MIN(F6:F13)</f>
        <v>16.8</v>
      </c>
      <c r="M6" s="96">
        <f>MIN(G6:G13)</f>
        <v>21.6</v>
      </c>
      <c r="N6" s="96">
        <f>MIN(H6:H13)</f>
        <v>15.9</v>
      </c>
      <c r="O6" s="97">
        <f>MIN(I6:I13)</f>
        <v>14.5</v>
      </c>
      <c r="Z6" t="s">
        <v>34</v>
      </c>
      <c r="AA6" s="142">
        <f>AVERAGE(B4:B35)</f>
        <v>61.609374999999993</v>
      </c>
    </row>
    <row r="7" spans="1:42" ht="14.45" x14ac:dyDescent="0.35">
      <c r="A7" t="s">
        <v>158</v>
      </c>
      <c r="B7" s="102">
        <v>88.1</v>
      </c>
      <c r="C7" s="103">
        <v>45.1</v>
      </c>
      <c r="D7" s="104">
        <v>4.9000000000000004</v>
      </c>
      <c r="F7" s="36">
        <v>54.2</v>
      </c>
      <c r="G7" s="37">
        <v>32.1</v>
      </c>
      <c r="H7" s="37">
        <v>15.9</v>
      </c>
      <c r="I7" s="38">
        <v>28.9</v>
      </c>
      <c r="K7" t="s">
        <v>140</v>
      </c>
      <c r="L7" s="83">
        <f>QUARTILE(F6:F13,1)-L6</f>
        <v>8.9499999999999993</v>
      </c>
      <c r="M7" s="37">
        <f>QUARTILE(G6:G13,1)-M6</f>
        <v>7.4499999999999993</v>
      </c>
      <c r="N7" s="37">
        <f>QUARTILE(H6:H13,1)-N6</f>
        <v>11.275</v>
      </c>
      <c r="O7" s="84">
        <f>QUARTILE(I6:I13,1)-O6</f>
        <v>5.2999999999999972</v>
      </c>
      <c r="Z7" t="s">
        <v>243</v>
      </c>
      <c r="AA7">
        <f>STDEV(B4:B35)</f>
        <v>12.660412248677076</v>
      </c>
      <c r="AM7" t="s">
        <v>244</v>
      </c>
      <c r="AN7" t="s">
        <v>245</v>
      </c>
      <c r="AO7" t="s">
        <v>246</v>
      </c>
      <c r="AP7" t="s">
        <v>247</v>
      </c>
    </row>
    <row r="8" spans="1:42" ht="14.45" x14ac:dyDescent="0.35">
      <c r="A8" t="s">
        <v>158</v>
      </c>
      <c r="B8" s="102">
        <v>50.2</v>
      </c>
      <c r="C8" s="103">
        <v>34.1</v>
      </c>
      <c r="D8" s="104">
        <v>11.7</v>
      </c>
      <c r="F8" s="36">
        <v>32.1</v>
      </c>
      <c r="G8" s="37">
        <v>40.700000000000003</v>
      </c>
      <c r="H8" s="37">
        <v>36.1</v>
      </c>
      <c r="I8" s="38">
        <v>42.5</v>
      </c>
      <c r="K8" t="s">
        <v>141</v>
      </c>
      <c r="L8" s="83">
        <f>MEDIAN(F6:F13)-QUARTILE(F6:F13,1)</f>
        <v>6.2000000000000028</v>
      </c>
      <c r="M8" s="37">
        <f>MEDIAN(G6:G13)-QUARTILE(G6:G13,1)</f>
        <v>2.5500000000000007</v>
      </c>
      <c r="N8" s="37">
        <f>MEDIAN(H6:H13)-QUARTILE(H6:H13,1)</f>
        <v>1.5249999999999986</v>
      </c>
      <c r="O8" s="84">
        <f>MEDIAN(I6:I13)-QUARTILE(I6:I13,1)</f>
        <v>6.6000000000000014</v>
      </c>
      <c r="AM8">
        <v>1</v>
      </c>
      <c r="AN8">
        <f t="array" ref="AN8:AN15">[1]!QSORT(F6:F13)</f>
        <v>16.8</v>
      </c>
      <c r="AO8">
        <f>NORMSINV(AM8/AO$3)</f>
        <v>-1.5341205443525459</v>
      </c>
      <c r="AP8">
        <f>STANDARDIZE(AN8,AN$4,AN$5)</f>
        <v>-1.4383185172169395</v>
      </c>
    </row>
    <row r="9" spans="1:42" ht="14.45" x14ac:dyDescent="0.35">
      <c r="A9" t="s">
        <v>158</v>
      </c>
      <c r="B9" s="102">
        <v>55</v>
      </c>
      <c r="C9" s="103">
        <v>31.1</v>
      </c>
      <c r="D9" s="104">
        <v>6.9</v>
      </c>
      <c r="F9" s="36">
        <v>25.6</v>
      </c>
      <c r="G9" s="37">
        <v>45.1</v>
      </c>
      <c r="H9" s="37">
        <v>27.7</v>
      </c>
      <c r="I9" s="38">
        <v>20.399999999999999</v>
      </c>
      <c r="K9" t="s">
        <v>142</v>
      </c>
      <c r="L9" s="83">
        <f>QUARTILE(F6:F13,3)-MEDIAN(F6:F13)</f>
        <v>7.1499999999999986</v>
      </c>
      <c r="M9" s="37">
        <f>QUARTILE(G6:G13,3)-MEDIAN(G6:G13)</f>
        <v>4.1499999999999986</v>
      </c>
      <c r="N9" s="37">
        <f>QUARTILE(H6:H13,3)-MEDIAN(H6:H13)</f>
        <v>6.8000000000000007</v>
      </c>
      <c r="O9" s="84">
        <f>QUARTILE(I6:I13,3)-MEDIAN(I6:I13)</f>
        <v>6.0500000000000043</v>
      </c>
      <c r="Z9" t="s">
        <v>244</v>
      </c>
      <c r="AA9" t="s">
        <v>245</v>
      </c>
      <c r="AB9" t="s">
        <v>246</v>
      </c>
      <c r="AC9" t="s">
        <v>247</v>
      </c>
      <c r="AM9">
        <f>AM8+2</f>
        <v>3</v>
      </c>
      <c r="AN9">
        <v>25.6</v>
      </c>
      <c r="AO9">
        <f t="shared" ref="AO9:AO15" si="0">NORMSINV(AM9/AO$3)</f>
        <v>-0.88714655901887607</v>
      </c>
      <c r="AP9">
        <f t="shared" ref="AP9:AP15" si="1">STANDARDIZE(AN9,AN$4,AN$5)</f>
        <v>-0.66120705434608362</v>
      </c>
    </row>
    <row r="10" spans="1:42" ht="14.45" x14ac:dyDescent="0.35">
      <c r="A10" t="s">
        <v>158</v>
      </c>
      <c r="B10" s="102">
        <v>65.400000000000006</v>
      </c>
      <c r="C10" s="103">
        <v>21.6</v>
      </c>
      <c r="D10" s="104">
        <v>4.3</v>
      </c>
      <c r="F10" s="36">
        <v>31.8</v>
      </c>
      <c r="G10" s="37">
        <v>34.1</v>
      </c>
      <c r="H10" s="37">
        <v>46.9</v>
      </c>
      <c r="I10" s="38">
        <v>23.9</v>
      </c>
      <c r="K10" t="s">
        <v>143</v>
      </c>
      <c r="L10" s="85">
        <f>MAX(F6:F13)-QUARTILE(F6:F13,3)</f>
        <v>15.100000000000001</v>
      </c>
      <c r="M10" s="86">
        <f>MAX(G6:G13)-QUARTILE(G6:G13,3)</f>
        <v>9.3500000000000014</v>
      </c>
      <c r="N10" s="86">
        <f>MAX(H6:H13)-QUARTILE(H6:H13,3)</f>
        <v>11.399999999999999</v>
      </c>
      <c r="O10" s="87">
        <f>MAX(I6:I13)-QUARTILE(I6:I13,3)</f>
        <v>15.849999999999994</v>
      </c>
      <c r="Z10">
        <v>1</v>
      </c>
      <c r="AA10">
        <f t="array" ref="AA10:AA41">[1]!QSORT(B4:B35)</f>
        <v>45</v>
      </c>
      <c r="AB10">
        <f>NORMSINV(Z10/AB$5)</f>
        <v>-2.1538746940614555</v>
      </c>
      <c r="AC10">
        <f>STANDARDIZE(AA10,AA$6,AA$7)</f>
        <v>-1.3119142310500636</v>
      </c>
      <c r="AM10">
        <f t="shared" ref="AM10:AM15" si="2">AM9+2</f>
        <v>5</v>
      </c>
      <c r="AN10">
        <v>25.8</v>
      </c>
      <c r="AO10">
        <f t="shared" si="0"/>
        <v>-0.48877641111466941</v>
      </c>
      <c r="AP10">
        <f t="shared" si="1"/>
        <v>-0.64354543018992783</v>
      </c>
    </row>
    <row r="11" spans="1:42" ht="14.45" x14ac:dyDescent="0.35">
      <c r="A11" t="s">
        <v>158</v>
      </c>
      <c r="B11" s="102">
        <v>65.7</v>
      </c>
      <c r="C11" s="103">
        <v>27.7</v>
      </c>
      <c r="D11" s="104">
        <v>5.3</v>
      </c>
      <c r="F11" s="36">
        <v>16.8</v>
      </c>
      <c r="G11" s="37">
        <v>31.1</v>
      </c>
      <c r="H11" s="37">
        <v>29.7</v>
      </c>
      <c r="I11" s="38">
        <v>29.1</v>
      </c>
      <c r="Z11">
        <f>Z10+2</f>
        <v>3</v>
      </c>
      <c r="AA11">
        <v>45.7</v>
      </c>
      <c r="AB11">
        <f t="shared" ref="AB11:AB41" si="3">NORMSINV(Z11/AB$5)</f>
        <v>-1.6759397227734436</v>
      </c>
      <c r="AC11">
        <f t="shared" ref="AC11:AC41" si="4">STANDARDIZE(AA11,AA$6,AA$7)</f>
        <v>-1.2566237723943317</v>
      </c>
      <c r="AM11">
        <f t="shared" si="2"/>
        <v>7</v>
      </c>
      <c r="AN11">
        <v>31.8</v>
      </c>
      <c r="AO11">
        <f t="shared" si="0"/>
        <v>-0.1573106846101707</v>
      </c>
      <c r="AP11">
        <f t="shared" si="1"/>
        <v>-0.11369670550525347</v>
      </c>
    </row>
    <row r="12" spans="1:42" ht="14.45" x14ac:dyDescent="0.35">
      <c r="A12" t="s">
        <v>159</v>
      </c>
      <c r="B12" s="102">
        <v>67.3</v>
      </c>
      <c r="C12" s="103">
        <v>48.3</v>
      </c>
      <c r="D12" s="104">
        <v>5.5</v>
      </c>
      <c r="F12" s="36">
        <v>25.8</v>
      </c>
      <c r="G12" s="37">
        <v>21.6</v>
      </c>
      <c r="H12" s="37">
        <v>27.6</v>
      </c>
      <c r="I12" s="38">
        <v>18</v>
      </c>
      <c r="Z12">
        <f t="shared" ref="Z12:Z41" si="5">Z11+2</f>
        <v>5</v>
      </c>
      <c r="AA12">
        <v>46.3</v>
      </c>
      <c r="AB12">
        <f t="shared" si="3"/>
        <v>-1.4177971379962682</v>
      </c>
      <c r="AC12">
        <f t="shared" si="4"/>
        <v>-1.2092319506894191</v>
      </c>
      <c r="AM12">
        <f t="shared" si="2"/>
        <v>9</v>
      </c>
      <c r="AN12">
        <v>32.1</v>
      </c>
      <c r="AO12">
        <f t="shared" si="0"/>
        <v>0.1573106846101707</v>
      </c>
      <c r="AP12">
        <f t="shared" si="1"/>
        <v>-8.7204269271019694E-2</v>
      </c>
    </row>
    <row r="13" spans="1:42" ht="14.45" x14ac:dyDescent="0.35">
      <c r="A13" t="s">
        <v>159</v>
      </c>
      <c r="B13" s="102">
        <v>61.3</v>
      </c>
      <c r="C13" s="103">
        <v>28.9</v>
      </c>
      <c r="D13" s="104">
        <v>6.9</v>
      </c>
      <c r="F13" s="39">
        <v>39.4</v>
      </c>
      <c r="G13" s="40">
        <v>27.7</v>
      </c>
      <c r="H13" s="40">
        <v>35.299999999999997</v>
      </c>
      <c r="I13" s="41">
        <v>14.5</v>
      </c>
      <c r="Z13">
        <f t="shared" si="5"/>
        <v>7</v>
      </c>
      <c r="AA13">
        <v>46.6</v>
      </c>
      <c r="AB13">
        <f t="shared" si="3"/>
        <v>-1.229858759216589</v>
      </c>
      <c r="AC13">
        <f t="shared" si="4"/>
        <v>-1.1855360398369623</v>
      </c>
      <c r="AM13">
        <f t="shared" si="2"/>
        <v>11</v>
      </c>
      <c r="AN13">
        <v>39</v>
      </c>
      <c r="AO13">
        <f t="shared" si="0"/>
        <v>0.48877641111466941</v>
      </c>
      <c r="AP13">
        <f t="shared" si="1"/>
        <v>0.52212176411635569</v>
      </c>
    </row>
    <row r="14" spans="1:42" ht="14.45" x14ac:dyDescent="0.35">
      <c r="A14" t="s">
        <v>159</v>
      </c>
      <c r="B14" s="102">
        <v>58.2</v>
      </c>
      <c r="C14" s="103">
        <v>42.5</v>
      </c>
      <c r="D14" s="104">
        <v>4.8</v>
      </c>
      <c r="Z14">
        <f t="shared" si="5"/>
        <v>9</v>
      </c>
      <c r="AA14">
        <v>47.8</v>
      </c>
      <c r="AB14">
        <f t="shared" si="3"/>
        <v>-1.0775155670402805</v>
      </c>
      <c r="AC14">
        <f t="shared" si="4"/>
        <v>-1.0907523964271366</v>
      </c>
      <c r="AM14">
        <f t="shared" si="2"/>
        <v>13</v>
      </c>
      <c r="AN14">
        <v>39.4</v>
      </c>
      <c r="AO14">
        <f t="shared" si="0"/>
        <v>0.88714655901887607</v>
      </c>
      <c r="AP14">
        <f t="shared" si="1"/>
        <v>0.55744501242866717</v>
      </c>
    </row>
    <row r="15" spans="1:42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  <c r="Z15">
        <f t="shared" si="5"/>
        <v>11</v>
      </c>
      <c r="AA15">
        <v>49.3</v>
      </c>
      <c r="AB15">
        <f t="shared" si="3"/>
        <v>-0.94678175630104722</v>
      </c>
      <c r="AC15">
        <f t="shared" si="4"/>
        <v>-0.97227284216485432</v>
      </c>
      <c r="AM15">
        <f t="shared" si="2"/>
        <v>15</v>
      </c>
      <c r="AN15">
        <v>54.2</v>
      </c>
      <c r="AO15">
        <f t="shared" si="0"/>
        <v>1.5341205443525465</v>
      </c>
      <c r="AP15">
        <f t="shared" si="1"/>
        <v>1.8644051999841977</v>
      </c>
    </row>
    <row r="16" spans="1:42" ht="14.45" x14ac:dyDescent="0.35">
      <c r="A16" t="s">
        <v>159</v>
      </c>
      <c r="B16" s="102">
        <v>66.900000000000006</v>
      </c>
      <c r="C16" s="103">
        <v>23.9</v>
      </c>
      <c r="D16" s="104">
        <v>1.1000000000000001</v>
      </c>
      <c r="Z16">
        <f t="shared" si="5"/>
        <v>13</v>
      </c>
      <c r="AA16">
        <v>50.2</v>
      </c>
      <c r="AB16">
        <f t="shared" si="3"/>
        <v>-0.83051087820540004</v>
      </c>
      <c r="AC16">
        <f t="shared" si="4"/>
        <v>-0.90118510960748444</v>
      </c>
    </row>
    <row r="17" spans="1:29" ht="14.45" x14ac:dyDescent="0.35">
      <c r="A17" t="s">
        <v>159</v>
      </c>
      <c r="B17" s="102">
        <v>55.4</v>
      </c>
      <c r="C17" s="103">
        <v>29.1</v>
      </c>
      <c r="D17" s="104">
        <v>5</v>
      </c>
      <c r="F17" t="s">
        <v>163</v>
      </c>
      <c r="Z17">
        <f t="shared" si="5"/>
        <v>15</v>
      </c>
      <c r="AA17">
        <v>50.5</v>
      </c>
      <c r="AB17">
        <f t="shared" si="3"/>
        <v>-0.72451438349236563</v>
      </c>
      <c r="AC17">
        <f t="shared" si="4"/>
        <v>-0.87748919875502829</v>
      </c>
    </row>
    <row r="18" spans="1:29" ht="14.45" x14ac:dyDescent="0.35">
      <c r="A18" t="s">
        <v>159</v>
      </c>
      <c r="B18" s="102">
        <v>50.5</v>
      </c>
      <c r="C18" s="103">
        <v>18</v>
      </c>
      <c r="D18" s="104">
        <v>4.8</v>
      </c>
      <c r="Z18">
        <f t="shared" si="5"/>
        <v>17</v>
      </c>
      <c r="AA18">
        <v>50.6</v>
      </c>
      <c r="AB18">
        <f t="shared" si="3"/>
        <v>-0.62609901234642129</v>
      </c>
      <c r="AC18">
        <f t="shared" si="4"/>
        <v>-0.86959056180420935</v>
      </c>
    </row>
    <row r="19" spans="1:29" ht="14.45" x14ac:dyDescent="0.35">
      <c r="A19" t="s">
        <v>159</v>
      </c>
      <c r="B19" s="102">
        <v>64.099999999999994</v>
      </c>
      <c r="C19" s="103">
        <v>14.5</v>
      </c>
      <c r="D19" s="104">
        <v>3.7</v>
      </c>
      <c r="F19" s="56" t="str">
        <f t="array" ref="F19:I27">[1]!ExtractCol(A3:D35,"yield")</f>
        <v>clay</v>
      </c>
      <c r="G19" s="56" t="str">
        <v>loam</v>
      </c>
      <c r="H19" s="56" t="str">
        <v>salty</v>
      </c>
      <c r="I19" s="56" t="str">
        <v>sandy</v>
      </c>
      <c r="L19" t="str">
        <f>F19</f>
        <v>clay</v>
      </c>
      <c r="M19" t="str">
        <f>G19</f>
        <v>loam</v>
      </c>
      <c r="N19" t="str">
        <f>H19</f>
        <v>salty</v>
      </c>
      <c r="O19" t="str">
        <f>I19</f>
        <v>sandy</v>
      </c>
      <c r="Z19">
        <f t="shared" si="5"/>
        <v>19</v>
      </c>
      <c r="AA19">
        <v>52.5</v>
      </c>
      <c r="AB19">
        <f t="shared" si="3"/>
        <v>-0.5334097062412807</v>
      </c>
      <c r="AC19">
        <f t="shared" si="4"/>
        <v>-0.71951645973865175</v>
      </c>
    </row>
    <row r="20" spans="1:29" ht="14.45" x14ac:dyDescent="0.35">
      <c r="A20" t="s">
        <v>161</v>
      </c>
      <c r="B20" s="102">
        <v>62.8</v>
      </c>
      <c r="C20" s="103">
        <v>25.9</v>
      </c>
      <c r="D20" s="104">
        <v>2.9</v>
      </c>
      <c r="F20" s="33">
        <v>52.5</v>
      </c>
      <c r="G20" s="88">
        <v>76.7</v>
      </c>
      <c r="H20" s="88">
        <v>62.8</v>
      </c>
      <c r="I20" s="89">
        <v>67.3</v>
      </c>
      <c r="K20" t="s">
        <v>139</v>
      </c>
      <c r="L20" s="95">
        <f>MIN(F20:F27)</f>
        <v>46.3</v>
      </c>
      <c r="M20" s="96">
        <f>MIN(G20:G27)</f>
        <v>50.2</v>
      </c>
      <c r="N20" s="96">
        <f>MIN(H20:H27)</f>
        <v>45</v>
      </c>
      <c r="O20" s="97">
        <f>MIN(I20:I27)</f>
        <v>50.5</v>
      </c>
      <c r="Z20">
        <f t="shared" si="5"/>
        <v>21</v>
      </c>
      <c r="AA20">
        <v>54.7</v>
      </c>
      <c r="AB20">
        <f t="shared" si="3"/>
        <v>-0.44509652498551644</v>
      </c>
      <c r="AC20">
        <f t="shared" si="4"/>
        <v>-0.54574644682063733</v>
      </c>
    </row>
    <row r="21" spans="1:29" ht="14.45" x14ac:dyDescent="0.35">
      <c r="A21" t="s">
        <v>161</v>
      </c>
      <c r="B21" s="102">
        <v>45</v>
      </c>
      <c r="C21" s="103">
        <v>15.9</v>
      </c>
      <c r="D21" s="104">
        <v>1.2</v>
      </c>
      <c r="F21" s="36">
        <v>80</v>
      </c>
      <c r="G21" s="37">
        <v>60.5</v>
      </c>
      <c r="H21" s="37">
        <v>45</v>
      </c>
      <c r="I21" s="38">
        <v>61.3</v>
      </c>
      <c r="K21" t="s">
        <v>140</v>
      </c>
      <c r="L21" s="83">
        <f>QUARTILE(F20:F27,1)-L20</f>
        <v>5.4000000000000057</v>
      </c>
      <c r="M21" s="37">
        <f>QUARTILE(G20:G27,1)-M20</f>
        <v>8.9249999999999972</v>
      </c>
      <c r="N21" s="37">
        <f>QUARTILE(H20:H27,1)-N20</f>
        <v>1.375</v>
      </c>
      <c r="O21" s="84">
        <f>QUARTILE(I20:I27,1)-O20</f>
        <v>7</v>
      </c>
      <c r="Z21">
        <f t="shared" si="5"/>
        <v>23</v>
      </c>
      <c r="AA21">
        <v>55</v>
      </c>
      <c r="AB21">
        <f t="shared" si="3"/>
        <v>-0.36012989178956933</v>
      </c>
      <c r="AC21">
        <f t="shared" si="4"/>
        <v>-0.52205053596818107</v>
      </c>
    </row>
    <row r="22" spans="1:29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  <c r="F22" s="36">
        <v>54.7</v>
      </c>
      <c r="G22" s="37">
        <v>96.1</v>
      </c>
      <c r="H22" s="37">
        <v>47.8</v>
      </c>
      <c r="I22" s="38">
        <v>58.2</v>
      </c>
      <c r="K22" t="s">
        <v>141</v>
      </c>
      <c r="L22" s="83">
        <f>MEDIAN(F20:F27)-QUARTILE(F20:F27,1)</f>
        <v>6.3999999999999986</v>
      </c>
      <c r="M22" s="37">
        <f>MEDIAN(G20:G27)-QUARTILE(G20:G27,1)</f>
        <v>6.4250000000000114</v>
      </c>
      <c r="N22" s="37">
        <f>MEDIAN(H20:H27)-QUARTILE(H20:H27,1)</f>
        <v>2.8250000000000028</v>
      </c>
      <c r="O22" s="84">
        <f>MEDIAN(I20:I27)-QUARTILE(I20:I27,1)</f>
        <v>5.1999999999999957</v>
      </c>
      <c r="Z22">
        <f t="shared" si="5"/>
        <v>25</v>
      </c>
      <c r="AA22">
        <v>55.4</v>
      </c>
      <c r="AB22">
        <f t="shared" si="3"/>
        <v>-0.27769043982157676</v>
      </c>
      <c r="AC22">
        <f t="shared" si="4"/>
        <v>-0.49045598816490593</v>
      </c>
    </row>
    <row r="23" spans="1:29" ht="14.45" x14ac:dyDescent="0.35">
      <c r="A23" t="s">
        <v>161</v>
      </c>
      <c r="B23" s="102">
        <v>75.599999999999994</v>
      </c>
      <c r="C23" s="103">
        <v>27.7</v>
      </c>
      <c r="D23" s="104">
        <v>6.3</v>
      </c>
      <c r="F23" s="36">
        <v>63.5</v>
      </c>
      <c r="G23" s="37">
        <v>88.1</v>
      </c>
      <c r="H23" s="37">
        <v>75.599999999999994</v>
      </c>
      <c r="I23" s="38">
        <v>76.900000000000006</v>
      </c>
      <c r="K23" t="s">
        <v>142</v>
      </c>
      <c r="L23" s="83">
        <f>QUARTILE(F20:F27,3)-MEDIAN(F20:F27)</f>
        <v>4.9499999999999957</v>
      </c>
      <c r="M23" s="37">
        <f>QUARTILE(G20:G27,3)-MEDIAN(G20:G27)</f>
        <v>13.999999999999986</v>
      </c>
      <c r="N23" s="37">
        <f>QUARTILE(H20:H27,3)-MEDIAN(H20:H27)</f>
        <v>15</v>
      </c>
      <c r="O23" s="84">
        <f>QUARTILE(I20:I27,3)-MEDIAN(I20:I27)</f>
        <v>4.3000000000000043</v>
      </c>
      <c r="Z23">
        <f t="shared" si="5"/>
        <v>27</v>
      </c>
      <c r="AA23">
        <v>58.2</v>
      </c>
      <c r="AB23">
        <f t="shared" si="3"/>
        <v>-0.19709908429431236</v>
      </c>
      <c r="AC23">
        <f t="shared" si="4"/>
        <v>-0.2692941535419785</v>
      </c>
    </row>
    <row r="24" spans="1:29" ht="14.45" x14ac:dyDescent="0.35">
      <c r="A24" t="s">
        <v>161</v>
      </c>
      <c r="B24" s="102">
        <v>46.6</v>
      </c>
      <c r="C24" s="103">
        <v>46.9</v>
      </c>
      <c r="D24" s="104">
        <v>3.6</v>
      </c>
      <c r="F24" s="36">
        <v>46.3</v>
      </c>
      <c r="G24" s="37">
        <v>50.2</v>
      </c>
      <c r="H24" s="37">
        <v>46.6</v>
      </c>
      <c r="I24" s="38">
        <v>66.900000000000006</v>
      </c>
      <c r="K24" t="s">
        <v>143</v>
      </c>
      <c r="L24" s="85">
        <f>MAX(F20:F27)-QUARTILE(F20:F27,3)</f>
        <v>16.950000000000003</v>
      </c>
      <c r="M24" s="86">
        <f>MAX(G20:G27)-QUARTILE(G20:G27,3)</f>
        <v>16.549999999999997</v>
      </c>
      <c r="N24" s="86">
        <f>MAX(H20:H27)-QUARTILE(H20:H27,3)</f>
        <v>11.399999999999991</v>
      </c>
      <c r="O24" s="87">
        <f>MAX(I20:I27)-QUARTILE(I20:I27,3)</f>
        <v>9.9000000000000057</v>
      </c>
      <c r="Z24">
        <f t="shared" si="5"/>
        <v>29</v>
      </c>
      <c r="AA24">
        <v>60.5</v>
      </c>
      <c r="AB24">
        <f t="shared" si="3"/>
        <v>-0.11776987457909528</v>
      </c>
      <c r="AC24">
        <f t="shared" si="4"/>
        <v>-8.7625503673145769E-2</v>
      </c>
    </row>
    <row r="25" spans="1:29" ht="14.45" x14ac:dyDescent="0.35">
      <c r="A25" t="s">
        <v>161</v>
      </c>
      <c r="B25" s="102">
        <v>50.6</v>
      </c>
      <c r="C25" s="103">
        <v>29.7</v>
      </c>
      <c r="D25" s="104">
        <v>4.7</v>
      </c>
      <c r="F25" s="36">
        <v>61.5</v>
      </c>
      <c r="G25" s="37">
        <v>55</v>
      </c>
      <c r="H25" s="37">
        <v>50.6</v>
      </c>
      <c r="I25" s="38">
        <v>55.4</v>
      </c>
      <c r="Z25">
        <f t="shared" si="5"/>
        <v>31</v>
      </c>
      <c r="AA25">
        <v>61.3</v>
      </c>
      <c r="AB25">
        <f t="shared" si="3"/>
        <v>-3.9176085503097632E-2</v>
      </c>
      <c r="AC25">
        <f t="shared" si="4"/>
        <v>-2.4436408066595403E-2</v>
      </c>
    </row>
    <row r="26" spans="1:29" ht="14.45" x14ac:dyDescent="0.35">
      <c r="A26" t="s">
        <v>161</v>
      </c>
      <c r="B26" s="102">
        <v>45.7</v>
      </c>
      <c r="C26" s="103">
        <v>27.6</v>
      </c>
      <c r="D26" s="104">
        <v>6.2</v>
      </c>
      <c r="F26" s="36">
        <v>62.9</v>
      </c>
      <c r="G26" s="37">
        <v>65.400000000000006</v>
      </c>
      <c r="H26" s="37">
        <v>45.7</v>
      </c>
      <c r="I26" s="38">
        <v>50.5</v>
      </c>
      <c r="Z26">
        <f t="shared" si="5"/>
        <v>33</v>
      </c>
      <c r="AA26">
        <v>61.5</v>
      </c>
      <c r="AB26">
        <f t="shared" si="3"/>
        <v>3.9176085503097632E-2</v>
      </c>
      <c r="AC26">
        <f t="shared" si="4"/>
        <v>-8.6391341649575282E-3</v>
      </c>
    </row>
    <row r="27" spans="1:29" ht="14.45" x14ac:dyDescent="0.35">
      <c r="A27" t="s">
        <v>161</v>
      </c>
      <c r="B27" s="102">
        <v>68.400000000000006</v>
      </c>
      <c r="C27" s="103">
        <v>35.299999999999997</v>
      </c>
      <c r="D27" s="104">
        <v>1.9</v>
      </c>
      <c r="F27" s="39">
        <v>49.3</v>
      </c>
      <c r="G27" s="40">
        <v>65.7</v>
      </c>
      <c r="H27" s="40">
        <v>68.400000000000006</v>
      </c>
      <c r="I27" s="41">
        <v>64.099999999999994</v>
      </c>
      <c r="Z27">
        <f t="shared" si="5"/>
        <v>35</v>
      </c>
      <c r="AA27">
        <v>62.8</v>
      </c>
      <c r="AB27">
        <f t="shared" si="3"/>
        <v>0.11776987457909528</v>
      </c>
      <c r="AC27">
        <f t="shared" si="4"/>
        <v>9.4043146195686961E-2</v>
      </c>
    </row>
    <row r="28" spans="1:29" ht="14.45" x14ac:dyDescent="0.35">
      <c r="A28" t="s">
        <v>160</v>
      </c>
      <c r="B28" s="102">
        <v>52.5</v>
      </c>
      <c r="C28" s="103">
        <v>39</v>
      </c>
      <c r="D28" s="104">
        <v>3.1</v>
      </c>
      <c r="Z28">
        <f t="shared" si="5"/>
        <v>37</v>
      </c>
      <c r="AA28">
        <v>62.9</v>
      </c>
      <c r="AB28">
        <f t="shared" si="3"/>
        <v>0.19709908429431236</v>
      </c>
      <c r="AC28">
        <f t="shared" si="4"/>
        <v>0.1019417831465059</v>
      </c>
    </row>
    <row r="29" spans="1:29" ht="14.45" x14ac:dyDescent="0.35">
      <c r="A29" t="s">
        <v>160</v>
      </c>
      <c r="B29" s="102">
        <v>80</v>
      </c>
      <c r="C29" s="103">
        <v>54.2</v>
      </c>
      <c r="D29" s="104">
        <v>4</v>
      </c>
      <c r="Z29">
        <f t="shared" si="5"/>
        <v>39</v>
      </c>
      <c r="AA29">
        <v>63.5</v>
      </c>
      <c r="AB29">
        <f t="shared" si="3"/>
        <v>0.27769043982157676</v>
      </c>
      <c r="AC29">
        <f t="shared" si="4"/>
        <v>0.14933360485141897</v>
      </c>
    </row>
    <row r="30" spans="1:29" ht="14.45" x14ac:dyDescent="0.35">
      <c r="A30" t="s">
        <v>160</v>
      </c>
      <c r="B30" s="102">
        <v>54.7</v>
      </c>
      <c r="C30" s="103">
        <v>32.1</v>
      </c>
      <c r="D30" s="104">
        <v>5.7</v>
      </c>
      <c r="Z30">
        <f t="shared" si="5"/>
        <v>41</v>
      </c>
      <c r="AA30">
        <v>64.099999999999994</v>
      </c>
      <c r="AB30">
        <f t="shared" si="3"/>
        <v>0.36012989178956933</v>
      </c>
      <c r="AC30">
        <f t="shared" si="4"/>
        <v>0.19672542655633146</v>
      </c>
    </row>
    <row r="31" spans="1:29" ht="14.45" x14ac:dyDescent="0.35">
      <c r="A31" t="s">
        <v>160</v>
      </c>
      <c r="B31" s="102">
        <v>63.5</v>
      </c>
      <c r="C31" s="103">
        <v>25.6</v>
      </c>
      <c r="D31" s="104">
        <v>3</v>
      </c>
      <c r="F31" s="47" t="s">
        <v>164</v>
      </c>
      <c r="Z31">
        <f t="shared" si="5"/>
        <v>43</v>
      </c>
      <c r="AA31">
        <v>65.400000000000006</v>
      </c>
      <c r="AB31">
        <f t="shared" si="3"/>
        <v>0.44509652498551644</v>
      </c>
      <c r="AC31">
        <f t="shared" si="4"/>
        <v>0.2994077069169771</v>
      </c>
    </row>
    <row r="32" spans="1:29" ht="14.45" x14ac:dyDescent="0.35">
      <c r="A32" t="s">
        <v>160</v>
      </c>
      <c r="B32" s="102">
        <v>46.3</v>
      </c>
      <c r="C32" s="103">
        <v>31.8</v>
      </c>
      <c r="D32" s="104">
        <v>7.4</v>
      </c>
      <c r="Z32">
        <f t="shared" si="5"/>
        <v>45</v>
      </c>
      <c r="AA32">
        <v>65.7</v>
      </c>
      <c r="AB32">
        <f t="shared" si="3"/>
        <v>0.5334097062412807</v>
      </c>
      <c r="AC32">
        <f t="shared" si="4"/>
        <v>0.3231036177694333</v>
      </c>
    </row>
    <row r="33" spans="1:29" ht="14.45" x14ac:dyDescent="0.35">
      <c r="A33" t="s">
        <v>160</v>
      </c>
      <c r="B33" s="102">
        <v>61.5</v>
      </c>
      <c r="C33" s="103">
        <v>16.8</v>
      </c>
      <c r="D33" s="104">
        <v>1.9</v>
      </c>
      <c r="F33" s="47" t="str">
        <f t="array" ref="F33:I41">[1]!ExtractCol(A3:D35,"herbicide")</f>
        <v>clay</v>
      </c>
      <c r="G33" s="47" t="str">
        <v>loam</v>
      </c>
      <c r="H33" s="47" t="str">
        <v>salty</v>
      </c>
      <c r="I33" s="47" t="str">
        <v>sandy</v>
      </c>
      <c r="L33" t="str">
        <f>F33</f>
        <v>clay</v>
      </c>
      <c r="M33" t="str">
        <f>G33</f>
        <v>loam</v>
      </c>
      <c r="N33" t="str">
        <f>H33</f>
        <v>salty</v>
      </c>
      <c r="O33" t="str">
        <f>I33</f>
        <v>sandy</v>
      </c>
      <c r="Z33">
        <f t="shared" si="5"/>
        <v>47</v>
      </c>
      <c r="AA33">
        <v>66.900000000000006</v>
      </c>
      <c r="AB33">
        <f t="shared" si="3"/>
        <v>0.62609901234642129</v>
      </c>
      <c r="AC33">
        <f t="shared" si="4"/>
        <v>0.41788726117925945</v>
      </c>
    </row>
    <row r="34" spans="1:29" x14ac:dyDescent="0.25">
      <c r="A34" t="s">
        <v>160</v>
      </c>
      <c r="B34" s="102">
        <v>62.9</v>
      </c>
      <c r="C34" s="103">
        <v>25.8</v>
      </c>
      <c r="D34" s="104">
        <v>2.4</v>
      </c>
      <c r="F34" s="33">
        <v>3.1</v>
      </c>
      <c r="G34" s="88">
        <v>7.5</v>
      </c>
      <c r="H34" s="88">
        <v>2.9</v>
      </c>
      <c r="I34" s="89">
        <v>5.5</v>
      </c>
      <c r="K34" t="s">
        <v>139</v>
      </c>
      <c r="L34" s="95">
        <f>MIN(F34:F41)</f>
        <v>1.9</v>
      </c>
      <c r="M34" s="96">
        <f>MIN(G34:G41)</f>
        <v>4.2</v>
      </c>
      <c r="N34" s="96">
        <f>MIN(H34:H41)</f>
        <v>1.2</v>
      </c>
      <c r="O34" s="97">
        <f>MIN(I34:I41)</f>
        <v>1.1000000000000001</v>
      </c>
      <c r="Z34">
        <f t="shared" si="5"/>
        <v>49</v>
      </c>
      <c r="AA34">
        <v>67.3</v>
      </c>
      <c r="AB34">
        <f t="shared" si="3"/>
        <v>0.72451438349236563</v>
      </c>
      <c r="AC34">
        <f t="shared" si="4"/>
        <v>0.44948180898253409</v>
      </c>
    </row>
    <row r="35" spans="1:29" x14ac:dyDescent="0.25">
      <c r="A35" t="s">
        <v>160</v>
      </c>
      <c r="B35" s="105">
        <v>49.3</v>
      </c>
      <c r="C35" s="106">
        <v>39.4</v>
      </c>
      <c r="D35" s="107">
        <v>5.2</v>
      </c>
      <c r="F35" s="36">
        <v>4</v>
      </c>
      <c r="G35" s="37">
        <v>6.3</v>
      </c>
      <c r="H35" s="37">
        <v>1.2</v>
      </c>
      <c r="I35" s="38">
        <v>6.9</v>
      </c>
      <c r="K35" t="s">
        <v>140</v>
      </c>
      <c r="L35" s="83">
        <f>QUARTILE(F34:F41,1)-L34</f>
        <v>0.95000000000000018</v>
      </c>
      <c r="M35" s="37">
        <f>QUARTILE(G34:G41,1)-M34</f>
        <v>0.54999999999999982</v>
      </c>
      <c r="N35" s="37">
        <f>QUARTILE(H34:H41,1)-N34</f>
        <v>1.45</v>
      </c>
      <c r="O35" s="84">
        <f>QUARTILE(I34:I41,1)-O34</f>
        <v>2.4250000000000003</v>
      </c>
      <c r="Z35">
        <f t="shared" si="5"/>
        <v>51</v>
      </c>
      <c r="AA35">
        <v>68.400000000000006</v>
      </c>
      <c r="AB35">
        <f t="shared" si="3"/>
        <v>0.83051087820540004</v>
      </c>
      <c r="AC35">
        <f t="shared" si="4"/>
        <v>0.53636681544154186</v>
      </c>
    </row>
    <row r="36" spans="1:29" x14ac:dyDescent="0.25">
      <c r="F36" s="36">
        <v>5.7</v>
      </c>
      <c r="G36" s="37">
        <v>4.2</v>
      </c>
      <c r="H36" s="37">
        <v>4.0999999999999996</v>
      </c>
      <c r="I36" s="38">
        <v>4.8</v>
      </c>
      <c r="K36" t="s">
        <v>141</v>
      </c>
      <c r="L36" s="83">
        <f>MEDIAN(F34:F41)-QUARTILE(F34:F41,1)</f>
        <v>0.69999999999999973</v>
      </c>
      <c r="M36" s="37">
        <f>MEDIAN(G34:G41)-QUARTILE(G34:G41,1)</f>
        <v>1.0499999999999998</v>
      </c>
      <c r="N36" s="37">
        <f>MEDIAN(H34:H41)-QUARTILE(H34:H41,1)</f>
        <v>1.1999999999999997</v>
      </c>
      <c r="O36" s="84">
        <f>MEDIAN(I34:I41)-QUARTILE(I34:I41,1)</f>
        <v>1.2749999999999995</v>
      </c>
      <c r="Z36">
        <f t="shared" si="5"/>
        <v>53</v>
      </c>
      <c r="AA36">
        <v>75.599999999999994</v>
      </c>
      <c r="AB36">
        <f t="shared" si="3"/>
        <v>0.94678175630104722</v>
      </c>
      <c r="AC36">
        <f t="shared" si="4"/>
        <v>1.1050686759004964</v>
      </c>
    </row>
    <row r="37" spans="1:29" x14ac:dyDescent="0.25">
      <c r="F37" s="36">
        <v>3</v>
      </c>
      <c r="G37" s="37">
        <v>4.9000000000000004</v>
      </c>
      <c r="H37" s="37">
        <v>6.3</v>
      </c>
      <c r="I37" s="38">
        <v>3</v>
      </c>
      <c r="K37" t="s">
        <v>142</v>
      </c>
      <c r="L37" s="83">
        <f>QUARTILE(F34:F41,3)-MEDIAN(F34:F41)</f>
        <v>1.7750000000000004</v>
      </c>
      <c r="M37" s="37">
        <f>QUARTILE(G34:G41,3)-MEDIAN(G34:G41)</f>
        <v>1.2500000000000009</v>
      </c>
      <c r="N37" s="37">
        <f>QUARTILE(H34:H41,3)-MEDIAN(H34:H41)</f>
        <v>1.2250000000000005</v>
      </c>
      <c r="O37" s="84">
        <f>QUARTILE(I34:I41,3)-MEDIAN(I34:I41)</f>
        <v>0.32500000000000018</v>
      </c>
      <c r="Z37">
        <f t="shared" si="5"/>
        <v>55</v>
      </c>
      <c r="AA37">
        <v>76.7</v>
      </c>
      <c r="AB37">
        <f t="shared" si="3"/>
        <v>1.0775155670402805</v>
      </c>
      <c r="AC37">
        <f t="shared" si="4"/>
        <v>1.1919536823595041</v>
      </c>
    </row>
    <row r="38" spans="1:29" x14ac:dyDescent="0.25">
      <c r="F38" s="36">
        <v>7.4</v>
      </c>
      <c r="G38" s="37">
        <v>11.7</v>
      </c>
      <c r="H38" s="37">
        <v>3.6</v>
      </c>
      <c r="I38" s="38">
        <v>1.1000000000000001</v>
      </c>
      <c r="K38" t="s">
        <v>143</v>
      </c>
      <c r="L38" s="85">
        <f>MAX(F34:F41)-QUARTILE(F34:F41,3)</f>
        <v>2.0750000000000002</v>
      </c>
      <c r="M38" s="86">
        <f>MAX(G34:G41)-QUARTILE(G34:G41,3)</f>
        <v>4.6499999999999986</v>
      </c>
      <c r="N38" s="86">
        <f>MAX(H34:H41)-QUARTILE(H34:H41,3)</f>
        <v>1.2249999999999996</v>
      </c>
      <c r="O38" s="87">
        <f>MAX(I34:I41)-QUARTILE(I34:I41,3)</f>
        <v>1.7750000000000004</v>
      </c>
      <c r="Z38">
        <f t="shared" si="5"/>
        <v>57</v>
      </c>
      <c r="AA38">
        <v>76.900000000000006</v>
      </c>
      <c r="AB38">
        <f t="shared" si="3"/>
        <v>1.229858759216589</v>
      </c>
      <c r="AC38">
        <f t="shared" si="4"/>
        <v>1.2077509562611419</v>
      </c>
    </row>
    <row r="39" spans="1:29" x14ac:dyDescent="0.25">
      <c r="F39" s="36">
        <v>1.9</v>
      </c>
      <c r="G39" s="37">
        <v>6.9</v>
      </c>
      <c r="H39" s="37">
        <v>4.7</v>
      </c>
      <c r="I39" s="38">
        <v>5</v>
      </c>
      <c r="Z39">
        <f t="shared" si="5"/>
        <v>59</v>
      </c>
      <c r="AA39">
        <v>80</v>
      </c>
      <c r="AB39">
        <f t="shared" si="3"/>
        <v>1.4177971379962682</v>
      </c>
      <c r="AC39">
        <f t="shared" si="4"/>
        <v>1.452608701736525</v>
      </c>
    </row>
    <row r="40" spans="1:29" x14ac:dyDescent="0.25">
      <c r="F40" s="36">
        <v>2.4</v>
      </c>
      <c r="G40" s="37">
        <v>4.3</v>
      </c>
      <c r="H40" s="37">
        <v>6.2</v>
      </c>
      <c r="I40" s="38">
        <v>4.8</v>
      </c>
      <c r="S40" t="s">
        <v>251</v>
      </c>
      <c r="Z40">
        <f t="shared" si="5"/>
        <v>61</v>
      </c>
      <c r="AA40">
        <v>88.1</v>
      </c>
      <c r="AB40">
        <f t="shared" si="3"/>
        <v>1.6759397227734436</v>
      </c>
      <c r="AC40">
        <f t="shared" si="4"/>
        <v>2.0923982947528494</v>
      </c>
    </row>
    <row r="41" spans="1:29" x14ac:dyDescent="0.25">
      <c r="F41" s="39">
        <v>5.2</v>
      </c>
      <c r="G41" s="40">
        <v>5.3</v>
      </c>
      <c r="H41" s="40">
        <v>1.9</v>
      </c>
      <c r="I41" s="41">
        <v>3.7</v>
      </c>
      <c r="Z41">
        <f t="shared" si="5"/>
        <v>63</v>
      </c>
      <c r="AA41">
        <v>96.1</v>
      </c>
      <c r="AB41">
        <f t="shared" si="3"/>
        <v>2.1538746940614555</v>
      </c>
      <c r="AC41">
        <f t="shared" si="4"/>
        <v>2.7242892508183552</v>
      </c>
    </row>
    <row r="42" spans="1:29" x14ac:dyDescent="0.25">
      <c r="F42" t="s">
        <v>48</v>
      </c>
      <c r="G42">
        <f>AVERAGE(G34:G41)</f>
        <v>6.3874999999999984</v>
      </c>
    </row>
    <row r="43" spans="1:29" x14ac:dyDescent="0.25">
      <c r="F43" t="s">
        <v>49</v>
      </c>
      <c r="G43">
        <f>STDEV(G34:G41)</f>
        <v>2.457314155158612</v>
      </c>
    </row>
    <row r="44" spans="1:29" x14ac:dyDescent="0.25">
      <c r="F44" t="s">
        <v>215</v>
      </c>
      <c r="G44">
        <f>STANDARDIZE(G38,G42,G43)</f>
        <v>2.1619132372014906</v>
      </c>
    </row>
    <row r="47" spans="1:29" x14ac:dyDescent="0.25">
      <c r="A47" s="42" t="s">
        <v>211</v>
      </c>
    </row>
    <row r="49" spans="1:15" ht="15" customHeight="1" x14ac:dyDescent="0.25">
      <c r="B49" s="47" t="s">
        <v>144</v>
      </c>
      <c r="C49" s="47" t="s">
        <v>145</v>
      </c>
      <c r="D49" s="47" t="s">
        <v>146</v>
      </c>
      <c r="F49" s="32" t="s">
        <v>212</v>
      </c>
      <c r="G49" s="32" t="s">
        <v>65</v>
      </c>
      <c r="I49" s="70" t="s">
        <v>213</v>
      </c>
      <c r="M49" t="s">
        <v>213</v>
      </c>
    </row>
    <row r="50" spans="1:15" x14ac:dyDescent="0.25">
      <c r="A50" t="s">
        <v>158</v>
      </c>
      <c r="B50" s="75">
        <v>76.7</v>
      </c>
      <c r="C50" s="100">
        <v>29.5</v>
      </c>
      <c r="D50" s="101">
        <v>7.5</v>
      </c>
      <c r="F50" s="33">
        <f t="array" ref="F50">MMULT(B50:D50-$B$83:$D$83,MMULT($I$55:$K$57,TRANSPOSE(B50:D50-$B$83:$D$83)))</f>
        <v>4.2863900462934961</v>
      </c>
      <c r="G50" s="48">
        <f>CHIDIST(F50,COUNTA($B$49:$D$49))</f>
        <v>0.23215367620007149</v>
      </c>
      <c r="I50" s="33">
        <f t="array" ref="I50:K52">[1]!COV(B50:D81)</f>
        <v>160.28603830645159</v>
      </c>
      <c r="J50" s="111">
        <v>25.054526209677409</v>
      </c>
      <c r="K50" s="112">
        <v>-3.5545665322580646</v>
      </c>
      <c r="M50" s="33">
        <f t="array" ref="M50:O52">MMULT(TRANSPOSE(B50:D81-B83:D83),B50:D81-B83:D83)/(COUNT(B50:B81)-1)</f>
        <v>160.28603830645159</v>
      </c>
      <c r="N50" s="111">
        <v>25.054526209677409</v>
      </c>
      <c r="O50" s="112">
        <v>-3.5545665322580646</v>
      </c>
    </row>
    <row r="51" spans="1:15" x14ac:dyDescent="0.25">
      <c r="A51" t="s">
        <v>158</v>
      </c>
      <c r="B51" s="102">
        <v>60.5</v>
      </c>
      <c r="C51" s="103">
        <v>32.1</v>
      </c>
      <c r="D51" s="104">
        <v>6.3</v>
      </c>
      <c r="F51" s="36">
        <f t="array" ref="F51">MMULT(B51:D51-$B$83:$D$83,MMULT($I$55:$K$57,TRANSPOSE(B51:D51-$B$83:$D$83)))</f>
        <v>0.57399516355645808</v>
      </c>
      <c r="G51" s="49">
        <f t="shared" ref="G51:G81" si="6">CHIDIST(F51,COUNTA($B$49:$D$49))</f>
        <v>0.90235891305093352</v>
      </c>
      <c r="I51" s="36">
        <v>25.054526209677409</v>
      </c>
      <c r="J51" s="37">
        <v>95.35136088709676</v>
      </c>
      <c r="K51" s="90">
        <v>4.7206149193548388</v>
      </c>
      <c r="M51" s="36">
        <v>25.054526209677409</v>
      </c>
      <c r="N51" s="37">
        <v>95.35136088709676</v>
      </c>
      <c r="O51" s="90">
        <v>4.7206149193548388</v>
      </c>
    </row>
    <row r="52" spans="1:15" x14ac:dyDescent="0.25">
      <c r="A52" t="s">
        <v>158</v>
      </c>
      <c r="B52" s="102">
        <v>96.1</v>
      </c>
      <c r="C52" s="103">
        <v>40.700000000000003</v>
      </c>
      <c r="D52" s="104">
        <v>4.2</v>
      </c>
      <c r="F52" s="36">
        <f t="array" ref="F52">MMULT(B52:D52-$B$83:$D$83,MMULT($I$55:$K$57,TRANSPOSE(B52:D52-$B$83:$D$83)))</f>
        <v>7.6101620595062656</v>
      </c>
      <c r="G52" s="49">
        <f t="shared" si="6"/>
        <v>5.4794464443787202E-2</v>
      </c>
      <c r="I52" s="91">
        <v>-3.5545665322580646</v>
      </c>
      <c r="J52" s="92">
        <v>4.7206149193548388</v>
      </c>
      <c r="K52" s="93">
        <v>4.670473790322581</v>
      </c>
      <c r="M52" s="91">
        <v>-3.5545665322580646</v>
      </c>
      <c r="N52" s="92">
        <v>4.7206149193548388</v>
      </c>
      <c r="O52" s="93">
        <v>4.670473790322581</v>
      </c>
    </row>
    <row r="53" spans="1:15" x14ac:dyDescent="0.25">
      <c r="A53" t="s">
        <v>158</v>
      </c>
      <c r="B53" s="102">
        <v>88.1</v>
      </c>
      <c r="C53" s="103">
        <v>45.1</v>
      </c>
      <c r="D53" s="104">
        <v>4.9000000000000004</v>
      </c>
      <c r="F53" s="36">
        <f t="array" ref="F53">MMULT(B53:D53-$B$83:$D$83,MMULT($I$55:$K$57,TRANSPOSE(B53:D53-$B$83:$D$83)))</f>
        <v>5.4417514827253575</v>
      </c>
      <c r="G53" s="49">
        <f t="shared" si="6"/>
        <v>0.14216433087945762</v>
      </c>
    </row>
    <row r="54" spans="1:15" x14ac:dyDescent="0.25">
      <c r="A54" t="s">
        <v>158</v>
      </c>
      <c r="B54" s="102">
        <v>50.2</v>
      </c>
      <c r="C54" s="103">
        <v>34.1</v>
      </c>
      <c r="D54" s="104">
        <v>11.7</v>
      </c>
      <c r="F54" s="36">
        <f t="array" ref="F54">MMULT(B54:D54-$B$83:$D$83,MMULT($I$55:$K$57,TRANSPOSE(B54:D54-$B$83:$D$83)))</f>
        <v>10.919212775331815</v>
      </c>
      <c r="G54" s="49">
        <f t="shared" si="6"/>
        <v>1.217084056180243E-2</v>
      </c>
      <c r="I54" t="s">
        <v>214</v>
      </c>
    </row>
    <row r="55" spans="1:15" x14ac:dyDescent="0.25">
      <c r="A55" t="s">
        <v>158</v>
      </c>
      <c r="B55" s="102">
        <v>55</v>
      </c>
      <c r="C55" s="103">
        <v>31.1</v>
      </c>
      <c r="D55" s="104">
        <v>6.9</v>
      </c>
      <c r="F55" s="36">
        <f t="array" ref="F55">MMULT(B55:D55-$B$83:$D$83,MMULT($I$55:$K$57,TRANSPOSE(B55:D55-$B$83:$D$83)))</f>
        <v>1.2399427474272304</v>
      </c>
      <c r="G55" s="49">
        <f t="shared" si="6"/>
        <v>0.74344118435062079</v>
      </c>
      <c r="I55" s="33">
        <f t="array" ref="I55:K57">MINVERSE(I50:K52)</f>
        <v>6.733070456658761E-3</v>
      </c>
      <c r="J55" s="111">
        <v>-2.1294307374020655E-3</v>
      </c>
      <c r="K55" s="112">
        <v>7.2766427859432244E-3</v>
      </c>
    </row>
    <row r="56" spans="1:15" x14ac:dyDescent="0.25">
      <c r="A56" t="s">
        <v>158</v>
      </c>
      <c r="B56" s="102">
        <v>65.400000000000006</v>
      </c>
      <c r="C56" s="103">
        <v>21.6</v>
      </c>
      <c r="D56" s="104">
        <v>4.3</v>
      </c>
      <c r="F56" s="36">
        <f t="array" ref="F56">MMULT(B56:D56-$B$83:$D$83,MMULT($I$55:$K$57,TRANSPOSE(B56:D56-$B$83:$D$83)))</f>
        <v>1.2389461412834806</v>
      </c>
      <c r="G56" s="49">
        <f t="shared" si="6"/>
        <v>0.74367936430702708</v>
      </c>
      <c r="I56" s="36">
        <v>-2.1294307374020651E-3</v>
      </c>
      <c r="J56" s="37">
        <v>1.1713419776105377E-2</v>
      </c>
      <c r="K56" s="90">
        <v>-1.3459822323366075E-2</v>
      </c>
    </row>
    <row r="57" spans="1:15" x14ac:dyDescent="0.25">
      <c r="A57" t="s">
        <v>158</v>
      </c>
      <c r="B57" s="102">
        <v>65.7</v>
      </c>
      <c r="C57" s="103">
        <v>27.7</v>
      </c>
      <c r="D57" s="104">
        <v>5.3</v>
      </c>
      <c r="F57" s="36">
        <f t="array" ref="F57">MMULT(B57:D57-$B$83:$D$83,MMULT($I$55:$K$57,TRANSPOSE(B57:D57-$B$83:$D$83)))</f>
        <v>0.50174816022198621</v>
      </c>
      <c r="G57" s="49">
        <f t="shared" si="6"/>
        <v>0.91850718095850992</v>
      </c>
      <c r="I57" s="91">
        <v>7.2766427859432244E-3</v>
      </c>
      <c r="J57" s="92">
        <v>-1.3459822323366077E-2</v>
      </c>
      <c r="K57" s="93">
        <v>0.23325341237177027</v>
      </c>
    </row>
    <row r="58" spans="1:15" x14ac:dyDescent="0.25">
      <c r="A58" t="s">
        <v>159</v>
      </c>
      <c r="B58" s="102">
        <v>67.3</v>
      </c>
      <c r="C58" s="103">
        <v>48.3</v>
      </c>
      <c r="D58" s="104">
        <v>5.5</v>
      </c>
      <c r="F58" s="36">
        <f t="array" ref="F58">MMULT(B58:D58-$B$83:$D$83,MMULT($I$55:$K$57,TRANSPOSE(B58:D58-$B$83:$D$83)))</f>
        <v>3.0882548255238427</v>
      </c>
      <c r="G58" s="49">
        <f t="shared" si="6"/>
        <v>0.37821716541873462</v>
      </c>
    </row>
    <row r="59" spans="1:15" x14ac:dyDescent="0.25">
      <c r="A59" t="s">
        <v>159</v>
      </c>
      <c r="B59" s="102">
        <v>61.3</v>
      </c>
      <c r="C59" s="103">
        <v>28.9</v>
      </c>
      <c r="D59" s="104">
        <v>6.9</v>
      </c>
      <c r="F59" s="36">
        <f t="array" ref="F59">MMULT(B59:D59-$B$83:$D$83,MMULT($I$55:$K$57,TRANSPOSE(B59:D59-$B$83:$D$83)))</f>
        <v>1.3416420492712982</v>
      </c>
      <c r="G59" s="49">
        <f t="shared" si="6"/>
        <v>0.71926930543810164</v>
      </c>
    </row>
    <row r="60" spans="1:15" x14ac:dyDescent="0.25">
      <c r="A60" t="s">
        <v>159</v>
      </c>
      <c r="B60" s="102">
        <v>58.2</v>
      </c>
      <c r="C60" s="103">
        <v>42.5</v>
      </c>
      <c r="D60" s="104">
        <v>4.8</v>
      </c>
      <c r="F60" s="36">
        <f t="array" ref="F60">MMULT(B60:D60-$B$83:$D$83,MMULT($I$55:$K$57,TRANSPOSE(B60:D60-$B$83:$D$83)))</f>
        <v>1.7060188281810822</v>
      </c>
      <c r="G60" s="49">
        <f t="shared" si="6"/>
        <v>0.63559650239431154</v>
      </c>
    </row>
    <row r="61" spans="1:15" x14ac:dyDescent="0.25">
      <c r="A61" t="s">
        <v>159</v>
      </c>
      <c r="B61" s="102">
        <v>76.900000000000006</v>
      </c>
      <c r="C61" s="103">
        <v>20.399999999999999</v>
      </c>
      <c r="D61" s="104">
        <v>3</v>
      </c>
      <c r="F61" s="36">
        <f t="array" ref="F61">MMULT(B61:D61-$B$83:$D$83,MMULT($I$55:$K$57,TRANSPOSE(B61:D61-$B$83:$D$83)))</f>
        <v>3.4282688300525628</v>
      </c>
      <c r="G61" s="49">
        <f t="shared" si="6"/>
        <v>0.33018526887040461</v>
      </c>
    </row>
    <row r="62" spans="1:15" x14ac:dyDescent="0.25">
      <c r="A62" t="s">
        <v>159</v>
      </c>
      <c r="B62" s="102">
        <v>66.900000000000006</v>
      </c>
      <c r="C62" s="103">
        <v>23.9</v>
      </c>
      <c r="D62" s="104">
        <v>1.1000000000000001</v>
      </c>
      <c r="F62" s="36">
        <f t="array" ref="F62">MMULT(B62:D62-$B$83:$D$83,MMULT($I$55:$K$57,TRANSPOSE(B62:D62-$B$83:$D$83)))</f>
        <v>2.9727949665472519</v>
      </c>
      <c r="G62" s="49">
        <f t="shared" si="6"/>
        <v>0.3958387043475371</v>
      </c>
    </row>
    <row r="63" spans="1:15" x14ac:dyDescent="0.25">
      <c r="A63" t="s">
        <v>159</v>
      </c>
      <c r="B63" s="102">
        <v>55.4</v>
      </c>
      <c r="C63" s="103">
        <v>29.1</v>
      </c>
      <c r="D63" s="104">
        <v>5</v>
      </c>
      <c r="F63" s="36">
        <f t="array" ref="F63">MMULT(B63:D63-$B$83:$D$83,MMULT($I$55:$K$57,TRANSPOSE(B63:D63-$B$83:$D$83)))</f>
        <v>0.26866379622625275</v>
      </c>
      <c r="G63" s="49">
        <f t="shared" si="6"/>
        <v>0.96581004717443208</v>
      </c>
    </row>
    <row r="64" spans="1:15" x14ac:dyDescent="0.25">
      <c r="A64" t="s">
        <v>159</v>
      </c>
      <c r="B64" s="102">
        <v>50.5</v>
      </c>
      <c r="C64" s="103">
        <v>18</v>
      </c>
      <c r="D64" s="104">
        <v>4.8</v>
      </c>
      <c r="F64" s="36">
        <f t="array" ref="F64">MMULT(B64:D64-$B$83:$D$83,MMULT($I$55:$K$57,TRANSPOSE(B64:D64-$B$83:$D$83)))</f>
        <v>2.266928071084751</v>
      </c>
      <c r="G64" s="49">
        <f t="shared" si="6"/>
        <v>0.51888620042072686</v>
      </c>
    </row>
    <row r="65" spans="1:7" x14ac:dyDescent="0.25">
      <c r="A65" t="s">
        <v>159</v>
      </c>
      <c r="B65" s="102">
        <v>64.099999999999994</v>
      </c>
      <c r="C65" s="103">
        <v>14.5</v>
      </c>
      <c r="D65" s="104">
        <v>3.7</v>
      </c>
      <c r="F65" s="36">
        <f t="array" ref="F65">MMULT(B65:D65-$B$83:$D$83,MMULT($I$55:$K$57,TRANSPOSE(B65:D65-$B$83:$D$83)))</f>
        <v>3.2209389176233967</v>
      </c>
      <c r="G65" s="49">
        <f t="shared" si="6"/>
        <v>0.3587989197989247</v>
      </c>
    </row>
    <row r="66" spans="1:7" x14ac:dyDescent="0.25">
      <c r="A66" t="s">
        <v>161</v>
      </c>
      <c r="B66" s="102">
        <v>62.8</v>
      </c>
      <c r="C66" s="103">
        <v>25.9</v>
      </c>
      <c r="D66" s="104">
        <v>2.9</v>
      </c>
      <c r="F66" s="36">
        <f t="array" ref="F66">MMULT(B66:D66-$B$83:$D$83,MMULT($I$55:$K$57,TRANSPOSE(B66:D66-$B$83:$D$83)))</f>
        <v>0.81146629354257227</v>
      </c>
      <c r="G66" s="49">
        <f t="shared" si="6"/>
        <v>0.84672252723651265</v>
      </c>
    </row>
    <row r="67" spans="1:7" x14ac:dyDescent="0.25">
      <c r="A67" t="s">
        <v>161</v>
      </c>
      <c r="B67" s="102">
        <v>45</v>
      </c>
      <c r="C67" s="103">
        <v>15.9</v>
      </c>
      <c r="D67" s="104">
        <v>1.2</v>
      </c>
      <c r="F67" s="36">
        <f t="array" ref="F67">MMULT(B67:D67-$B$83:$D$83,MMULT($I$55:$K$57,TRANSPOSE(B67:D67-$B$83:$D$83)))</f>
        <v>5.7313951401806484</v>
      </c>
      <c r="G67" s="49">
        <f t="shared" si="6"/>
        <v>0.12543535740753059</v>
      </c>
    </row>
    <row r="68" spans="1:7" x14ac:dyDescent="0.25">
      <c r="A68" t="s">
        <v>161</v>
      </c>
      <c r="B68" s="102">
        <v>47.8</v>
      </c>
      <c r="C68" s="103">
        <v>36.1</v>
      </c>
      <c r="D68" s="104">
        <v>4.0999999999999996</v>
      </c>
      <c r="F68" s="36">
        <f t="array" ref="F68">MMULT(B68:D68-$B$83:$D$83,MMULT($I$55:$K$57,TRANSPOSE(B68:D68-$B$83:$D$83)))</f>
        <v>2.1265664959245476</v>
      </c>
      <c r="G68" s="49">
        <f t="shared" si="6"/>
        <v>0.54655690568480431</v>
      </c>
    </row>
    <row r="69" spans="1:7" x14ac:dyDescent="0.25">
      <c r="A69" t="s">
        <v>161</v>
      </c>
      <c r="B69" s="102">
        <v>75.599999999999994</v>
      </c>
      <c r="C69" s="103">
        <v>27.7</v>
      </c>
      <c r="D69" s="104">
        <v>6.3</v>
      </c>
      <c r="F69" s="36">
        <f t="array" ref="F69">MMULT(B69:D69-$B$83:$D$83,MMULT($I$55:$K$57,TRANSPOSE(B69:D69-$B$83:$D$83)))</f>
        <v>2.76679709829871</v>
      </c>
      <c r="G69" s="49">
        <f t="shared" si="6"/>
        <v>0.42899491138050339</v>
      </c>
    </row>
    <row r="70" spans="1:7" x14ac:dyDescent="0.25">
      <c r="A70" t="s">
        <v>161</v>
      </c>
      <c r="B70" s="102">
        <v>46.6</v>
      </c>
      <c r="C70" s="103">
        <v>46.9</v>
      </c>
      <c r="D70" s="104">
        <v>3.6</v>
      </c>
      <c r="F70" s="36">
        <f t="array" ref="F70">MMULT(B70:D70-$B$83:$D$83,MMULT($I$55:$K$57,TRANSPOSE(B70:D70-$B$83:$D$83)))</f>
        <v>6.3786508510645215</v>
      </c>
      <c r="G70" s="49">
        <f t="shared" si="6"/>
        <v>9.4573047412673264E-2</v>
      </c>
    </row>
    <row r="71" spans="1:7" x14ac:dyDescent="0.25">
      <c r="A71" t="s">
        <v>161</v>
      </c>
      <c r="B71" s="102">
        <v>50.6</v>
      </c>
      <c r="C71" s="103">
        <v>29.7</v>
      </c>
      <c r="D71" s="104">
        <v>4.7</v>
      </c>
      <c r="F71" s="36">
        <f t="array" ref="F71">MMULT(B71:D71-$B$83:$D$83,MMULT($I$55:$K$57,TRANSPOSE(B71:D71-$B$83:$D$83)))</f>
        <v>0.76932044560980184</v>
      </c>
      <c r="G71" s="49">
        <f t="shared" si="6"/>
        <v>0.85679021184143855</v>
      </c>
    </row>
    <row r="72" spans="1:7" x14ac:dyDescent="0.25">
      <c r="A72" t="s">
        <v>161</v>
      </c>
      <c r="B72" s="102">
        <v>45.7</v>
      </c>
      <c r="C72" s="103">
        <v>27.6</v>
      </c>
      <c r="D72" s="104">
        <v>6.2</v>
      </c>
      <c r="F72" s="36">
        <f t="array" ref="F72">MMULT(B72:D72-$B$83:$D$83,MMULT($I$55:$K$57,TRANSPOSE(B72:D72-$B$83:$D$83)))</f>
        <v>1.9490749251298021</v>
      </c>
      <c r="G72" s="49">
        <f t="shared" si="6"/>
        <v>0.58304337991521127</v>
      </c>
    </row>
    <row r="73" spans="1:7" x14ac:dyDescent="0.25">
      <c r="A73" t="s">
        <v>161</v>
      </c>
      <c r="B73" s="102">
        <v>68.400000000000006</v>
      </c>
      <c r="C73" s="103">
        <v>35.299999999999997</v>
      </c>
      <c r="D73" s="104">
        <v>1.9</v>
      </c>
      <c r="F73" s="36">
        <f t="array" ref="F73">MMULT(B73:D73-$B$83:$D$83,MMULT($I$55:$K$57,TRANSPOSE(B73:D73-$B$83:$D$83)))</f>
        <v>2.2178490882412065</v>
      </c>
      <c r="G73" s="49">
        <f t="shared" si="6"/>
        <v>0.5284412198169125</v>
      </c>
    </row>
    <row r="74" spans="1:7" x14ac:dyDescent="0.25">
      <c r="A74" t="s">
        <v>160</v>
      </c>
      <c r="B74" s="102">
        <v>52.5</v>
      </c>
      <c r="C74" s="103">
        <v>39</v>
      </c>
      <c r="D74" s="104">
        <v>3.1</v>
      </c>
      <c r="F74" s="36">
        <f t="array" ref="F74">MMULT(B74:D74-$B$83:$D$83,MMULT($I$55:$K$57,TRANSPOSE(B74:D74-$B$83:$D$83)))</f>
        <v>2.6978058491571146</v>
      </c>
      <c r="G74" s="49">
        <f t="shared" si="6"/>
        <v>0.44060029610027784</v>
      </c>
    </row>
    <row r="75" spans="1:7" x14ac:dyDescent="0.25">
      <c r="A75" t="s">
        <v>160</v>
      </c>
      <c r="B75" s="102">
        <v>80</v>
      </c>
      <c r="C75" s="103">
        <v>54.2</v>
      </c>
      <c r="D75" s="104">
        <v>4</v>
      </c>
      <c r="F75" s="36">
        <f t="array" ref="F75">MMULT(B75:D75-$B$83:$D$83,MMULT($I$55:$K$57,TRANSPOSE(B75:D75-$B$83:$D$83)))</f>
        <v>7.0301219109845787</v>
      </c>
      <c r="G75" s="49">
        <f t="shared" si="6"/>
        <v>7.0943856722068085E-2</v>
      </c>
    </row>
    <row r="76" spans="1:7" x14ac:dyDescent="0.25">
      <c r="A76" t="s">
        <v>160</v>
      </c>
      <c r="B76" s="102">
        <v>54.7</v>
      </c>
      <c r="C76" s="103">
        <v>32.1</v>
      </c>
      <c r="D76" s="104">
        <v>5.7</v>
      </c>
      <c r="F76" s="36">
        <f t="array" ref="F76">MMULT(B76:D76-$B$83:$D$83,MMULT($I$55:$K$57,TRANSPOSE(B76:D76-$B$83:$D$83)))</f>
        <v>0.4764703910580988</v>
      </c>
      <c r="G76" s="49">
        <f t="shared" si="6"/>
        <v>0.92402950661687344</v>
      </c>
    </row>
    <row r="77" spans="1:7" x14ac:dyDescent="0.25">
      <c r="A77" t="s">
        <v>160</v>
      </c>
      <c r="B77" s="102">
        <v>63.5</v>
      </c>
      <c r="C77" s="103">
        <v>25.6</v>
      </c>
      <c r="D77" s="104">
        <v>3</v>
      </c>
      <c r="F77" s="36">
        <f t="array" ref="F77">MMULT(B77:D77-$B$83:$D$83,MMULT($I$55:$K$57,TRANSPOSE(B77:D77-$B$83:$D$83)))</f>
        <v>0.78721065425198089</v>
      </c>
      <c r="G77" s="49">
        <f t="shared" si="6"/>
        <v>0.85252356699201726</v>
      </c>
    </row>
    <row r="78" spans="1:7" x14ac:dyDescent="0.25">
      <c r="A78" t="s">
        <v>160</v>
      </c>
      <c r="B78" s="102">
        <v>46.3</v>
      </c>
      <c r="C78" s="103">
        <v>31.8</v>
      </c>
      <c r="D78" s="104">
        <v>7.4</v>
      </c>
      <c r="F78" s="36">
        <f t="array" ref="F78">MMULT(B78:D78-$B$83:$D$83,MMULT($I$55:$K$57,TRANSPOSE(B78:D78-$B$83:$D$83)))</f>
        <v>2.7057597687784689</v>
      </c>
      <c r="G78" s="49">
        <f t="shared" si="6"/>
        <v>0.43924936925104274</v>
      </c>
    </row>
    <row r="79" spans="1:7" x14ac:dyDescent="0.25">
      <c r="A79" t="s">
        <v>160</v>
      </c>
      <c r="B79" s="102">
        <v>61.5</v>
      </c>
      <c r="C79" s="103">
        <v>16.8</v>
      </c>
      <c r="D79" s="104">
        <v>1.9</v>
      </c>
      <c r="F79" s="36">
        <f t="array" ref="F79">MMULT(B79:D79-$B$83:$D$83,MMULT($I$55:$K$57,TRANSPOSE(B79:D79-$B$83:$D$83)))</f>
        <v>3.1353345295642674</v>
      </c>
      <c r="G79" s="49">
        <f t="shared" si="6"/>
        <v>0.37122624795165404</v>
      </c>
    </row>
    <row r="80" spans="1:7" x14ac:dyDescent="0.25">
      <c r="A80" t="s">
        <v>160</v>
      </c>
      <c r="B80" s="102">
        <v>62.9</v>
      </c>
      <c r="C80" s="103">
        <v>25.8</v>
      </c>
      <c r="D80" s="104">
        <v>2.4</v>
      </c>
      <c r="F80" s="36">
        <f t="array" ref="F80">MMULT(B80:D80-$B$83:$D$83,MMULT($I$55:$K$57,TRANSPOSE(B80:D80-$B$83:$D$83)))</f>
        <v>1.2110309641701633</v>
      </c>
      <c r="G80" s="49">
        <f t="shared" si="6"/>
        <v>0.75035986486254047</v>
      </c>
    </row>
    <row r="81" spans="1:11" x14ac:dyDescent="0.25">
      <c r="A81" t="s">
        <v>160</v>
      </c>
      <c r="B81" s="105">
        <v>49.3</v>
      </c>
      <c r="C81" s="106">
        <v>39.4</v>
      </c>
      <c r="D81" s="107">
        <v>5.2</v>
      </c>
      <c r="F81" s="91">
        <f t="array" ref="F81">MMULT(B81:D81-$B$83:$D$83,MMULT($I$55:$K$57,TRANSPOSE(B81:D81-$B$83:$D$83)))</f>
        <v>2.0994867331869917</v>
      </c>
      <c r="G81" s="52">
        <f t="shared" si="6"/>
        <v>0.55201660769160943</v>
      </c>
    </row>
    <row r="82" spans="1:11" ht="3" customHeight="1" x14ac:dyDescent="0.25"/>
    <row r="83" spans="1:11" x14ac:dyDescent="0.25">
      <c r="A83" t="s">
        <v>48</v>
      </c>
      <c r="B83" s="114">
        <f>AVERAGE(B50:B81)</f>
        <v>61.609374999999993</v>
      </c>
      <c r="C83" s="115">
        <f>AVERAGE(C50:C81)</f>
        <v>31.165624999999999</v>
      </c>
      <c r="D83" s="116">
        <f>AVERAGE(D50:D81)</f>
        <v>4.6718749999999991</v>
      </c>
    </row>
    <row r="85" spans="1:11" ht="15" customHeight="1" x14ac:dyDescent="0.25">
      <c r="B85" s="47" t="s">
        <v>144</v>
      </c>
      <c r="C85" s="47" t="s">
        <v>145</v>
      </c>
      <c r="D85" s="47" t="s">
        <v>146</v>
      </c>
      <c r="F85" s="32" t="s">
        <v>212</v>
      </c>
      <c r="G85" s="32" t="s">
        <v>65</v>
      </c>
      <c r="I85" s="70" t="s">
        <v>213</v>
      </c>
    </row>
    <row r="86" spans="1:11" x14ac:dyDescent="0.25">
      <c r="A86" t="s">
        <v>158</v>
      </c>
      <c r="B86" s="75">
        <v>176.7</v>
      </c>
      <c r="C86" s="100">
        <v>29.5</v>
      </c>
      <c r="D86" s="101">
        <v>7.5</v>
      </c>
      <c r="F86" s="33">
        <f t="array" ref="F86">MMULT(B86:D86-$B$83:$D$83,MMULT($I$55:$K$57,TRANSPOSE(B86:D86-$B$83:$D$83)))</f>
        <v>96.763560575080504</v>
      </c>
      <c r="G86" s="48">
        <f>CHIDIST(F86,COUNTA($B$49:$D$49))</f>
        <v>7.7139423987745189E-21</v>
      </c>
      <c r="I86" s="33">
        <f t="array" ref="I86:K88">[1]!COV(B86:D117)</f>
        <v>570.14490927419354</v>
      </c>
      <c r="J86" s="111">
        <v>19.681542338709672</v>
      </c>
      <c r="K86" s="112">
        <v>5.5684173387096747</v>
      </c>
    </row>
    <row r="87" spans="1:11" x14ac:dyDescent="0.25">
      <c r="A87" t="s">
        <v>158</v>
      </c>
      <c r="B87" s="102">
        <v>60.5</v>
      </c>
      <c r="C87" s="103">
        <v>32.1</v>
      </c>
      <c r="D87" s="104">
        <v>6.3</v>
      </c>
      <c r="F87" s="36">
        <f t="array" ref="F87">MMULT(B87:D87-$B$83:$D$83,MMULT($I$55:$K$57,TRANSPOSE(B87:D87-$B$83:$D$83)))</f>
        <v>0.57399516355645808</v>
      </c>
      <c r="G87" s="49">
        <f t="shared" ref="G87:G117" si="7">CHIDIST(F87,COUNTA($B$49:$D$49))</f>
        <v>0.90235891305093352</v>
      </c>
      <c r="I87" s="36">
        <v>19.681542338709672</v>
      </c>
      <c r="J87" s="37">
        <v>95.35136088709676</v>
      </c>
      <c r="K87" s="90">
        <v>4.7206149193548388</v>
      </c>
    </row>
    <row r="88" spans="1:11" x14ac:dyDescent="0.25">
      <c r="A88" t="s">
        <v>158</v>
      </c>
      <c r="B88" s="102">
        <v>96.1</v>
      </c>
      <c r="C88" s="103">
        <v>40.700000000000003</v>
      </c>
      <c r="D88" s="104">
        <v>4.2</v>
      </c>
      <c r="F88" s="36">
        <f t="array" ref="F88">MMULT(B88:D88-$B$83:$D$83,MMULT($I$55:$K$57,TRANSPOSE(B88:D88-$B$83:$D$83)))</f>
        <v>7.6101620595062656</v>
      </c>
      <c r="G88" s="49">
        <f t="shared" si="7"/>
        <v>5.4794464443787202E-2</v>
      </c>
      <c r="I88" s="91">
        <v>5.5684173387096747</v>
      </c>
      <c r="J88" s="92">
        <v>4.7206149193548388</v>
      </c>
      <c r="K88" s="93">
        <v>4.670473790322581</v>
      </c>
    </row>
    <row r="89" spans="1:11" x14ac:dyDescent="0.25">
      <c r="A89" t="s">
        <v>158</v>
      </c>
      <c r="B89" s="102">
        <v>88.1</v>
      </c>
      <c r="C89" s="103">
        <v>45.1</v>
      </c>
      <c r="D89" s="104">
        <v>4.9000000000000004</v>
      </c>
      <c r="F89" s="36">
        <f t="array" ref="F89">MMULT(B89:D89-$B$83:$D$83,MMULT($I$55:$K$57,TRANSPOSE(B89:D89-$B$83:$D$83)))</f>
        <v>5.4417514827253575</v>
      </c>
      <c r="G89" s="49">
        <f t="shared" si="7"/>
        <v>0.14216433087945762</v>
      </c>
    </row>
    <row r="90" spans="1:11" x14ac:dyDescent="0.25">
      <c r="A90" t="s">
        <v>158</v>
      </c>
      <c r="B90" s="102">
        <v>50.2</v>
      </c>
      <c r="C90" s="103">
        <v>34.1</v>
      </c>
      <c r="D90" s="104">
        <v>11.7</v>
      </c>
      <c r="F90" s="36">
        <f t="array" ref="F90">MMULT(B90:D90-$B$83:$D$83,MMULT($I$55:$K$57,TRANSPOSE(B90:D90-$B$83:$D$83)))</f>
        <v>10.919212775331815</v>
      </c>
      <c r="G90" s="49">
        <f t="shared" si="7"/>
        <v>1.217084056180243E-2</v>
      </c>
      <c r="I90" t="s">
        <v>214</v>
      </c>
    </row>
    <row r="91" spans="1:11" x14ac:dyDescent="0.25">
      <c r="A91" t="s">
        <v>158</v>
      </c>
      <c r="B91" s="102">
        <v>55</v>
      </c>
      <c r="C91" s="103">
        <v>31.1</v>
      </c>
      <c r="D91" s="104">
        <v>6.9</v>
      </c>
      <c r="F91" s="36">
        <f t="array" ref="F91">MMULT(B91:D91-$B$83:$D$83,MMULT($I$55:$K$57,TRANSPOSE(B91:D91-$B$83:$D$83)))</f>
        <v>1.2399427474272304</v>
      </c>
      <c r="G91" s="49">
        <f t="shared" si="7"/>
        <v>0.74344118435062079</v>
      </c>
      <c r="I91" s="33">
        <f t="array" ref="I91:K93">MINVERSE(I86:K88)</f>
        <v>1.7814973617254579E-3</v>
      </c>
      <c r="J91" s="111">
        <v>-2.763962953747489E-4</v>
      </c>
      <c r="K91" s="112">
        <v>-1.8446437575880472E-3</v>
      </c>
    </row>
    <row r="92" spans="1:11" x14ac:dyDescent="0.25">
      <c r="A92" t="s">
        <v>158</v>
      </c>
      <c r="B92" s="102">
        <v>65.400000000000006</v>
      </c>
      <c r="C92" s="103">
        <v>21.6</v>
      </c>
      <c r="D92" s="104">
        <v>4.3</v>
      </c>
      <c r="F92" s="36">
        <f t="array" ref="F92">MMULT(B92:D92-$B$83:$D$83,MMULT($I$55:$K$57,TRANSPOSE(B92:D92-$B$83:$D$83)))</f>
        <v>1.2389461412834806</v>
      </c>
      <c r="G92" s="49">
        <f t="shared" si="7"/>
        <v>0.74367936430702708</v>
      </c>
      <c r="I92" s="36">
        <v>-2.7639629537474895E-4</v>
      </c>
      <c r="J92" s="37">
        <v>1.1082838979397826E-2</v>
      </c>
      <c r="K92" s="90">
        <v>-1.0872285637626E-2</v>
      </c>
    </row>
    <row r="93" spans="1:11" x14ac:dyDescent="0.25">
      <c r="A93" t="s">
        <v>158</v>
      </c>
      <c r="B93" s="102">
        <v>65.7</v>
      </c>
      <c r="C93" s="103">
        <v>27.7</v>
      </c>
      <c r="D93" s="104">
        <v>5.3</v>
      </c>
      <c r="F93" s="36">
        <f t="array" ref="F93">MMULT(B93:D93-$B$83:$D$83,MMULT($I$55:$K$57,TRANSPOSE(B93:D93-$B$83:$D$83)))</f>
        <v>0.50174816022198621</v>
      </c>
      <c r="G93" s="49">
        <f t="shared" si="7"/>
        <v>0.91850718095850992</v>
      </c>
      <c r="I93" s="91">
        <v>-1.8446437575880474E-3</v>
      </c>
      <c r="J93" s="92">
        <v>-1.0872285637625998E-2</v>
      </c>
      <c r="K93" s="93">
        <v>0.22729934215060396</v>
      </c>
    </row>
    <row r="94" spans="1:11" x14ac:dyDescent="0.25">
      <c r="A94" t="s">
        <v>159</v>
      </c>
      <c r="B94" s="102">
        <v>67.3</v>
      </c>
      <c r="C94" s="103">
        <v>48.3</v>
      </c>
      <c r="D94" s="104">
        <v>5.5</v>
      </c>
      <c r="F94" s="36">
        <f t="array" ref="F94">MMULT(B94:D94-$B$83:$D$83,MMULT($I$55:$K$57,TRANSPOSE(B94:D94-$B$83:$D$83)))</f>
        <v>3.0882548255238427</v>
      </c>
      <c r="G94" s="49">
        <f t="shared" si="7"/>
        <v>0.37821716541873462</v>
      </c>
    </row>
    <row r="95" spans="1:11" x14ac:dyDescent="0.25">
      <c r="A95" t="s">
        <v>159</v>
      </c>
      <c r="B95" s="102">
        <v>61.3</v>
      </c>
      <c r="C95" s="103">
        <v>28.9</v>
      </c>
      <c r="D95" s="104">
        <v>6.9</v>
      </c>
      <c r="F95" s="36">
        <f t="array" ref="F95">MMULT(B95:D95-$B$83:$D$83,MMULT($I$55:$K$57,TRANSPOSE(B95:D95-$B$83:$D$83)))</f>
        <v>1.3416420492712982</v>
      </c>
      <c r="G95" s="49">
        <f t="shared" si="7"/>
        <v>0.71926930543810164</v>
      </c>
    </row>
    <row r="96" spans="1:11" x14ac:dyDescent="0.25">
      <c r="A96" t="s">
        <v>159</v>
      </c>
      <c r="B96" s="102">
        <v>58.2</v>
      </c>
      <c r="C96" s="103">
        <v>42.5</v>
      </c>
      <c r="D96" s="104">
        <v>4.8</v>
      </c>
      <c r="F96" s="36">
        <f t="array" ref="F96">MMULT(B96:D96-$B$83:$D$83,MMULT($I$55:$K$57,TRANSPOSE(B96:D96-$B$83:$D$83)))</f>
        <v>1.7060188281810822</v>
      </c>
      <c r="G96" s="49">
        <f t="shared" si="7"/>
        <v>0.63559650239431154</v>
      </c>
    </row>
    <row r="97" spans="1:7" x14ac:dyDescent="0.25">
      <c r="A97" t="s">
        <v>159</v>
      </c>
      <c r="B97" s="102">
        <v>76.900000000000006</v>
      </c>
      <c r="C97" s="103">
        <v>20.399999999999999</v>
      </c>
      <c r="D97" s="104">
        <v>3</v>
      </c>
      <c r="F97" s="36">
        <f t="array" ref="F97">MMULT(B97:D97-$B$83:$D$83,MMULT($I$55:$K$57,TRANSPOSE(B97:D97-$B$83:$D$83)))</f>
        <v>3.4282688300525628</v>
      </c>
      <c r="G97" s="49">
        <f t="shared" si="7"/>
        <v>0.33018526887040461</v>
      </c>
    </row>
    <row r="98" spans="1:7" x14ac:dyDescent="0.25">
      <c r="A98" t="s">
        <v>159</v>
      </c>
      <c r="B98" s="102">
        <v>66.900000000000006</v>
      </c>
      <c r="C98" s="103">
        <v>23.9</v>
      </c>
      <c r="D98" s="104">
        <v>1.1000000000000001</v>
      </c>
      <c r="F98" s="36">
        <f t="array" ref="F98">MMULT(B98:D98-$B$83:$D$83,MMULT($I$55:$K$57,TRANSPOSE(B98:D98-$B$83:$D$83)))</f>
        <v>2.9727949665472519</v>
      </c>
      <c r="G98" s="49">
        <f t="shared" si="7"/>
        <v>0.3958387043475371</v>
      </c>
    </row>
    <row r="99" spans="1:7" x14ac:dyDescent="0.25">
      <c r="A99" t="s">
        <v>159</v>
      </c>
      <c r="B99" s="102">
        <v>55.4</v>
      </c>
      <c r="C99" s="103">
        <v>29.1</v>
      </c>
      <c r="D99" s="104">
        <v>5</v>
      </c>
      <c r="F99" s="36">
        <f t="array" ref="F99">MMULT(B99:D99-$B$83:$D$83,MMULT($I$55:$K$57,TRANSPOSE(B99:D99-$B$83:$D$83)))</f>
        <v>0.26866379622625275</v>
      </c>
      <c r="G99" s="49">
        <f t="shared" si="7"/>
        <v>0.96581004717443208</v>
      </c>
    </row>
    <row r="100" spans="1:7" x14ac:dyDescent="0.25">
      <c r="A100" t="s">
        <v>159</v>
      </c>
      <c r="B100" s="102">
        <v>50.5</v>
      </c>
      <c r="C100" s="103">
        <v>18</v>
      </c>
      <c r="D100" s="104">
        <v>4.8</v>
      </c>
      <c r="F100" s="36">
        <f t="array" ref="F100">MMULT(B100:D100-$B$83:$D$83,MMULT($I$55:$K$57,TRANSPOSE(B100:D100-$B$83:$D$83)))</f>
        <v>2.266928071084751</v>
      </c>
      <c r="G100" s="49">
        <f t="shared" si="7"/>
        <v>0.51888620042072686</v>
      </c>
    </row>
    <row r="101" spans="1:7" x14ac:dyDescent="0.25">
      <c r="A101" t="s">
        <v>159</v>
      </c>
      <c r="B101" s="102">
        <v>64.099999999999994</v>
      </c>
      <c r="C101" s="103">
        <v>14.5</v>
      </c>
      <c r="D101" s="104">
        <v>3.7</v>
      </c>
      <c r="F101" s="36">
        <f t="array" ref="F101">MMULT(B101:D101-$B$83:$D$83,MMULT($I$55:$K$57,TRANSPOSE(B101:D101-$B$83:$D$83)))</f>
        <v>3.2209389176233967</v>
      </c>
      <c r="G101" s="49">
        <f t="shared" si="7"/>
        <v>0.3587989197989247</v>
      </c>
    </row>
    <row r="102" spans="1:7" x14ac:dyDescent="0.25">
      <c r="A102" t="s">
        <v>161</v>
      </c>
      <c r="B102" s="102">
        <v>62.8</v>
      </c>
      <c r="C102" s="103">
        <v>25.9</v>
      </c>
      <c r="D102" s="104">
        <v>2.9</v>
      </c>
      <c r="F102" s="36">
        <f t="array" ref="F102">MMULT(B102:D102-$B$83:$D$83,MMULT($I$55:$K$57,TRANSPOSE(B102:D102-$B$83:$D$83)))</f>
        <v>0.81146629354257227</v>
      </c>
      <c r="G102" s="49">
        <f t="shared" si="7"/>
        <v>0.84672252723651265</v>
      </c>
    </row>
    <row r="103" spans="1:7" x14ac:dyDescent="0.25">
      <c r="A103" t="s">
        <v>161</v>
      </c>
      <c r="B103" s="102">
        <v>45</v>
      </c>
      <c r="C103" s="103">
        <v>15.9</v>
      </c>
      <c r="D103" s="104">
        <v>1.2</v>
      </c>
      <c r="F103" s="36">
        <f t="array" ref="F103">MMULT(B103:D103-$B$83:$D$83,MMULT($I$55:$K$57,TRANSPOSE(B103:D103-$B$83:$D$83)))</f>
        <v>5.7313951401806484</v>
      </c>
      <c r="G103" s="49">
        <f t="shared" si="7"/>
        <v>0.12543535740753059</v>
      </c>
    </row>
    <row r="104" spans="1:7" x14ac:dyDescent="0.25">
      <c r="A104" t="s">
        <v>161</v>
      </c>
      <c r="B104" s="102">
        <v>47.8</v>
      </c>
      <c r="C104" s="103">
        <v>36.1</v>
      </c>
      <c r="D104" s="104">
        <v>4.0999999999999996</v>
      </c>
      <c r="F104" s="36">
        <f t="array" ref="F104">MMULT(B104:D104-$B$83:$D$83,MMULT($I$55:$K$57,TRANSPOSE(B104:D104-$B$83:$D$83)))</f>
        <v>2.1265664959245476</v>
      </c>
      <c r="G104" s="49">
        <f t="shared" si="7"/>
        <v>0.54655690568480431</v>
      </c>
    </row>
    <row r="105" spans="1:7" x14ac:dyDescent="0.25">
      <c r="A105" t="s">
        <v>161</v>
      </c>
      <c r="B105" s="102">
        <v>75.599999999999994</v>
      </c>
      <c r="C105" s="103">
        <v>27.7</v>
      </c>
      <c r="D105" s="104">
        <v>6.3</v>
      </c>
      <c r="F105" s="36">
        <f t="array" ref="F105">MMULT(B105:D105-$B$83:$D$83,MMULT($I$55:$K$57,TRANSPOSE(B105:D105-$B$83:$D$83)))</f>
        <v>2.76679709829871</v>
      </c>
      <c r="G105" s="49">
        <f t="shared" si="7"/>
        <v>0.42899491138050339</v>
      </c>
    </row>
    <row r="106" spans="1:7" x14ac:dyDescent="0.25">
      <c r="A106" t="s">
        <v>161</v>
      </c>
      <c r="B106" s="102">
        <v>46.6</v>
      </c>
      <c r="C106" s="103">
        <v>46.9</v>
      </c>
      <c r="D106" s="104">
        <v>3.6</v>
      </c>
      <c r="F106" s="36">
        <f t="array" ref="F106">MMULT(B106:D106-$B$83:$D$83,MMULT($I$55:$K$57,TRANSPOSE(B106:D106-$B$83:$D$83)))</f>
        <v>6.3786508510645215</v>
      </c>
      <c r="G106" s="49">
        <f t="shared" si="7"/>
        <v>9.4573047412673264E-2</v>
      </c>
    </row>
    <row r="107" spans="1:7" x14ac:dyDescent="0.25">
      <c r="A107" t="s">
        <v>161</v>
      </c>
      <c r="B107" s="102">
        <v>50.6</v>
      </c>
      <c r="C107" s="103">
        <v>29.7</v>
      </c>
      <c r="D107" s="104">
        <v>4.7</v>
      </c>
      <c r="F107" s="36">
        <f t="array" ref="F107">MMULT(B107:D107-$B$83:$D$83,MMULT($I$55:$K$57,TRANSPOSE(B107:D107-$B$83:$D$83)))</f>
        <v>0.76932044560980184</v>
      </c>
      <c r="G107" s="49">
        <f t="shared" si="7"/>
        <v>0.85679021184143855</v>
      </c>
    </row>
    <row r="108" spans="1:7" x14ac:dyDescent="0.25">
      <c r="A108" t="s">
        <v>161</v>
      </c>
      <c r="B108" s="102">
        <v>45.7</v>
      </c>
      <c r="C108" s="103">
        <v>27.6</v>
      </c>
      <c r="D108" s="104">
        <v>6.2</v>
      </c>
      <c r="F108" s="36">
        <f t="array" ref="F108">MMULT(B108:D108-$B$83:$D$83,MMULT($I$55:$K$57,TRANSPOSE(B108:D108-$B$83:$D$83)))</f>
        <v>1.9490749251298021</v>
      </c>
      <c r="G108" s="49">
        <f t="shared" si="7"/>
        <v>0.58304337991521127</v>
      </c>
    </row>
    <row r="109" spans="1:7" x14ac:dyDescent="0.25">
      <c r="A109" t="s">
        <v>161</v>
      </c>
      <c r="B109" s="102">
        <v>68.400000000000006</v>
      </c>
      <c r="C109" s="103">
        <v>35.299999999999997</v>
      </c>
      <c r="D109" s="104">
        <v>1.9</v>
      </c>
      <c r="F109" s="36">
        <f t="array" ref="F109">MMULT(B109:D109-$B$83:$D$83,MMULT($I$55:$K$57,TRANSPOSE(B109:D109-$B$83:$D$83)))</f>
        <v>2.2178490882412065</v>
      </c>
      <c r="G109" s="49">
        <f t="shared" si="7"/>
        <v>0.5284412198169125</v>
      </c>
    </row>
    <row r="110" spans="1:7" x14ac:dyDescent="0.25">
      <c r="A110" t="s">
        <v>160</v>
      </c>
      <c r="B110" s="102">
        <v>52.5</v>
      </c>
      <c r="C110" s="103">
        <v>39</v>
      </c>
      <c r="D110" s="104">
        <v>3.1</v>
      </c>
      <c r="F110" s="36">
        <f t="array" ref="F110">MMULT(B110:D110-$B$83:$D$83,MMULT($I$55:$K$57,TRANSPOSE(B110:D110-$B$83:$D$83)))</f>
        <v>2.6978058491571146</v>
      </c>
      <c r="G110" s="49">
        <f t="shared" si="7"/>
        <v>0.44060029610027784</v>
      </c>
    </row>
    <row r="111" spans="1:7" x14ac:dyDescent="0.25">
      <c r="A111" t="s">
        <v>160</v>
      </c>
      <c r="B111" s="102">
        <v>80</v>
      </c>
      <c r="C111" s="103">
        <v>54.2</v>
      </c>
      <c r="D111" s="104">
        <v>4</v>
      </c>
      <c r="F111" s="36">
        <f t="array" ref="F111">MMULT(B111:D111-$B$83:$D$83,MMULT($I$55:$K$57,TRANSPOSE(B111:D111-$B$83:$D$83)))</f>
        <v>7.0301219109845787</v>
      </c>
      <c r="G111" s="49">
        <f t="shared" si="7"/>
        <v>7.0943856722068085E-2</v>
      </c>
    </row>
    <row r="112" spans="1:7" x14ac:dyDescent="0.25">
      <c r="A112" t="s">
        <v>160</v>
      </c>
      <c r="B112" s="102">
        <v>54.7</v>
      </c>
      <c r="C112" s="103">
        <v>32.1</v>
      </c>
      <c r="D112" s="104">
        <v>5.7</v>
      </c>
      <c r="F112" s="36">
        <f t="array" ref="F112">MMULT(B112:D112-$B$83:$D$83,MMULT($I$55:$K$57,TRANSPOSE(B112:D112-$B$83:$D$83)))</f>
        <v>0.4764703910580988</v>
      </c>
      <c r="G112" s="49">
        <f t="shared" si="7"/>
        <v>0.92402950661687344</v>
      </c>
    </row>
    <row r="113" spans="1:7" x14ac:dyDescent="0.25">
      <c r="A113" t="s">
        <v>160</v>
      </c>
      <c r="B113" s="102">
        <v>63.5</v>
      </c>
      <c r="C113" s="103">
        <v>25.6</v>
      </c>
      <c r="D113" s="104">
        <v>3</v>
      </c>
      <c r="F113" s="36">
        <f t="array" ref="F113">MMULT(B113:D113-$B$83:$D$83,MMULT($I$55:$K$57,TRANSPOSE(B113:D113-$B$83:$D$83)))</f>
        <v>0.78721065425198089</v>
      </c>
      <c r="G113" s="49">
        <f t="shared" si="7"/>
        <v>0.85252356699201726</v>
      </c>
    </row>
    <row r="114" spans="1:7" x14ac:dyDescent="0.25">
      <c r="A114" t="s">
        <v>160</v>
      </c>
      <c r="B114" s="102">
        <v>46.3</v>
      </c>
      <c r="C114" s="103">
        <v>31.8</v>
      </c>
      <c r="D114" s="104">
        <v>7.4</v>
      </c>
      <c r="F114" s="36">
        <f t="array" ref="F114">MMULT(B114:D114-$B$83:$D$83,MMULT($I$55:$K$57,TRANSPOSE(B114:D114-$B$83:$D$83)))</f>
        <v>2.7057597687784689</v>
      </c>
      <c r="G114" s="49">
        <f t="shared" si="7"/>
        <v>0.43924936925104274</v>
      </c>
    </row>
    <row r="115" spans="1:7" x14ac:dyDescent="0.25">
      <c r="A115" t="s">
        <v>160</v>
      </c>
      <c r="B115" s="102">
        <v>61.5</v>
      </c>
      <c r="C115" s="103">
        <v>16.8</v>
      </c>
      <c r="D115" s="104">
        <v>1.9</v>
      </c>
      <c r="F115" s="36">
        <f t="array" ref="F115">MMULT(B115:D115-$B$83:$D$83,MMULT($I$55:$K$57,TRANSPOSE(B115:D115-$B$83:$D$83)))</f>
        <v>3.1353345295642674</v>
      </c>
      <c r="G115" s="49">
        <f t="shared" si="7"/>
        <v>0.37122624795165404</v>
      </c>
    </row>
    <row r="116" spans="1:7" x14ac:dyDescent="0.25">
      <c r="A116" t="s">
        <v>160</v>
      </c>
      <c r="B116" s="102">
        <v>62.9</v>
      </c>
      <c r="C116" s="103">
        <v>25.8</v>
      </c>
      <c r="D116" s="104">
        <v>2.4</v>
      </c>
      <c r="F116" s="36">
        <f t="array" ref="F116">MMULT(B116:D116-$B$83:$D$83,MMULT($I$55:$K$57,TRANSPOSE(B116:D116-$B$83:$D$83)))</f>
        <v>1.2110309641701633</v>
      </c>
      <c r="G116" s="49">
        <f t="shared" si="7"/>
        <v>0.75035986486254047</v>
      </c>
    </row>
    <row r="117" spans="1:7" x14ac:dyDescent="0.25">
      <c r="A117" t="s">
        <v>160</v>
      </c>
      <c r="B117" s="105">
        <v>49.3</v>
      </c>
      <c r="C117" s="106">
        <v>39.4</v>
      </c>
      <c r="D117" s="107">
        <v>5.2</v>
      </c>
      <c r="F117" s="91">
        <f t="array" ref="F117">MMULT(B117:D117-$B$83:$D$83,MMULT($I$55:$K$57,TRANSPOSE(B117:D117-$B$83:$D$83)))</f>
        <v>2.0994867331869917</v>
      </c>
      <c r="G117" s="52">
        <f t="shared" si="7"/>
        <v>0.55201660769160943</v>
      </c>
    </row>
    <row r="119" spans="1:7" x14ac:dyDescent="0.25">
      <c r="A119" t="s">
        <v>48</v>
      </c>
      <c r="B119" s="114">
        <f>AVERAGE(B86:B117)</f>
        <v>64.734374999999986</v>
      </c>
      <c r="C119" s="115">
        <f>AVERAGE(C86:C117)</f>
        <v>31.165624999999999</v>
      </c>
      <c r="D119" s="116">
        <f>AVERAGE(D86:D117)</f>
        <v>4.6718749999999991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/>
  <dimension ref="A1:AA67"/>
  <sheetViews>
    <sheetView zoomScaleNormal="100" workbookViewId="0"/>
  </sheetViews>
  <sheetFormatPr defaultRowHeight="15" x14ac:dyDescent="0.25"/>
  <cols>
    <col min="4" max="4" width="11" customWidth="1"/>
    <col min="6" max="9" width="7.7109375" customWidth="1"/>
    <col min="10" max="10" width="4.42578125" customWidth="1"/>
    <col min="11" max="11" width="19" customWidth="1"/>
    <col min="16" max="16" width="5.140625" customWidth="1"/>
    <col min="22" max="22" width="5.5703125" customWidth="1"/>
  </cols>
  <sheetData>
    <row r="1" spans="1:27" ht="14.45" x14ac:dyDescent="0.35">
      <c r="A1" s="42" t="s">
        <v>259</v>
      </c>
      <c r="F1" s="46" t="s">
        <v>260</v>
      </c>
      <c r="K1" t="s">
        <v>261</v>
      </c>
      <c r="Q1" t="s">
        <v>254</v>
      </c>
      <c r="W1" t="s">
        <v>277</v>
      </c>
    </row>
    <row r="3" spans="1:27" ht="14.45" x14ac:dyDescent="0.35">
      <c r="B3" s="47" t="s">
        <v>144</v>
      </c>
      <c r="C3" s="47" t="s">
        <v>145</v>
      </c>
      <c r="D3" s="47" t="s">
        <v>146</v>
      </c>
      <c r="F3" t="s">
        <v>162</v>
      </c>
      <c r="K3" s="144"/>
      <c r="L3" s="144" t="str">
        <f>F5</f>
        <v>clay</v>
      </c>
      <c r="M3" s="144" t="str">
        <f>G5</f>
        <v>loam</v>
      </c>
      <c r="N3" s="144" t="str">
        <f>H5</f>
        <v>salty</v>
      </c>
      <c r="O3" s="144" t="str">
        <f>I5</f>
        <v>sandy</v>
      </c>
      <c r="R3" s="143" t="str">
        <f>F5</f>
        <v>clay</v>
      </c>
      <c r="S3" s="143" t="str">
        <f>G5</f>
        <v>loam</v>
      </c>
      <c r="T3" s="143" t="str">
        <f>H5</f>
        <v>salty</v>
      </c>
      <c r="U3" s="143" t="str">
        <f>I5</f>
        <v>sandy</v>
      </c>
      <c r="W3" s="144"/>
      <c r="X3" s="144" t="str">
        <f>F5</f>
        <v>clay</v>
      </c>
      <c r="Y3" s="144" t="str">
        <f>G5</f>
        <v>loam</v>
      </c>
      <c r="Z3" s="144" t="str">
        <f>H5</f>
        <v>salty</v>
      </c>
      <c r="AA3" s="144" t="str">
        <f>I5</f>
        <v>sandy</v>
      </c>
    </row>
    <row r="4" spans="1:27" ht="14.45" x14ac:dyDescent="0.35">
      <c r="A4" t="s">
        <v>158</v>
      </c>
      <c r="B4" s="75">
        <v>76.7</v>
      </c>
      <c r="C4" s="100">
        <v>29.5</v>
      </c>
      <c r="D4" s="101">
        <v>7.5</v>
      </c>
      <c r="K4" t="s">
        <v>34</v>
      </c>
      <c r="L4">
        <f>AVERAGE(F6:F13)</f>
        <v>33.087500000000006</v>
      </c>
      <c r="M4">
        <f>AVERAGE(G6:G13)</f>
        <v>32.737499999999997</v>
      </c>
      <c r="N4">
        <f>AVERAGE(H6:H13)</f>
        <v>30.637499999999996</v>
      </c>
      <c r="O4">
        <f>AVERAGE(I6:I13)</f>
        <v>28.2</v>
      </c>
      <c r="Q4" t="s">
        <v>139</v>
      </c>
      <c r="R4" s="130">
        <f>MIN(F6:F13)</f>
        <v>16.8</v>
      </c>
      <c r="S4" s="141">
        <f>MIN(G6:G13)</f>
        <v>21.6</v>
      </c>
      <c r="T4" s="141">
        <f>MIN(H6:H13)</f>
        <v>15.9</v>
      </c>
      <c r="U4" s="131">
        <f>MIN(I6:I13)</f>
        <v>14.5</v>
      </c>
      <c r="W4" t="s">
        <v>278</v>
      </c>
      <c r="X4">
        <f>[1]!SHAPIRO(F6:F13)</f>
        <v>0.95787670127027935</v>
      </c>
      <c r="Y4">
        <f>[1]!SHAPIRO(G6:G13)</f>
        <v>0.96663932142143238</v>
      </c>
      <c r="Z4">
        <f>[1]!SHAPIRO(H6:H13)</f>
        <v>0.95686996129798296</v>
      </c>
      <c r="AA4">
        <f>[1]!SHAPIRO(I6:I13)</f>
        <v>0.91795075821652627</v>
      </c>
    </row>
    <row r="5" spans="1:27" ht="14.45" x14ac:dyDescent="0.35">
      <c r="A5" t="s">
        <v>158</v>
      </c>
      <c r="B5" s="102">
        <v>60.5</v>
      </c>
      <c r="C5" s="103">
        <v>32.1</v>
      </c>
      <c r="D5" s="104">
        <v>6.3</v>
      </c>
      <c r="F5" s="47" t="str">
        <f t="array" ref="F5:I13">[1]!ExtractCol(A3:D35,"water")</f>
        <v>clay</v>
      </c>
      <c r="G5" s="47" t="str">
        <v>loam</v>
      </c>
      <c r="H5" s="47" t="str">
        <v>salty</v>
      </c>
      <c r="I5" s="47" t="str">
        <v>sandy</v>
      </c>
      <c r="K5" t="s">
        <v>262</v>
      </c>
      <c r="L5">
        <f>STDEV(F6:F13)/SQRT(COUNT(F6:F13))</f>
        <v>4.0036339519776911</v>
      </c>
      <c r="M5">
        <f>STDEV(G6:G13)/SQRT(COUNT(G6:G13))</f>
        <v>2.6086352137797078</v>
      </c>
      <c r="N5">
        <f>STDEV(H6:H13)/SQRT(COUNT(H6:H13))</f>
        <v>3.2027297229974736</v>
      </c>
      <c r="O5">
        <f>STDEV(I6:I13)/SQRT(COUNT(I6:I13))</f>
        <v>4.1851352598042935</v>
      </c>
      <c r="Q5" t="s">
        <v>140</v>
      </c>
      <c r="R5" s="83">
        <f>QUARTILE(F6:F13,1)-R4</f>
        <v>8.9499999999999993</v>
      </c>
      <c r="S5" s="37">
        <f>QUARTILE(G6:G13,1)-S4</f>
        <v>7.4499999999999993</v>
      </c>
      <c r="T5" s="37">
        <f>QUARTILE(H6:H13,1)-T4</f>
        <v>11.275</v>
      </c>
      <c r="U5" s="84">
        <f>QUARTILE(I6:I13,1)-U4</f>
        <v>5.2999999999999972</v>
      </c>
      <c r="W5" t="s">
        <v>65</v>
      </c>
      <c r="X5">
        <f>[1]!SWTEST(F6:F13)</f>
        <v>0.78964819311105883</v>
      </c>
      <c r="Y5">
        <f>[1]!SWTEST(G6:G13)</f>
        <v>0.87041110986391779</v>
      </c>
      <c r="Z5">
        <f>[1]!SWTEST(H6:H13)</f>
        <v>0.77981278242478458</v>
      </c>
      <c r="AA5">
        <f>[1]!SWTEST(I6:I13)</f>
        <v>0.41345713662284267</v>
      </c>
    </row>
    <row r="6" spans="1:27" ht="14.45" x14ac:dyDescent="0.35">
      <c r="A6" t="s">
        <v>158</v>
      </c>
      <c r="B6" s="102">
        <v>96.1</v>
      </c>
      <c r="C6" s="103">
        <v>40.700000000000003</v>
      </c>
      <c r="D6" s="104">
        <v>4.2</v>
      </c>
      <c r="F6" s="33">
        <v>39</v>
      </c>
      <c r="G6" s="88">
        <v>29.5</v>
      </c>
      <c r="H6" s="88">
        <v>25.9</v>
      </c>
      <c r="I6" s="89">
        <v>48.3</v>
      </c>
      <c r="K6" t="s">
        <v>263</v>
      </c>
      <c r="L6">
        <f>MEDIAN(F6:F13)</f>
        <v>31.950000000000003</v>
      </c>
      <c r="M6">
        <f>MEDIAN(G6:G13)</f>
        <v>31.6</v>
      </c>
      <c r="N6">
        <f>MEDIAN(H6:H13)</f>
        <v>28.7</v>
      </c>
      <c r="O6">
        <f>MEDIAN(I6:I13)</f>
        <v>26.4</v>
      </c>
      <c r="Q6" t="s">
        <v>141</v>
      </c>
      <c r="R6" s="83">
        <f>MEDIAN(F6:F13)-QUARTILE(F6:F13,1)</f>
        <v>6.2000000000000028</v>
      </c>
      <c r="S6" s="37">
        <f>MEDIAN(G6:G13)-QUARTILE(G6:G13,1)</f>
        <v>2.5500000000000007</v>
      </c>
      <c r="T6" s="37">
        <f>MEDIAN(H6:H13)-QUARTILE(H6:H13,1)</f>
        <v>1.5249999999999986</v>
      </c>
      <c r="U6" s="84">
        <f>MEDIAN(I6:I13)-QUARTILE(I6:I13,1)</f>
        <v>6.6000000000000014</v>
      </c>
      <c r="W6" t="s">
        <v>220</v>
      </c>
      <c r="X6">
        <v>0.05</v>
      </c>
      <c r="Y6">
        <v>0.05</v>
      </c>
      <c r="Z6">
        <v>0.05</v>
      </c>
      <c r="AA6">
        <v>0.05</v>
      </c>
    </row>
    <row r="7" spans="1:27" ht="14.45" x14ac:dyDescent="0.35">
      <c r="A7" t="s">
        <v>158</v>
      </c>
      <c r="B7" s="102">
        <v>88.1</v>
      </c>
      <c r="C7" s="103">
        <v>45.1</v>
      </c>
      <c r="D7" s="104">
        <v>4.9000000000000004</v>
      </c>
      <c r="F7" s="36">
        <v>54.2</v>
      </c>
      <c r="G7" s="37">
        <v>32.1</v>
      </c>
      <c r="H7" s="37">
        <v>15.9</v>
      </c>
      <c r="I7" s="38">
        <v>28.9</v>
      </c>
      <c r="K7" t="s">
        <v>264</v>
      </c>
      <c r="L7" t="e">
        <f>MODE(F6:F13)</f>
        <v>#N/A</v>
      </c>
      <c r="M7" t="e">
        <f>MODE(G6:G13)</f>
        <v>#N/A</v>
      </c>
      <c r="N7" t="e">
        <f>MODE(H6:H13)</f>
        <v>#N/A</v>
      </c>
      <c r="O7" t="e">
        <f>MODE(I6:I13)</f>
        <v>#N/A</v>
      </c>
      <c r="Q7" t="s">
        <v>142</v>
      </c>
      <c r="R7" s="83">
        <f>QUARTILE(F6:F13,3)-MEDIAN(F6:F13)</f>
        <v>7.1499999999999986</v>
      </c>
      <c r="S7" s="37">
        <f>QUARTILE(G6:G13,3)-MEDIAN(G6:G13)</f>
        <v>4.1499999999999986</v>
      </c>
      <c r="T7" s="37">
        <f>QUARTILE(H6:H13,3)-MEDIAN(H6:H13)</f>
        <v>6.8000000000000007</v>
      </c>
      <c r="U7" s="84">
        <f>QUARTILE(I6:I13,3)-MEDIAN(I6:I13)</f>
        <v>6.0500000000000043</v>
      </c>
      <c r="W7" s="40" t="s">
        <v>279</v>
      </c>
      <c r="X7" s="58" t="str">
        <f>IF(X5&lt;X6,"no","yes")</f>
        <v>yes</v>
      </c>
      <c r="Y7" s="58" t="str">
        <f>IF(Y5&lt;Y6,"no","yes")</f>
        <v>yes</v>
      </c>
      <c r="Z7" s="58" t="str">
        <f>IF(Z5&lt;Z6,"no","yes")</f>
        <v>yes</v>
      </c>
      <c r="AA7" s="58" t="str">
        <f>IF(AA5&lt;AA6,"no","yes")</f>
        <v>yes</v>
      </c>
    </row>
    <row r="8" spans="1:27" ht="14.45" x14ac:dyDescent="0.35">
      <c r="A8" t="s">
        <v>158</v>
      </c>
      <c r="B8" s="102">
        <v>50.2</v>
      </c>
      <c r="C8" s="103">
        <v>34.1</v>
      </c>
      <c r="D8" s="104">
        <v>11.7</v>
      </c>
      <c r="F8" s="36">
        <v>32.1</v>
      </c>
      <c r="G8" s="37">
        <v>40.700000000000003</v>
      </c>
      <c r="H8" s="37">
        <v>36.1</v>
      </c>
      <c r="I8" s="38">
        <v>42.5</v>
      </c>
      <c r="K8" t="s">
        <v>265</v>
      </c>
      <c r="L8">
        <f>STDEV(F6:F13)</f>
        <v>11.323986867328488</v>
      </c>
      <c r="M8">
        <f>STDEV(G6:G13)</f>
        <v>7.3783345972226027</v>
      </c>
      <c r="N8">
        <f>STDEV(H6:H13)</f>
        <v>9.0586876217569063</v>
      </c>
      <c r="O8">
        <f>STDEV(I6:I13)</f>
        <v>11.837350089562158</v>
      </c>
      <c r="Q8" t="s">
        <v>143</v>
      </c>
      <c r="R8" s="85">
        <f>MAX(F6:F13)-QUARTILE(F6:F13,3)</f>
        <v>15.100000000000001</v>
      </c>
      <c r="S8" s="86">
        <f>MAX(G6:G13)-QUARTILE(G6:G13,3)</f>
        <v>9.3500000000000014</v>
      </c>
      <c r="T8" s="86">
        <f>MAX(H6:H13)-QUARTILE(H6:H13,3)</f>
        <v>11.399999999999999</v>
      </c>
      <c r="U8" s="87">
        <f>MAX(I6:I13)-QUARTILE(I6:I13,3)</f>
        <v>15.849999999999994</v>
      </c>
    </row>
    <row r="9" spans="1:27" ht="14.45" x14ac:dyDescent="0.35">
      <c r="A9" t="s">
        <v>158</v>
      </c>
      <c r="B9" s="102">
        <v>55</v>
      </c>
      <c r="C9" s="103">
        <v>31.1</v>
      </c>
      <c r="D9" s="104">
        <v>6.9</v>
      </c>
      <c r="F9" s="36">
        <v>25.6</v>
      </c>
      <c r="G9" s="37">
        <v>45.1</v>
      </c>
      <c r="H9" s="37">
        <v>27.7</v>
      </c>
      <c r="I9" s="38">
        <v>20.399999999999999</v>
      </c>
      <c r="K9" t="s">
        <v>266</v>
      </c>
      <c r="L9">
        <f>VAR(F6:F13)</f>
        <v>128.23267857142804</v>
      </c>
      <c r="M9">
        <f>VAR(G6:G13)</f>
        <v>54.439821428572031</v>
      </c>
      <c r="N9">
        <f>VAR(H6:H13)</f>
        <v>82.059821428571794</v>
      </c>
      <c r="O9">
        <f>VAR(I6:I13)</f>
        <v>140.12285714285721</v>
      </c>
    </row>
    <row r="10" spans="1:27" ht="14.45" x14ac:dyDescent="0.35">
      <c r="A10" t="s">
        <v>158</v>
      </c>
      <c r="B10" s="102">
        <v>65.400000000000006</v>
      </c>
      <c r="C10" s="103">
        <v>21.6</v>
      </c>
      <c r="D10" s="104">
        <v>4.3</v>
      </c>
      <c r="F10" s="36">
        <v>31.8</v>
      </c>
      <c r="G10" s="37">
        <v>34.1</v>
      </c>
      <c r="H10" s="37">
        <v>46.9</v>
      </c>
      <c r="I10" s="38">
        <v>23.9</v>
      </c>
      <c r="K10" t="s">
        <v>267</v>
      </c>
      <c r="L10">
        <f>KURT(F6:F13)</f>
        <v>0.89296769691651079</v>
      </c>
      <c r="M10">
        <f>KURT(G6:G13)</f>
        <v>0.13564869374195876</v>
      </c>
      <c r="N10">
        <f>KURT(H6:H13)</f>
        <v>1.1663061196249327</v>
      </c>
      <c r="O10">
        <f>KURT(I6:I13)</f>
        <v>-0.44479571716808852</v>
      </c>
    </row>
    <row r="11" spans="1:27" ht="14.45" x14ac:dyDescent="0.35">
      <c r="A11" t="s">
        <v>158</v>
      </c>
      <c r="B11" s="102">
        <v>65.7</v>
      </c>
      <c r="C11" s="103">
        <v>27.7</v>
      </c>
      <c r="D11" s="104">
        <v>5.3</v>
      </c>
      <c r="F11" s="36">
        <v>16.8</v>
      </c>
      <c r="G11" s="37">
        <v>31.1</v>
      </c>
      <c r="H11" s="37">
        <v>29.7</v>
      </c>
      <c r="I11" s="38">
        <v>29.1</v>
      </c>
      <c r="K11" t="s">
        <v>268</v>
      </c>
      <c r="L11">
        <f>SKEW(F6:F13)</f>
        <v>0.62151894699034949</v>
      </c>
      <c r="M11">
        <f>SKEW(G6:G13)</f>
        <v>0.4024977588609891</v>
      </c>
      <c r="N11">
        <f>SKEW(H6:H13)</f>
        <v>0.30847521634150399</v>
      </c>
      <c r="O11">
        <f>SKEW(I6:I13)</f>
        <v>0.78768846472222276</v>
      </c>
    </row>
    <row r="12" spans="1:27" ht="14.45" x14ac:dyDescent="0.35">
      <c r="A12" t="s">
        <v>159</v>
      </c>
      <c r="B12" s="102">
        <v>67.3</v>
      </c>
      <c r="C12" s="103">
        <v>48.3</v>
      </c>
      <c r="D12" s="104">
        <v>5.5</v>
      </c>
      <c r="F12" s="36">
        <v>25.8</v>
      </c>
      <c r="G12" s="37">
        <v>21.6</v>
      </c>
      <c r="H12" s="37">
        <v>27.6</v>
      </c>
      <c r="I12" s="38">
        <v>18</v>
      </c>
      <c r="K12" t="s">
        <v>269</v>
      </c>
      <c r="L12">
        <f>L13-L14</f>
        <v>37.400000000000006</v>
      </c>
      <c r="M12">
        <f>M13-M14</f>
        <v>23.5</v>
      </c>
      <c r="N12">
        <f>N13-N14</f>
        <v>31</v>
      </c>
      <c r="O12">
        <f>O13-O14</f>
        <v>33.799999999999997</v>
      </c>
    </row>
    <row r="13" spans="1:27" ht="14.45" x14ac:dyDescent="0.35">
      <c r="A13" t="s">
        <v>159</v>
      </c>
      <c r="B13" s="102">
        <v>61.3</v>
      </c>
      <c r="C13" s="103">
        <v>28.9</v>
      </c>
      <c r="D13" s="104">
        <v>6.9</v>
      </c>
      <c r="F13" s="39">
        <v>39.4</v>
      </c>
      <c r="G13" s="40">
        <v>27.7</v>
      </c>
      <c r="H13" s="40">
        <v>35.299999999999997</v>
      </c>
      <c r="I13" s="41">
        <v>14.5</v>
      </c>
      <c r="K13" t="s">
        <v>270</v>
      </c>
      <c r="L13">
        <f>MAX(F6:F13)</f>
        <v>54.2</v>
      </c>
      <c r="M13">
        <f>MAX(G6:G13)</f>
        <v>45.1</v>
      </c>
      <c r="N13">
        <f>MAX(H6:H13)</f>
        <v>46.9</v>
      </c>
      <c r="O13">
        <f>MAX(I6:I13)</f>
        <v>48.3</v>
      </c>
    </row>
    <row r="14" spans="1:27" ht="14.45" x14ac:dyDescent="0.35">
      <c r="A14" t="s">
        <v>159</v>
      </c>
      <c r="B14" s="102">
        <v>58.2</v>
      </c>
      <c r="C14" s="103">
        <v>42.5</v>
      </c>
      <c r="D14" s="104">
        <v>4.8</v>
      </c>
      <c r="K14" t="s">
        <v>271</v>
      </c>
      <c r="L14">
        <f>MIN(F6:F13)</f>
        <v>16.8</v>
      </c>
      <c r="M14">
        <f>MIN(G6:G13)</f>
        <v>21.6</v>
      </c>
      <c r="N14">
        <f>MIN(H6:H13)</f>
        <v>15.9</v>
      </c>
      <c r="O14">
        <f>MIN(I6:I13)</f>
        <v>14.5</v>
      </c>
    </row>
    <row r="15" spans="1:27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  <c r="K15" t="s">
        <v>177</v>
      </c>
      <c r="L15">
        <f>SUM(F6:F13)</f>
        <v>264.70000000000005</v>
      </c>
      <c r="M15">
        <f>SUM(G6:G13)</f>
        <v>261.89999999999998</v>
      </c>
      <c r="N15">
        <f>SUM(H6:H13)</f>
        <v>245.09999999999997</v>
      </c>
      <c r="O15">
        <f>SUM(I6:I13)</f>
        <v>225.6</v>
      </c>
    </row>
    <row r="16" spans="1:27" ht="14.45" x14ac:dyDescent="0.35">
      <c r="A16" t="s">
        <v>159</v>
      </c>
      <c r="B16" s="102">
        <v>66.900000000000006</v>
      </c>
      <c r="C16" s="103">
        <v>23.9</v>
      </c>
      <c r="D16" s="104">
        <v>1.1000000000000001</v>
      </c>
      <c r="K16" t="s">
        <v>100</v>
      </c>
      <c r="L16">
        <f>COUNT(F6:F13)</f>
        <v>8</v>
      </c>
      <c r="M16">
        <f>COUNT(G6:G13)</f>
        <v>8</v>
      </c>
      <c r="N16">
        <f>COUNT(H6:H13)</f>
        <v>8</v>
      </c>
      <c r="O16">
        <f>COUNT(I6:I13)</f>
        <v>8</v>
      </c>
    </row>
    <row r="17" spans="1:27" ht="14.45" x14ac:dyDescent="0.35">
      <c r="A17" t="s">
        <v>159</v>
      </c>
      <c r="B17" s="102">
        <v>55.4</v>
      </c>
      <c r="C17" s="103">
        <v>29.1</v>
      </c>
      <c r="D17" s="104">
        <v>5</v>
      </c>
      <c r="K17" t="s">
        <v>272</v>
      </c>
      <c r="L17">
        <f>GEOMEAN(F6:F13)</f>
        <v>31.392987896513187</v>
      </c>
      <c r="M17">
        <f>GEOMEAN(G6:G13)</f>
        <v>32.012403768936394</v>
      </c>
      <c r="N17">
        <f>GEOMEAN(H6:H13)</f>
        <v>29.404386144288889</v>
      </c>
      <c r="O17">
        <f>GEOMEAN(I6:I13)</f>
        <v>26.165222581374259</v>
      </c>
    </row>
    <row r="18" spans="1:27" ht="14.45" x14ac:dyDescent="0.35">
      <c r="A18" t="s">
        <v>159</v>
      </c>
      <c r="B18" s="102">
        <v>50.5</v>
      </c>
      <c r="C18" s="103">
        <v>18</v>
      </c>
      <c r="D18" s="104">
        <v>4.8</v>
      </c>
      <c r="K18" t="s">
        <v>273</v>
      </c>
      <c r="L18">
        <f>HARMEAN(F6:F13)</f>
        <v>29.693734100950646</v>
      </c>
      <c r="M18">
        <f>HARMEAN(G6:G13)</f>
        <v>31.290193231838067</v>
      </c>
      <c r="N18">
        <f>HARMEAN(H6:H13)</f>
        <v>28.084215016065848</v>
      </c>
      <c r="O18">
        <f>HARMEAN(I6:I13)</f>
        <v>24.347089604383342</v>
      </c>
    </row>
    <row r="19" spans="1:27" ht="14.45" x14ac:dyDescent="0.35">
      <c r="A19" t="s">
        <v>159</v>
      </c>
      <c r="B19" s="102">
        <v>64.099999999999994</v>
      </c>
      <c r="C19" s="103">
        <v>14.5</v>
      </c>
      <c r="D19" s="104">
        <v>3.7</v>
      </c>
      <c r="K19" t="s">
        <v>274</v>
      </c>
      <c r="L19">
        <f>AVEDEV(F6:F13)</f>
        <v>8.3343750000000014</v>
      </c>
      <c r="M19">
        <f>AVEDEV(G6:G13)</f>
        <v>5.421875</v>
      </c>
      <c r="N19">
        <f>AVEDEV(H6:H13)</f>
        <v>6.5968749999999998</v>
      </c>
      <c r="O19">
        <f>AVEDEV(I6:I13)</f>
        <v>9</v>
      </c>
    </row>
    <row r="20" spans="1:27" ht="14.45" x14ac:dyDescent="0.35">
      <c r="A20" t="s">
        <v>161</v>
      </c>
      <c r="B20" s="102">
        <v>62.8</v>
      </c>
      <c r="C20" s="103">
        <v>25.9</v>
      </c>
      <c r="D20" s="104">
        <v>2.9</v>
      </c>
      <c r="K20" t="s">
        <v>275</v>
      </c>
      <c r="L20">
        <f>[1]!MAD(F6:F13)</f>
        <v>6.6999999999999993</v>
      </c>
      <c r="M20">
        <f>[1]!MAD(G6:G13)</f>
        <v>3.2000000000000011</v>
      </c>
      <c r="N20">
        <f>[1]!MAD(H6:H13)</f>
        <v>4.6999999999999993</v>
      </c>
      <c r="O20">
        <f>[1]!MAD(I6:I13)</f>
        <v>7.1999999999999993</v>
      </c>
    </row>
    <row r="21" spans="1:27" ht="14.45" x14ac:dyDescent="0.35">
      <c r="A21" t="s">
        <v>161</v>
      </c>
      <c r="B21" s="102">
        <v>45</v>
      </c>
      <c r="C21" s="103">
        <v>15.9</v>
      </c>
      <c r="D21" s="104">
        <v>1.2</v>
      </c>
      <c r="K21" s="40" t="s">
        <v>276</v>
      </c>
      <c r="L21" s="40">
        <f>[1]!IQR(F6:F13)</f>
        <v>13.350000000000001</v>
      </c>
      <c r="M21" s="40">
        <f>[1]!IQR(G6:G13)</f>
        <v>6.6999999999999993</v>
      </c>
      <c r="N21" s="40">
        <f>[1]!IQR(H6:H13)</f>
        <v>8.3249999999999993</v>
      </c>
      <c r="O21" s="40">
        <f>[1]!IQR(I6:I13)</f>
        <v>12.650000000000006</v>
      </c>
    </row>
    <row r="22" spans="1:27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</row>
    <row r="23" spans="1:27" ht="14.45" x14ac:dyDescent="0.35">
      <c r="A23" t="s">
        <v>161</v>
      </c>
      <c r="B23" s="102">
        <v>75.599999999999994</v>
      </c>
      <c r="C23" s="103">
        <v>27.7</v>
      </c>
      <c r="D23" s="104">
        <v>6.3</v>
      </c>
    </row>
    <row r="24" spans="1:27" ht="14.45" x14ac:dyDescent="0.35">
      <c r="A24" t="s">
        <v>161</v>
      </c>
      <c r="B24" s="102">
        <v>46.6</v>
      </c>
      <c r="C24" s="103">
        <v>46.9</v>
      </c>
      <c r="D24" s="104">
        <v>3.6</v>
      </c>
      <c r="F24" t="s">
        <v>163</v>
      </c>
      <c r="K24" t="s">
        <v>261</v>
      </c>
      <c r="Q24" t="s">
        <v>254</v>
      </c>
      <c r="W24" t="s">
        <v>277</v>
      </c>
    </row>
    <row r="25" spans="1:27" ht="14.45" x14ac:dyDescent="0.35">
      <c r="A25" t="s">
        <v>161</v>
      </c>
      <c r="B25" s="102">
        <v>50.6</v>
      </c>
      <c r="C25" s="103">
        <v>29.7</v>
      </c>
      <c r="D25" s="104">
        <v>4.7</v>
      </c>
    </row>
    <row r="26" spans="1:27" ht="14.45" x14ac:dyDescent="0.35">
      <c r="A26" t="s">
        <v>161</v>
      </c>
      <c r="B26" s="102">
        <v>45.7</v>
      </c>
      <c r="C26" s="103">
        <v>27.6</v>
      </c>
      <c r="D26" s="104">
        <v>6.2</v>
      </c>
      <c r="F26" s="56" t="str">
        <f t="array" ref="F26:I34">[1]!ExtractCol(A3:D35,"yield")</f>
        <v>clay</v>
      </c>
      <c r="G26" s="56" t="str">
        <v>loam</v>
      </c>
      <c r="H26" s="56" t="str">
        <v>salty</v>
      </c>
      <c r="I26" s="56" t="str">
        <v>sandy</v>
      </c>
      <c r="K26" s="144"/>
      <c r="L26" s="144" t="str">
        <f>F26</f>
        <v>clay</v>
      </c>
      <c r="M26" s="144" t="str">
        <f>G26</f>
        <v>loam</v>
      </c>
      <c r="N26" s="144" t="str">
        <f>H26</f>
        <v>salty</v>
      </c>
      <c r="O26" s="144" t="str">
        <f>I26</f>
        <v>sandy</v>
      </c>
      <c r="R26" s="143" t="str">
        <f>F26</f>
        <v>clay</v>
      </c>
      <c r="S26" s="143" t="str">
        <f>G26</f>
        <v>loam</v>
      </c>
      <c r="T26" s="143" t="str">
        <f>H26</f>
        <v>salty</v>
      </c>
      <c r="U26" s="143" t="str">
        <f>I26</f>
        <v>sandy</v>
      </c>
      <c r="W26" s="144"/>
      <c r="X26" s="144" t="str">
        <f>F26</f>
        <v>clay</v>
      </c>
      <c r="Y26" s="144" t="str">
        <f>G26</f>
        <v>loam</v>
      </c>
      <c r="Z26" s="144" t="str">
        <f>H26</f>
        <v>salty</v>
      </c>
      <c r="AA26" s="144" t="str">
        <f>I26</f>
        <v>sandy</v>
      </c>
    </row>
    <row r="27" spans="1:27" ht="14.45" x14ac:dyDescent="0.35">
      <c r="A27" t="s">
        <v>161</v>
      </c>
      <c r="B27" s="102">
        <v>68.400000000000006</v>
      </c>
      <c r="C27" s="103">
        <v>35.299999999999997</v>
      </c>
      <c r="D27" s="104">
        <v>1.9</v>
      </c>
      <c r="F27" s="33">
        <v>52.5</v>
      </c>
      <c r="G27" s="88">
        <v>76.7</v>
      </c>
      <c r="H27" s="88">
        <v>62.8</v>
      </c>
      <c r="I27" s="89">
        <v>67.3</v>
      </c>
      <c r="K27" t="s">
        <v>34</v>
      </c>
      <c r="L27">
        <f>AVERAGE(F27:F34)</f>
        <v>58.837499999999999</v>
      </c>
      <c r="M27">
        <f>AVERAGE(G27:G34)</f>
        <v>69.712500000000006</v>
      </c>
      <c r="N27">
        <f>AVERAGE(H27:H34)</f>
        <v>55.3125</v>
      </c>
      <c r="O27">
        <f>AVERAGE(I27:I34)</f>
        <v>62.575000000000003</v>
      </c>
      <c r="Q27" t="s">
        <v>139</v>
      </c>
      <c r="R27" s="130">
        <f>MIN(F27:F34)</f>
        <v>46.3</v>
      </c>
      <c r="S27" s="141">
        <f>MIN(G27:G34)</f>
        <v>50.2</v>
      </c>
      <c r="T27" s="141">
        <f>MIN(H27:H34)</f>
        <v>45</v>
      </c>
      <c r="U27" s="131">
        <f>MIN(I27:I34)</f>
        <v>50.5</v>
      </c>
      <c r="W27" t="s">
        <v>278</v>
      </c>
      <c r="X27">
        <f>[1]!SHAPIRO(F27:F34)</f>
        <v>0.91873758495554636</v>
      </c>
      <c r="Y27">
        <f>[1]!SHAPIRO(G27:G34)</f>
        <v>0.93825667740919372</v>
      </c>
      <c r="Z27">
        <f>[1]!SHAPIRO(H27:H34)</f>
        <v>0.82955526937580071</v>
      </c>
      <c r="AA27">
        <f>[1]!SHAPIRO(I27:I34)</f>
        <v>0.98321532081640794</v>
      </c>
    </row>
    <row r="28" spans="1:27" ht="14.45" x14ac:dyDescent="0.35">
      <c r="A28" t="s">
        <v>160</v>
      </c>
      <c r="B28" s="102">
        <v>52.5</v>
      </c>
      <c r="C28" s="103">
        <v>39</v>
      </c>
      <c r="D28" s="104">
        <v>3.1</v>
      </c>
      <c r="F28" s="36">
        <v>80</v>
      </c>
      <c r="G28" s="37">
        <v>60.5</v>
      </c>
      <c r="H28" s="37">
        <v>45</v>
      </c>
      <c r="I28" s="38">
        <v>61.3</v>
      </c>
      <c r="K28" t="s">
        <v>262</v>
      </c>
      <c r="L28">
        <f>STDEV(F27:F34)/SQRT(COUNT(F27:F34))</f>
        <v>3.7763804240493148</v>
      </c>
      <c r="M28">
        <f>STDEV(G27:G34)/SQRT(COUNT(G27:G34))</f>
        <v>5.6694493780260471</v>
      </c>
      <c r="N28">
        <f>STDEV(H27:H34)/SQRT(COUNT(H27:H34))</f>
        <v>4.2093194860588001</v>
      </c>
      <c r="O28">
        <f>STDEV(I27:I34)/SQRT(COUNT(I27:I34))</f>
        <v>2.8865915392181387</v>
      </c>
      <c r="Q28" t="s">
        <v>140</v>
      </c>
      <c r="R28" s="83">
        <f>QUARTILE(F27:F34,1)-R27</f>
        <v>5.4000000000000057</v>
      </c>
      <c r="S28" s="37">
        <f>QUARTILE(G27:G34,1)-S27</f>
        <v>8.9249999999999972</v>
      </c>
      <c r="T28" s="37">
        <f>QUARTILE(H27:H34,1)-T27</f>
        <v>1.375</v>
      </c>
      <c r="U28" s="84">
        <f>QUARTILE(I27:I34,1)-U27</f>
        <v>7</v>
      </c>
      <c r="W28" t="s">
        <v>65</v>
      </c>
      <c r="X28">
        <f>[1]!SWTEST(F27:F34)</f>
        <v>0.41970386683894523</v>
      </c>
      <c r="Y28">
        <f>[1]!SWTEST(G27:G34)</f>
        <v>0.59401298112829393</v>
      </c>
      <c r="Z28">
        <f>[1]!SWTEST(H27:H34)</f>
        <v>5.8738336658899493E-2</v>
      </c>
      <c r="AA28">
        <f>[1]!SWTEST(I27:I34)</f>
        <v>0.97703517993117639</v>
      </c>
    </row>
    <row r="29" spans="1:27" ht="14.45" x14ac:dyDescent="0.35">
      <c r="A29" t="s">
        <v>160</v>
      </c>
      <c r="B29" s="102">
        <v>80</v>
      </c>
      <c r="C29" s="103">
        <v>54.2</v>
      </c>
      <c r="D29" s="104">
        <v>4</v>
      </c>
      <c r="F29" s="36">
        <v>54.7</v>
      </c>
      <c r="G29" s="37">
        <v>96.1</v>
      </c>
      <c r="H29" s="37">
        <v>47.8</v>
      </c>
      <c r="I29" s="38">
        <v>58.2</v>
      </c>
      <c r="K29" t="s">
        <v>263</v>
      </c>
      <c r="L29">
        <f>MEDIAN(F27:F34)</f>
        <v>58.1</v>
      </c>
      <c r="M29">
        <f>MEDIAN(G27:G34)</f>
        <v>65.550000000000011</v>
      </c>
      <c r="N29">
        <f>MEDIAN(H27:H34)</f>
        <v>49.2</v>
      </c>
      <c r="O29">
        <f>MEDIAN(I27:I34)</f>
        <v>62.699999999999996</v>
      </c>
      <c r="Q29" t="s">
        <v>141</v>
      </c>
      <c r="R29" s="83">
        <f>MEDIAN(F27:F34)-QUARTILE(F27:F34,1)</f>
        <v>6.3999999999999986</v>
      </c>
      <c r="S29" s="37">
        <f>MEDIAN(G27:G34)-QUARTILE(G27:G34,1)</f>
        <v>6.4250000000000114</v>
      </c>
      <c r="T29" s="37">
        <f>MEDIAN(H27:H34)-QUARTILE(H27:H34,1)</f>
        <v>2.8250000000000028</v>
      </c>
      <c r="U29" s="84">
        <f>MEDIAN(I27:I34)-QUARTILE(I27:I34,1)</f>
        <v>5.1999999999999957</v>
      </c>
      <c r="W29" t="s">
        <v>220</v>
      </c>
      <c r="X29">
        <v>0.05</v>
      </c>
      <c r="Y29">
        <v>0.05</v>
      </c>
      <c r="Z29">
        <v>0.05</v>
      </c>
      <c r="AA29">
        <v>0.05</v>
      </c>
    </row>
    <row r="30" spans="1:27" ht="14.45" x14ac:dyDescent="0.35">
      <c r="A30" t="s">
        <v>160</v>
      </c>
      <c r="B30" s="102">
        <v>54.7</v>
      </c>
      <c r="C30" s="103">
        <v>32.1</v>
      </c>
      <c r="D30" s="104">
        <v>5.7</v>
      </c>
      <c r="F30" s="36">
        <v>63.5</v>
      </c>
      <c r="G30" s="37">
        <v>88.1</v>
      </c>
      <c r="H30" s="37">
        <v>75.599999999999994</v>
      </c>
      <c r="I30" s="38">
        <v>76.900000000000006</v>
      </c>
      <c r="K30" t="s">
        <v>264</v>
      </c>
      <c r="L30" t="e">
        <f>MODE(F27:F34)</f>
        <v>#N/A</v>
      </c>
      <c r="M30" t="e">
        <f>MODE(G27:G34)</f>
        <v>#N/A</v>
      </c>
      <c r="N30" t="e">
        <f>MODE(H27:H34)</f>
        <v>#N/A</v>
      </c>
      <c r="O30" t="e">
        <f>MODE(I27:I34)</f>
        <v>#N/A</v>
      </c>
      <c r="Q30" t="s">
        <v>142</v>
      </c>
      <c r="R30" s="83">
        <f>QUARTILE(F27:F34,3)-MEDIAN(F27:F34)</f>
        <v>4.9499999999999957</v>
      </c>
      <c r="S30" s="37">
        <f>QUARTILE(G27:G34,3)-MEDIAN(G27:G34)</f>
        <v>13.999999999999986</v>
      </c>
      <c r="T30" s="37">
        <f>QUARTILE(H27:H34,3)-MEDIAN(H27:H34)</f>
        <v>15</v>
      </c>
      <c r="U30" s="84">
        <f>QUARTILE(I27:I34,3)-MEDIAN(I27:I34)</f>
        <v>4.3000000000000043</v>
      </c>
      <c r="W30" s="40" t="s">
        <v>279</v>
      </c>
      <c r="X30" s="58" t="str">
        <f>IF(X28&lt;X29,"no","yes")</f>
        <v>yes</v>
      </c>
      <c r="Y30" s="58" t="str">
        <f>IF(Y28&lt;Y29,"no","yes")</f>
        <v>yes</v>
      </c>
      <c r="Z30" s="58" t="str">
        <f>IF(Z28&lt;Z29,"no","yes")</f>
        <v>yes</v>
      </c>
      <c r="AA30" s="58" t="str">
        <f>IF(AA28&lt;AA29,"no","yes")</f>
        <v>yes</v>
      </c>
    </row>
    <row r="31" spans="1:27" ht="14.45" x14ac:dyDescent="0.35">
      <c r="A31" t="s">
        <v>160</v>
      </c>
      <c r="B31" s="102">
        <v>63.5</v>
      </c>
      <c r="C31" s="103">
        <v>25.6</v>
      </c>
      <c r="D31" s="104">
        <v>3</v>
      </c>
      <c r="F31" s="36">
        <v>46.3</v>
      </c>
      <c r="G31" s="37">
        <v>50.2</v>
      </c>
      <c r="H31" s="37">
        <v>46.6</v>
      </c>
      <c r="I31" s="38">
        <v>66.900000000000006</v>
      </c>
      <c r="K31" t="s">
        <v>265</v>
      </c>
      <c r="L31">
        <f>STDEV(F27:F34)</f>
        <v>10.681216824741602</v>
      </c>
      <c r="M31">
        <f>STDEV(G27:G34)</f>
        <v>16.03562440318429</v>
      </c>
      <c r="N31">
        <f>STDEV(H27:H34)</f>
        <v>11.905753411091403</v>
      </c>
      <c r="O31">
        <f>STDEV(I27:I34)</f>
        <v>8.1645138075874399</v>
      </c>
      <c r="Q31" t="s">
        <v>143</v>
      </c>
      <c r="R31" s="85">
        <f>MAX(F27:F34)-QUARTILE(F27:F34,3)</f>
        <v>16.950000000000003</v>
      </c>
      <c r="S31" s="86">
        <f>MAX(G27:G34)-QUARTILE(G27:G34,3)</f>
        <v>16.549999999999997</v>
      </c>
      <c r="T31" s="86">
        <f>MAX(H27:H34)-QUARTILE(H27:H34,3)</f>
        <v>11.399999999999991</v>
      </c>
      <c r="U31" s="87">
        <f>MAX(I27:I34)-QUARTILE(I27:I34,3)</f>
        <v>9.9000000000000057</v>
      </c>
    </row>
    <row r="32" spans="1:27" x14ac:dyDescent="0.25">
      <c r="A32" t="s">
        <v>160</v>
      </c>
      <c r="B32" s="102">
        <v>46.3</v>
      </c>
      <c r="C32" s="103">
        <v>31.8</v>
      </c>
      <c r="D32" s="104">
        <v>7.4</v>
      </c>
      <c r="F32" s="36">
        <v>61.5</v>
      </c>
      <c r="G32" s="37">
        <v>55</v>
      </c>
      <c r="H32" s="37">
        <v>50.6</v>
      </c>
      <c r="I32" s="38">
        <v>55.4</v>
      </c>
      <c r="K32" t="s">
        <v>266</v>
      </c>
      <c r="L32">
        <f>VAR(F27:F34)</f>
        <v>114.08839285714306</v>
      </c>
      <c r="M32">
        <f>VAR(G27:G34)</f>
        <v>257.14124999999956</v>
      </c>
      <c r="N32">
        <f>VAR(H27:H34)</f>
        <v>141.74696428571457</v>
      </c>
      <c r="O32">
        <f>VAR(I27:I34)</f>
        <v>66.659285714285943</v>
      </c>
    </row>
    <row r="33" spans="1:23" x14ac:dyDescent="0.25">
      <c r="A33" t="s">
        <v>160</v>
      </c>
      <c r="B33" s="102">
        <v>61.5</v>
      </c>
      <c r="C33" s="103">
        <v>16.8</v>
      </c>
      <c r="D33" s="104">
        <v>1.9</v>
      </c>
      <c r="F33" s="36">
        <v>62.9</v>
      </c>
      <c r="G33" s="37">
        <v>65.400000000000006</v>
      </c>
      <c r="H33" s="37">
        <v>45.7</v>
      </c>
      <c r="I33" s="38">
        <v>50.5</v>
      </c>
      <c r="K33" t="s">
        <v>267</v>
      </c>
      <c r="L33">
        <f>KURT(F27:F34)</f>
        <v>1.3231665246667061</v>
      </c>
      <c r="M33">
        <f>KURT(G27:G34)</f>
        <v>-0.7458233235610221</v>
      </c>
      <c r="N33">
        <f>KURT(H27:H34)</f>
        <v>-0.9552878910559599</v>
      </c>
      <c r="O33">
        <f>KURT(I27:I34)</f>
        <v>0.2883604157002857</v>
      </c>
    </row>
    <row r="34" spans="1:23" x14ac:dyDescent="0.25">
      <c r="A34" t="s">
        <v>160</v>
      </c>
      <c r="B34" s="102">
        <v>62.9</v>
      </c>
      <c r="C34" s="103">
        <v>25.8</v>
      </c>
      <c r="D34" s="104">
        <v>2.4</v>
      </c>
      <c r="F34" s="39">
        <v>49.3</v>
      </c>
      <c r="G34" s="40">
        <v>65.7</v>
      </c>
      <c r="H34" s="40">
        <v>68.400000000000006</v>
      </c>
      <c r="I34" s="41">
        <v>64.099999999999994</v>
      </c>
      <c r="K34" t="s">
        <v>268</v>
      </c>
      <c r="L34">
        <f>SKEW(F27:F34)</f>
        <v>1.0161898046563302</v>
      </c>
      <c r="M34">
        <f>SKEW(G27:G34)</f>
        <v>0.61858747262174107</v>
      </c>
      <c r="N34">
        <f>SKEW(H27:H34)</f>
        <v>0.88449079086647564</v>
      </c>
      <c r="O34">
        <f>SKEW(I27:I34)</f>
        <v>0.31978788918574008</v>
      </c>
    </row>
    <row r="35" spans="1:23" x14ac:dyDescent="0.25">
      <c r="A35" t="s">
        <v>160</v>
      </c>
      <c r="B35" s="105">
        <v>49.3</v>
      </c>
      <c r="C35" s="106">
        <v>39.4</v>
      </c>
      <c r="D35" s="107">
        <v>5.2</v>
      </c>
      <c r="K35" t="s">
        <v>269</v>
      </c>
      <c r="L35">
        <f>L36-L37</f>
        <v>33.700000000000003</v>
      </c>
      <c r="M35">
        <f>M36-M37</f>
        <v>45.899999999999991</v>
      </c>
      <c r="N35">
        <f>N36-N37</f>
        <v>30.599999999999994</v>
      </c>
      <c r="O35">
        <f>O36-O37</f>
        <v>26.400000000000006</v>
      </c>
    </row>
    <row r="36" spans="1:23" x14ac:dyDescent="0.25">
      <c r="K36" t="s">
        <v>270</v>
      </c>
      <c r="L36">
        <f>MAX(F27:F34)</f>
        <v>80</v>
      </c>
      <c r="M36">
        <f>MAX(G27:G34)</f>
        <v>96.1</v>
      </c>
      <c r="N36">
        <f>MAX(H27:H34)</f>
        <v>75.599999999999994</v>
      </c>
      <c r="O36">
        <f>MAX(I27:I34)</f>
        <v>76.900000000000006</v>
      </c>
    </row>
    <row r="37" spans="1:23" x14ac:dyDescent="0.25">
      <c r="K37" t="s">
        <v>271</v>
      </c>
      <c r="L37">
        <f>MIN(F27:F34)</f>
        <v>46.3</v>
      </c>
      <c r="M37">
        <f>MIN(G27:G34)</f>
        <v>50.2</v>
      </c>
      <c r="N37">
        <f>MIN(H27:H34)</f>
        <v>45</v>
      </c>
      <c r="O37">
        <f>MIN(I27:I34)</f>
        <v>50.5</v>
      </c>
    </row>
    <row r="38" spans="1:23" x14ac:dyDescent="0.25">
      <c r="K38" t="s">
        <v>177</v>
      </c>
      <c r="L38">
        <f>SUM(F27:F34)</f>
        <v>470.7</v>
      </c>
      <c r="M38">
        <f>SUM(G27:G34)</f>
        <v>557.70000000000005</v>
      </c>
      <c r="N38">
        <f>SUM(H27:H34)</f>
        <v>442.5</v>
      </c>
      <c r="O38">
        <f>SUM(I27:I34)</f>
        <v>500.6</v>
      </c>
    </row>
    <row r="39" spans="1:23" x14ac:dyDescent="0.25">
      <c r="K39" t="s">
        <v>100</v>
      </c>
      <c r="L39">
        <f>COUNT(F27:F34)</f>
        <v>8</v>
      </c>
      <c r="M39">
        <f>COUNT(G27:G34)</f>
        <v>8</v>
      </c>
      <c r="N39">
        <f>COUNT(H27:H34)</f>
        <v>8</v>
      </c>
      <c r="O39">
        <f>COUNT(I27:I34)</f>
        <v>8</v>
      </c>
    </row>
    <row r="40" spans="1:23" x14ac:dyDescent="0.25">
      <c r="K40" t="s">
        <v>272</v>
      </c>
      <c r="L40">
        <f>GEOMEAN(F27:F34)</f>
        <v>58.042418694217602</v>
      </c>
      <c r="M40">
        <f>GEOMEAN(G27:G34)</f>
        <v>68.164373098814494</v>
      </c>
      <c r="N40">
        <f>GEOMEAN(H27:H34)</f>
        <v>54.272374508793497</v>
      </c>
      <c r="O40">
        <f>GEOMEAN(I27:I34)</f>
        <v>62.11210804426269</v>
      </c>
    </row>
    <row r="41" spans="1:23" x14ac:dyDescent="0.25">
      <c r="K41" t="s">
        <v>273</v>
      </c>
      <c r="L41">
        <f>HARMEAN(F27:F34)</f>
        <v>57.299264578044621</v>
      </c>
      <c r="M41">
        <f>HARMEAN(G27:G34)</f>
        <v>66.701875659816466</v>
      </c>
      <c r="N41">
        <f>HARMEAN(H27:H34)</f>
        <v>53.327076697188076</v>
      </c>
      <c r="O41">
        <f>HARMEAN(I27:I34)</f>
        <v>61.65279649952187</v>
      </c>
    </row>
    <row r="42" spans="1:23" x14ac:dyDescent="0.25">
      <c r="K42" t="s">
        <v>274</v>
      </c>
      <c r="L42">
        <f>AVEDEV(F27:F34)</f>
        <v>8.1374999999999993</v>
      </c>
      <c r="M42">
        <f>AVEDEV(G27:G34)</f>
        <v>12.940624999999999</v>
      </c>
      <c r="N42">
        <f>AVEDEV(H27:H34)</f>
        <v>10.215624999999999</v>
      </c>
      <c r="O42">
        <f>AVEDEV(I27:I34)</f>
        <v>6.2250000000000005</v>
      </c>
    </row>
    <row r="43" spans="1:23" x14ac:dyDescent="0.25">
      <c r="K43" t="s">
        <v>275</v>
      </c>
      <c r="L43">
        <f>[1]!MAD(F27:F34)</f>
        <v>5.5</v>
      </c>
      <c r="M43">
        <f>[1]!MAD(G27:G34)</f>
        <v>10.850000000000001</v>
      </c>
      <c r="N43">
        <f>[1]!MAD(H27:H34)</f>
        <v>3.8500000000000014</v>
      </c>
      <c r="O43">
        <f>[1]!MAD(I27:I34)</f>
        <v>4.5499999999999972</v>
      </c>
    </row>
    <row r="44" spans="1:23" x14ac:dyDescent="0.25">
      <c r="K44" s="40" t="s">
        <v>276</v>
      </c>
      <c r="L44" s="40">
        <f>[1]!IQR(F27:F34)</f>
        <v>11.349999999999994</v>
      </c>
      <c r="M44" s="40">
        <f>[1]!IQR(G27:G34)</f>
        <v>20.424999999999997</v>
      </c>
      <c r="N44" s="40">
        <f>[1]!IQR(H27:H34)</f>
        <v>17.825000000000003</v>
      </c>
      <c r="O44" s="40">
        <f>[1]!IQR(I27:I34)</f>
        <v>9.5</v>
      </c>
    </row>
    <row r="47" spans="1:23" x14ac:dyDescent="0.25">
      <c r="F47" s="70" t="s">
        <v>164</v>
      </c>
      <c r="K47" t="s">
        <v>261</v>
      </c>
      <c r="Q47" t="s">
        <v>254</v>
      </c>
      <c r="W47" t="s">
        <v>277</v>
      </c>
    </row>
    <row r="49" spans="6:27" x14ac:dyDescent="0.25">
      <c r="F49" s="47" t="str">
        <f t="array" ref="F49:I57">[1]!ExtractCol(A3:D35,"herbicide")</f>
        <v>clay</v>
      </c>
      <c r="G49" s="47" t="str">
        <v>loam</v>
      </c>
      <c r="H49" s="47" t="str">
        <v>salty</v>
      </c>
      <c r="I49" s="47" t="str">
        <v>sandy</v>
      </c>
      <c r="K49" s="144"/>
      <c r="L49" s="144" t="str">
        <f>F49</f>
        <v>clay</v>
      </c>
      <c r="M49" s="144" t="str">
        <f>G49</f>
        <v>loam</v>
      </c>
      <c r="N49" s="144" t="str">
        <f>H49</f>
        <v>salty</v>
      </c>
      <c r="O49" s="144" t="str">
        <f>I49</f>
        <v>sandy</v>
      </c>
      <c r="R49" s="143" t="str">
        <f>F49</f>
        <v>clay</v>
      </c>
      <c r="S49" s="143" t="str">
        <f>G49</f>
        <v>loam</v>
      </c>
      <c r="T49" s="143" t="str">
        <f>H49</f>
        <v>salty</v>
      </c>
      <c r="U49" s="143" t="str">
        <f>I49</f>
        <v>sandy</v>
      </c>
      <c r="W49" s="144"/>
      <c r="X49" s="144" t="str">
        <f>F49</f>
        <v>clay</v>
      </c>
      <c r="Y49" s="144" t="str">
        <f>G49</f>
        <v>loam</v>
      </c>
      <c r="Z49" s="144" t="str">
        <f>H49</f>
        <v>salty</v>
      </c>
      <c r="AA49" s="144" t="str">
        <f>I49</f>
        <v>sandy</v>
      </c>
    </row>
    <row r="50" spans="6:27" x14ac:dyDescent="0.25">
      <c r="F50" s="33">
        <v>3.1</v>
      </c>
      <c r="G50" s="88">
        <v>7.5</v>
      </c>
      <c r="H50" s="88">
        <v>2.9</v>
      </c>
      <c r="I50" s="89">
        <v>5.5</v>
      </c>
      <c r="K50" t="s">
        <v>34</v>
      </c>
      <c r="L50">
        <f>AVERAGE(F50:F57)</f>
        <v>4.0875000000000004</v>
      </c>
      <c r="M50">
        <f>AVERAGE(G50:G57)</f>
        <v>6.3874999999999984</v>
      </c>
      <c r="N50">
        <f>AVERAGE(H50:H57)</f>
        <v>3.8624999999999998</v>
      </c>
      <c r="O50">
        <f>AVERAGE(I50:I57)</f>
        <v>4.3500000000000005</v>
      </c>
      <c r="Q50" t="s">
        <v>139</v>
      </c>
      <c r="R50" s="130">
        <f>MIN(F50:F57)</f>
        <v>1.9</v>
      </c>
      <c r="S50" s="141">
        <f>MIN(G50:G57)</f>
        <v>4.2</v>
      </c>
      <c r="T50" s="141">
        <f>MIN(H50:H57)</f>
        <v>1.2</v>
      </c>
      <c r="U50" s="131">
        <f>MIN(I50:I57)</f>
        <v>1.1000000000000001</v>
      </c>
      <c r="W50" t="s">
        <v>278</v>
      </c>
      <c r="X50">
        <f>[1]!SHAPIRO(F50:F57)</f>
        <v>0.9392629828912854</v>
      </c>
      <c r="Y50">
        <f>[1]!SHAPIRO(G50:G57)</f>
        <v>0.83948105266498152</v>
      </c>
      <c r="Z50">
        <f>[1]!SHAPIRO(H50:H57)</f>
        <v>0.95182917563826963</v>
      </c>
      <c r="AA50">
        <f>[1]!SHAPIRO(I50:I57)</f>
        <v>0.95529091667679322</v>
      </c>
    </row>
    <row r="51" spans="6:27" x14ac:dyDescent="0.25">
      <c r="F51" s="36">
        <v>4</v>
      </c>
      <c r="G51" s="37">
        <v>6.3</v>
      </c>
      <c r="H51" s="37">
        <v>1.2</v>
      </c>
      <c r="I51" s="38">
        <v>6.9</v>
      </c>
      <c r="K51" t="s">
        <v>262</v>
      </c>
      <c r="L51">
        <f>STDEV(F50:F57)/SQRT(COUNT(F50:F57))</f>
        <v>0.66290418937106854</v>
      </c>
      <c r="M51">
        <f>STDEV(G50:G57)/SQRT(COUNT(G50:G57))</f>
        <v>0.86879175130917319</v>
      </c>
      <c r="N51">
        <f>STDEV(H50:H57)/SQRT(COUNT(H50:H57))</f>
        <v>0.65599910169799147</v>
      </c>
      <c r="O51">
        <f>STDEV(I50:I57)/SQRT(COUNT(I50:I57))</f>
        <v>0.61904304027610657</v>
      </c>
      <c r="Q51" t="s">
        <v>140</v>
      </c>
      <c r="R51" s="83">
        <f>QUARTILE(F50:F57,1)-R50</f>
        <v>0.95000000000000018</v>
      </c>
      <c r="S51" s="37">
        <f>QUARTILE(G50:G57,1)-S50</f>
        <v>0.54999999999999982</v>
      </c>
      <c r="T51" s="37">
        <f>QUARTILE(H50:H57,1)-T50</f>
        <v>1.45</v>
      </c>
      <c r="U51" s="84">
        <f>QUARTILE(I50:I57,1)-U50</f>
        <v>2.4250000000000003</v>
      </c>
      <c r="W51" t="s">
        <v>65</v>
      </c>
      <c r="X51">
        <f>[1]!SWTEST(F50:F57)</f>
        <v>0.60384341221800886</v>
      </c>
      <c r="Y51">
        <f>[1]!SWTEST(G50:G57)</f>
        <v>7.440291782210573E-2</v>
      </c>
      <c r="Z51">
        <f>[1]!SWTEST(H50:H57)</f>
        <v>0.72965401603305025</v>
      </c>
      <c r="AA51">
        <f>[1]!SWTEST(I50:I57)</f>
        <v>0.76424067460467116</v>
      </c>
    </row>
    <row r="52" spans="6:27" x14ac:dyDescent="0.25">
      <c r="F52" s="36">
        <v>5.7</v>
      </c>
      <c r="G52" s="37">
        <v>4.2</v>
      </c>
      <c r="H52" s="37">
        <v>4.0999999999999996</v>
      </c>
      <c r="I52" s="38">
        <v>4.8</v>
      </c>
      <c r="K52" t="s">
        <v>263</v>
      </c>
      <c r="L52">
        <f>MEDIAN(F50:F57)</f>
        <v>3.55</v>
      </c>
      <c r="M52">
        <f>MEDIAN(G50:G57)</f>
        <v>5.8</v>
      </c>
      <c r="N52">
        <f>MEDIAN(H50:H57)</f>
        <v>3.8499999999999996</v>
      </c>
      <c r="O52">
        <f>MEDIAN(I50:I57)</f>
        <v>4.8</v>
      </c>
      <c r="Q52" t="s">
        <v>141</v>
      </c>
      <c r="R52" s="83">
        <f>MEDIAN(F50:F57)-QUARTILE(F50:F57,1)</f>
        <v>0.69999999999999973</v>
      </c>
      <c r="S52" s="37">
        <f>MEDIAN(G50:G57)-QUARTILE(G50:G57,1)</f>
        <v>1.0499999999999998</v>
      </c>
      <c r="T52" s="37">
        <f>MEDIAN(H50:H57)-QUARTILE(H50:H57,1)</f>
        <v>1.1999999999999997</v>
      </c>
      <c r="U52" s="84">
        <f>MEDIAN(I50:I57)-QUARTILE(I50:I57,1)</f>
        <v>1.2749999999999995</v>
      </c>
      <c r="W52" t="s">
        <v>220</v>
      </c>
      <c r="X52">
        <v>0.05</v>
      </c>
      <c r="Y52">
        <v>0.05</v>
      </c>
      <c r="Z52">
        <v>0.05</v>
      </c>
      <c r="AA52">
        <v>0.05</v>
      </c>
    </row>
    <row r="53" spans="6:27" x14ac:dyDescent="0.25">
      <c r="F53" s="36">
        <v>3</v>
      </c>
      <c r="G53" s="37">
        <v>4.9000000000000004</v>
      </c>
      <c r="H53" s="37">
        <v>6.3</v>
      </c>
      <c r="I53" s="38">
        <v>3</v>
      </c>
      <c r="K53" t="s">
        <v>264</v>
      </c>
      <c r="L53" t="e">
        <f>MODE(F50:F57)</f>
        <v>#N/A</v>
      </c>
      <c r="M53" t="e">
        <f>MODE(G50:G57)</f>
        <v>#N/A</v>
      </c>
      <c r="N53" t="e">
        <f>MODE(H50:H57)</f>
        <v>#N/A</v>
      </c>
      <c r="O53">
        <f>MODE(I50:I57)</f>
        <v>4.8</v>
      </c>
      <c r="Q53" t="s">
        <v>142</v>
      </c>
      <c r="R53" s="83">
        <f>QUARTILE(F50:F57,3)-MEDIAN(F50:F57)</f>
        <v>1.7750000000000004</v>
      </c>
      <c r="S53" s="37">
        <f>QUARTILE(G50:G57,3)-MEDIAN(G50:G57)</f>
        <v>1.2500000000000009</v>
      </c>
      <c r="T53" s="37">
        <f>QUARTILE(H50:H57,3)-MEDIAN(H50:H57)</f>
        <v>1.2250000000000005</v>
      </c>
      <c r="U53" s="84">
        <f>QUARTILE(I50:I57,3)-MEDIAN(I50:I57)</f>
        <v>0.32500000000000018</v>
      </c>
      <c r="W53" s="40" t="s">
        <v>279</v>
      </c>
      <c r="X53" s="58" t="str">
        <f>IF(X51&lt;X52,"no","yes")</f>
        <v>yes</v>
      </c>
      <c r="Y53" s="58" t="str">
        <f>IF(Y51&lt;Y52,"no","yes")</f>
        <v>yes</v>
      </c>
      <c r="Z53" s="58" t="str">
        <f>IF(Z51&lt;Z52,"no","yes")</f>
        <v>yes</v>
      </c>
      <c r="AA53" s="58" t="str">
        <f>IF(AA51&lt;AA52,"no","yes")</f>
        <v>yes</v>
      </c>
    </row>
    <row r="54" spans="6:27" x14ac:dyDescent="0.25">
      <c r="F54" s="36">
        <v>7.4</v>
      </c>
      <c r="G54" s="37">
        <v>11.7</v>
      </c>
      <c r="H54" s="37">
        <v>3.6</v>
      </c>
      <c r="I54" s="38">
        <v>1.1000000000000001</v>
      </c>
      <c r="K54" t="s">
        <v>265</v>
      </c>
      <c r="L54">
        <f>STDEV(F50:F57)</f>
        <v>1.8749761903250153</v>
      </c>
      <c r="M54">
        <f>STDEV(G50:G57)</f>
        <v>2.457314155158612</v>
      </c>
      <c r="N54">
        <f>STDEV(H50:H57)</f>
        <v>1.8554456530517338</v>
      </c>
      <c r="O54">
        <f>STDEV(I50:I57)</f>
        <v>1.7509181265022882</v>
      </c>
      <c r="Q54" t="s">
        <v>143</v>
      </c>
      <c r="R54" s="85">
        <f>MAX(F50:F57)-QUARTILE(F50:F57,3)</f>
        <v>2.0750000000000002</v>
      </c>
      <c r="S54" s="86">
        <f>MAX(G50:G57)-QUARTILE(G50:G57,3)</f>
        <v>4.6499999999999986</v>
      </c>
      <c r="T54" s="86">
        <f>MAX(H50:H57)-QUARTILE(H50:H57,3)</f>
        <v>1.2249999999999996</v>
      </c>
      <c r="U54" s="87">
        <f>MAX(I50:I57)-QUARTILE(I50:I57,3)</f>
        <v>1.7750000000000004</v>
      </c>
    </row>
    <row r="55" spans="6:27" x14ac:dyDescent="0.25">
      <c r="F55" s="36">
        <v>1.9</v>
      </c>
      <c r="G55" s="37">
        <v>6.9</v>
      </c>
      <c r="H55" s="37">
        <v>4.7</v>
      </c>
      <c r="I55" s="38">
        <v>5</v>
      </c>
      <c r="K55" t="s">
        <v>266</v>
      </c>
      <c r="L55">
        <f>VAR(F50:F57)</f>
        <v>3.5155357142857082</v>
      </c>
      <c r="M55">
        <f>VAR(G50:G57)</f>
        <v>6.0383928571428829</v>
      </c>
      <c r="N55">
        <f>VAR(H50:H57)</f>
        <v>3.442678571428575</v>
      </c>
      <c r="O55">
        <f>VAR(I50:I57)</f>
        <v>3.0657142857142827</v>
      </c>
    </row>
    <row r="56" spans="6:27" x14ac:dyDescent="0.25">
      <c r="F56" s="36">
        <v>2.4</v>
      </c>
      <c r="G56" s="37">
        <v>4.3</v>
      </c>
      <c r="H56" s="37">
        <v>6.2</v>
      </c>
      <c r="I56" s="38">
        <v>4.8</v>
      </c>
      <c r="K56" t="s">
        <v>267</v>
      </c>
      <c r="L56">
        <f>KURT(F50:F57)</f>
        <v>-0.4045340812444369</v>
      </c>
      <c r="M56">
        <f>KURT(G50:G57)</f>
        <v>3.0578382857433644</v>
      </c>
      <c r="N56">
        <f>KURT(H50:H57)</f>
        <v>-1.0930986811307872</v>
      </c>
      <c r="O56">
        <f>KURT(I50:I57)</f>
        <v>0.91332955219576828</v>
      </c>
    </row>
    <row r="57" spans="6:27" x14ac:dyDescent="0.25">
      <c r="F57" s="39">
        <v>5.2</v>
      </c>
      <c r="G57" s="40">
        <v>5.3</v>
      </c>
      <c r="H57" s="40">
        <v>1.9</v>
      </c>
      <c r="I57" s="41">
        <v>3.7</v>
      </c>
      <c r="K57" t="s">
        <v>268</v>
      </c>
      <c r="L57">
        <f>SKEW(F50:F57)</f>
        <v>0.70490998581837672</v>
      </c>
      <c r="M57">
        <f>SKEW(G50:G57)</f>
        <v>1.6341585707701902</v>
      </c>
      <c r="N57">
        <f>SKEW(H50:H57)</f>
        <v>1.5283271647038523E-2</v>
      </c>
      <c r="O57">
        <f>SKEW(I50:I57)</f>
        <v>-0.65661197650595926</v>
      </c>
    </row>
    <row r="58" spans="6:27" x14ac:dyDescent="0.25">
      <c r="F58" t="s">
        <v>48</v>
      </c>
      <c r="G58">
        <f>AVERAGE(G50:G57)</f>
        <v>6.3874999999999984</v>
      </c>
      <c r="K58" t="s">
        <v>269</v>
      </c>
      <c r="L58">
        <f>L59-L60</f>
        <v>5.5</v>
      </c>
      <c r="M58">
        <f>M59-M60</f>
        <v>7.4999999999999991</v>
      </c>
      <c r="N58">
        <f>N59-N60</f>
        <v>5.0999999999999996</v>
      </c>
      <c r="O58">
        <f>O59-O60</f>
        <v>5.8000000000000007</v>
      </c>
    </row>
    <row r="59" spans="6:27" x14ac:dyDescent="0.25">
      <c r="F59" t="s">
        <v>49</v>
      </c>
      <c r="G59">
        <f>STDEV(G50:G57)</f>
        <v>2.457314155158612</v>
      </c>
      <c r="K59" t="s">
        <v>270</v>
      </c>
      <c r="L59">
        <f>MAX(F50:F57)</f>
        <v>7.4</v>
      </c>
      <c r="M59">
        <f>MAX(G50:G57)</f>
        <v>11.7</v>
      </c>
      <c r="N59">
        <f>MAX(H50:H57)</f>
        <v>6.3</v>
      </c>
      <c r="O59">
        <f>MAX(I50:I57)</f>
        <v>6.9</v>
      </c>
    </row>
    <row r="60" spans="6:27" x14ac:dyDescent="0.25">
      <c r="F60" t="s">
        <v>215</v>
      </c>
      <c r="G60">
        <f>STANDARDIZE(G54,G58,G59)</f>
        <v>2.1619132372014906</v>
      </c>
      <c r="K60" t="s">
        <v>271</v>
      </c>
      <c r="L60">
        <f>MIN(F50:F57)</f>
        <v>1.9</v>
      </c>
      <c r="M60">
        <f>MIN(G50:G57)</f>
        <v>4.2</v>
      </c>
      <c r="N60">
        <f>MIN(H50:H57)</f>
        <v>1.2</v>
      </c>
      <c r="O60">
        <f>MIN(I50:I57)</f>
        <v>1.1000000000000001</v>
      </c>
    </row>
    <row r="61" spans="6:27" x14ac:dyDescent="0.25">
      <c r="K61" t="s">
        <v>177</v>
      </c>
      <c r="L61">
        <f>SUM(F50:F57)</f>
        <v>32.700000000000003</v>
      </c>
      <c r="M61">
        <f>SUM(G50:G57)</f>
        <v>51.099999999999987</v>
      </c>
      <c r="N61">
        <f>SUM(H50:H57)</f>
        <v>30.9</v>
      </c>
      <c r="O61">
        <f>SUM(I50:I57)</f>
        <v>34.800000000000004</v>
      </c>
    </row>
    <row r="62" spans="6:27" x14ac:dyDescent="0.25">
      <c r="K62" t="s">
        <v>100</v>
      </c>
      <c r="L62">
        <f>COUNT(F50:F57)</f>
        <v>8</v>
      </c>
      <c r="M62">
        <f>COUNT(G50:G57)</f>
        <v>8</v>
      </c>
      <c r="N62">
        <f>COUNT(H50:H57)</f>
        <v>8</v>
      </c>
      <c r="O62">
        <f>COUNT(I50:I57)</f>
        <v>8</v>
      </c>
    </row>
    <row r="63" spans="6:27" x14ac:dyDescent="0.25">
      <c r="K63" t="s">
        <v>272</v>
      </c>
      <c r="L63">
        <f>GEOMEAN(F50:F57)</f>
        <v>3.726723849531806</v>
      </c>
      <c r="M63">
        <f>GEOMEAN(G50:G57)</f>
        <v>6.0475338456797187</v>
      </c>
      <c r="N63">
        <f>GEOMEAN(H50:H57)</f>
        <v>3.4013878998327955</v>
      </c>
      <c r="O63">
        <f>GEOMEAN(I50:I57)</f>
        <v>3.8987239899207062</v>
      </c>
    </row>
    <row r="64" spans="6:27" x14ac:dyDescent="0.25">
      <c r="K64" t="s">
        <v>273</v>
      </c>
      <c r="L64">
        <f>HARMEAN(F50:F57)</f>
        <v>3.4016818258794674</v>
      </c>
      <c r="M64">
        <f>HARMEAN(G50:G57)</f>
        <v>5.7725248438883714</v>
      </c>
      <c r="N64">
        <f>HARMEAN(H50:H57)</f>
        <v>2.8996608276647757</v>
      </c>
      <c r="O64">
        <f>HARMEAN(I50:I57)</f>
        <v>3.2571872211392998</v>
      </c>
    </row>
    <row r="65" spans="11:15" x14ac:dyDescent="0.25">
      <c r="K65" t="s">
        <v>274</v>
      </c>
      <c r="L65">
        <f>AVEDEV(F50:F57)</f>
        <v>1.5093749999999999</v>
      </c>
      <c r="M65">
        <f>AVEDEV(G50:G57)</f>
        <v>1.7343749999999996</v>
      </c>
      <c r="N65">
        <f>AVEDEV(H50:H57)</f>
        <v>1.4624999999999999</v>
      </c>
      <c r="O65">
        <f>AVEDEV(I50:I57)</f>
        <v>1.3124999999999998</v>
      </c>
    </row>
    <row r="66" spans="11:15" x14ac:dyDescent="0.25">
      <c r="K66" t="s">
        <v>275</v>
      </c>
      <c r="L66">
        <f>[1]!MAD(F50:F57)</f>
        <v>1.4</v>
      </c>
      <c r="M66">
        <f>[1]!MAD(G50:G57)</f>
        <v>1.3000000000000003</v>
      </c>
      <c r="N66">
        <f>[1]!MAD(H50:H57)</f>
        <v>1.4499999999999997</v>
      </c>
      <c r="O66">
        <f>[1]!MAD(I50:I57)</f>
        <v>0.89999999999999991</v>
      </c>
    </row>
    <row r="67" spans="11:15" x14ac:dyDescent="0.25">
      <c r="K67" s="40" t="s">
        <v>276</v>
      </c>
      <c r="L67" s="40">
        <f>[1]!IQR(F50:F57)</f>
        <v>2.4750000000000001</v>
      </c>
      <c r="M67" s="40">
        <f>[1]!IQR(G50:G57)</f>
        <v>2.3000000000000007</v>
      </c>
      <c r="N67" s="40">
        <f>[1]!IQR(H50:H57)</f>
        <v>2.4250000000000003</v>
      </c>
      <c r="O67" s="40">
        <f>[1]!IQR(I50:I57)</f>
        <v>1.5999999999999996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/>
  <dimension ref="A1:V35"/>
  <sheetViews>
    <sheetView zoomScaleNormal="100" workbookViewId="0"/>
  </sheetViews>
  <sheetFormatPr defaultRowHeight="15" x14ac:dyDescent="0.25"/>
  <sheetData>
    <row r="1" spans="1:22" ht="14.45" x14ac:dyDescent="0.35">
      <c r="A1" s="42" t="s">
        <v>252</v>
      </c>
      <c r="F1" t="s">
        <v>253</v>
      </c>
      <c r="K1" t="s">
        <v>254</v>
      </c>
      <c r="Q1" t="s">
        <v>255</v>
      </c>
    </row>
    <row r="3" spans="1:22" ht="14.45" x14ac:dyDescent="0.35">
      <c r="B3" s="47" t="s">
        <v>144</v>
      </c>
      <c r="C3" s="47" t="s">
        <v>145</v>
      </c>
      <c r="D3" s="47" t="s">
        <v>146</v>
      </c>
      <c r="F3" s="47" t="str">
        <f t="array" ref="F3:I11">[1]!ExtractCol(A3:D35,D3)</f>
        <v>clay</v>
      </c>
      <c r="G3" s="47" t="str">
        <v>loam</v>
      </c>
      <c r="H3" s="47" t="str">
        <v>salty</v>
      </c>
      <c r="I3" s="47" t="str">
        <v>sandy</v>
      </c>
      <c r="L3" s="143" t="str">
        <f>F3</f>
        <v>clay</v>
      </c>
      <c r="M3" s="143" t="str">
        <f>G3</f>
        <v>loam</v>
      </c>
      <c r="N3" s="143" t="str">
        <f>H3</f>
        <v>salty</v>
      </c>
      <c r="O3" s="143" t="str">
        <f>I3</f>
        <v>sandy</v>
      </c>
      <c r="Q3" s="144"/>
      <c r="R3" s="144" t="str">
        <f>F3</f>
        <v>clay</v>
      </c>
      <c r="S3" s="144" t="str">
        <f>G3</f>
        <v>loam</v>
      </c>
      <c r="T3" s="144" t="str">
        <f>H3</f>
        <v>salty</v>
      </c>
      <c r="U3" s="144" t="str">
        <f>I3</f>
        <v>sandy</v>
      </c>
    </row>
    <row r="4" spans="1:22" ht="14.45" x14ac:dyDescent="0.35">
      <c r="A4" t="s">
        <v>158</v>
      </c>
      <c r="B4" s="75">
        <v>76.7</v>
      </c>
      <c r="C4" s="100">
        <v>29.5</v>
      </c>
      <c r="D4" s="101">
        <v>7.5</v>
      </c>
      <c r="E4" s="126">
        <v>1</v>
      </c>
      <c r="F4" s="138">
        <v>3.1</v>
      </c>
      <c r="G4" s="139">
        <v>7.5</v>
      </c>
      <c r="H4" s="139">
        <v>2.9</v>
      </c>
      <c r="I4" s="140">
        <v>5.5</v>
      </c>
      <c r="K4" t="s">
        <v>139</v>
      </c>
      <c r="L4" s="130">
        <f>MIN(F4:F11)</f>
        <v>1.9</v>
      </c>
      <c r="M4" s="141">
        <f>MIN(G4:G11)</f>
        <v>4.2</v>
      </c>
      <c r="N4" s="141">
        <f>MIN(H4:H11)</f>
        <v>1.2</v>
      </c>
      <c r="O4" s="131">
        <f>MIN(I4:I11)</f>
        <v>1.1000000000000001</v>
      </c>
      <c r="Q4" s="32" t="s">
        <v>48</v>
      </c>
      <c r="R4">
        <f>AVERAGE(F4:F11)</f>
        <v>4.0875000000000004</v>
      </c>
      <c r="S4">
        <f>AVERAGE(G4:G11)</f>
        <v>6.3874999999999984</v>
      </c>
      <c r="T4">
        <f>AVERAGE(H4:H11)</f>
        <v>3.8624999999999998</v>
      </c>
      <c r="U4">
        <f>AVERAGE(I4:I11)</f>
        <v>4.3500000000000005</v>
      </c>
    </row>
    <row r="5" spans="1:22" ht="14.45" x14ac:dyDescent="0.35">
      <c r="A5" t="s">
        <v>158</v>
      </c>
      <c r="B5" s="102">
        <v>60.5</v>
      </c>
      <c r="C5" s="103">
        <v>32.1</v>
      </c>
      <c r="D5" s="104">
        <v>6.3</v>
      </c>
      <c r="E5" s="122">
        <f>E4+1</f>
        <v>2</v>
      </c>
      <c r="F5" s="36">
        <v>4</v>
      </c>
      <c r="G5" s="37">
        <v>6.3</v>
      </c>
      <c r="H5" s="37">
        <v>1.2</v>
      </c>
      <c r="I5" s="38">
        <v>6.9</v>
      </c>
      <c r="K5" t="s">
        <v>140</v>
      </c>
      <c r="L5" s="83">
        <f>QUARTILE(F4:F11,1)-L4</f>
        <v>0.95000000000000018</v>
      </c>
      <c r="M5" s="37">
        <f>QUARTILE(G4:G11,1)-M4</f>
        <v>0.54999999999999982</v>
      </c>
      <c r="N5" s="37">
        <f>QUARTILE(H4:H11,1)-N4</f>
        <v>1.45</v>
      </c>
      <c r="O5" s="84">
        <f>QUARTILE(I4:I11,1)-O4</f>
        <v>2.4250000000000003</v>
      </c>
      <c r="Q5" s="32" t="s">
        <v>49</v>
      </c>
      <c r="R5">
        <f>STDEV(F4:F11)</f>
        <v>1.8749761903250153</v>
      </c>
      <c r="S5">
        <f>STDEV(G4:G11)</f>
        <v>2.457314155158612</v>
      </c>
      <c r="T5">
        <f>STDEV(H4:H11)</f>
        <v>1.8554456530517338</v>
      </c>
      <c r="U5">
        <f>STDEV(I4:I11)</f>
        <v>1.7509181265022882</v>
      </c>
    </row>
    <row r="6" spans="1:22" ht="14.45" x14ac:dyDescent="0.35">
      <c r="A6" t="s">
        <v>158</v>
      </c>
      <c r="B6" s="102">
        <v>96.1</v>
      </c>
      <c r="C6" s="103">
        <v>40.700000000000003</v>
      </c>
      <c r="D6" s="104">
        <v>4.2</v>
      </c>
      <c r="E6" s="122">
        <f t="shared" ref="E6:E11" si="0">E5+1</f>
        <v>3</v>
      </c>
      <c r="F6" s="36">
        <v>5.7</v>
      </c>
      <c r="G6" s="37">
        <v>4.2</v>
      </c>
      <c r="H6" s="37">
        <v>4.0999999999999996</v>
      </c>
      <c r="I6" s="38">
        <v>4.8</v>
      </c>
      <c r="K6" t="s">
        <v>141</v>
      </c>
      <c r="L6" s="83">
        <f>MEDIAN(F4:F11)-QUARTILE(F4:F11,1)</f>
        <v>0.69999999999999973</v>
      </c>
      <c r="M6" s="37">
        <f>MEDIAN(G4:G11)-QUARTILE(G4:G11,1)</f>
        <v>1.0499999999999998</v>
      </c>
      <c r="N6" s="37">
        <f>MEDIAN(H4:H11)-QUARTILE(H4:H11,1)</f>
        <v>1.1999999999999997</v>
      </c>
      <c r="O6" s="84">
        <f>MEDIAN(I4:I11)-QUARTILE(I4:I11,1)</f>
        <v>1.2749999999999995</v>
      </c>
      <c r="Q6" s="145" t="s">
        <v>256</v>
      </c>
      <c r="R6" s="139">
        <f>COUNTIF(R9:R16,"&gt;=2.5")+COUNTIF(R9:R16,"&lt;=-2.5")</f>
        <v>0</v>
      </c>
      <c r="S6" s="139">
        <f>COUNTIF(S9:S16,"&gt;=2.5")+COUNTIF(S9:S16,"&lt;=-2.5")</f>
        <v>0</v>
      </c>
      <c r="T6" s="139">
        <f>COUNTIF(T9:T16,"&gt;=2.5")+COUNTIF(T9:T16,"&lt;=-2.5")</f>
        <v>0</v>
      </c>
      <c r="U6" s="139">
        <f>COUNTIF(U9:U16,"&gt;=2.5")+COUNTIF(U9:U16,"&lt;=-2.5")</f>
        <v>0</v>
      </c>
    </row>
    <row r="7" spans="1:22" ht="14.45" x14ac:dyDescent="0.35">
      <c r="A7" t="s">
        <v>158</v>
      </c>
      <c r="B7" s="102">
        <v>88.1</v>
      </c>
      <c r="C7" s="103">
        <v>45.1</v>
      </c>
      <c r="D7" s="104">
        <v>4.9000000000000004</v>
      </c>
      <c r="E7" s="122">
        <f t="shared" si="0"/>
        <v>4</v>
      </c>
      <c r="F7" s="36">
        <v>3</v>
      </c>
      <c r="G7" s="37">
        <v>4.9000000000000004</v>
      </c>
      <c r="H7" s="37">
        <v>6.3</v>
      </c>
      <c r="I7" s="38">
        <v>3</v>
      </c>
      <c r="K7" t="s">
        <v>142</v>
      </c>
      <c r="L7" s="83">
        <f>QUARTILE(F4:F11,3)-MEDIAN(F4:F11)</f>
        <v>1.7750000000000004</v>
      </c>
      <c r="M7" s="37">
        <f>QUARTILE(G4:G11,3)-MEDIAN(G4:G11)</f>
        <v>1.2500000000000009</v>
      </c>
      <c r="N7" s="37">
        <f>QUARTILE(H4:H11,3)-MEDIAN(H4:H11)</f>
        <v>1.2250000000000005</v>
      </c>
      <c r="O7" s="84">
        <f>QUARTILE(I4:I11,3)-MEDIAN(I4:I11)</f>
        <v>0.32500000000000018</v>
      </c>
      <c r="Q7" s="32" t="s">
        <v>257</v>
      </c>
      <c r="R7">
        <f>COUNTIF(R9:R16,"")</f>
        <v>0</v>
      </c>
      <c r="S7">
        <f>COUNTIF(S9:S16,"")</f>
        <v>0</v>
      </c>
      <c r="T7">
        <f>COUNTIF(T9:T16,"")</f>
        <v>0</v>
      </c>
      <c r="U7">
        <f>COUNTIF(U9:U16,"")</f>
        <v>0</v>
      </c>
    </row>
    <row r="8" spans="1:22" ht="14.45" x14ac:dyDescent="0.35">
      <c r="A8" t="s">
        <v>158</v>
      </c>
      <c r="B8" s="102">
        <v>50.2</v>
      </c>
      <c r="C8" s="103">
        <v>34.1</v>
      </c>
      <c r="D8" s="104">
        <v>11.7</v>
      </c>
      <c r="E8" s="122">
        <f t="shared" si="0"/>
        <v>5</v>
      </c>
      <c r="F8" s="36">
        <v>7.4</v>
      </c>
      <c r="G8" s="37">
        <v>11.7</v>
      </c>
      <c r="H8" s="37">
        <v>3.6</v>
      </c>
      <c r="I8" s="38">
        <v>1.1000000000000001</v>
      </c>
      <c r="K8" t="s">
        <v>143</v>
      </c>
      <c r="L8" s="85">
        <f>MAX(F4:F11)-QUARTILE(F4:F11,3)</f>
        <v>2.0750000000000002</v>
      </c>
      <c r="M8" s="86">
        <f>MAX(G4:G11)-QUARTILE(G4:G11,3)</f>
        <v>4.6499999999999986</v>
      </c>
      <c r="N8" s="86">
        <f>MAX(H4:H11)-QUARTILE(H4:H11,3)</f>
        <v>1.2249999999999996</v>
      </c>
      <c r="O8" s="87">
        <f>MAX(I4:I11)-QUARTILE(I4:I11,3)</f>
        <v>1.7750000000000004</v>
      </c>
      <c r="Q8" s="74" t="s">
        <v>258</v>
      </c>
      <c r="R8" s="40">
        <f>COUNTIF(R9:R16," ******* ")</f>
        <v>0</v>
      </c>
      <c r="S8" s="40">
        <f>COUNTIF(S9:S16," ******* ")</f>
        <v>0</v>
      </c>
      <c r="T8" s="40">
        <f>COUNTIF(T9:T16," ******* ")</f>
        <v>0</v>
      </c>
      <c r="U8" s="40">
        <f>COUNTIF(U9:U16," ******* ")</f>
        <v>0</v>
      </c>
    </row>
    <row r="9" spans="1:22" ht="14.45" x14ac:dyDescent="0.35">
      <c r="A9" t="s">
        <v>158</v>
      </c>
      <c r="B9" s="102">
        <v>55</v>
      </c>
      <c r="C9" s="103">
        <v>31.1</v>
      </c>
      <c r="D9" s="104">
        <v>6.9</v>
      </c>
      <c r="E9" s="122">
        <f t="shared" si="0"/>
        <v>6</v>
      </c>
      <c r="F9" s="36">
        <v>1.9</v>
      </c>
      <c r="G9" s="37">
        <v>6.9</v>
      </c>
      <c r="H9" s="37">
        <v>4.7</v>
      </c>
      <c r="I9" s="38">
        <v>5</v>
      </c>
      <c r="Q9" s="32">
        <v>1</v>
      </c>
      <c r="R9">
        <f>IF(F4="","",IF(ISNUMBER(F4),STANDARDIZE(F4,R$4,R$5)," ******* "))</f>
        <v>-0.52667335462474507</v>
      </c>
      <c r="S9">
        <f t="shared" ref="S9:U16" si="1">IF(G4="","",IF(ISNUMBER(G4),STANDARDIZE(G4,S$4,S$5)," ******* "))</f>
        <v>0.45273006614337158</v>
      </c>
      <c r="T9">
        <f t="shared" si="1"/>
        <v>-0.51874329944233799</v>
      </c>
      <c r="U9">
        <f t="shared" si="1"/>
        <v>0.65679827205700958</v>
      </c>
      <c r="V9" t="str">
        <f>IF(COUNTIF(R9:U9,"&gt;=2.5")+COUNTIF(R9:U9,"&lt;=-2.5")&gt;0,"*","")</f>
        <v/>
      </c>
    </row>
    <row r="10" spans="1:22" ht="14.45" x14ac:dyDescent="0.35">
      <c r="A10" t="s">
        <v>158</v>
      </c>
      <c r="B10" s="102">
        <v>65.400000000000006</v>
      </c>
      <c r="C10" s="103">
        <v>21.6</v>
      </c>
      <c r="D10" s="104">
        <v>4.3</v>
      </c>
      <c r="E10" s="122">
        <f t="shared" si="0"/>
        <v>7</v>
      </c>
      <c r="F10" s="36">
        <v>2.4</v>
      </c>
      <c r="G10" s="37">
        <v>4.3</v>
      </c>
      <c r="H10" s="37">
        <v>6.2</v>
      </c>
      <c r="I10" s="38">
        <v>4.8</v>
      </c>
      <c r="Q10" s="32">
        <f>Q9+1</f>
        <v>2</v>
      </c>
      <c r="R10">
        <f t="shared" ref="R10:R16" si="2">IF(F5="","",IF(ISNUMBER(F5),STANDARDIZE(F5,R$4,R$5)," ******* "))</f>
        <v>-4.6667259270547205E-2</v>
      </c>
      <c r="S10">
        <f t="shared" si="1"/>
        <v>-3.5607982730376908E-2</v>
      </c>
      <c r="T10">
        <f t="shared" si="1"/>
        <v>-1.434965230924909</v>
      </c>
      <c r="U10">
        <f t="shared" si="1"/>
        <v>1.4563787771698915</v>
      </c>
      <c r="V10" t="str">
        <f t="shared" ref="V10:V16" si="3">IF(COUNTIF(R10:U10,"&gt;=2.5")+COUNTIF(R10:U10,"&lt;=-2.5")&gt;0,"*","")</f>
        <v/>
      </c>
    </row>
    <row r="11" spans="1:22" ht="14.45" x14ac:dyDescent="0.35">
      <c r="A11" t="s">
        <v>158</v>
      </c>
      <c r="B11" s="102">
        <v>65.7</v>
      </c>
      <c r="C11" s="103">
        <v>27.7</v>
      </c>
      <c r="D11" s="104">
        <v>5.3</v>
      </c>
      <c r="E11" s="122">
        <f t="shared" si="0"/>
        <v>8</v>
      </c>
      <c r="F11" s="39">
        <v>5.2</v>
      </c>
      <c r="G11" s="40">
        <v>5.3</v>
      </c>
      <c r="H11" s="40">
        <v>1.9</v>
      </c>
      <c r="I11" s="41">
        <v>3.7</v>
      </c>
      <c r="Q11" s="32">
        <f t="shared" ref="Q11:Q16" si="4">Q10+1</f>
        <v>3</v>
      </c>
      <c r="R11">
        <f t="shared" si="2"/>
        <v>0.86001092084293784</v>
      </c>
      <c r="S11">
        <f t="shared" si="1"/>
        <v>-0.89019956825943647</v>
      </c>
      <c r="T11">
        <f t="shared" si="1"/>
        <v>0.1280015933688885</v>
      </c>
      <c r="U11">
        <f t="shared" si="1"/>
        <v>0.25700801950056867</v>
      </c>
      <c r="V11" t="str">
        <f t="shared" si="3"/>
        <v/>
      </c>
    </row>
    <row r="12" spans="1:22" ht="14.45" x14ac:dyDescent="0.35">
      <c r="A12" t="s">
        <v>159</v>
      </c>
      <c r="B12" s="102">
        <v>67.3</v>
      </c>
      <c r="C12" s="103">
        <v>48.3</v>
      </c>
      <c r="D12" s="104">
        <v>5.5</v>
      </c>
      <c r="Q12" s="32">
        <f t="shared" si="4"/>
        <v>4</v>
      </c>
      <c r="R12">
        <f t="shared" si="2"/>
        <v>-0.58000736521965601</v>
      </c>
      <c r="S12">
        <f t="shared" si="1"/>
        <v>-0.60533570641641654</v>
      </c>
      <c r="T12">
        <f t="shared" si="1"/>
        <v>1.3137005635228041</v>
      </c>
      <c r="U12">
        <f t="shared" si="1"/>
        <v>-0.77102405850170763</v>
      </c>
      <c r="V12" t="str">
        <f t="shared" si="3"/>
        <v/>
      </c>
    </row>
    <row r="13" spans="1:22" ht="14.45" x14ac:dyDescent="0.35">
      <c r="A13" t="s">
        <v>159</v>
      </c>
      <c r="B13" s="102">
        <v>61.3</v>
      </c>
      <c r="C13" s="103">
        <v>28.9</v>
      </c>
      <c r="D13" s="104">
        <v>6.9</v>
      </c>
      <c r="Q13" s="32">
        <f t="shared" si="4"/>
        <v>5</v>
      </c>
      <c r="R13">
        <f t="shared" si="2"/>
        <v>1.7666891009564227</v>
      </c>
      <c r="S13">
        <f t="shared" si="1"/>
        <v>2.1619132372014906</v>
      </c>
      <c r="T13">
        <f t="shared" si="1"/>
        <v>-0.14147544530245568</v>
      </c>
      <c r="U13">
        <f t="shared" si="1"/>
        <v>-1.8561690297263327</v>
      </c>
      <c r="V13" t="str">
        <f t="shared" si="3"/>
        <v/>
      </c>
    </row>
    <row r="14" spans="1:22" ht="14.45" x14ac:dyDescent="0.35">
      <c r="A14" t="s">
        <v>159</v>
      </c>
      <c r="B14" s="102">
        <v>58.2</v>
      </c>
      <c r="C14" s="103">
        <v>42.5</v>
      </c>
      <c r="D14" s="104">
        <v>4.8</v>
      </c>
      <c r="Q14" s="32">
        <f t="shared" si="4"/>
        <v>6</v>
      </c>
      <c r="R14">
        <f t="shared" si="2"/>
        <v>-1.1666814817636757</v>
      </c>
      <c r="S14">
        <f t="shared" si="1"/>
        <v>0.2085610417064975</v>
      </c>
      <c r="T14">
        <f t="shared" si="1"/>
        <v>0.45137403977450213</v>
      </c>
      <c r="U14">
        <f t="shared" si="1"/>
        <v>0.37123380594526617</v>
      </c>
      <c r="V14" t="str">
        <f t="shared" si="3"/>
        <v/>
      </c>
    </row>
    <row r="15" spans="1:22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  <c r="Q15" s="32">
        <f t="shared" si="4"/>
        <v>7</v>
      </c>
      <c r="R15">
        <f t="shared" si="2"/>
        <v>-0.90001142878912133</v>
      </c>
      <c r="S15">
        <f t="shared" si="1"/>
        <v>-0.84950473085329092</v>
      </c>
      <c r="T15">
        <f t="shared" si="1"/>
        <v>1.2598051557885355</v>
      </c>
      <c r="U15">
        <f t="shared" si="1"/>
        <v>0.25700801950056867</v>
      </c>
      <c r="V15" t="str">
        <f t="shared" si="3"/>
        <v/>
      </c>
    </row>
    <row r="16" spans="1:22" ht="14.45" x14ac:dyDescent="0.35">
      <c r="A16" t="s">
        <v>159</v>
      </c>
      <c r="B16" s="102">
        <v>66.900000000000006</v>
      </c>
      <c r="C16" s="103">
        <v>23.9</v>
      </c>
      <c r="D16" s="104">
        <v>1.1000000000000001</v>
      </c>
      <c r="Q16" s="74">
        <f t="shared" si="4"/>
        <v>8</v>
      </c>
      <c r="R16" s="40">
        <f t="shared" si="2"/>
        <v>0.59334086786838347</v>
      </c>
      <c r="S16" s="40">
        <f t="shared" si="1"/>
        <v>-0.44255635679183392</v>
      </c>
      <c r="T16" s="40">
        <f t="shared" si="1"/>
        <v>-1.0576973767850268</v>
      </c>
      <c r="U16" s="40">
        <f t="shared" si="1"/>
        <v>-0.37123380594526667</v>
      </c>
      <c r="V16" t="str">
        <f t="shared" si="3"/>
        <v/>
      </c>
    </row>
    <row r="17" spans="1:4" ht="14.45" x14ac:dyDescent="0.35">
      <c r="A17" t="s">
        <v>159</v>
      </c>
      <c r="B17" s="102">
        <v>55.4</v>
      </c>
      <c r="C17" s="103">
        <v>29.1</v>
      </c>
      <c r="D17" s="104">
        <v>5</v>
      </c>
    </row>
    <row r="18" spans="1:4" ht="14.45" x14ac:dyDescent="0.35">
      <c r="A18" t="s">
        <v>159</v>
      </c>
      <c r="B18" s="102">
        <v>50.5</v>
      </c>
      <c r="C18" s="103">
        <v>18</v>
      </c>
      <c r="D18" s="104">
        <v>4.8</v>
      </c>
    </row>
    <row r="19" spans="1:4" ht="14.45" x14ac:dyDescent="0.35">
      <c r="A19" t="s">
        <v>159</v>
      </c>
      <c r="B19" s="102">
        <v>64.099999999999994</v>
      </c>
      <c r="C19" s="103">
        <v>14.5</v>
      </c>
      <c r="D19" s="104">
        <v>3.7</v>
      </c>
    </row>
    <row r="20" spans="1:4" ht="14.45" x14ac:dyDescent="0.35">
      <c r="A20" t="s">
        <v>161</v>
      </c>
      <c r="B20" s="102">
        <v>62.8</v>
      </c>
      <c r="C20" s="103">
        <v>25.9</v>
      </c>
      <c r="D20" s="104">
        <v>2.9</v>
      </c>
    </row>
    <row r="21" spans="1:4" ht="14.45" x14ac:dyDescent="0.35">
      <c r="A21" t="s">
        <v>161</v>
      </c>
      <c r="B21" s="102">
        <v>45</v>
      </c>
      <c r="C21" s="103">
        <v>15.9</v>
      </c>
      <c r="D21" s="104">
        <v>1.2</v>
      </c>
    </row>
    <row r="22" spans="1:4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</row>
    <row r="23" spans="1:4" ht="14.45" x14ac:dyDescent="0.35">
      <c r="A23" t="s">
        <v>161</v>
      </c>
      <c r="B23" s="102">
        <v>75.599999999999994</v>
      </c>
      <c r="C23" s="103">
        <v>27.7</v>
      </c>
      <c r="D23" s="104">
        <v>6.3</v>
      </c>
    </row>
    <row r="24" spans="1:4" ht="14.45" x14ac:dyDescent="0.35">
      <c r="A24" t="s">
        <v>161</v>
      </c>
      <c r="B24" s="102">
        <v>46.6</v>
      </c>
      <c r="C24" s="103">
        <v>46.9</v>
      </c>
      <c r="D24" s="104">
        <v>3.6</v>
      </c>
    </row>
    <row r="25" spans="1:4" ht="14.45" x14ac:dyDescent="0.35">
      <c r="A25" t="s">
        <v>161</v>
      </c>
      <c r="B25" s="102">
        <v>50.6</v>
      </c>
      <c r="C25" s="103">
        <v>29.7</v>
      </c>
      <c r="D25" s="104">
        <v>4.7</v>
      </c>
    </row>
    <row r="26" spans="1:4" ht="14.45" x14ac:dyDescent="0.35">
      <c r="A26" t="s">
        <v>161</v>
      </c>
      <c r="B26" s="102">
        <v>45.7</v>
      </c>
      <c r="C26" s="103">
        <v>27.6</v>
      </c>
      <c r="D26" s="104">
        <v>6.2</v>
      </c>
    </row>
    <row r="27" spans="1:4" ht="14.45" x14ac:dyDescent="0.35">
      <c r="A27" t="s">
        <v>161</v>
      </c>
      <c r="B27" s="102">
        <v>68.400000000000006</v>
      </c>
      <c r="C27" s="103">
        <v>35.299999999999997</v>
      </c>
      <c r="D27" s="104">
        <v>1.9</v>
      </c>
    </row>
    <row r="28" spans="1:4" ht="14.45" x14ac:dyDescent="0.35">
      <c r="A28" t="s">
        <v>160</v>
      </c>
      <c r="B28" s="102">
        <v>52.5</v>
      </c>
      <c r="C28" s="103">
        <v>39</v>
      </c>
      <c r="D28" s="104">
        <v>3.1</v>
      </c>
    </row>
    <row r="29" spans="1:4" ht="14.45" x14ac:dyDescent="0.35">
      <c r="A29" t="s">
        <v>160</v>
      </c>
      <c r="B29" s="102">
        <v>80</v>
      </c>
      <c r="C29" s="103">
        <v>54.2</v>
      </c>
      <c r="D29" s="104">
        <v>4</v>
      </c>
    </row>
    <row r="30" spans="1:4" ht="14.45" x14ac:dyDescent="0.35">
      <c r="A30" t="s">
        <v>160</v>
      </c>
      <c r="B30" s="102">
        <v>54.7</v>
      </c>
      <c r="C30" s="103">
        <v>32.1</v>
      </c>
      <c r="D30" s="104">
        <v>5.7</v>
      </c>
    </row>
    <row r="31" spans="1:4" ht="14.45" x14ac:dyDescent="0.35">
      <c r="A31" t="s">
        <v>160</v>
      </c>
      <c r="B31" s="102">
        <v>63.5</v>
      </c>
      <c r="C31" s="103">
        <v>25.6</v>
      </c>
      <c r="D31" s="104">
        <v>3</v>
      </c>
    </row>
    <row r="32" spans="1:4" x14ac:dyDescent="0.25">
      <c r="A32" t="s">
        <v>160</v>
      </c>
      <c r="B32" s="102">
        <v>46.3</v>
      </c>
      <c r="C32" s="103">
        <v>31.8</v>
      </c>
      <c r="D32" s="104">
        <v>7.4</v>
      </c>
    </row>
    <row r="33" spans="1:4" x14ac:dyDescent="0.25">
      <c r="A33" t="s">
        <v>160</v>
      </c>
      <c r="B33" s="102">
        <v>61.5</v>
      </c>
      <c r="C33" s="103">
        <v>16.8</v>
      </c>
      <c r="D33" s="104">
        <v>1.9</v>
      </c>
    </row>
    <row r="34" spans="1:4" x14ac:dyDescent="0.25">
      <c r="A34" t="s">
        <v>160</v>
      </c>
      <c r="B34" s="102">
        <v>62.9</v>
      </c>
      <c r="C34" s="103">
        <v>25.8</v>
      </c>
      <c r="D34" s="104">
        <v>2.4</v>
      </c>
    </row>
    <row r="35" spans="1:4" x14ac:dyDescent="0.25">
      <c r="A35" t="s">
        <v>160</v>
      </c>
      <c r="B35" s="105">
        <v>49.3</v>
      </c>
      <c r="C35" s="106">
        <v>39.4</v>
      </c>
      <c r="D35" s="107">
        <v>5.2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/>
  <dimension ref="A1:R35"/>
  <sheetViews>
    <sheetView zoomScaleNormal="100" workbookViewId="0"/>
  </sheetViews>
  <sheetFormatPr defaultRowHeight="15" x14ac:dyDescent="0.25"/>
  <sheetData>
    <row r="1" spans="1:18" ht="14.45" x14ac:dyDescent="0.35">
      <c r="A1" s="42" t="s">
        <v>280</v>
      </c>
      <c r="F1" t="s">
        <v>235</v>
      </c>
      <c r="M1" t="s">
        <v>826</v>
      </c>
    </row>
    <row r="3" spans="1:18" ht="14.45" x14ac:dyDescent="0.35">
      <c r="B3" s="47" t="s">
        <v>144</v>
      </c>
      <c r="C3" s="47" t="s">
        <v>145</v>
      </c>
      <c r="D3" s="47" t="s">
        <v>146</v>
      </c>
      <c r="F3" s="32" t="s">
        <v>228</v>
      </c>
      <c r="G3" s="32" t="s">
        <v>65</v>
      </c>
      <c r="I3" t="s">
        <v>227</v>
      </c>
      <c r="M3" s="32" t="s">
        <v>228</v>
      </c>
      <c r="R3" s="47" t="s">
        <v>228</v>
      </c>
    </row>
    <row r="4" spans="1:18" ht="14.45" x14ac:dyDescent="0.35">
      <c r="A4" t="s">
        <v>158</v>
      </c>
      <c r="B4" s="75">
        <v>76.7</v>
      </c>
      <c r="C4" s="100">
        <v>29.5</v>
      </c>
      <c r="D4" s="101">
        <v>7.5</v>
      </c>
      <c r="F4" s="130">
        <f t="array" ref="F4">MMULT(B4:D4-$I$14:$K$14,MMULT($I$9:$K$11,TRANSPOSE(B4:D4-$I$14:$K$14)))</f>
        <v>4.2863900462934961</v>
      </c>
      <c r="G4" s="131">
        <f>CHIDIST(F4,COUNT($B$4:$D$4))</f>
        <v>0.23215367620007149</v>
      </c>
      <c r="H4" s="70" t="str">
        <f>IF(G4&lt;0.001,"*","")</f>
        <v/>
      </c>
      <c r="I4" s="130">
        <f t="array" ref="I4:K6">[1]!COV(B4:D35)</f>
        <v>160.28603830645159</v>
      </c>
      <c r="J4" s="141">
        <v>25.054526209677409</v>
      </c>
      <c r="K4" s="131">
        <v>-3.5545665322580646</v>
      </c>
      <c r="M4" s="146">
        <f>[1]!MDistSq($B$4:$D$35,B4:D4)</f>
        <v>4.2863900462934961</v>
      </c>
      <c r="O4" s="53">
        <v>50</v>
      </c>
      <c r="P4" s="147">
        <v>25</v>
      </c>
      <c r="Q4" s="148">
        <v>5</v>
      </c>
      <c r="R4">
        <f>[1]!MDistSq(B4:D35,O4:Q4)</f>
        <v>1.0720428485589852</v>
      </c>
    </row>
    <row r="5" spans="1:18" ht="14.45" x14ac:dyDescent="0.35">
      <c r="A5" t="s">
        <v>158</v>
      </c>
      <c r="B5" s="102">
        <v>60.5</v>
      </c>
      <c r="C5" s="103">
        <v>32.1</v>
      </c>
      <c r="D5" s="104">
        <v>6.3</v>
      </c>
      <c r="F5" s="83">
        <f t="array" ref="F5">MMULT(B5:D5-$I$14:$K$14,MMULT($I$9:$K$11,TRANSPOSE(B5:D5-$I$14:$K$14)))</f>
        <v>0.57399516355645808</v>
      </c>
      <c r="G5" s="84">
        <f t="shared" ref="G5:G35" si="0">CHIDIST(F5,COUNT($B$4:$D$4))</f>
        <v>0.90235891305093352</v>
      </c>
      <c r="H5" s="70" t="str">
        <f t="shared" ref="H5:H35" si="1">IF(G5&lt;0.001,"*","")</f>
        <v/>
      </c>
      <c r="I5" s="83">
        <v>25.054526209677409</v>
      </c>
      <c r="J5" s="37">
        <v>95.35136088709676</v>
      </c>
      <c r="K5" s="84">
        <v>4.7206149193548388</v>
      </c>
      <c r="M5" s="49">
        <f>[1]!MDistSq($B$4:$D$35,B5:D5)</f>
        <v>0.57399516355645808</v>
      </c>
    </row>
    <row r="6" spans="1:18" ht="14.45" x14ac:dyDescent="0.35">
      <c r="A6" t="s">
        <v>158</v>
      </c>
      <c r="B6" s="102">
        <v>96.1</v>
      </c>
      <c r="C6" s="103">
        <v>40.700000000000003</v>
      </c>
      <c r="D6" s="104">
        <v>4.2</v>
      </c>
      <c r="F6" s="83">
        <f t="array" ref="F6">MMULT(B6:D6-$I$14:$K$14,MMULT($I$9:$K$11,TRANSPOSE(B6:D6-$I$14:$K$14)))</f>
        <v>7.6101620595062656</v>
      </c>
      <c r="G6" s="84">
        <f t="shared" si="0"/>
        <v>5.4794464443787202E-2</v>
      </c>
      <c r="H6" s="70" t="str">
        <f t="shared" si="1"/>
        <v/>
      </c>
      <c r="I6" s="85">
        <v>-3.5545665322580646</v>
      </c>
      <c r="J6" s="86">
        <v>4.7206149193548388</v>
      </c>
      <c r="K6" s="87">
        <v>4.670473790322581</v>
      </c>
      <c r="M6" s="49">
        <f>[1]!MDistSq($B$4:$D$35,B6:D6)</f>
        <v>7.6101620595062656</v>
      </c>
    </row>
    <row r="7" spans="1:18" ht="14.45" x14ac:dyDescent="0.35">
      <c r="A7" t="s">
        <v>158</v>
      </c>
      <c r="B7" s="102">
        <v>88.1</v>
      </c>
      <c r="C7" s="103">
        <v>45.1</v>
      </c>
      <c r="D7" s="104">
        <v>4.9000000000000004</v>
      </c>
      <c r="F7" s="83">
        <f t="array" ref="F7">MMULT(B7:D7-$I$14:$K$14,MMULT($I$9:$K$11,TRANSPOSE(B7:D7-$I$14:$K$14)))</f>
        <v>5.4417514827253575</v>
      </c>
      <c r="G7" s="84">
        <f t="shared" si="0"/>
        <v>0.14216433087945762</v>
      </c>
      <c r="H7" s="70" t="str">
        <f t="shared" si="1"/>
        <v/>
      </c>
      <c r="M7" s="49">
        <f>[1]!MDistSq($B$4:$D$35,B7:D7)</f>
        <v>5.4417514827253575</v>
      </c>
    </row>
    <row r="8" spans="1:18" ht="14.45" x14ac:dyDescent="0.35">
      <c r="A8" t="s">
        <v>158</v>
      </c>
      <c r="B8" s="102">
        <v>50.2</v>
      </c>
      <c r="C8" s="103">
        <v>34.1</v>
      </c>
      <c r="D8" s="104">
        <v>11.7</v>
      </c>
      <c r="F8" s="83">
        <f t="array" ref="F8">MMULT(B8:D8-$I$14:$K$14,MMULT($I$9:$K$11,TRANSPOSE(B8:D8-$I$14:$K$14)))</f>
        <v>10.919212775331815</v>
      </c>
      <c r="G8" s="84">
        <f t="shared" si="0"/>
        <v>1.217084056180243E-2</v>
      </c>
      <c r="H8" s="70" t="str">
        <f t="shared" si="1"/>
        <v/>
      </c>
      <c r="I8" t="s">
        <v>766</v>
      </c>
      <c r="M8" s="49">
        <f>[1]!MDistSq($B$4:$D$35,B8:D8)</f>
        <v>10.919212775331815</v>
      </c>
    </row>
    <row r="9" spans="1:18" ht="14.45" x14ac:dyDescent="0.35">
      <c r="A9" t="s">
        <v>158</v>
      </c>
      <c r="B9" s="102">
        <v>55</v>
      </c>
      <c r="C9" s="103">
        <v>31.1</v>
      </c>
      <c r="D9" s="104">
        <v>6.9</v>
      </c>
      <c r="F9" s="83">
        <f t="array" ref="F9">MMULT(B9:D9-$I$14:$K$14,MMULT($I$9:$K$11,TRANSPOSE(B9:D9-$I$14:$K$14)))</f>
        <v>1.2399427474272304</v>
      </c>
      <c r="G9" s="84">
        <f t="shared" si="0"/>
        <v>0.74344118435062079</v>
      </c>
      <c r="H9" s="70" t="str">
        <f t="shared" si="1"/>
        <v/>
      </c>
      <c r="I9" s="130">
        <f t="array" ref="I9:K11">MINVERSE(I4:K6)</f>
        <v>6.733070456658761E-3</v>
      </c>
      <c r="J9" s="141">
        <v>-2.1294307374020655E-3</v>
      </c>
      <c r="K9" s="131">
        <v>7.2766427859432244E-3</v>
      </c>
      <c r="M9" s="49">
        <f>[1]!MDistSq($B$4:$D$35,B9:D9)</f>
        <v>1.2399427474272304</v>
      </c>
    </row>
    <row r="10" spans="1:18" ht="14.45" x14ac:dyDescent="0.35">
      <c r="A10" t="s">
        <v>158</v>
      </c>
      <c r="B10" s="102">
        <v>65.400000000000006</v>
      </c>
      <c r="C10" s="103">
        <v>21.6</v>
      </c>
      <c r="D10" s="104">
        <v>4.3</v>
      </c>
      <c r="F10" s="83">
        <f t="array" ref="F10">MMULT(B10:D10-$I$14:$K$14,MMULT($I$9:$K$11,TRANSPOSE(B10:D10-$I$14:$K$14)))</f>
        <v>1.2389461412834806</v>
      </c>
      <c r="G10" s="84">
        <f t="shared" si="0"/>
        <v>0.74367936430702708</v>
      </c>
      <c r="H10" s="70" t="str">
        <f t="shared" si="1"/>
        <v/>
      </c>
      <c r="I10" s="83">
        <v>-2.1294307374020651E-3</v>
      </c>
      <c r="J10" s="37">
        <v>1.1713419776105377E-2</v>
      </c>
      <c r="K10" s="84">
        <v>-1.3459822323366075E-2</v>
      </c>
      <c r="M10" s="49">
        <f>[1]!MDistSq($B$4:$D$35,B10:D10)</f>
        <v>1.2389461412834806</v>
      </c>
    </row>
    <row r="11" spans="1:18" ht="14.45" x14ac:dyDescent="0.35">
      <c r="A11" t="s">
        <v>158</v>
      </c>
      <c r="B11" s="102">
        <v>65.7</v>
      </c>
      <c r="C11" s="103">
        <v>27.7</v>
      </c>
      <c r="D11" s="104">
        <v>5.3</v>
      </c>
      <c r="F11" s="83">
        <f t="array" ref="F11">MMULT(B11:D11-$I$14:$K$14,MMULT($I$9:$K$11,TRANSPOSE(B11:D11-$I$14:$K$14)))</f>
        <v>0.50174816022198621</v>
      </c>
      <c r="G11" s="84">
        <f t="shared" si="0"/>
        <v>0.91850718095850992</v>
      </c>
      <c r="H11" s="70" t="str">
        <f t="shared" si="1"/>
        <v/>
      </c>
      <c r="I11" s="85">
        <v>7.2766427859432244E-3</v>
      </c>
      <c r="J11" s="86">
        <v>-1.3459822323366077E-2</v>
      </c>
      <c r="K11" s="87">
        <v>0.23325341237177027</v>
      </c>
      <c r="M11" s="49">
        <f>[1]!MDistSq($B$4:$D$35,B11:D11)</f>
        <v>0.50174816022198621</v>
      </c>
    </row>
    <row r="12" spans="1:18" ht="14.45" x14ac:dyDescent="0.35">
      <c r="A12" t="s">
        <v>159</v>
      </c>
      <c r="B12" s="102">
        <v>67.3</v>
      </c>
      <c r="C12" s="103">
        <v>48.3</v>
      </c>
      <c r="D12" s="104">
        <v>5.5</v>
      </c>
      <c r="F12" s="83">
        <f t="array" ref="F12">MMULT(B12:D12-$I$14:$K$14,MMULT($I$9:$K$11,TRANSPOSE(B12:D12-$I$14:$K$14)))</f>
        <v>3.0882548255238427</v>
      </c>
      <c r="G12" s="84">
        <f t="shared" si="0"/>
        <v>0.37821716541873462</v>
      </c>
      <c r="H12" s="70" t="str">
        <f t="shared" si="1"/>
        <v/>
      </c>
      <c r="M12" s="49">
        <f>[1]!MDistSq($B$4:$D$35,B12:D12)</f>
        <v>3.0882548255238427</v>
      </c>
    </row>
    <row r="13" spans="1:18" ht="14.45" x14ac:dyDescent="0.35">
      <c r="A13" t="s">
        <v>159</v>
      </c>
      <c r="B13" s="102">
        <v>61.3</v>
      </c>
      <c r="C13" s="103">
        <v>28.9</v>
      </c>
      <c r="D13" s="104">
        <v>6.9</v>
      </c>
      <c r="F13" s="83">
        <f t="array" ref="F13">MMULT(B13:D13-$I$14:$K$14,MMULT($I$9:$K$11,TRANSPOSE(B13:D13-$I$14:$K$14)))</f>
        <v>1.3416420492712982</v>
      </c>
      <c r="G13" s="84">
        <f t="shared" si="0"/>
        <v>0.71926930543810164</v>
      </c>
      <c r="H13" s="70" t="str">
        <f t="shared" si="1"/>
        <v/>
      </c>
      <c r="I13" t="s">
        <v>230</v>
      </c>
      <c r="M13" s="49">
        <f>[1]!MDistSq($B$4:$D$35,B13:D13)</f>
        <v>1.3416420492712982</v>
      </c>
    </row>
    <row r="14" spans="1:18" ht="14.45" x14ac:dyDescent="0.35">
      <c r="A14" t="s">
        <v>159</v>
      </c>
      <c r="B14" s="102">
        <v>58.2</v>
      </c>
      <c r="C14" s="103">
        <v>42.5</v>
      </c>
      <c r="D14" s="104">
        <v>4.8</v>
      </c>
      <c r="F14" s="83">
        <f t="array" ref="F14">MMULT(B14:D14-$I$14:$K$14,MMULT($I$9:$K$11,TRANSPOSE(B14:D14-$I$14:$K$14)))</f>
        <v>1.7060188281810822</v>
      </c>
      <c r="G14" s="84">
        <f t="shared" si="0"/>
        <v>0.63559650239431154</v>
      </c>
      <c r="H14" s="70" t="str">
        <f t="shared" si="1"/>
        <v/>
      </c>
      <c r="I14" s="134">
        <f>AVERAGE(B4:B35)</f>
        <v>61.609374999999993</v>
      </c>
      <c r="J14" s="135">
        <f>AVERAGE(C4:C35)</f>
        <v>31.165624999999999</v>
      </c>
      <c r="K14" s="136">
        <f>AVERAGE(D4:D35)</f>
        <v>4.6718749999999991</v>
      </c>
      <c r="M14" s="49">
        <f>[1]!MDistSq($B$4:$D$35,B14:D14)</f>
        <v>1.7060188281810822</v>
      </c>
    </row>
    <row r="15" spans="1:18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  <c r="F15" s="83">
        <f t="array" ref="F15">MMULT(B15:D15-$I$14:$K$14,MMULT($I$9:$K$11,TRANSPOSE(B15:D15-$I$14:$K$14)))</f>
        <v>3.4282688300525628</v>
      </c>
      <c r="G15" s="84">
        <f t="shared" si="0"/>
        <v>0.33018526887040461</v>
      </c>
      <c r="H15" s="70" t="str">
        <f t="shared" si="1"/>
        <v/>
      </c>
      <c r="M15" s="49">
        <f>[1]!MDistSq($B$4:$D$35,B15:D15)</f>
        <v>3.4282688300525628</v>
      </c>
    </row>
    <row r="16" spans="1:18" ht="14.45" x14ac:dyDescent="0.35">
      <c r="A16" t="s">
        <v>159</v>
      </c>
      <c r="B16" s="102">
        <v>66.900000000000006</v>
      </c>
      <c r="C16" s="103">
        <v>23.9</v>
      </c>
      <c r="D16" s="104">
        <v>1.1000000000000001</v>
      </c>
      <c r="F16" s="83">
        <f t="array" ref="F16">MMULT(B16:D16-$I$14:$K$14,MMULT($I$9:$K$11,TRANSPOSE(B16:D16-$I$14:$K$14)))</f>
        <v>2.9727949665472519</v>
      </c>
      <c r="G16" s="84">
        <f t="shared" si="0"/>
        <v>0.3958387043475371</v>
      </c>
      <c r="H16" s="70" t="str">
        <f t="shared" si="1"/>
        <v/>
      </c>
      <c r="M16" s="49">
        <f>[1]!MDistSq($B$4:$D$35,B16:D16)</f>
        <v>2.9727949665472519</v>
      </c>
    </row>
    <row r="17" spans="1:13" ht="14.45" x14ac:dyDescent="0.35">
      <c r="A17" t="s">
        <v>159</v>
      </c>
      <c r="B17" s="102">
        <v>55.4</v>
      </c>
      <c r="C17" s="103">
        <v>29.1</v>
      </c>
      <c r="D17" s="104">
        <v>5</v>
      </c>
      <c r="F17" s="83">
        <f t="array" ref="F17">MMULT(B17:D17-$I$14:$K$14,MMULT($I$9:$K$11,TRANSPOSE(B17:D17-$I$14:$K$14)))</f>
        <v>0.26866379622625275</v>
      </c>
      <c r="G17" s="84">
        <f t="shared" si="0"/>
        <v>0.96581004717443208</v>
      </c>
      <c r="H17" s="70" t="str">
        <f t="shared" si="1"/>
        <v/>
      </c>
      <c r="M17" s="49">
        <f>[1]!MDistSq($B$4:$D$35,B17:D17)</f>
        <v>0.26866379622625275</v>
      </c>
    </row>
    <row r="18" spans="1:13" ht="14.45" x14ac:dyDescent="0.35">
      <c r="A18" t="s">
        <v>159</v>
      </c>
      <c r="B18" s="102">
        <v>50.5</v>
      </c>
      <c r="C18" s="103">
        <v>18</v>
      </c>
      <c r="D18" s="104">
        <v>4.8</v>
      </c>
      <c r="F18" s="83">
        <f t="array" ref="F18">MMULT(B18:D18-$I$14:$K$14,MMULT($I$9:$K$11,TRANSPOSE(B18:D18-$I$14:$K$14)))</f>
        <v>2.266928071084751</v>
      </c>
      <c r="G18" s="84">
        <f t="shared" si="0"/>
        <v>0.51888620042072686</v>
      </c>
      <c r="H18" s="70" t="str">
        <f t="shared" si="1"/>
        <v/>
      </c>
      <c r="M18" s="49">
        <f>[1]!MDistSq($B$4:$D$35,B18:D18)</f>
        <v>2.266928071084751</v>
      </c>
    </row>
    <row r="19" spans="1:13" ht="14.45" x14ac:dyDescent="0.35">
      <c r="A19" t="s">
        <v>159</v>
      </c>
      <c r="B19" s="102">
        <v>64.099999999999994</v>
      </c>
      <c r="C19" s="103">
        <v>14.5</v>
      </c>
      <c r="D19" s="104">
        <v>3.7</v>
      </c>
      <c r="F19" s="83">
        <f t="array" ref="F19">MMULT(B19:D19-$I$14:$K$14,MMULT($I$9:$K$11,TRANSPOSE(B19:D19-$I$14:$K$14)))</f>
        <v>3.2209389176233967</v>
      </c>
      <c r="G19" s="84">
        <f t="shared" si="0"/>
        <v>0.3587989197989247</v>
      </c>
      <c r="H19" s="70" t="str">
        <f t="shared" si="1"/>
        <v/>
      </c>
      <c r="M19" s="49">
        <f>[1]!MDistSq($B$4:$D$35,B19:D19)</f>
        <v>3.2209389176233967</v>
      </c>
    </row>
    <row r="20" spans="1:13" ht="14.45" x14ac:dyDescent="0.35">
      <c r="A20" t="s">
        <v>161</v>
      </c>
      <c r="B20" s="102">
        <v>62.8</v>
      </c>
      <c r="C20" s="103">
        <v>25.9</v>
      </c>
      <c r="D20" s="104">
        <v>2.9</v>
      </c>
      <c r="F20" s="83">
        <f t="array" ref="F20">MMULT(B20:D20-$I$14:$K$14,MMULT($I$9:$K$11,TRANSPOSE(B20:D20-$I$14:$K$14)))</f>
        <v>0.81146629354257227</v>
      </c>
      <c r="G20" s="84">
        <f t="shared" si="0"/>
        <v>0.84672252723651265</v>
      </c>
      <c r="H20" s="70" t="str">
        <f t="shared" si="1"/>
        <v/>
      </c>
      <c r="M20" s="49">
        <f>[1]!MDistSq($B$4:$D$35,B20:D20)</f>
        <v>0.81146629354257227</v>
      </c>
    </row>
    <row r="21" spans="1:13" ht="14.45" x14ac:dyDescent="0.35">
      <c r="A21" t="s">
        <v>161</v>
      </c>
      <c r="B21" s="102">
        <v>45</v>
      </c>
      <c r="C21" s="103">
        <v>15.9</v>
      </c>
      <c r="D21" s="104">
        <v>1.2</v>
      </c>
      <c r="F21" s="83">
        <f t="array" ref="F21">MMULT(B21:D21-$I$14:$K$14,MMULT($I$9:$K$11,TRANSPOSE(B21:D21-$I$14:$K$14)))</f>
        <v>5.7313951401806484</v>
      </c>
      <c r="G21" s="84">
        <f t="shared" si="0"/>
        <v>0.12543535740753059</v>
      </c>
      <c r="H21" s="70" t="str">
        <f t="shared" si="1"/>
        <v/>
      </c>
      <c r="M21" s="49">
        <f>[1]!MDistSq($B$4:$D$35,B21:D21)</f>
        <v>5.7313951401806484</v>
      </c>
    </row>
    <row r="22" spans="1:13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  <c r="F22" s="83">
        <f t="array" ref="F22">MMULT(B22:D22-$I$14:$K$14,MMULT($I$9:$K$11,TRANSPOSE(B22:D22-$I$14:$K$14)))</f>
        <v>2.1265664959245476</v>
      </c>
      <c r="G22" s="84">
        <f t="shared" si="0"/>
        <v>0.54655690568480431</v>
      </c>
      <c r="H22" s="70" t="str">
        <f t="shared" si="1"/>
        <v/>
      </c>
      <c r="M22" s="49">
        <f>[1]!MDistSq($B$4:$D$35,B22:D22)</f>
        <v>2.1265664959245476</v>
      </c>
    </row>
    <row r="23" spans="1:13" ht="14.45" x14ac:dyDescent="0.35">
      <c r="A23" t="s">
        <v>161</v>
      </c>
      <c r="B23" s="102">
        <v>75.599999999999994</v>
      </c>
      <c r="C23" s="103">
        <v>27.7</v>
      </c>
      <c r="D23" s="104">
        <v>6.3</v>
      </c>
      <c r="F23" s="83">
        <f t="array" ref="F23">MMULT(B23:D23-$I$14:$K$14,MMULT($I$9:$K$11,TRANSPOSE(B23:D23-$I$14:$K$14)))</f>
        <v>2.76679709829871</v>
      </c>
      <c r="G23" s="84">
        <f t="shared" si="0"/>
        <v>0.42899491138050339</v>
      </c>
      <c r="H23" s="70" t="str">
        <f t="shared" si="1"/>
        <v/>
      </c>
      <c r="M23" s="49">
        <f>[1]!MDistSq($B$4:$D$35,B23:D23)</f>
        <v>2.76679709829871</v>
      </c>
    </row>
    <row r="24" spans="1:13" ht="14.45" x14ac:dyDescent="0.35">
      <c r="A24" t="s">
        <v>161</v>
      </c>
      <c r="B24" s="102">
        <v>46.6</v>
      </c>
      <c r="C24" s="103">
        <v>46.9</v>
      </c>
      <c r="D24" s="104">
        <v>3.6</v>
      </c>
      <c r="F24" s="83">
        <f t="array" ref="F24">MMULT(B24:D24-$I$14:$K$14,MMULT($I$9:$K$11,TRANSPOSE(B24:D24-$I$14:$K$14)))</f>
        <v>6.3786508510645215</v>
      </c>
      <c r="G24" s="84">
        <f t="shared" si="0"/>
        <v>9.4573047412673264E-2</v>
      </c>
      <c r="H24" s="70" t="str">
        <f t="shared" si="1"/>
        <v/>
      </c>
      <c r="M24" s="49">
        <f>[1]!MDistSq($B$4:$D$35,B24:D24)</f>
        <v>6.3786508510645215</v>
      </c>
    </row>
    <row r="25" spans="1:13" ht="14.45" x14ac:dyDescent="0.35">
      <c r="A25" t="s">
        <v>161</v>
      </c>
      <c r="B25" s="102">
        <v>50.6</v>
      </c>
      <c r="C25" s="103">
        <v>29.7</v>
      </c>
      <c r="D25" s="104">
        <v>4.7</v>
      </c>
      <c r="F25" s="83">
        <f t="array" ref="F25">MMULT(B25:D25-$I$14:$K$14,MMULT($I$9:$K$11,TRANSPOSE(B25:D25-$I$14:$K$14)))</f>
        <v>0.76932044560980184</v>
      </c>
      <c r="G25" s="84">
        <f t="shared" si="0"/>
        <v>0.85679021184143855</v>
      </c>
      <c r="H25" s="70" t="str">
        <f t="shared" si="1"/>
        <v/>
      </c>
      <c r="M25" s="49">
        <f>[1]!MDistSq($B$4:$D$35,B25:D25)</f>
        <v>0.76932044560980184</v>
      </c>
    </row>
    <row r="26" spans="1:13" ht="14.45" x14ac:dyDescent="0.35">
      <c r="A26" t="s">
        <v>161</v>
      </c>
      <c r="B26" s="102">
        <v>45.7</v>
      </c>
      <c r="C26" s="103">
        <v>27.6</v>
      </c>
      <c r="D26" s="104">
        <v>6.2</v>
      </c>
      <c r="F26" s="83">
        <f t="array" ref="F26">MMULT(B26:D26-$I$14:$K$14,MMULT($I$9:$K$11,TRANSPOSE(B26:D26-$I$14:$K$14)))</f>
        <v>1.9490749251298021</v>
      </c>
      <c r="G26" s="84">
        <f t="shared" si="0"/>
        <v>0.58304337991521127</v>
      </c>
      <c r="H26" s="70" t="str">
        <f t="shared" si="1"/>
        <v/>
      </c>
      <c r="M26" s="49">
        <f>[1]!MDistSq($B$4:$D$35,B26:D26)</f>
        <v>1.9490749251298021</v>
      </c>
    </row>
    <row r="27" spans="1:13" ht="14.45" x14ac:dyDescent="0.35">
      <c r="A27" t="s">
        <v>161</v>
      </c>
      <c r="B27" s="102">
        <v>68.400000000000006</v>
      </c>
      <c r="C27" s="103">
        <v>35.299999999999997</v>
      </c>
      <c r="D27" s="104">
        <v>1.9</v>
      </c>
      <c r="F27" s="83">
        <f t="array" ref="F27">MMULT(B27:D27-$I$14:$K$14,MMULT($I$9:$K$11,TRANSPOSE(B27:D27-$I$14:$K$14)))</f>
        <v>2.2178490882412065</v>
      </c>
      <c r="G27" s="84">
        <f t="shared" si="0"/>
        <v>0.5284412198169125</v>
      </c>
      <c r="H27" s="70" t="str">
        <f t="shared" si="1"/>
        <v/>
      </c>
      <c r="M27" s="49">
        <f>[1]!MDistSq($B$4:$D$35,B27:D27)</f>
        <v>2.2178490882412065</v>
      </c>
    </row>
    <row r="28" spans="1:13" ht="14.45" x14ac:dyDescent="0.35">
      <c r="A28" t="s">
        <v>160</v>
      </c>
      <c r="B28" s="102">
        <v>52.5</v>
      </c>
      <c r="C28" s="103">
        <v>39</v>
      </c>
      <c r="D28" s="104">
        <v>3.1</v>
      </c>
      <c r="F28" s="83">
        <f t="array" ref="F28">MMULT(B28:D28-$I$14:$K$14,MMULT($I$9:$K$11,TRANSPOSE(B28:D28-$I$14:$K$14)))</f>
        <v>2.6978058491571146</v>
      </c>
      <c r="G28" s="84">
        <f t="shared" si="0"/>
        <v>0.44060029610027784</v>
      </c>
      <c r="H28" s="70" t="str">
        <f t="shared" si="1"/>
        <v/>
      </c>
      <c r="M28" s="49">
        <f>[1]!MDistSq($B$4:$D$35,B28:D28)</f>
        <v>2.6978058491571146</v>
      </c>
    </row>
    <row r="29" spans="1:13" ht="14.45" x14ac:dyDescent="0.35">
      <c r="A29" t="s">
        <v>160</v>
      </c>
      <c r="B29" s="102">
        <v>80</v>
      </c>
      <c r="C29" s="103">
        <v>54.2</v>
      </c>
      <c r="D29" s="104">
        <v>4</v>
      </c>
      <c r="F29" s="83">
        <f t="array" ref="F29">MMULT(B29:D29-$I$14:$K$14,MMULT($I$9:$K$11,TRANSPOSE(B29:D29-$I$14:$K$14)))</f>
        <v>7.0301219109845787</v>
      </c>
      <c r="G29" s="84">
        <f t="shared" si="0"/>
        <v>7.0943856722068085E-2</v>
      </c>
      <c r="H29" s="70" t="str">
        <f t="shared" si="1"/>
        <v/>
      </c>
      <c r="M29" s="49">
        <f>[1]!MDistSq($B$4:$D$35,B29:D29)</f>
        <v>7.0301219109845787</v>
      </c>
    </row>
    <row r="30" spans="1:13" ht="14.45" x14ac:dyDescent="0.35">
      <c r="A30" t="s">
        <v>160</v>
      </c>
      <c r="B30" s="102">
        <v>54.7</v>
      </c>
      <c r="C30" s="103">
        <v>32.1</v>
      </c>
      <c r="D30" s="104">
        <v>5.7</v>
      </c>
      <c r="F30" s="83">
        <f t="array" ref="F30">MMULT(B30:D30-$I$14:$K$14,MMULT($I$9:$K$11,TRANSPOSE(B30:D30-$I$14:$K$14)))</f>
        <v>0.4764703910580988</v>
      </c>
      <c r="G30" s="84">
        <f t="shared" si="0"/>
        <v>0.92402950661687344</v>
      </c>
      <c r="H30" s="70" t="str">
        <f t="shared" si="1"/>
        <v/>
      </c>
      <c r="M30" s="49">
        <f>[1]!MDistSq($B$4:$D$35,B30:D30)</f>
        <v>0.4764703910580988</v>
      </c>
    </row>
    <row r="31" spans="1:13" ht="14.45" x14ac:dyDescent="0.35">
      <c r="A31" t="s">
        <v>160</v>
      </c>
      <c r="B31" s="102">
        <v>63.5</v>
      </c>
      <c r="C31" s="103">
        <v>25.6</v>
      </c>
      <c r="D31" s="104">
        <v>3</v>
      </c>
      <c r="F31" s="83">
        <f t="array" ref="F31">MMULT(B31:D31-$I$14:$K$14,MMULT($I$9:$K$11,TRANSPOSE(B31:D31-$I$14:$K$14)))</f>
        <v>0.78721065425198089</v>
      </c>
      <c r="G31" s="84">
        <f t="shared" si="0"/>
        <v>0.85252356699201726</v>
      </c>
      <c r="H31" s="70" t="str">
        <f t="shared" si="1"/>
        <v/>
      </c>
      <c r="M31" s="49">
        <f>[1]!MDistSq($B$4:$D$35,B31:D31)</f>
        <v>0.78721065425198089</v>
      </c>
    </row>
    <row r="32" spans="1:13" x14ac:dyDescent="0.25">
      <c r="A32" t="s">
        <v>160</v>
      </c>
      <c r="B32" s="102">
        <v>46.3</v>
      </c>
      <c r="C32" s="103">
        <v>31.8</v>
      </c>
      <c r="D32" s="104">
        <v>7.4</v>
      </c>
      <c r="F32" s="83">
        <f t="array" ref="F32">MMULT(B32:D32-$I$14:$K$14,MMULT($I$9:$K$11,TRANSPOSE(B32:D32-$I$14:$K$14)))</f>
        <v>2.7057597687784689</v>
      </c>
      <c r="G32" s="84">
        <f t="shared" si="0"/>
        <v>0.43924936925104274</v>
      </c>
      <c r="H32" s="70" t="str">
        <f t="shared" si="1"/>
        <v/>
      </c>
      <c r="M32" s="49">
        <f>[1]!MDistSq($B$4:$D$35,B32:D32)</f>
        <v>2.7057597687784689</v>
      </c>
    </row>
    <row r="33" spans="1:13" x14ac:dyDescent="0.25">
      <c r="A33" t="s">
        <v>160</v>
      </c>
      <c r="B33" s="102">
        <v>61.5</v>
      </c>
      <c r="C33" s="103">
        <v>16.8</v>
      </c>
      <c r="D33" s="104">
        <v>1.9</v>
      </c>
      <c r="F33" s="83">
        <f t="array" ref="F33">MMULT(B33:D33-$I$14:$K$14,MMULT($I$9:$K$11,TRANSPOSE(B33:D33-$I$14:$K$14)))</f>
        <v>3.1353345295642674</v>
      </c>
      <c r="G33" s="84">
        <f t="shared" si="0"/>
        <v>0.37122624795165404</v>
      </c>
      <c r="H33" s="70" t="str">
        <f t="shared" si="1"/>
        <v/>
      </c>
      <c r="M33" s="49">
        <f>[1]!MDistSq($B$4:$D$35,B33:D33)</f>
        <v>3.1353345295642674</v>
      </c>
    </row>
    <row r="34" spans="1:13" x14ac:dyDescent="0.25">
      <c r="A34" t="s">
        <v>160</v>
      </c>
      <c r="B34" s="102">
        <v>62.9</v>
      </c>
      <c r="C34" s="103">
        <v>25.8</v>
      </c>
      <c r="D34" s="104">
        <v>2.4</v>
      </c>
      <c r="F34" s="83">
        <f t="array" ref="F34">MMULT(B34:D34-$I$14:$K$14,MMULT($I$9:$K$11,TRANSPOSE(B34:D34-$I$14:$K$14)))</f>
        <v>1.2110309641701633</v>
      </c>
      <c r="G34" s="84">
        <f t="shared" si="0"/>
        <v>0.75035986486254047</v>
      </c>
      <c r="H34" s="70" t="str">
        <f t="shared" si="1"/>
        <v/>
      </c>
      <c r="M34" s="49">
        <f>[1]!MDistSq($B$4:$D$35,B34:D34)</f>
        <v>1.2110309641701633</v>
      </c>
    </row>
    <row r="35" spans="1:13" x14ac:dyDescent="0.25">
      <c r="A35" t="s">
        <v>160</v>
      </c>
      <c r="B35" s="105">
        <v>49.3</v>
      </c>
      <c r="C35" s="106">
        <v>39.4</v>
      </c>
      <c r="D35" s="107">
        <v>5.2</v>
      </c>
      <c r="F35" s="85">
        <f t="array" ref="F35">MMULT(B35:D35-$I$14:$K$14,MMULT($I$9:$K$11,TRANSPOSE(B35:D35-$I$14:$K$14)))</f>
        <v>2.0994867331869917</v>
      </c>
      <c r="G35" s="87">
        <f t="shared" si="0"/>
        <v>0.55201660769160943</v>
      </c>
      <c r="H35" s="70" t="str">
        <f t="shared" si="1"/>
        <v/>
      </c>
      <c r="M35" s="52">
        <f>[1]!MDistSq($B$4:$D$35,B35:D35)</f>
        <v>2.0994867331869917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/>
  <dimension ref="A1:J35"/>
  <sheetViews>
    <sheetView workbookViewId="0"/>
  </sheetViews>
  <sheetFormatPr defaultRowHeight="15" x14ac:dyDescent="0.25"/>
  <sheetData>
    <row r="1" spans="1:10" ht="14.45" x14ac:dyDescent="0.35">
      <c r="A1" s="42" t="s">
        <v>296</v>
      </c>
      <c r="F1" s="46" t="s">
        <v>108</v>
      </c>
      <c r="I1" t="s">
        <v>108</v>
      </c>
    </row>
    <row r="3" spans="1:10" ht="14.45" x14ac:dyDescent="0.35">
      <c r="B3" s="47" t="s">
        <v>144</v>
      </c>
      <c r="C3" s="47" t="s">
        <v>145</v>
      </c>
      <c r="D3" s="47" t="s">
        <v>146</v>
      </c>
      <c r="F3" t="s">
        <v>113</v>
      </c>
      <c r="G3" s="132">
        <f>[1]!BOXM(A4:D35)</f>
        <v>14.970375425484164</v>
      </c>
      <c r="I3" t="s">
        <v>113</v>
      </c>
      <c r="J3" s="146">
        <f t="array" ref="J3:J7">[1]!BOX(A4:D35)</f>
        <v>14.970375425484164</v>
      </c>
    </row>
    <row r="4" spans="1:10" ht="14.45" x14ac:dyDescent="0.35">
      <c r="A4" t="s">
        <v>158</v>
      </c>
      <c r="B4" s="75">
        <v>76.7</v>
      </c>
      <c r="C4" s="100">
        <v>29.5</v>
      </c>
      <c r="D4" s="101">
        <v>7.5</v>
      </c>
      <c r="F4" t="s">
        <v>55</v>
      </c>
      <c r="G4" s="98">
        <f>[1]!BOXdf1(A4:D35)</f>
        <v>18</v>
      </c>
      <c r="I4" t="s">
        <v>55</v>
      </c>
      <c r="J4" s="49">
        <v>18</v>
      </c>
    </row>
    <row r="5" spans="1:10" ht="14.45" x14ac:dyDescent="0.35">
      <c r="A5" t="s">
        <v>158</v>
      </c>
      <c r="B5" s="102">
        <v>60.5</v>
      </c>
      <c r="C5" s="103">
        <v>32.1</v>
      </c>
      <c r="D5" s="104">
        <v>6.3</v>
      </c>
      <c r="F5" t="s">
        <v>56</v>
      </c>
      <c r="G5" s="98">
        <f>[1]!BOXdf2(A4:D35)</f>
        <v>2770.4539877300604</v>
      </c>
      <c r="I5" t="s">
        <v>56</v>
      </c>
      <c r="J5" s="49">
        <v>2770.4539877300604</v>
      </c>
    </row>
    <row r="6" spans="1:10" ht="14.45" x14ac:dyDescent="0.35">
      <c r="A6" t="s">
        <v>158</v>
      </c>
      <c r="B6" s="102">
        <v>96.1</v>
      </c>
      <c r="C6" s="103">
        <v>40.700000000000003</v>
      </c>
      <c r="D6" s="104">
        <v>4.2</v>
      </c>
      <c r="F6" t="s">
        <v>54</v>
      </c>
      <c r="G6" s="98">
        <f>[1]!BOXF(A4:D35)</f>
        <v>0.66539200993652636</v>
      </c>
      <c r="I6" t="s">
        <v>54</v>
      </c>
      <c r="J6" s="49">
        <v>0.66539200993652636</v>
      </c>
    </row>
    <row r="7" spans="1:10" ht="14.45" x14ac:dyDescent="0.35">
      <c r="A7" t="s">
        <v>158</v>
      </c>
      <c r="B7" s="102">
        <v>88.1</v>
      </c>
      <c r="C7" s="103">
        <v>45.1</v>
      </c>
      <c r="D7" s="104">
        <v>4.9000000000000004</v>
      </c>
      <c r="F7" t="s">
        <v>65</v>
      </c>
      <c r="G7" s="99">
        <f>[1]!BOXTEST(A4:D35)</f>
        <v>0.84797393932472176</v>
      </c>
      <c r="I7" t="s">
        <v>65</v>
      </c>
      <c r="J7" s="52">
        <v>0.84797393932472176</v>
      </c>
    </row>
    <row r="8" spans="1:10" ht="14.45" x14ac:dyDescent="0.35">
      <c r="A8" t="s">
        <v>158</v>
      </c>
      <c r="B8" s="102">
        <v>50.2</v>
      </c>
      <c r="C8" s="103">
        <v>34.1</v>
      </c>
      <c r="D8" s="104">
        <v>11.7</v>
      </c>
    </row>
    <row r="9" spans="1:10" ht="14.45" x14ac:dyDescent="0.35">
      <c r="A9" t="s">
        <v>158</v>
      </c>
      <c r="B9" s="102">
        <v>55</v>
      </c>
      <c r="C9" s="103">
        <v>31.1</v>
      </c>
      <c r="D9" s="104">
        <v>6.9</v>
      </c>
    </row>
    <row r="10" spans="1:10" ht="14.45" x14ac:dyDescent="0.35">
      <c r="A10" t="s">
        <v>158</v>
      </c>
      <c r="B10" s="102">
        <v>65.400000000000006</v>
      </c>
      <c r="C10" s="103">
        <v>21.6</v>
      </c>
      <c r="D10" s="104">
        <v>4.3</v>
      </c>
    </row>
    <row r="11" spans="1:10" ht="14.45" x14ac:dyDescent="0.35">
      <c r="A11" t="s">
        <v>158</v>
      </c>
      <c r="B11" s="102">
        <v>65.7</v>
      </c>
      <c r="C11" s="103">
        <v>27.7</v>
      </c>
      <c r="D11" s="104">
        <v>5.3</v>
      </c>
    </row>
    <row r="12" spans="1:10" ht="14.45" x14ac:dyDescent="0.35">
      <c r="A12" t="s">
        <v>159</v>
      </c>
      <c r="B12" s="102">
        <v>67.3</v>
      </c>
      <c r="C12" s="103">
        <v>48.3</v>
      </c>
      <c r="D12" s="104">
        <v>5.5</v>
      </c>
    </row>
    <row r="13" spans="1:10" ht="14.45" x14ac:dyDescent="0.35">
      <c r="A13" t="s">
        <v>159</v>
      </c>
      <c r="B13" s="102">
        <v>61.3</v>
      </c>
      <c r="C13" s="103">
        <v>28.9</v>
      </c>
      <c r="D13" s="104">
        <v>6.9</v>
      </c>
    </row>
    <row r="14" spans="1:10" ht="14.45" x14ac:dyDescent="0.35">
      <c r="A14" t="s">
        <v>159</v>
      </c>
      <c r="B14" s="102">
        <v>58.2</v>
      </c>
      <c r="C14" s="103">
        <v>42.5</v>
      </c>
      <c r="D14" s="104">
        <v>4.8</v>
      </c>
    </row>
    <row r="15" spans="1:10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</row>
    <row r="16" spans="1:10" ht="14.45" x14ac:dyDescent="0.35">
      <c r="A16" t="s">
        <v>159</v>
      </c>
      <c r="B16" s="102">
        <v>66.900000000000006</v>
      </c>
      <c r="C16" s="103">
        <v>23.9</v>
      </c>
      <c r="D16" s="104">
        <v>1.1000000000000001</v>
      </c>
    </row>
    <row r="17" spans="1:4" ht="14.45" x14ac:dyDescent="0.35">
      <c r="A17" t="s">
        <v>159</v>
      </c>
      <c r="B17" s="102">
        <v>55.4</v>
      </c>
      <c r="C17" s="103">
        <v>29.1</v>
      </c>
      <c r="D17" s="104">
        <v>5</v>
      </c>
    </row>
    <row r="18" spans="1:4" ht="14.45" x14ac:dyDescent="0.35">
      <c r="A18" t="s">
        <v>159</v>
      </c>
      <c r="B18" s="102">
        <v>50.5</v>
      </c>
      <c r="C18" s="103">
        <v>18</v>
      </c>
      <c r="D18" s="104">
        <v>4.8</v>
      </c>
    </row>
    <row r="19" spans="1:4" ht="14.45" x14ac:dyDescent="0.35">
      <c r="A19" t="s">
        <v>159</v>
      </c>
      <c r="B19" s="102">
        <v>64.099999999999994</v>
      </c>
      <c r="C19" s="103">
        <v>14.5</v>
      </c>
      <c r="D19" s="104">
        <v>3.7</v>
      </c>
    </row>
    <row r="20" spans="1:4" ht="14.45" x14ac:dyDescent="0.35">
      <c r="A20" t="s">
        <v>161</v>
      </c>
      <c r="B20" s="102">
        <v>62.8</v>
      </c>
      <c r="C20" s="103">
        <v>25.9</v>
      </c>
      <c r="D20" s="104">
        <v>2.9</v>
      </c>
    </row>
    <row r="21" spans="1:4" ht="14.45" x14ac:dyDescent="0.35">
      <c r="A21" t="s">
        <v>161</v>
      </c>
      <c r="B21" s="102">
        <v>45</v>
      </c>
      <c r="C21" s="103">
        <v>15.9</v>
      </c>
      <c r="D21" s="104">
        <v>1.2</v>
      </c>
    </row>
    <row r="22" spans="1:4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</row>
    <row r="23" spans="1:4" ht="14.45" x14ac:dyDescent="0.35">
      <c r="A23" t="s">
        <v>161</v>
      </c>
      <c r="B23" s="102">
        <v>75.599999999999994</v>
      </c>
      <c r="C23" s="103">
        <v>27.7</v>
      </c>
      <c r="D23" s="104">
        <v>6.3</v>
      </c>
    </row>
    <row r="24" spans="1:4" ht="14.45" x14ac:dyDescent="0.35">
      <c r="A24" t="s">
        <v>161</v>
      </c>
      <c r="B24" s="102">
        <v>46.6</v>
      </c>
      <c r="C24" s="103">
        <v>46.9</v>
      </c>
      <c r="D24" s="104">
        <v>3.6</v>
      </c>
    </row>
    <row r="25" spans="1:4" ht="14.45" x14ac:dyDescent="0.35">
      <c r="A25" t="s">
        <v>161</v>
      </c>
      <c r="B25" s="102">
        <v>50.6</v>
      </c>
      <c r="C25" s="103">
        <v>29.7</v>
      </c>
      <c r="D25" s="104">
        <v>4.7</v>
      </c>
    </row>
    <row r="26" spans="1:4" ht="14.45" x14ac:dyDescent="0.35">
      <c r="A26" t="s">
        <v>161</v>
      </c>
      <c r="B26" s="102">
        <v>45.7</v>
      </c>
      <c r="C26" s="103">
        <v>27.6</v>
      </c>
      <c r="D26" s="104">
        <v>6.2</v>
      </c>
    </row>
    <row r="27" spans="1:4" ht="14.45" x14ac:dyDescent="0.35">
      <c r="A27" t="s">
        <v>161</v>
      </c>
      <c r="B27" s="102">
        <v>68.400000000000006</v>
      </c>
      <c r="C27" s="103">
        <v>35.299999999999997</v>
      </c>
      <c r="D27" s="104">
        <v>1.9</v>
      </c>
    </row>
    <row r="28" spans="1:4" ht="14.45" x14ac:dyDescent="0.35">
      <c r="A28" t="s">
        <v>160</v>
      </c>
      <c r="B28" s="102">
        <v>52.5</v>
      </c>
      <c r="C28" s="103">
        <v>39</v>
      </c>
      <c r="D28" s="104">
        <v>3.1</v>
      </c>
    </row>
    <row r="29" spans="1:4" ht="14.45" x14ac:dyDescent="0.35">
      <c r="A29" t="s">
        <v>160</v>
      </c>
      <c r="B29" s="102">
        <v>80</v>
      </c>
      <c r="C29" s="103">
        <v>54.2</v>
      </c>
      <c r="D29" s="104">
        <v>4</v>
      </c>
    </row>
    <row r="30" spans="1:4" ht="14.45" x14ac:dyDescent="0.35">
      <c r="A30" t="s">
        <v>160</v>
      </c>
      <c r="B30" s="102">
        <v>54.7</v>
      </c>
      <c r="C30" s="103">
        <v>32.1</v>
      </c>
      <c r="D30" s="104">
        <v>5.7</v>
      </c>
    </row>
    <row r="31" spans="1:4" ht="14.45" x14ac:dyDescent="0.35">
      <c r="A31" t="s">
        <v>160</v>
      </c>
      <c r="B31" s="102">
        <v>63.5</v>
      </c>
      <c r="C31" s="103">
        <v>25.6</v>
      </c>
      <c r="D31" s="104">
        <v>3</v>
      </c>
    </row>
    <row r="32" spans="1:4" x14ac:dyDescent="0.25">
      <c r="A32" t="s">
        <v>160</v>
      </c>
      <c r="B32" s="102">
        <v>46.3</v>
      </c>
      <c r="C32" s="103">
        <v>31.8</v>
      </c>
      <c r="D32" s="104">
        <v>7.4</v>
      </c>
    </row>
    <row r="33" spans="1:4" x14ac:dyDescent="0.25">
      <c r="A33" t="s">
        <v>160</v>
      </c>
      <c r="B33" s="102">
        <v>61.5</v>
      </c>
      <c r="C33" s="103">
        <v>16.8</v>
      </c>
      <c r="D33" s="104">
        <v>1.9</v>
      </c>
    </row>
    <row r="34" spans="1:4" x14ac:dyDescent="0.25">
      <c r="A34" t="s">
        <v>160</v>
      </c>
      <c r="B34" s="102">
        <v>62.9</v>
      </c>
      <c r="C34" s="103">
        <v>25.8</v>
      </c>
      <c r="D34" s="104">
        <v>2.4</v>
      </c>
    </row>
    <row r="35" spans="1:4" x14ac:dyDescent="0.25">
      <c r="A35" t="s">
        <v>160</v>
      </c>
      <c r="B35" s="105">
        <v>49.3</v>
      </c>
      <c r="C35" s="106">
        <v>39.4</v>
      </c>
      <c r="D35" s="107">
        <v>5.2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N46"/>
  <sheetViews>
    <sheetView topLeftCell="A2" zoomScaleNormal="100" workbookViewId="0">
      <selection activeCell="A2" sqref="A1:D1048576"/>
    </sheetView>
  </sheetViews>
  <sheetFormatPr defaultRowHeight="15" x14ac:dyDescent="0.25"/>
  <cols>
    <col min="6" max="6" width="15" customWidth="1"/>
  </cols>
  <sheetData>
    <row r="1" spans="1:14" ht="14.45" x14ac:dyDescent="0.35">
      <c r="A1" s="42" t="s">
        <v>172</v>
      </c>
    </row>
    <row r="3" spans="1:14" ht="14.45" x14ac:dyDescent="0.35">
      <c r="B3" s="47" t="s">
        <v>144</v>
      </c>
      <c r="C3" s="47" t="s">
        <v>145</v>
      </c>
      <c r="D3" s="47" t="s">
        <v>146</v>
      </c>
      <c r="F3" t="s">
        <v>173</v>
      </c>
      <c r="I3" t="str">
        <f>B3</f>
        <v>yield</v>
      </c>
    </row>
    <row r="4" spans="1:14" ht="14.45" x14ac:dyDescent="0.35">
      <c r="A4" t="s">
        <v>158</v>
      </c>
      <c r="B4" s="75">
        <v>76.7</v>
      </c>
      <c r="C4" s="100">
        <v>29.5</v>
      </c>
      <c r="D4" s="101">
        <v>7.5</v>
      </c>
    </row>
    <row r="5" spans="1:14" thickBot="1" x14ac:dyDescent="0.4">
      <c r="A5" t="s">
        <v>158</v>
      </c>
      <c r="B5" s="102">
        <v>60.5</v>
      </c>
      <c r="C5" s="103">
        <v>32.1</v>
      </c>
      <c r="D5" s="104">
        <v>6.3</v>
      </c>
      <c r="F5" t="s">
        <v>174</v>
      </c>
      <c r="K5" t="s">
        <v>175</v>
      </c>
      <c r="L5" s="122">
        <f>0.05/3</f>
        <v>1.6666666666666666E-2</v>
      </c>
    </row>
    <row r="6" spans="1:14" thickTop="1" x14ac:dyDescent="0.35">
      <c r="A6" t="s">
        <v>158</v>
      </c>
      <c r="B6" s="102">
        <v>96.1</v>
      </c>
      <c r="C6" s="103">
        <v>40.700000000000003</v>
      </c>
      <c r="D6" s="104">
        <v>4.2</v>
      </c>
      <c r="F6" s="94" t="s">
        <v>176</v>
      </c>
      <c r="G6" s="94" t="s">
        <v>100</v>
      </c>
      <c r="H6" s="94" t="s">
        <v>177</v>
      </c>
      <c r="I6" s="94" t="s">
        <v>34</v>
      </c>
      <c r="J6" s="94" t="s">
        <v>178</v>
      </c>
      <c r="K6" s="94" t="s">
        <v>179</v>
      </c>
      <c r="L6" s="94" t="s">
        <v>180</v>
      </c>
      <c r="M6" s="94" t="s">
        <v>181</v>
      </c>
      <c r="N6" s="94" t="s">
        <v>182</v>
      </c>
    </row>
    <row r="7" spans="1:14" ht="14.45" x14ac:dyDescent="0.35">
      <c r="A7" t="s">
        <v>158</v>
      </c>
      <c r="B7" s="102">
        <v>88.1</v>
      </c>
      <c r="C7" s="103">
        <v>45.1</v>
      </c>
      <c r="D7" s="104">
        <v>4.9000000000000004</v>
      </c>
      <c r="F7" t="str">
        <f t="array" ref="F7:F10">[1]!SortUnique(A4:A35)</f>
        <v>clay</v>
      </c>
      <c r="G7">
        <f>COUNTIF($A$4:$A$35,$F7)</f>
        <v>8</v>
      </c>
      <c r="H7">
        <f>SUMIF($A$4:$A$35,$F7,$B$4:$B$35)</f>
        <v>470.7</v>
      </c>
      <c r="I7">
        <f>AVERAGEIF($A$4:$A$35,$F7,$B$4:$B$35)</f>
        <v>58.837499999999999</v>
      </c>
      <c r="J7">
        <f t="array" ref="J7">VAR(IF($A$4:$A$35=$F7,$B$4:$B$35))</f>
        <v>114.08839285714306</v>
      </c>
      <c r="K7">
        <f>($G7-1)*J7</f>
        <v>798.61875000000146</v>
      </c>
      <c r="L7">
        <f>SQRT(I$15/G7)</f>
        <v>4.2560100624629316</v>
      </c>
      <c r="M7">
        <f>I7-L7*TINV(L$5,H$15)</f>
        <v>47.999718388134596</v>
      </c>
      <c r="N7">
        <f>I7+L7*TINV(L$5,H$15)</f>
        <v>69.675281611865401</v>
      </c>
    </row>
    <row r="8" spans="1:14" ht="14.45" x14ac:dyDescent="0.35">
      <c r="A8" t="s">
        <v>158</v>
      </c>
      <c r="B8" s="102">
        <v>50.2</v>
      </c>
      <c r="C8" s="103">
        <v>34.1</v>
      </c>
      <c r="D8" s="104">
        <v>11.7</v>
      </c>
      <c r="F8" t="str">
        <v>loam</v>
      </c>
      <c r="G8">
        <f>COUNTIF($A$4:$A$35,$F8)</f>
        <v>8</v>
      </c>
      <c r="H8">
        <f>SUMIF($A$4:$A$35,$F8,$B$4:$B$35)</f>
        <v>557.70000000000005</v>
      </c>
      <c r="I8">
        <f>AVERAGEIF($A$4:$A$35,$F8,$B$4:$B$35)</f>
        <v>69.712500000000006</v>
      </c>
      <c r="J8">
        <f t="array" ref="J8">VAR(IF($A$4:$A$35=$F8,$B$4:$B$35))</f>
        <v>257.14124999999956</v>
      </c>
      <c r="K8">
        <f>($G8-1)*J8</f>
        <v>1799.9887499999968</v>
      </c>
      <c r="L8">
        <f>SQRT(I$15/G8)</f>
        <v>4.2560100624629316</v>
      </c>
      <c r="M8">
        <f t="shared" ref="M8:M10" si="0">I8-L8*TINV(L$5,H$15)</f>
        <v>58.874718388134603</v>
      </c>
      <c r="N8">
        <f t="shared" ref="N8:N10" si="1">I8+L8*TINV(L$5,H$15)</f>
        <v>80.550281611865401</v>
      </c>
    </row>
    <row r="9" spans="1:14" ht="14.45" x14ac:dyDescent="0.35">
      <c r="A9" t="s">
        <v>158</v>
      </c>
      <c r="B9" s="102">
        <v>55</v>
      </c>
      <c r="C9" s="103">
        <v>31.1</v>
      </c>
      <c r="D9" s="104">
        <v>6.9</v>
      </c>
      <c r="F9" t="str">
        <v>salty</v>
      </c>
      <c r="G9">
        <f>COUNTIF($A$4:$A$35,$F9)</f>
        <v>8</v>
      </c>
      <c r="H9">
        <f>SUMIF($A$4:$A$35,$F9,$B$4:$B$35)</f>
        <v>442.5</v>
      </c>
      <c r="I9">
        <f>AVERAGEIF($A$4:$A$35,$F9,$B$4:$B$35)</f>
        <v>55.3125</v>
      </c>
      <c r="J9">
        <f t="array" ref="J9">VAR(IF($A$4:$A$35=$F9,$B$4:$B$35))</f>
        <v>141.74696428571457</v>
      </c>
      <c r="K9">
        <f>($G9-1)*J9</f>
        <v>992.22875000000204</v>
      </c>
      <c r="L9">
        <f>SQRT(I$15/G9)</f>
        <v>4.2560100624629316</v>
      </c>
      <c r="M9">
        <f t="shared" si="0"/>
        <v>44.474718388134598</v>
      </c>
      <c r="N9">
        <f t="shared" si="1"/>
        <v>66.150281611865395</v>
      </c>
    </row>
    <row r="10" spans="1:14" ht="14.45" x14ac:dyDescent="0.35">
      <c r="A10" t="s">
        <v>158</v>
      </c>
      <c r="B10" s="102">
        <v>65.400000000000006</v>
      </c>
      <c r="C10" s="103">
        <v>21.6</v>
      </c>
      <c r="D10" s="104">
        <v>4.3</v>
      </c>
      <c r="F10" t="str">
        <v>sandy</v>
      </c>
      <c r="G10">
        <f>COUNTIF($A$4:$A$35,$F10)</f>
        <v>8</v>
      </c>
      <c r="H10">
        <f>SUMIF($A$4:$A$35,$F10,$B$4:$B$35)</f>
        <v>500.6</v>
      </c>
      <c r="I10">
        <f>AVERAGEIF($A$4:$A$35,$F10,$B$4:$B$35)</f>
        <v>62.575000000000003</v>
      </c>
      <c r="J10">
        <f t="array" ref="J10">VAR(IF($A$4:$A$35=$F10,$B$4:$B$35))</f>
        <v>66.659285714285943</v>
      </c>
      <c r="K10">
        <f>($G10-1)*J10</f>
        <v>466.6150000000016</v>
      </c>
      <c r="L10">
        <f>SQRT(I$15/G10)</f>
        <v>4.2560100624629316</v>
      </c>
      <c r="M10">
        <f t="shared" si="0"/>
        <v>51.7372183881346</v>
      </c>
      <c r="N10">
        <f t="shared" si="1"/>
        <v>73.412781611865398</v>
      </c>
    </row>
    <row r="11" spans="1:14" ht="14.45" x14ac:dyDescent="0.35">
      <c r="A11" t="s">
        <v>158</v>
      </c>
      <c r="B11" s="102">
        <v>65.7</v>
      </c>
      <c r="C11" s="103">
        <v>27.7</v>
      </c>
      <c r="D11" s="104">
        <v>5.3</v>
      </c>
      <c r="F11" s="111"/>
      <c r="G11" s="111"/>
      <c r="H11" s="111"/>
      <c r="I11" s="111"/>
      <c r="J11" s="111"/>
      <c r="K11" s="111"/>
      <c r="L11" s="111"/>
      <c r="M11" s="111"/>
      <c r="N11" s="111"/>
    </row>
    <row r="12" spans="1:14" thickBot="1" x14ac:dyDescent="0.4">
      <c r="A12" t="s">
        <v>159</v>
      </c>
      <c r="B12" s="102">
        <v>67.3</v>
      </c>
      <c r="C12" s="103">
        <v>48.3</v>
      </c>
      <c r="D12" s="104">
        <v>5.5</v>
      </c>
      <c r="F12" t="s">
        <v>183</v>
      </c>
    </row>
    <row r="13" spans="1:14" thickTop="1" x14ac:dyDescent="0.35">
      <c r="A13" t="s">
        <v>159</v>
      </c>
      <c r="B13" s="102">
        <v>61.3</v>
      </c>
      <c r="C13" s="103">
        <v>28.9</v>
      </c>
      <c r="D13" s="104">
        <v>6.9</v>
      </c>
      <c r="F13" s="94" t="s">
        <v>184</v>
      </c>
      <c r="G13" s="94" t="s">
        <v>179</v>
      </c>
      <c r="H13" s="94" t="s">
        <v>62</v>
      </c>
      <c r="I13" s="94" t="s">
        <v>185</v>
      </c>
      <c r="J13" s="94" t="s">
        <v>54</v>
      </c>
      <c r="K13" s="94" t="s">
        <v>186</v>
      </c>
      <c r="L13" s="94" t="s">
        <v>187</v>
      </c>
      <c r="M13" s="94" t="s">
        <v>188</v>
      </c>
      <c r="N13" s="94" t="s">
        <v>189</v>
      </c>
    </row>
    <row r="14" spans="1:14" ht="14.45" x14ac:dyDescent="0.35">
      <c r="A14" t="s">
        <v>159</v>
      </c>
      <c r="B14" s="102">
        <v>58.2</v>
      </c>
      <c r="C14" s="103">
        <v>42.5</v>
      </c>
      <c r="D14" s="104">
        <v>4.8</v>
      </c>
      <c r="F14" t="s">
        <v>190</v>
      </c>
      <c r="G14">
        <f>G16-G15</f>
        <v>911.4159374999972</v>
      </c>
      <c r="H14">
        <f>[1]!COUNTAU(A4:A35)-1</f>
        <v>3</v>
      </c>
      <c r="I14">
        <f>G14/H14</f>
        <v>303.80531249999905</v>
      </c>
      <c r="J14">
        <f>I14/I15</f>
        <v>2.0965251893044847</v>
      </c>
      <c r="K14">
        <f>FDIST(J14,H14,H15)</f>
        <v>0.12324752062884126</v>
      </c>
      <c r="L14">
        <f>FINV(L5,H14,H15)</f>
        <v>4.0366720269356247</v>
      </c>
      <c r="M14">
        <f>SQRT(DEVSQ(I7:I10)/(I15*H14))</f>
        <v>0.51192347930434057</v>
      </c>
      <c r="N14">
        <f>(G16-H16*I15)/(G16+I15)</f>
        <v>9.3216637348975423E-2</v>
      </c>
    </row>
    <row r="15" spans="1:14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  <c r="F15" t="s">
        <v>191</v>
      </c>
      <c r="G15">
        <f>SUM(K7:K10)</f>
        <v>4057.4512500000019</v>
      </c>
      <c r="H15">
        <f>H16-H14</f>
        <v>28</v>
      </c>
      <c r="I15">
        <f>G15/H15</f>
        <v>144.90897321428579</v>
      </c>
    </row>
    <row r="16" spans="1:14" ht="14.45" x14ac:dyDescent="0.35">
      <c r="A16" t="s">
        <v>159</v>
      </c>
      <c r="B16" s="102">
        <v>66.900000000000006</v>
      </c>
      <c r="C16" s="103">
        <v>23.9</v>
      </c>
      <c r="D16" s="104">
        <v>1.1000000000000001</v>
      </c>
      <c r="F16" s="40" t="s">
        <v>168</v>
      </c>
      <c r="G16" s="40">
        <f>DEVSQ(B4:B35)</f>
        <v>4968.8671874999991</v>
      </c>
      <c r="H16" s="40">
        <f>COUNT(B4:B35)-1</f>
        <v>31</v>
      </c>
      <c r="I16" s="40">
        <f>G16/H16</f>
        <v>160.28603830645159</v>
      </c>
      <c r="J16" s="40"/>
      <c r="K16" s="40"/>
      <c r="L16" s="40"/>
      <c r="M16" s="40"/>
      <c r="N16" s="40"/>
    </row>
    <row r="17" spans="1:14" ht="14.45" x14ac:dyDescent="0.35">
      <c r="A17" t="s">
        <v>159</v>
      </c>
      <c r="B17" s="102">
        <v>55.4</v>
      </c>
      <c r="C17" s="103">
        <v>29.1</v>
      </c>
      <c r="D17" s="104">
        <v>5</v>
      </c>
    </row>
    <row r="18" spans="1:14" ht="14.45" x14ac:dyDescent="0.35">
      <c r="A18" t="s">
        <v>159</v>
      </c>
      <c r="B18" s="102">
        <v>50.5</v>
      </c>
      <c r="C18" s="103">
        <v>18</v>
      </c>
      <c r="D18" s="104">
        <v>4.8</v>
      </c>
      <c r="F18" t="s">
        <v>173</v>
      </c>
      <c r="I18" t="str">
        <f>C3</f>
        <v>water</v>
      </c>
    </row>
    <row r="19" spans="1:14" ht="14.45" x14ac:dyDescent="0.35">
      <c r="A19" t="s">
        <v>159</v>
      </c>
      <c r="B19" s="102">
        <v>64.099999999999994</v>
      </c>
      <c r="C19" s="103">
        <v>14.5</v>
      </c>
      <c r="D19" s="104">
        <v>3.7</v>
      </c>
    </row>
    <row r="20" spans="1:14" thickBot="1" x14ac:dyDescent="0.4">
      <c r="A20" t="s">
        <v>161</v>
      </c>
      <c r="B20" s="102">
        <v>62.8</v>
      </c>
      <c r="C20" s="103">
        <v>25.9</v>
      </c>
      <c r="D20" s="104">
        <v>2.9</v>
      </c>
      <c r="F20" t="s">
        <v>174</v>
      </c>
      <c r="K20" t="s">
        <v>175</v>
      </c>
      <c r="L20" s="122">
        <f>0.05/3</f>
        <v>1.6666666666666666E-2</v>
      </c>
    </row>
    <row r="21" spans="1:14" thickTop="1" x14ac:dyDescent="0.35">
      <c r="A21" t="s">
        <v>161</v>
      </c>
      <c r="B21" s="102">
        <v>45</v>
      </c>
      <c r="C21" s="103">
        <v>15.9</v>
      </c>
      <c r="D21" s="104">
        <v>1.2</v>
      </c>
      <c r="F21" s="94" t="s">
        <v>176</v>
      </c>
      <c r="G21" s="94" t="s">
        <v>100</v>
      </c>
      <c r="H21" s="94" t="s">
        <v>177</v>
      </c>
      <c r="I21" s="94" t="s">
        <v>34</v>
      </c>
      <c r="J21" s="94" t="s">
        <v>178</v>
      </c>
      <c r="K21" s="94" t="s">
        <v>179</v>
      </c>
      <c r="L21" s="94" t="s">
        <v>180</v>
      </c>
      <c r="M21" s="94" t="s">
        <v>181</v>
      </c>
      <c r="N21" s="94" t="s">
        <v>182</v>
      </c>
    </row>
    <row r="22" spans="1:14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  <c r="F22" t="str">
        <f t="array" ref="F22:F25">[1]!SortUnique(A4:A35)</f>
        <v>clay</v>
      </c>
      <c r="G22">
        <f>COUNTIF($A$4:$A$35,$F22)</f>
        <v>8</v>
      </c>
      <c r="H22">
        <f>SUMIF($A$4:$A$35,$F22,$C$4:$C$35)</f>
        <v>264.70000000000005</v>
      </c>
      <c r="I22">
        <f>AVERAGEIF($A$4:$A$35,$F22,$C$4:$C$35)</f>
        <v>33.087500000000006</v>
      </c>
      <c r="J22">
        <f t="array" ref="J22">VAR(IF($A$4:$A$35=$F22,$C$4:$C$35))</f>
        <v>128.23267857142804</v>
      </c>
      <c r="K22">
        <f>($G22-1)*J22</f>
        <v>897.62874999999622</v>
      </c>
      <c r="L22">
        <f>SQRT(I$30/G22)</f>
        <v>3.5569262475284975</v>
      </c>
      <c r="M22">
        <f>I22-L22*TINV(L$20,H$30)</f>
        <v>24.029911010673807</v>
      </c>
      <c r="N22">
        <f>I22+L22*TINV(L$20,H$30)</f>
        <v>42.145088989326204</v>
      </c>
    </row>
    <row r="23" spans="1:14" ht="14.45" x14ac:dyDescent="0.35">
      <c r="A23" t="s">
        <v>161</v>
      </c>
      <c r="B23" s="102">
        <v>75.599999999999994</v>
      </c>
      <c r="C23" s="103">
        <v>27.7</v>
      </c>
      <c r="D23" s="104">
        <v>6.3</v>
      </c>
      <c r="F23" t="str">
        <v>loam</v>
      </c>
      <c r="G23">
        <f>COUNTIF($A$4:$A$35,$F23)</f>
        <v>8</v>
      </c>
      <c r="H23">
        <f>SUMIF($A$4:$A$35,$F23,$C$4:$C$35)</f>
        <v>261.89999999999998</v>
      </c>
      <c r="I23">
        <f>AVERAGEIF($A$4:$A$35,$F23,$C$4:$C$35)</f>
        <v>32.737499999999997</v>
      </c>
      <c r="J23">
        <f t="array" ref="J23">VAR(IF($A$4:$A$35=$F23,$C$4:$C$35))</f>
        <v>54.439821428572031</v>
      </c>
      <c r="K23">
        <f>($G23-1)*J23</f>
        <v>381.07875000000422</v>
      </c>
      <c r="L23">
        <f>SQRT(I$30/G23)</f>
        <v>3.5569262475284975</v>
      </c>
      <c r="M23">
        <f t="shared" ref="M23:M25" si="2">I23-L23*TINV(L$20,H$30)</f>
        <v>23.679911010673798</v>
      </c>
      <c r="N23">
        <f t="shared" ref="N23:N25" si="3">I23+L23*TINV(L$20,H$30)</f>
        <v>41.795088989326196</v>
      </c>
    </row>
    <row r="24" spans="1:14" ht="14.45" x14ac:dyDescent="0.35">
      <c r="A24" t="s">
        <v>161</v>
      </c>
      <c r="B24" s="102">
        <v>46.6</v>
      </c>
      <c r="C24" s="103">
        <v>46.9</v>
      </c>
      <c r="D24" s="104">
        <v>3.6</v>
      </c>
      <c r="F24" t="str">
        <v>salty</v>
      </c>
      <c r="G24">
        <f>COUNTIF($A$4:$A$35,$F24)</f>
        <v>8</v>
      </c>
      <c r="H24">
        <f>SUMIF($A$4:$A$35,$F24,$C$4:$C$35)</f>
        <v>245.09999999999997</v>
      </c>
      <c r="I24">
        <f>AVERAGEIF($A$4:$A$35,$F24,$C$4:$C$35)</f>
        <v>30.637499999999996</v>
      </c>
      <c r="J24">
        <f t="array" ref="J24">VAR(IF($A$4:$A$35=$F24,$C$4:$C$35))</f>
        <v>82.059821428571794</v>
      </c>
      <c r="K24">
        <f>($G24-1)*J24</f>
        <v>574.41875000000255</v>
      </c>
      <c r="L24">
        <f>SQRT(I$30/G24)</f>
        <v>3.5569262475284975</v>
      </c>
      <c r="M24">
        <f t="shared" si="2"/>
        <v>21.579911010673797</v>
      </c>
      <c r="N24">
        <f t="shared" si="3"/>
        <v>39.695088989326194</v>
      </c>
    </row>
    <row r="25" spans="1:14" ht="14.45" x14ac:dyDescent="0.35">
      <c r="A25" t="s">
        <v>161</v>
      </c>
      <c r="B25" s="102">
        <v>50.6</v>
      </c>
      <c r="C25" s="103">
        <v>29.7</v>
      </c>
      <c r="D25" s="104">
        <v>4.7</v>
      </c>
      <c r="F25" t="str">
        <v>sandy</v>
      </c>
      <c r="G25">
        <f>COUNTIF($A$4:$A$35,$F25)</f>
        <v>8</v>
      </c>
      <c r="H25">
        <f>SUMIF($A$4:$A$35,$F25,$C$4:$C$35)</f>
        <v>225.6</v>
      </c>
      <c r="I25">
        <f>AVERAGEIF($A$4:$A$35,$F25,$C$4:$C$35)</f>
        <v>28.2</v>
      </c>
      <c r="J25">
        <f t="array" ref="J25">VAR(IF($A$4:$A$35=$F25,$C$4:$C$35))</f>
        <v>140.12285714285721</v>
      </c>
      <c r="K25">
        <f>($G25-1)*J25</f>
        <v>980.86000000000047</v>
      </c>
      <c r="L25">
        <f>SQRT(I$30/G25)</f>
        <v>3.5569262475284975</v>
      </c>
      <c r="M25">
        <f t="shared" si="2"/>
        <v>19.142411010673804</v>
      </c>
      <c r="N25">
        <f t="shared" si="3"/>
        <v>37.257588989326194</v>
      </c>
    </row>
    <row r="26" spans="1:14" ht="14.45" x14ac:dyDescent="0.35">
      <c r="A26" t="s">
        <v>161</v>
      </c>
      <c r="B26" s="102">
        <v>45.7</v>
      </c>
      <c r="C26" s="103">
        <v>27.6</v>
      </c>
      <c r="D26" s="104">
        <v>6.2</v>
      </c>
      <c r="F26" s="111"/>
      <c r="G26" s="111"/>
      <c r="H26" s="111"/>
      <c r="I26" s="111"/>
      <c r="J26" s="111"/>
      <c r="K26" s="111"/>
      <c r="L26" s="111"/>
      <c r="M26" s="111"/>
      <c r="N26" s="111"/>
    </row>
    <row r="27" spans="1:14" thickBot="1" x14ac:dyDescent="0.4">
      <c r="A27" t="s">
        <v>161</v>
      </c>
      <c r="B27" s="102">
        <v>68.400000000000006</v>
      </c>
      <c r="C27" s="103">
        <v>35.299999999999997</v>
      </c>
      <c r="D27" s="104">
        <v>1.9</v>
      </c>
      <c r="F27" t="s">
        <v>183</v>
      </c>
    </row>
    <row r="28" spans="1:14" thickTop="1" x14ac:dyDescent="0.35">
      <c r="A28" t="s">
        <v>160</v>
      </c>
      <c r="B28" s="102">
        <v>52.5</v>
      </c>
      <c r="C28" s="103">
        <v>39</v>
      </c>
      <c r="D28" s="104">
        <v>3.1</v>
      </c>
      <c r="F28" s="94" t="s">
        <v>184</v>
      </c>
      <c r="G28" s="94" t="s">
        <v>179</v>
      </c>
      <c r="H28" s="94" t="s">
        <v>62</v>
      </c>
      <c r="I28" s="94" t="s">
        <v>185</v>
      </c>
      <c r="J28" s="94" t="s">
        <v>54</v>
      </c>
      <c r="K28" s="94" t="s">
        <v>186</v>
      </c>
      <c r="L28" s="94" t="s">
        <v>187</v>
      </c>
      <c r="M28" s="94" t="s">
        <v>188</v>
      </c>
      <c r="N28" s="94" t="s">
        <v>189</v>
      </c>
    </row>
    <row r="29" spans="1:14" ht="14.45" x14ac:dyDescent="0.35">
      <c r="A29" t="s">
        <v>160</v>
      </c>
      <c r="B29" s="102">
        <v>80</v>
      </c>
      <c r="C29" s="103">
        <v>54.2</v>
      </c>
      <c r="D29" s="104">
        <v>4</v>
      </c>
      <c r="F29" t="s">
        <v>190</v>
      </c>
      <c r="G29">
        <f>G31-G30</f>
        <v>121.90593749999607</v>
      </c>
      <c r="H29">
        <f>[1]!COUNTAU(A4:A35)-1</f>
        <v>3</v>
      </c>
      <c r="I29">
        <f>G29/H29</f>
        <v>40.63531249999869</v>
      </c>
      <c r="J29">
        <f>I29/I30</f>
        <v>0.40147998248049438</v>
      </c>
      <c r="K29">
        <f>FDIST(J29,H29,H30)</f>
        <v>0.75302082013764882</v>
      </c>
      <c r="L29">
        <f>FINV(L20,H29,H30)</f>
        <v>4.0366720269356247</v>
      </c>
      <c r="M29">
        <f>SQRT(DEVSQ(I22:I25)/(I30*H29))</f>
        <v>0.22402008349713531</v>
      </c>
      <c r="N29">
        <f>(G31-H31*I30)/(G31+I30)</f>
        <v>-5.9446891108822217E-2</v>
      </c>
    </row>
    <row r="30" spans="1:14" ht="14.45" x14ac:dyDescent="0.35">
      <c r="A30" t="s">
        <v>160</v>
      </c>
      <c r="B30" s="102">
        <v>54.7</v>
      </c>
      <c r="C30" s="103">
        <v>32.1</v>
      </c>
      <c r="D30" s="104">
        <v>5.7</v>
      </c>
      <c r="F30" t="s">
        <v>191</v>
      </c>
      <c r="G30">
        <f>SUM(K22:K25)</f>
        <v>2833.9862500000036</v>
      </c>
      <c r="H30">
        <f>H31-H29</f>
        <v>28</v>
      </c>
      <c r="I30">
        <f>G30/H30</f>
        <v>101.21379464285727</v>
      </c>
    </row>
    <row r="31" spans="1:14" ht="14.45" x14ac:dyDescent="0.35">
      <c r="A31" t="s">
        <v>160</v>
      </c>
      <c r="B31" s="102">
        <v>63.5</v>
      </c>
      <c r="C31" s="103">
        <v>25.6</v>
      </c>
      <c r="D31" s="104">
        <v>3</v>
      </c>
      <c r="F31" s="40" t="s">
        <v>168</v>
      </c>
      <c r="G31" s="40">
        <f>DEVSQ(C4:C35)</f>
        <v>2955.8921874999996</v>
      </c>
      <c r="H31" s="40">
        <f>COUNT(C4:C35)-1</f>
        <v>31</v>
      </c>
      <c r="I31" s="40">
        <f>G31/H31</f>
        <v>95.35136088709676</v>
      </c>
      <c r="J31" s="40"/>
      <c r="K31" s="40"/>
      <c r="L31" s="40"/>
      <c r="M31" s="40"/>
      <c r="N31" s="40"/>
    </row>
    <row r="32" spans="1:14" ht="14.45" x14ac:dyDescent="0.35">
      <c r="A32" t="s">
        <v>160</v>
      </c>
      <c r="B32" s="102">
        <v>46.3</v>
      </c>
      <c r="C32" s="103">
        <v>31.8</v>
      </c>
      <c r="D32" s="104">
        <v>7.4</v>
      </c>
    </row>
    <row r="33" spans="1:14" ht="14.45" x14ac:dyDescent="0.35">
      <c r="A33" t="s">
        <v>160</v>
      </c>
      <c r="B33" s="102">
        <v>61.5</v>
      </c>
      <c r="C33" s="103">
        <v>16.8</v>
      </c>
      <c r="D33" s="104">
        <v>1.9</v>
      </c>
      <c r="F33" t="s">
        <v>173</v>
      </c>
      <c r="I33" t="str">
        <f>D3</f>
        <v>herbicide</v>
      </c>
    </row>
    <row r="34" spans="1:14" x14ac:dyDescent="0.25">
      <c r="A34" t="s">
        <v>160</v>
      </c>
      <c r="B34" s="102">
        <v>62.9</v>
      </c>
      <c r="C34" s="103">
        <v>25.8</v>
      </c>
      <c r="D34" s="104">
        <v>2.4</v>
      </c>
    </row>
    <row r="35" spans="1:14" ht="15.75" thickBot="1" x14ac:dyDescent="0.3">
      <c r="A35" t="s">
        <v>160</v>
      </c>
      <c r="B35" s="105">
        <v>49.3</v>
      </c>
      <c r="C35" s="106">
        <v>39.4</v>
      </c>
      <c r="D35" s="107">
        <v>5.2</v>
      </c>
      <c r="F35" t="s">
        <v>174</v>
      </c>
      <c r="K35" t="s">
        <v>175</v>
      </c>
      <c r="L35" s="122">
        <f>0.05/3</f>
        <v>1.6666666666666666E-2</v>
      </c>
    </row>
    <row r="36" spans="1:14" ht="15.75" thickTop="1" x14ac:dyDescent="0.25">
      <c r="F36" s="94" t="s">
        <v>176</v>
      </c>
      <c r="G36" s="94" t="s">
        <v>100</v>
      </c>
      <c r="H36" s="94" t="s">
        <v>177</v>
      </c>
      <c r="I36" s="94" t="s">
        <v>34</v>
      </c>
      <c r="J36" s="94" t="s">
        <v>178</v>
      </c>
      <c r="K36" s="94" t="s">
        <v>179</v>
      </c>
      <c r="L36" s="94" t="s">
        <v>180</v>
      </c>
      <c r="M36" s="94" t="s">
        <v>181</v>
      </c>
      <c r="N36" s="94" t="s">
        <v>182</v>
      </c>
    </row>
    <row r="37" spans="1:14" x14ac:dyDescent="0.25">
      <c r="F37" t="str">
        <f t="array" ref="F37:F40">[1]!SortUnique(A4:A35)</f>
        <v>clay</v>
      </c>
      <c r="G37">
        <f>COUNTIF($A$4:$A$35,$F37)</f>
        <v>8</v>
      </c>
      <c r="H37">
        <f>SUMIF($A$4:$A$35,$F37,$D$4:$D$35)</f>
        <v>32.700000000000003</v>
      </c>
      <c r="I37">
        <f>AVERAGEIF($A$4:$A$35,$F37,$D$4:$D$35)</f>
        <v>4.0875000000000004</v>
      </c>
      <c r="J37">
        <f t="array" ref="J37">VAR(IF($A$4:$A$35=$F37,$D$4:$D$35))</f>
        <v>3.5155357142857082</v>
      </c>
      <c r="K37">
        <f>($G37-1)*J37</f>
        <v>24.608749999999958</v>
      </c>
      <c r="L37">
        <f>SQRT(I$45/G37)</f>
        <v>0.70848256481218908</v>
      </c>
      <c r="M37">
        <f>I37-L37*TINV(L$35,H$45)</f>
        <v>2.2833737877594822</v>
      </c>
      <c r="N37">
        <f>I37+L37*TINV(L$35,H$45)</f>
        <v>5.891626212240519</v>
      </c>
    </row>
    <row r="38" spans="1:14" x14ac:dyDescent="0.25">
      <c r="F38" t="str">
        <v>loam</v>
      </c>
      <c r="G38">
        <f>COUNTIF($A$4:$A$35,$F38)</f>
        <v>8</v>
      </c>
      <c r="H38">
        <f>SUMIF($A$4:$A$35,$F38,$D$4:$D$35)</f>
        <v>51.099999999999987</v>
      </c>
      <c r="I38">
        <f>AVERAGEIF($A$4:$A$35,$F38,$D$4:$D$35)</f>
        <v>6.3874999999999984</v>
      </c>
      <c r="J38">
        <f t="array" ref="J38">VAR(IF($A$4:$A$35=$F38,$D$4:$D$35))</f>
        <v>6.0383928571428829</v>
      </c>
      <c r="K38">
        <f>($G38-1)*J38</f>
        <v>42.268750000000182</v>
      </c>
      <c r="L38">
        <f>SQRT(I$45/G38)</f>
        <v>0.70848256481218908</v>
      </c>
      <c r="M38">
        <f t="shared" ref="M38:M40" si="4">I38-L38*TINV(L$35,H$45)</f>
        <v>4.5833737877594807</v>
      </c>
      <c r="N38">
        <f t="shared" ref="N38:N40" si="5">I38+L38*TINV(L$35,H$45)</f>
        <v>8.1916262122405161</v>
      </c>
    </row>
    <row r="39" spans="1:14" x14ac:dyDescent="0.25">
      <c r="F39" t="str">
        <v>salty</v>
      </c>
      <c r="G39">
        <f>COUNTIF($A$4:$A$35,$F39)</f>
        <v>8</v>
      </c>
      <c r="H39">
        <f>SUMIF($A$4:$A$35,$F39,$D$4:$D$35)</f>
        <v>30.9</v>
      </c>
      <c r="I39">
        <f>AVERAGEIF($A$4:$A$35,$F39,$D$4:$D$35)</f>
        <v>3.8624999999999998</v>
      </c>
      <c r="J39">
        <f t="array" ref="J39">VAR(IF($A$4:$A$35=$F39,$D$4:$D$35))</f>
        <v>3.442678571428575</v>
      </c>
      <c r="K39">
        <f>($G39-1)*J39</f>
        <v>24.098750000000024</v>
      </c>
      <c r="L39">
        <f>SQRT(I$45/G39)</f>
        <v>0.70848256481218908</v>
      </c>
      <c r="M39">
        <f t="shared" si="4"/>
        <v>2.0583737877594817</v>
      </c>
      <c r="N39">
        <f t="shared" si="5"/>
        <v>5.6666262122405175</v>
      </c>
    </row>
    <row r="40" spans="1:14" x14ac:dyDescent="0.25">
      <c r="F40" t="str">
        <v>sandy</v>
      </c>
      <c r="G40">
        <f>COUNTIF($A$4:$A$35,$F40)</f>
        <v>8</v>
      </c>
      <c r="H40">
        <f>SUMIF($A$4:$A$35,$F40,$D$4:$D$35)</f>
        <v>34.800000000000004</v>
      </c>
      <c r="I40">
        <f>AVERAGEIF($A$4:$A$35,$F40,$D$4:$D$35)</f>
        <v>4.3500000000000005</v>
      </c>
      <c r="J40">
        <f t="array" ref="J40">VAR(IF($A$4:$A$35=$F40,$D$4:$D$35))</f>
        <v>3.0657142857142827</v>
      </c>
      <c r="K40">
        <f>($G40-1)*J40</f>
        <v>21.45999999999998</v>
      </c>
      <c r="L40">
        <f>SQRT(I$45/G40)</f>
        <v>0.70848256481218908</v>
      </c>
      <c r="M40">
        <f t="shared" si="4"/>
        <v>2.5458737877594824</v>
      </c>
      <c r="N40">
        <f t="shared" si="5"/>
        <v>6.1541262122405183</v>
      </c>
    </row>
    <row r="41" spans="1:14" x14ac:dyDescent="0.25">
      <c r="F41" s="111"/>
      <c r="G41" s="111"/>
      <c r="H41" s="111"/>
      <c r="I41" s="111"/>
      <c r="J41" s="111"/>
      <c r="K41" s="111"/>
      <c r="L41" s="111"/>
      <c r="M41" s="111"/>
      <c r="N41" s="111"/>
    </row>
    <row r="42" spans="1:14" ht="15.75" thickBot="1" x14ac:dyDescent="0.3">
      <c r="F42" t="s">
        <v>183</v>
      </c>
    </row>
    <row r="43" spans="1:14" ht="15.75" thickTop="1" x14ac:dyDescent="0.25">
      <c r="F43" s="94" t="s">
        <v>184</v>
      </c>
      <c r="G43" s="94" t="s">
        <v>179</v>
      </c>
      <c r="H43" s="94" t="s">
        <v>62</v>
      </c>
      <c r="I43" s="94" t="s">
        <v>185</v>
      </c>
      <c r="J43" s="94" t="s">
        <v>54</v>
      </c>
      <c r="K43" s="94" t="s">
        <v>186</v>
      </c>
      <c r="L43" s="94" t="s">
        <v>187</v>
      </c>
      <c r="M43" s="94" t="s">
        <v>188</v>
      </c>
      <c r="N43" s="94" t="s">
        <v>189</v>
      </c>
    </row>
    <row r="44" spans="1:14" x14ac:dyDescent="0.25">
      <c r="F44" t="s">
        <v>190</v>
      </c>
      <c r="G44">
        <f>G46-G45</f>
        <v>32.348437499999875</v>
      </c>
      <c r="H44">
        <f>[1]!COUNTAU(A4:A35)-1</f>
        <v>3</v>
      </c>
      <c r="I44">
        <f>G44/H44</f>
        <v>10.782812499999958</v>
      </c>
      <c r="J44">
        <f>I44/I45</f>
        <v>2.6852438604097739</v>
      </c>
      <c r="K44">
        <f>FDIST(J44,H44,H45)</f>
        <v>6.5729410608718716E-2</v>
      </c>
      <c r="L44">
        <f>FINV(L35,H44,H45)</f>
        <v>4.0366720269356247</v>
      </c>
      <c r="M44">
        <f>SQRT(DEVSQ(I37:I40)/(I45*H44))</f>
        <v>0.57935781909906303</v>
      </c>
      <c r="N44">
        <f>(G46-H46*I45)/(G46+I45)</f>
        <v>0.13643588631212777</v>
      </c>
    </row>
    <row r="45" spans="1:14" x14ac:dyDescent="0.25">
      <c r="F45" t="s">
        <v>191</v>
      </c>
      <c r="G45">
        <f>SUM(K37:K40)</f>
        <v>112.43625000000014</v>
      </c>
      <c r="H45">
        <f>H46-H44</f>
        <v>28</v>
      </c>
      <c r="I45">
        <f>G45/H45</f>
        <v>4.0155803571428619</v>
      </c>
    </row>
    <row r="46" spans="1:14" x14ac:dyDescent="0.25">
      <c r="F46" s="40" t="s">
        <v>168</v>
      </c>
      <c r="G46" s="40">
        <f>DEVSQ(D4:D35)</f>
        <v>144.78468750000002</v>
      </c>
      <c r="H46" s="40">
        <f>COUNT(D4:D35)-1</f>
        <v>31</v>
      </c>
      <c r="I46" s="40">
        <f>G46/H46</f>
        <v>4.670473790322581</v>
      </c>
      <c r="J46" s="40"/>
      <c r="K46" s="40"/>
      <c r="L46" s="40"/>
      <c r="M46" s="40"/>
      <c r="N46" s="40"/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X35"/>
  <sheetViews>
    <sheetView zoomScaleNormal="100" workbookViewId="0"/>
  </sheetViews>
  <sheetFormatPr defaultRowHeight="15" x14ac:dyDescent="0.25"/>
  <cols>
    <col min="5" max="5" width="5.7109375" customWidth="1"/>
    <col min="6" max="6" width="15.85546875" customWidth="1"/>
    <col min="15" max="15" width="4.5703125" customWidth="1"/>
    <col min="16" max="16" width="15.85546875" customWidth="1"/>
  </cols>
  <sheetData>
    <row r="1" spans="1:24" ht="14.45" x14ac:dyDescent="0.35">
      <c r="A1" s="42" t="s">
        <v>172</v>
      </c>
    </row>
    <row r="3" spans="1:24" ht="14.45" x14ac:dyDescent="0.35">
      <c r="B3" s="47" t="s">
        <v>144</v>
      </c>
      <c r="C3" s="47" t="s">
        <v>145</v>
      </c>
      <c r="D3" s="47" t="s">
        <v>146</v>
      </c>
      <c r="F3" t="s">
        <v>173</v>
      </c>
      <c r="I3" t="str">
        <f>B3</f>
        <v>yield</v>
      </c>
      <c r="P3" t="s">
        <v>173</v>
      </c>
      <c r="S3" t="str">
        <f>D3</f>
        <v>herbicide</v>
      </c>
    </row>
    <row r="4" spans="1:24" ht="14.45" x14ac:dyDescent="0.35">
      <c r="A4" t="s">
        <v>158</v>
      </c>
      <c r="B4" s="75">
        <v>76.7</v>
      </c>
      <c r="C4" s="100">
        <v>29.5</v>
      </c>
      <c r="D4" s="101">
        <v>7.5</v>
      </c>
    </row>
    <row r="5" spans="1:24" thickBot="1" x14ac:dyDescent="0.4">
      <c r="A5" t="s">
        <v>158</v>
      </c>
      <c r="B5" s="102">
        <v>60.5</v>
      </c>
      <c r="C5" s="103">
        <v>32.1</v>
      </c>
      <c r="D5" s="104">
        <v>6.3</v>
      </c>
      <c r="F5" t="s">
        <v>174</v>
      </c>
      <c r="K5" t="s">
        <v>175</v>
      </c>
      <c r="L5" s="122">
        <f>0.05/3</f>
        <v>1.6666666666666666E-2</v>
      </c>
      <c r="P5" t="s">
        <v>174</v>
      </c>
      <c r="U5" t="s">
        <v>175</v>
      </c>
      <c r="V5" s="122">
        <f>0.05/3</f>
        <v>1.6666666666666666E-2</v>
      </c>
    </row>
    <row r="6" spans="1:24" thickTop="1" x14ac:dyDescent="0.35">
      <c r="A6" t="s">
        <v>158</v>
      </c>
      <c r="B6" s="102">
        <v>96.1</v>
      </c>
      <c r="C6" s="103">
        <v>40.700000000000003</v>
      </c>
      <c r="D6" s="104">
        <v>4.2</v>
      </c>
      <c r="F6" s="94" t="s">
        <v>176</v>
      </c>
      <c r="G6" s="94" t="s">
        <v>100</v>
      </c>
      <c r="H6" s="94" t="s">
        <v>177</v>
      </c>
      <c r="I6" s="94" t="s">
        <v>34</v>
      </c>
      <c r="J6" s="94" t="s">
        <v>178</v>
      </c>
      <c r="K6" s="94" t="s">
        <v>179</v>
      </c>
      <c r="L6" s="94" t="s">
        <v>180</v>
      </c>
      <c r="M6" s="94" t="s">
        <v>181</v>
      </c>
      <c r="N6" s="94" t="s">
        <v>182</v>
      </c>
      <c r="P6" s="94" t="s">
        <v>176</v>
      </c>
      <c r="Q6" s="94" t="s">
        <v>100</v>
      </c>
      <c r="R6" s="94" t="s">
        <v>177</v>
      </c>
      <c r="S6" s="94" t="s">
        <v>34</v>
      </c>
      <c r="T6" s="94" t="s">
        <v>178</v>
      </c>
      <c r="U6" s="94" t="s">
        <v>179</v>
      </c>
      <c r="V6" s="94" t="s">
        <v>180</v>
      </c>
      <c r="W6" s="94" t="s">
        <v>181</v>
      </c>
      <c r="X6" s="94" t="s">
        <v>182</v>
      </c>
    </row>
    <row r="7" spans="1:24" ht="14.45" x14ac:dyDescent="0.35">
      <c r="A7" t="s">
        <v>158</v>
      </c>
      <c r="B7" s="102">
        <v>88.1</v>
      </c>
      <c r="C7" s="103">
        <v>45.1</v>
      </c>
      <c r="D7" s="104">
        <v>4.9000000000000004</v>
      </c>
      <c r="F7" t="str">
        <f t="array" ref="F7:F10">[1]!SortUnique(A4:A35)</f>
        <v>clay</v>
      </c>
      <c r="G7">
        <f>COUNTIF($A$4:$A$35,$F7)</f>
        <v>8</v>
      </c>
      <c r="H7">
        <f>SUMIF($A$4:$A$35,$F7,$B$4:$B$35)</f>
        <v>470.7</v>
      </c>
      <c r="I7">
        <f>AVERAGEIF($A$4:$A$35,$F7,$B$4:$B$35)</f>
        <v>58.837499999999999</v>
      </c>
      <c r="J7">
        <f t="array" ref="J7">VAR(IF($A$4:$A$35=$F7,$B$4:$B$35))</f>
        <v>114.08839285714306</v>
      </c>
      <c r="K7">
        <f>($G7-1)*J7</f>
        <v>798.61875000000146</v>
      </c>
      <c r="L7">
        <f>SQRT(I$15/G7)</f>
        <v>4.2560100624629316</v>
      </c>
      <c r="M7">
        <f>I7-L7*TINV(L$5,G7-1)</f>
        <v>45.526606049928631</v>
      </c>
      <c r="N7">
        <f>I7+L7*TINV(L$5,G7-1)</f>
        <v>72.148393950071366</v>
      </c>
      <c r="P7" t="str">
        <f t="array" ref="P7:P10">[1]!SortUnique(A4:A35)</f>
        <v>clay</v>
      </c>
      <c r="Q7">
        <f>COUNTIF($A$4:$A$35,$P7)</f>
        <v>8</v>
      </c>
      <c r="R7">
        <f>SUMIF($A$4:$A$35,$P7,$D$4:$D$35)</f>
        <v>32.700000000000003</v>
      </c>
      <c r="S7">
        <f>AVERAGEIF($A$4:$A$35,$P7,$D$4:$D$35)</f>
        <v>4.0875000000000004</v>
      </c>
      <c r="T7">
        <f t="array" ref="T7">VAR(IF($A$4:$A$35=$P7,$D$4:$D$35))</f>
        <v>3.5155357142857082</v>
      </c>
      <c r="U7">
        <f>($Q7-1)*T7</f>
        <v>24.608749999999958</v>
      </c>
      <c r="V7">
        <f>SQRT(S$15/Q7)</f>
        <v>0.70848256481218908</v>
      </c>
      <c r="W7">
        <f>S7-V7*TINV(V$5,Q7-1)</f>
        <v>1.8716837431577384</v>
      </c>
      <c r="X7">
        <f>S7+V7*TINV(V$5,Q7-1)</f>
        <v>6.3033162568422618</v>
      </c>
    </row>
    <row r="8" spans="1:24" ht="14.45" x14ac:dyDescent="0.35">
      <c r="A8" t="s">
        <v>158</v>
      </c>
      <c r="B8" s="102">
        <v>50.2</v>
      </c>
      <c r="C8" s="103">
        <v>34.1</v>
      </c>
      <c r="D8" s="104">
        <v>11.7</v>
      </c>
      <c r="F8" t="str">
        <v>loam</v>
      </c>
      <c r="G8">
        <f>COUNTIF($A$4:$A$35,$F8)</f>
        <v>8</v>
      </c>
      <c r="H8">
        <f>SUMIF($A$4:$A$35,$F8,$B$4:$B$35)</f>
        <v>557.70000000000005</v>
      </c>
      <c r="I8">
        <f>AVERAGEIF($A$4:$A$35,$F8,$B$4:$B$35)</f>
        <v>69.712500000000006</v>
      </c>
      <c r="J8">
        <f t="array" ref="J8">VAR(IF($A$4:$A$35=$F8,$B$4:$B$35))</f>
        <v>257.14124999999956</v>
      </c>
      <c r="K8">
        <f>($G8-1)*J8</f>
        <v>1799.9887499999968</v>
      </c>
      <c r="L8">
        <f>SQRT(I$15/G8)</f>
        <v>4.2560100624629316</v>
      </c>
      <c r="M8">
        <f>I8-L8*TINV(L$5,G8-1)</f>
        <v>56.401606049928638</v>
      </c>
      <c r="N8">
        <f>I8+L8*TINV(L$5,G8-1)</f>
        <v>83.02339395007138</v>
      </c>
      <c r="P8" t="str">
        <v>loam</v>
      </c>
      <c r="Q8">
        <f>COUNTIF($A$4:$A$35,$P8)</f>
        <v>8</v>
      </c>
      <c r="R8">
        <f>SUMIF($A$4:$A$35,$P8,$D$4:$D$35)</f>
        <v>51.099999999999987</v>
      </c>
      <c r="S8">
        <f>AVERAGEIF($A$4:$A$35,$P8,$D$4:$D$35)</f>
        <v>6.3874999999999984</v>
      </c>
      <c r="T8">
        <f t="array" ref="T8">VAR(IF($A$4:$A$35=$P8,$D$4:$D$35))</f>
        <v>6.0383928571428829</v>
      </c>
      <c r="U8">
        <f>($Q8-1)*T8</f>
        <v>42.268750000000182</v>
      </c>
      <c r="V8">
        <f>SQRT(S$15/Q8)</f>
        <v>0.70848256481218908</v>
      </c>
      <c r="W8">
        <f>S8-V8*TINV(V$5,Q8-1)</f>
        <v>4.171683743157736</v>
      </c>
      <c r="X8">
        <f>S8+V8*TINV(V$5,Q8-1)</f>
        <v>8.6033162568422608</v>
      </c>
    </row>
    <row r="9" spans="1:24" ht="14.45" x14ac:dyDescent="0.35">
      <c r="A9" t="s">
        <v>158</v>
      </c>
      <c r="B9" s="102">
        <v>55</v>
      </c>
      <c r="C9" s="103">
        <v>31.1</v>
      </c>
      <c r="D9" s="104">
        <v>6.9</v>
      </c>
      <c r="F9" t="str">
        <v>salty</v>
      </c>
      <c r="G9">
        <f>COUNTIF($A$4:$A$35,$F9)</f>
        <v>8</v>
      </c>
      <c r="H9">
        <f>SUMIF($A$4:$A$35,$F9,$B$4:$B$35)</f>
        <v>442.5</v>
      </c>
      <c r="I9">
        <f>AVERAGEIF($A$4:$A$35,$F9,$B$4:$B$35)</f>
        <v>55.3125</v>
      </c>
      <c r="J9">
        <f t="array" ref="J9">VAR(IF($A$4:$A$35=$F9,$B$4:$B$35))</f>
        <v>141.74696428571457</v>
      </c>
      <c r="K9">
        <f>($G9-1)*J9</f>
        <v>992.22875000000204</v>
      </c>
      <c r="L9">
        <f>SQRT(I$15/G9)</f>
        <v>4.2560100624629316</v>
      </c>
      <c r="M9">
        <f>I9-L9*TINV(L$5,G9-1)</f>
        <v>42.001606049928633</v>
      </c>
      <c r="N9">
        <f>I9+L9*TINV(L$5,G9-1)</f>
        <v>68.623393950071375</v>
      </c>
      <c r="P9" t="str">
        <v>salty</v>
      </c>
      <c r="Q9">
        <f>COUNTIF($A$4:$A$35,$P9)</f>
        <v>8</v>
      </c>
      <c r="R9">
        <f>SUMIF($A$4:$A$35,$P9,$D$4:$D$35)</f>
        <v>30.9</v>
      </c>
      <c r="S9">
        <f>AVERAGEIF($A$4:$A$35,$P9,$D$4:$D$35)</f>
        <v>3.8624999999999998</v>
      </c>
      <c r="T9">
        <f t="array" ref="T9">VAR(IF($A$4:$A$35=$P9,$D$4:$D$35))</f>
        <v>3.442678571428575</v>
      </c>
      <c r="U9">
        <f>($Q9-1)*T9</f>
        <v>24.098750000000024</v>
      </c>
      <c r="V9">
        <f>SQRT(S$15/Q9)</f>
        <v>0.70848256481218908</v>
      </c>
      <c r="W9">
        <f>S9-V9*TINV(V$5,Q9-1)</f>
        <v>1.6466837431577379</v>
      </c>
      <c r="X9">
        <f>S9+V9*TINV(V$5,Q9-1)</f>
        <v>6.0783162568422622</v>
      </c>
    </row>
    <row r="10" spans="1:24" ht="14.45" x14ac:dyDescent="0.35">
      <c r="A10" t="s">
        <v>158</v>
      </c>
      <c r="B10" s="102">
        <v>65.400000000000006</v>
      </c>
      <c r="C10" s="103">
        <v>21.6</v>
      </c>
      <c r="D10" s="104">
        <v>4.3</v>
      </c>
      <c r="F10" t="str">
        <v>sandy</v>
      </c>
      <c r="G10">
        <f>COUNTIF($A$4:$A$35,$F10)</f>
        <v>8</v>
      </c>
      <c r="H10">
        <f>SUMIF($A$4:$A$35,$F10,$B$4:$B$35)</f>
        <v>500.6</v>
      </c>
      <c r="I10">
        <f>AVERAGEIF($A$4:$A$35,$F10,$B$4:$B$35)</f>
        <v>62.575000000000003</v>
      </c>
      <c r="J10">
        <f t="array" ref="J10">VAR(IF($A$4:$A$35=$F10,$B$4:$B$35))</f>
        <v>66.659285714285943</v>
      </c>
      <c r="K10">
        <f>($G10-1)*J10</f>
        <v>466.6150000000016</v>
      </c>
      <c r="L10">
        <f>SQRT(I$15/G10)</f>
        <v>4.2560100624629316</v>
      </c>
      <c r="M10">
        <f>I10-L10*TINV(L$5,G10-1)</f>
        <v>49.264106049928635</v>
      </c>
      <c r="N10">
        <f>I10+L10*TINV(L$5,G10-1)</f>
        <v>75.885893950071377</v>
      </c>
      <c r="P10" t="str">
        <v>sandy</v>
      </c>
      <c r="Q10">
        <f>COUNTIF($A$4:$A$35,$P10)</f>
        <v>8</v>
      </c>
      <c r="R10">
        <f>SUMIF($A$4:$A$35,$P10,$D$4:$D$35)</f>
        <v>34.800000000000004</v>
      </c>
      <c r="S10">
        <f>AVERAGEIF($A$4:$A$35,$P10,$D$4:$D$35)</f>
        <v>4.3500000000000005</v>
      </c>
      <c r="T10">
        <f t="array" ref="T10">VAR(IF($A$4:$A$35=$P10,$D$4:$D$35))</f>
        <v>3.0657142857142827</v>
      </c>
      <c r="U10">
        <f>($Q10-1)*T10</f>
        <v>21.45999999999998</v>
      </c>
      <c r="V10">
        <f>SQRT(S$15/Q10)</f>
        <v>0.70848256481218908</v>
      </c>
      <c r="W10">
        <f>S10-V10*TINV(V$5,Q10-1)</f>
        <v>2.1341837431577386</v>
      </c>
      <c r="X10">
        <f>S10+V10*TINV(V$5,Q10-1)</f>
        <v>6.5658162568422629</v>
      </c>
    </row>
    <row r="11" spans="1:24" ht="14.45" x14ac:dyDescent="0.35">
      <c r="A11" t="s">
        <v>158</v>
      </c>
      <c r="B11" s="102">
        <v>65.7</v>
      </c>
      <c r="C11" s="103">
        <v>27.7</v>
      </c>
      <c r="D11" s="104">
        <v>5.3</v>
      </c>
      <c r="F11" s="111"/>
      <c r="G11" s="111"/>
      <c r="H11" s="111"/>
      <c r="I11" s="111"/>
      <c r="J11" s="111"/>
      <c r="K11" s="111"/>
      <c r="L11" s="111"/>
      <c r="M11" s="111"/>
      <c r="N11" s="111"/>
      <c r="P11" s="111"/>
      <c r="Q11" s="111"/>
      <c r="R11" s="111"/>
      <c r="S11" s="111"/>
      <c r="T11" s="111"/>
      <c r="U11" s="111"/>
      <c r="V11" s="111"/>
      <c r="W11" s="111"/>
      <c r="X11" s="111"/>
    </row>
    <row r="12" spans="1:24" thickBot="1" x14ac:dyDescent="0.4">
      <c r="A12" t="s">
        <v>159</v>
      </c>
      <c r="B12" s="102">
        <v>67.3</v>
      </c>
      <c r="C12" s="103">
        <v>48.3</v>
      </c>
      <c r="D12" s="104">
        <v>5.5</v>
      </c>
      <c r="F12" t="s">
        <v>183</v>
      </c>
      <c r="P12" t="s">
        <v>183</v>
      </c>
    </row>
    <row r="13" spans="1:24" thickTop="1" x14ac:dyDescent="0.35">
      <c r="A13" t="s">
        <v>159</v>
      </c>
      <c r="B13" s="102">
        <v>61.3</v>
      </c>
      <c r="C13" s="103">
        <v>28.9</v>
      </c>
      <c r="D13" s="104">
        <v>6.9</v>
      </c>
      <c r="F13" s="94" t="s">
        <v>184</v>
      </c>
      <c r="G13" s="94" t="s">
        <v>179</v>
      </c>
      <c r="H13" s="94" t="s">
        <v>62</v>
      </c>
      <c r="I13" s="94" t="s">
        <v>185</v>
      </c>
      <c r="J13" s="94" t="s">
        <v>54</v>
      </c>
      <c r="K13" s="94" t="s">
        <v>186</v>
      </c>
      <c r="L13" s="94" t="s">
        <v>187</v>
      </c>
      <c r="M13" s="94" t="s">
        <v>188</v>
      </c>
      <c r="N13" s="94" t="s">
        <v>189</v>
      </c>
      <c r="P13" s="94" t="s">
        <v>184</v>
      </c>
      <c r="Q13" s="94" t="s">
        <v>179</v>
      </c>
      <c r="R13" s="94" t="s">
        <v>62</v>
      </c>
      <c r="S13" s="94" t="s">
        <v>185</v>
      </c>
      <c r="T13" s="94" t="s">
        <v>54</v>
      </c>
      <c r="U13" s="94" t="s">
        <v>186</v>
      </c>
      <c r="V13" s="94" t="s">
        <v>187</v>
      </c>
      <c r="W13" s="94" t="s">
        <v>188</v>
      </c>
      <c r="X13" s="94" t="s">
        <v>189</v>
      </c>
    </row>
    <row r="14" spans="1:24" ht="14.45" x14ac:dyDescent="0.35">
      <c r="A14" t="s">
        <v>159</v>
      </c>
      <c r="B14" s="102">
        <v>58.2</v>
      </c>
      <c r="C14" s="103">
        <v>42.5</v>
      </c>
      <c r="D14" s="104">
        <v>4.8</v>
      </c>
      <c r="F14" t="s">
        <v>190</v>
      </c>
      <c r="G14">
        <f>G16-G15</f>
        <v>911.4159374999972</v>
      </c>
      <c r="H14">
        <f>[1]!COUNTAU(A4:A35)-1</f>
        <v>3</v>
      </c>
      <c r="I14">
        <f>G14/H14</f>
        <v>303.80531249999905</v>
      </c>
      <c r="J14">
        <f>I14/I15</f>
        <v>2.0965251893044847</v>
      </c>
      <c r="K14">
        <f>FDIST(J14,H14,H15)</f>
        <v>0.12324752062884126</v>
      </c>
      <c r="L14">
        <f>FINV(L5,H14,H15)</f>
        <v>4.0366720269356247</v>
      </c>
      <c r="M14">
        <f>SQRT(DEVSQ(I7:I10)/(I15*H14))</f>
        <v>0.51192347930434057</v>
      </c>
      <c r="N14">
        <f>(G16-H16*I15)/(G16+I15)</f>
        <v>9.3216637348975423E-2</v>
      </c>
      <c r="P14" t="s">
        <v>190</v>
      </c>
      <c r="Q14">
        <f>Q16-Q15</f>
        <v>32.348437499999875</v>
      </c>
      <c r="R14">
        <f>[1]!COUNTAU(A4:A35)-1</f>
        <v>3</v>
      </c>
      <c r="S14">
        <f>Q14/R14</f>
        <v>10.782812499999958</v>
      </c>
      <c r="T14">
        <f>S14/S15</f>
        <v>2.6852438604097739</v>
      </c>
      <c r="U14">
        <f>FDIST(T14,R14,R15)</f>
        <v>6.5729410608718716E-2</v>
      </c>
      <c r="V14">
        <f>FINV(V5,R14,R15)</f>
        <v>4.0366720269356247</v>
      </c>
      <c r="W14">
        <f>SQRT(DEVSQ(S7:S10)/(S15*R14))</f>
        <v>0.57935781909906303</v>
      </c>
      <c r="X14">
        <f>(Q16-R16*S15)/(Q16+S15)</f>
        <v>0.13643588631212777</v>
      </c>
    </row>
    <row r="15" spans="1:24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  <c r="F15" t="s">
        <v>191</v>
      </c>
      <c r="G15">
        <f>SUM(K7:K10)</f>
        <v>4057.4512500000019</v>
      </c>
      <c r="H15">
        <f>H16-H14</f>
        <v>28</v>
      </c>
      <c r="I15">
        <f>G15/H15</f>
        <v>144.90897321428579</v>
      </c>
      <c r="P15" t="s">
        <v>191</v>
      </c>
      <c r="Q15">
        <f>SUM(U7:U10)</f>
        <v>112.43625000000014</v>
      </c>
      <c r="R15">
        <f>R16-R14</f>
        <v>28</v>
      </c>
      <c r="S15">
        <f>Q15/R15</f>
        <v>4.0155803571428619</v>
      </c>
    </row>
    <row r="16" spans="1:24" ht="14.45" x14ac:dyDescent="0.35">
      <c r="A16" t="s">
        <v>159</v>
      </c>
      <c r="B16" s="102">
        <v>66.900000000000006</v>
      </c>
      <c r="C16" s="103">
        <v>23.9</v>
      </c>
      <c r="D16" s="104">
        <v>1.1000000000000001</v>
      </c>
      <c r="F16" s="40" t="s">
        <v>168</v>
      </c>
      <c r="G16" s="40">
        <f>DEVSQ(B4:B35)</f>
        <v>4968.8671874999991</v>
      </c>
      <c r="H16" s="40">
        <f>COUNT(B4:B35)-1</f>
        <v>31</v>
      </c>
      <c r="I16" s="40">
        <f>G16/H16</f>
        <v>160.28603830645159</v>
      </c>
      <c r="J16" s="40"/>
      <c r="K16" s="40"/>
      <c r="L16" s="40"/>
      <c r="M16" s="40"/>
      <c r="N16" s="40"/>
      <c r="P16" s="40" t="s">
        <v>168</v>
      </c>
      <c r="Q16" s="40">
        <f>DEVSQ(D4:D35)</f>
        <v>144.78468750000002</v>
      </c>
      <c r="R16" s="40">
        <f>COUNT(D4:D35)-1</f>
        <v>31</v>
      </c>
      <c r="S16" s="40">
        <f>Q16/R16</f>
        <v>4.670473790322581</v>
      </c>
      <c r="T16" s="40"/>
      <c r="U16" s="40"/>
      <c r="V16" s="40"/>
      <c r="W16" s="40"/>
      <c r="X16" s="40"/>
    </row>
    <row r="17" spans="1:14" ht="14.45" x14ac:dyDescent="0.35">
      <c r="A17" t="s">
        <v>159</v>
      </c>
      <c r="B17" s="102">
        <v>55.4</v>
      </c>
      <c r="C17" s="103">
        <v>29.1</v>
      </c>
      <c r="D17" s="104">
        <v>5</v>
      </c>
    </row>
    <row r="18" spans="1:14" ht="14.45" x14ac:dyDescent="0.35">
      <c r="A18" t="s">
        <v>159</v>
      </c>
      <c r="B18" s="102">
        <v>50.5</v>
      </c>
      <c r="C18" s="103">
        <v>18</v>
      </c>
      <c r="D18" s="104">
        <v>4.8</v>
      </c>
      <c r="F18" t="s">
        <v>173</v>
      </c>
      <c r="I18" t="str">
        <f>C3</f>
        <v>water</v>
      </c>
    </row>
    <row r="19" spans="1:14" ht="14.45" x14ac:dyDescent="0.35">
      <c r="A19" t="s">
        <v>159</v>
      </c>
      <c r="B19" s="102">
        <v>64.099999999999994</v>
      </c>
      <c r="C19" s="103">
        <v>14.5</v>
      </c>
      <c r="D19" s="104">
        <v>3.7</v>
      </c>
    </row>
    <row r="20" spans="1:14" thickBot="1" x14ac:dyDescent="0.4">
      <c r="A20" t="s">
        <v>161</v>
      </c>
      <c r="B20" s="102">
        <v>62.8</v>
      </c>
      <c r="C20" s="103">
        <v>25.9</v>
      </c>
      <c r="D20" s="104">
        <v>2.9</v>
      </c>
      <c r="F20" t="s">
        <v>174</v>
      </c>
      <c r="K20" t="s">
        <v>175</v>
      </c>
      <c r="L20" s="122">
        <f>0.05/3</f>
        <v>1.6666666666666666E-2</v>
      </c>
    </row>
    <row r="21" spans="1:14" thickTop="1" x14ac:dyDescent="0.35">
      <c r="A21" t="s">
        <v>161</v>
      </c>
      <c r="B21" s="102">
        <v>45</v>
      </c>
      <c r="C21" s="103">
        <v>15.9</v>
      </c>
      <c r="D21" s="104">
        <v>1.2</v>
      </c>
      <c r="F21" s="94" t="s">
        <v>176</v>
      </c>
      <c r="G21" s="94" t="s">
        <v>100</v>
      </c>
      <c r="H21" s="94" t="s">
        <v>177</v>
      </c>
      <c r="I21" s="94" t="s">
        <v>34</v>
      </c>
      <c r="J21" s="94" t="s">
        <v>178</v>
      </c>
      <c r="K21" s="94" t="s">
        <v>179</v>
      </c>
      <c r="L21" s="94" t="s">
        <v>180</v>
      </c>
      <c r="M21" s="94" t="s">
        <v>181</v>
      </c>
      <c r="N21" s="94" t="s">
        <v>182</v>
      </c>
    </row>
    <row r="22" spans="1:14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  <c r="F22" t="str">
        <f t="array" ref="F22:F25">[1]!SortUnique(A4:A35)</f>
        <v>clay</v>
      </c>
      <c r="G22">
        <f>COUNTIF($A$4:$A$35,$F22)</f>
        <v>8</v>
      </c>
      <c r="H22">
        <f>SUMIF($A$4:$A$35,$F22,$C$4:$C$35)</f>
        <v>264.70000000000005</v>
      </c>
      <c r="I22">
        <f>AVERAGEIF($A$4:$A$35,$F22,$C$4:$C$35)</f>
        <v>33.087500000000006</v>
      </c>
      <c r="J22">
        <f t="array" ref="J22">VAR(IF($A$4:$A$35=$F22,$C$4:$C$35))</f>
        <v>128.23267857142804</v>
      </c>
      <c r="K22">
        <f>($G22-1)*J22</f>
        <v>897.62874999999622</v>
      </c>
      <c r="L22">
        <f>SQRT(I$30/G22)</f>
        <v>3.5569262475284975</v>
      </c>
      <c r="M22">
        <f>I22-L22*TINV(L$20,G22-1)</f>
        <v>21.963027225215654</v>
      </c>
      <c r="N22">
        <f>I22+L22*TINV(L$20,G22-1)</f>
        <v>44.211972774784357</v>
      </c>
    </row>
    <row r="23" spans="1:14" ht="14.45" x14ac:dyDescent="0.35">
      <c r="A23" t="s">
        <v>161</v>
      </c>
      <c r="B23" s="102">
        <v>75.599999999999994</v>
      </c>
      <c r="C23" s="103">
        <v>27.7</v>
      </c>
      <c r="D23" s="104">
        <v>6.3</v>
      </c>
      <c r="F23" t="str">
        <v>loam</v>
      </c>
      <c r="G23">
        <f>COUNTIF($A$4:$A$35,$F23)</f>
        <v>8</v>
      </c>
      <c r="H23">
        <f>SUMIF($A$4:$A$35,$F23,$C$4:$C$35)</f>
        <v>261.89999999999998</v>
      </c>
      <c r="I23">
        <f>AVERAGEIF($A$4:$A$35,$F23,$C$4:$C$35)</f>
        <v>32.737499999999997</v>
      </c>
      <c r="J23">
        <f t="array" ref="J23">VAR(IF($A$4:$A$35=$F23,$C$4:$C$35))</f>
        <v>54.439821428572031</v>
      </c>
      <c r="K23">
        <f>($G23-1)*J23</f>
        <v>381.07875000000422</v>
      </c>
      <c r="L23">
        <f>SQRT(I$30/G23)</f>
        <v>3.5569262475284975</v>
      </c>
      <c r="M23">
        <f>I23-L23*TINV(L$20,G23-1)</f>
        <v>21.613027225215646</v>
      </c>
      <c r="N23">
        <f>I23+L23*TINV(L$20,G23-1)</f>
        <v>43.861972774784348</v>
      </c>
    </row>
    <row r="24" spans="1:14" ht="14.45" x14ac:dyDescent="0.35">
      <c r="A24" t="s">
        <v>161</v>
      </c>
      <c r="B24" s="102">
        <v>46.6</v>
      </c>
      <c r="C24" s="103">
        <v>46.9</v>
      </c>
      <c r="D24" s="104">
        <v>3.6</v>
      </c>
      <c r="F24" t="str">
        <v>salty</v>
      </c>
      <c r="G24">
        <f>COUNTIF($A$4:$A$35,$F24)</f>
        <v>8</v>
      </c>
      <c r="H24">
        <f>SUMIF($A$4:$A$35,$F24,$C$4:$C$35)</f>
        <v>245.09999999999997</v>
      </c>
      <c r="I24">
        <f>AVERAGEIF($A$4:$A$35,$F24,$C$4:$C$35)</f>
        <v>30.637499999999996</v>
      </c>
      <c r="J24">
        <f t="array" ref="J24">VAR(IF($A$4:$A$35=$F24,$C$4:$C$35))</f>
        <v>82.059821428571794</v>
      </c>
      <c r="K24">
        <f>($G24-1)*J24</f>
        <v>574.41875000000255</v>
      </c>
      <c r="L24">
        <f>SQRT(I$30/G24)</f>
        <v>3.5569262475284975</v>
      </c>
      <c r="M24">
        <f>I24-L24*TINV(L$20,G24-1)</f>
        <v>19.513027225215644</v>
      </c>
      <c r="N24">
        <f>I24+L24*TINV(L$20,G24-1)</f>
        <v>41.761972774784347</v>
      </c>
    </row>
    <row r="25" spans="1:14" ht="14.45" x14ac:dyDescent="0.35">
      <c r="A25" t="s">
        <v>161</v>
      </c>
      <c r="B25" s="102">
        <v>50.6</v>
      </c>
      <c r="C25" s="103">
        <v>29.7</v>
      </c>
      <c r="D25" s="104">
        <v>4.7</v>
      </c>
      <c r="F25" t="str">
        <v>sandy</v>
      </c>
      <c r="G25">
        <f>COUNTIF($A$4:$A$35,$F25)</f>
        <v>8</v>
      </c>
      <c r="H25">
        <f>SUMIF($A$4:$A$35,$F25,$C$4:$C$35)</f>
        <v>225.6</v>
      </c>
      <c r="I25">
        <f>AVERAGEIF($A$4:$A$35,$F25,$C$4:$C$35)</f>
        <v>28.2</v>
      </c>
      <c r="J25">
        <f t="array" ref="J25">VAR(IF($A$4:$A$35=$F25,$C$4:$C$35))</f>
        <v>140.12285714285721</v>
      </c>
      <c r="K25">
        <f>($G25-1)*J25</f>
        <v>980.86000000000047</v>
      </c>
      <c r="L25">
        <f>SQRT(I$30/G25)</f>
        <v>3.5569262475284975</v>
      </c>
      <c r="M25">
        <f>I25-L25*TINV(L$20,G25-1)</f>
        <v>17.075527225215644</v>
      </c>
      <c r="N25">
        <f>I25+L25*TINV(L$20,G25-1)</f>
        <v>39.324472774784354</v>
      </c>
    </row>
    <row r="26" spans="1:14" ht="14.45" x14ac:dyDescent="0.35">
      <c r="A26" t="s">
        <v>161</v>
      </c>
      <c r="B26" s="102">
        <v>45.7</v>
      </c>
      <c r="C26" s="103">
        <v>27.6</v>
      </c>
      <c r="D26" s="104">
        <v>6.2</v>
      </c>
      <c r="F26" s="111"/>
      <c r="G26" s="111"/>
      <c r="H26" s="111"/>
      <c r="I26" s="111"/>
      <c r="J26" s="111"/>
      <c r="K26" s="111"/>
      <c r="L26" s="111"/>
      <c r="M26" s="111"/>
      <c r="N26" s="111"/>
    </row>
    <row r="27" spans="1:14" thickBot="1" x14ac:dyDescent="0.4">
      <c r="A27" t="s">
        <v>161</v>
      </c>
      <c r="B27" s="102">
        <v>68.400000000000006</v>
      </c>
      <c r="C27" s="103">
        <v>35.299999999999997</v>
      </c>
      <c r="D27" s="104">
        <v>1.9</v>
      </c>
      <c r="F27" t="s">
        <v>183</v>
      </c>
    </row>
    <row r="28" spans="1:14" thickTop="1" x14ac:dyDescent="0.35">
      <c r="A28" t="s">
        <v>160</v>
      </c>
      <c r="B28" s="102">
        <v>52.5</v>
      </c>
      <c r="C28" s="103">
        <v>39</v>
      </c>
      <c r="D28" s="104">
        <v>3.1</v>
      </c>
      <c r="F28" s="94" t="s">
        <v>184</v>
      </c>
      <c r="G28" s="94" t="s">
        <v>179</v>
      </c>
      <c r="H28" s="94" t="s">
        <v>62</v>
      </c>
      <c r="I28" s="94" t="s">
        <v>185</v>
      </c>
      <c r="J28" s="94" t="s">
        <v>54</v>
      </c>
      <c r="K28" s="94" t="s">
        <v>186</v>
      </c>
      <c r="L28" s="94" t="s">
        <v>187</v>
      </c>
      <c r="M28" s="94" t="s">
        <v>188</v>
      </c>
      <c r="N28" s="94" t="s">
        <v>189</v>
      </c>
    </row>
    <row r="29" spans="1:14" ht="14.45" x14ac:dyDescent="0.35">
      <c r="A29" t="s">
        <v>160</v>
      </c>
      <c r="B29" s="102">
        <v>80</v>
      </c>
      <c r="C29" s="103">
        <v>54.2</v>
      </c>
      <c r="D29" s="104">
        <v>4</v>
      </c>
      <c r="F29" t="s">
        <v>190</v>
      </c>
      <c r="G29">
        <f>G31-G30</f>
        <v>121.90593749999607</v>
      </c>
      <c r="H29">
        <f>[1]!COUNTAU(A4:A35)-1</f>
        <v>3</v>
      </c>
      <c r="I29">
        <f>G29/H29</f>
        <v>40.63531249999869</v>
      </c>
      <c r="J29">
        <f>I29/I30</f>
        <v>0.40147998248049438</v>
      </c>
      <c r="K29">
        <f>FDIST(J29,H29,H30)</f>
        <v>0.75302082013764882</v>
      </c>
      <c r="L29">
        <f>FINV(L20,H29,H30)</f>
        <v>4.0366720269356247</v>
      </c>
      <c r="M29">
        <f>SQRT(DEVSQ(I22:I25)/(I30*H29))</f>
        <v>0.22402008349713531</v>
      </c>
      <c r="N29">
        <f>(G31-H31*I30)/(G31+I30)</f>
        <v>-5.9446891108822217E-2</v>
      </c>
    </row>
    <row r="30" spans="1:14" ht="14.45" x14ac:dyDescent="0.35">
      <c r="A30" t="s">
        <v>160</v>
      </c>
      <c r="B30" s="102">
        <v>54.7</v>
      </c>
      <c r="C30" s="103">
        <v>32.1</v>
      </c>
      <c r="D30" s="104">
        <v>5.7</v>
      </c>
      <c r="F30" t="s">
        <v>191</v>
      </c>
      <c r="G30">
        <f>SUM(K22:K25)</f>
        <v>2833.9862500000036</v>
      </c>
      <c r="H30">
        <f>H31-H29</f>
        <v>28</v>
      </c>
      <c r="I30">
        <f>G30/H30</f>
        <v>101.21379464285727</v>
      </c>
    </row>
    <row r="31" spans="1:14" ht="14.45" x14ac:dyDescent="0.35">
      <c r="A31" t="s">
        <v>160</v>
      </c>
      <c r="B31" s="102">
        <v>63.5</v>
      </c>
      <c r="C31" s="103">
        <v>25.6</v>
      </c>
      <c r="D31" s="104">
        <v>3</v>
      </c>
      <c r="F31" s="40" t="s">
        <v>168</v>
      </c>
      <c r="G31" s="40">
        <f>DEVSQ(C4:C35)</f>
        <v>2955.8921874999996</v>
      </c>
      <c r="H31" s="40">
        <f>COUNT(C4:C35)-1</f>
        <v>31</v>
      </c>
      <c r="I31" s="40">
        <f>G31/H31</f>
        <v>95.35136088709676</v>
      </c>
      <c r="J31" s="40"/>
      <c r="K31" s="40"/>
      <c r="L31" s="40"/>
      <c r="M31" s="40"/>
      <c r="N31" s="40"/>
    </row>
    <row r="32" spans="1:14" ht="14.45" x14ac:dyDescent="0.35">
      <c r="A32" t="s">
        <v>160</v>
      </c>
      <c r="B32" s="102">
        <v>46.3</v>
      </c>
      <c r="C32" s="103">
        <v>31.8</v>
      </c>
      <c r="D32" s="104">
        <v>7.4</v>
      </c>
    </row>
    <row r="33" spans="1:4" x14ac:dyDescent="0.25">
      <c r="A33" t="s">
        <v>160</v>
      </c>
      <c r="B33" s="102">
        <v>61.5</v>
      </c>
      <c r="C33" s="103">
        <v>16.8</v>
      </c>
      <c r="D33" s="104">
        <v>1.9</v>
      </c>
    </row>
    <row r="34" spans="1:4" x14ac:dyDescent="0.25">
      <c r="A34" t="s">
        <v>160</v>
      </c>
      <c r="B34" s="102">
        <v>62.9</v>
      </c>
      <c r="C34" s="103">
        <v>25.8</v>
      </c>
      <c r="D34" s="104">
        <v>2.4</v>
      </c>
    </row>
    <row r="35" spans="1:4" x14ac:dyDescent="0.25">
      <c r="A35" t="s">
        <v>160</v>
      </c>
      <c r="B35" s="105">
        <v>49.3</v>
      </c>
      <c r="C35" s="106">
        <v>39.4</v>
      </c>
      <c r="D35" s="107">
        <v>5.2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/>
  <dimension ref="A1:S48"/>
  <sheetViews>
    <sheetView zoomScaleNormal="100" workbookViewId="0"/>
  </sheetViews>
  <sheetFormatPr defaultRowHeight="15" x14ac:dyDescent="0.25"/>
  <sheetData>
    <row r="1" spans="1:19" ht="14.45" x14ac:dyDescent="0.35">
      <c r="A1" s="42" t="s">
        <v>281</v>
      </c>
      <c r="F1" t="s">
        <v>236</v>
      </c>
    </row>
    <row r="3" spans="1:19" ht="14.45" x14ac:dyDescent="0.35">
      <c r="B3" s="47" t="s">
        <v>144</v>
      </c>
      <c r="C3" s="47" t="s">
        <v>145</v>
      </c>
      <c r="D3" s="47" t="s">
        <v>146</v>
      </c>
      <c r="G3" s="32" t="str">
        <f t="array" ref="G3:I3">$B$3:$D$3</f>
        <v>yield</v>
      </c>
      <c r="H3" s="32" t="str">
        <v>water</v>
      </c>
      <c r="I3" s="32" t="str">
        <v>herbicide</v>
      </c>
      <c r="J3" s="32" t="s">
        <v>100</v>
      </c>
      <c r="L3" s="32" t="s">
        <v>222</v>
      </c>
      <c r="N3" t="s">
        <v>218</v>
      </c>
      <c r="R3" t="s">
        <v>194</v>
      </c>
      <c r="S3" s="146">
        <f>MDETERM(N9:P11)/MDETERM(N4:P6+N9:P11)</f>
        <v>0.97755667844456362</v>
      </c>
    </row>
    <row r="4" spans="1:19" ht="14.45" x14ac:dyDescent="0.35">
      <c r="A4" t="s">
        <v>158</v>
      </c>
      <c r="B4" s="75">
        <v>76.7</v>
      </c>
      <c r="C4" s="100">
        <v>29.5</v>
      </c>
      <c r="D4" s="101">
        <v>7.5</v>
      </c>
      <c r="F4" t="s">
        <v>160</v>
      </c>
      <c r="G4" s="130">
        <f t="shared" ref="G4:I7" si="0">AVERAGEIF($A$4:$A$35,$F4,B$4:B$35)</f>
        <v>58.837499999999999</v>
      </c>
      <c r="H4" s="141">
        <f t="shared" si="0"/>
        <v>33.087500000000006</v>
      </c>
      <c r="I4" s="131">
        <f t="shared" si="0"/>
        <v>4.0875000000000004</v>
      </c>
      <c r="J4" s="132">
        <f>COUNTIF($A$4:$A$35,F4)</f>
        <v>8</v>
      </c>
      <c r="L4" s="133">
        <v>1</v>
      </c>
      <c r="N4" s="130">
        <f t="array" ref="N4:P6">MMULT(TRANSPOSE(G11:I11),G11:I11)/J10</f>
        <v>49.702499999999958</v>
      </c>
      <c r="O4" s="141">
        <v>34.54500000000013</v>
      </c>
      <c r="P4" s="131">
        <v>3.1725000000000061</v>
      </c>
      <c r="R4" t="s">
        <v>223</v>
      </c>
      <c r="S4" s="49">
        <f>COUNT($B$4:$B$35)</f>
        <v>32</v>
      </c>
    </row>
    <row r="5" spans="1:19" ht="14.45" x14ac:dyDescent="0.35">
      <c r="A5" t="s">
        <v>158</v>
      </c>
      <c r="B5" s="102">
        <v>60.5</v>
      </c>
      <c r="C5" s="103">
        <v>32.1</v>
      </c>
      <c r="D5" s="104">
        <v>6.3</v>
      </c>
      <c r="F5" t="s">
        <v>158</v>
      </c>
      <c r="G5" s="83">
        <f t="shared" si="0"/>
        <v>69.712500000000006</v>
      </c>
      <c r="H5" s="37">
        <f t="shared" si="0"/>
        <v>32.737499999999997</v>
      </c>
      <c r="I5" s="84">
        <f t="shared" si="0"/>
        <v>6.3874999999999984</v>
      </c>
      <c r="J5" s="98">
        <f>COUNTIF($A$4:$A$35,F5)</f>
        <v>8</v>
      </c>
      <c r="L5" s="127"/>
      <c r="N5" s="83">
        <v>34.54500000000013</v>
      </c>
      <c r="O5" s="37">
        <v>24.010000000000193</v>
      </c>
      <c r="P5" s="84">
        <v>2.2050000000000143</v>
      </c>
      <c r="R5" t="s">
        <v>224</v>
      </c>
      <c r="S5" s="49">
        <f>COUNT($B$4:$D$4)</f>
        <v>3</v>
      </c>
    </row>
    <row r="6" spans="1:19" ht="14.45" x14ac:dyDescent="0.35">
      <c r="A6" t="s">
        <v>158</v>
      </c>
      <c r="B6" s="102">
        <v>96.1</v>
      </c>
      <c r="C6" s="103">
        <v>40.700000000000003</v>
      </c>
      <c r="D6" s="104">
        <v>4.2</v>
      </c>
      <c r="F6" t="s">
        <v>161</v>
      </c>
      <c r="G6" s="83">
        <f t="shared" si="0"/>
        <v>55.3125</v>
      </c>
      <c r="H6" s="37">
        <f t="shared" si="0"/>
        <v>30.637499999999996</v>
      </c>
      <c r="I6" s="84">
        <f t="shared" si="0"/>
        <v>3.8624999999999998</v>
      </c>
      <c r="J6" s="98">
        <f>COUNTIF($A$4:$A$35,F6)</f>
        <v>8</v>
      </c>
      <c r="L6" s="127">
        <v>-1</v>
      </c>
      <c r="N6" s="85">
        <v>3.1725000000000061</v>
      </c>
      <c r="O6" s="86">
        <v>2.2050000000000143</v>
      </c>
      <c r="P6" s="87">
        <v>0.20250000000000096</v>
      </c>
      <c r="R6" t="s">
        <v>225</v>
      </c>
      <c r="S6" s="49">
        <f>COUNT(G4:G7)</f>
        <v>4</v>
      </c>
    </row>
    <row r="7" spans="1:19" ht="14.45" x14ac:dyDescent="0.35">
      <c r="A7" t="s">
        <v>158</v>
      </c>
      <c r="B7" s="102">
        <v>88.1</v>
      </c>
      <c r="C7" s="103">
        <v>45.1</v>
      </c>
      <c r="D7" s="104">
        <v>4.9000000000000004</v>
      </c>
      <c r="F7" t="s">
        <v>159</v>
      </c>
      <c r="G7" s="85">
        <f t="shared" si="0"/>
        <v>62.575000000000003</v>
      </c>
      <c r="H7" s="86">
        <f t="shared" si="0"/>
        <v>28.2</v>
      </c>
      <c r="I7" s="87">
        <f t="shared" si="0"/>
        <v>4.3500000000000005</v>
      </c>
      <c r="J7" s="99">
        <f>COUNTIF($A$4:$A$35,F7)</f>
        <v>8</v>
      </c>
      <c r="L7" s="128"/>
      <c r="R7" t="s">
        <v>55</v>
      </c>
      <c r="S7" s="49">
        <f>S5</f>
        <v>3</v>
      </c>
    </row>
    <row r="8" spans="1:19" ht="14.45" x14ac:dyDescent="0.35">
      <c r="A8" t="s">
        <v>158</v>
      </c>
      <c r="B8" s="102">
        <v>50.2</v>
      </c>
      <c r="C8" s="103">
        <v>34.1</v>
      </c>
      <c r="D8" s="104">
        <v>11.7</v>
      </c>
      <c r="F8" t="s">
        <v>168</v>
      </c>
      <c r="G8" s="134">
        <f>AVERAGE(B$4:B$35)</f>
        <v>61.609374999999993</v>
      </c>
      <c r="H8" s="135">
        <f>AVERAGE(C$4:C$35)</f>
        <v>31.165624999999999</v>
      </c>
      <c r="I8" s="136">
        <f>AVERAGE(D$4:D$35)</f>
        <v>4.6718749999999991</v>
      </c>
      <c r="J8" s="137">
        <f>SUM(J4:J7)</f>
        <v>32</v>
      </c>
      <c r="N8" t="s">
        <v>156</v>
      </c>
      <c r="R8" t="s">
        <v>56</v>
      </c>
      <c r="S8" s="49">
        <f>S4-S5-S6+1</f>
        <v>26</v>
      </c>
    </row>
    <row r="9" spans="1:19" ht="14.45" x14ac:dyDescent="0.35">
      <c r="A9" t="s">
        <v>158</v>
      </c>
      <c r="B9" s="102">
        <v>55</v>
      </c>
      <c r="C9" s="103">
        <v>31.1</v>
      </c>
      <c r="D9" s="104">
        <v>6.9</v>
      </c>
      <c r="N9" s="130">
        <f t="array" ref="N9:P11">[1]!COVPooled($A$4:$D$35)*(S4-S6)</f>
        <v>4057.4512499999992</v>
      </c>
      <c r="O9" s="141">
        <v>713.71624999999983</v>
      </c>
      <c r="P9" s="131">
        <v>-272.65125</v>
      </c>
      <c r="R9" t="s">
        <v>54</v>
      </c>
      <c r="S9" s="49">
        <f>(1-S3)/S3*(S8/S7)</f>
        <v>0.19897443401775336</v>
      </c>
    </row>
    <row r="10" spans="1:19" ht="14.45" x14ac:dyDescent="0.35">
      <c r="A10" t="s">
        <v>158</v>
      </c>
      <c r="B10" s="102">
        <v>65.400000000000006</v>
      </c>
      <c r="C10" s="103">
        <v>21.6</v>
      </c>
      <c r="D10" s="104">
        <v>4.3</v>
      </c>
      <c r="F10" t="s">
        <v>217</v>
      </c>
      <c r="J10" s="137">
        <f>SUMPRODUCT(L4:L7^2/J4:J7)</f>
        <v>0.25</v>
      </c>
      <c r="N10" s="83">
        <v>713.71624999999983</v>
      </c>
      <c r="O10" s="37">
        <v>2833.9862499999999</v>
      </c>
      <c r="P10" s="84">
        <v>122.69374999999999</v>
      </c>
      <c r="R10" t="s">
        <v>65</v>
      </c>
      <c r="S10" s="49">
        <f>FDIST(S9,S7,S8)</f>
        <v>0.89612925811977551</v>
      </c>
    </row>
    <row r="11" spans="1:19" ht="14.45" x14ac:dyDescent="0.35">
      <c r="A11" t="s">
        <v>158</v>
      </c>
      <c r="B11" s="102">
        <v>65.7</v>
      </c>
      <c r="C11" s="103">
        <v>27.7</v>
      </c>
      <c r="D11" s="104">
        <v>5.3</v>
      </c>
      <c r="F11" t="s">
        <v>48</v>
      </c>
      <c r="G11" s="130">
        <f>SUMPRODUCT(G4:G7,$L4:$L7)</f>
        <v>3.5249999999999986</v>
      </c>
      <c r="H11" s="141">
        <f>SUMPRODUCT(H4:H7,$L4:$L7)</f>
        <v>2.4500000000000099</v>
      </c>
      <c r="I11" s="131">
        <f>SUMPRODUCT(I4:I7,$L4:$L7)</f>
        <v>0.22500000000000053</v>
      </c>
      <c r="N11" s="85">
        <v>-272.65125</v>
      </c>
      <c r="O11" s="86">
        <v>122.69374999999999</v>
      </c>
      <c r="P11" s="87">
        <v>112.43624999999996</v>
      </c>
      <c r="R11" t="s">
        <v>226</v>
      </c>
      <c r="S11" s="52">
        <f>(S4-S6)*(1-S3)*J10/S3</f>
        <v>0.16071011978357003</v>
      </c>
    </row>
    <row r="12" spans="1:19" ht="14.45" x14ac:dyDescent="0.35">
      <c r="A12" t="s">
        <v>159</v>
      </c>
      <c r="B12" s="102">
        <v>67.3</v>
      </c>
      <c r="C12" s="103">
        <v>48.3</v>
      </c>
      <c r="D12" s="104">
        <v>5.5</v>
      </c>
      <c r="F12" t="s">
        <v>219</v>
      </c>
      <c r="G12" s="85">
        <f t="array" ref="G12:I12">SQRT([1]!DIAG(N9:P11)*J10/(S4-S6))</f>
        <v>6.0189071519314385</v>
      </c>
      <c r="H12" s="86">
        <v>5.0302533396156388</v>
      </c>
      <c r="I12" s="87">
        <v>1.0019456518622725</v>
      </c>
    </row>
    <row r="13" spans="1:19" ht="14.45" x14ac:dyDescent="0.35">
      <c r="A13" t="s">
        <v>159</v>
      </c>
      <c r="B13" s="102">
        <v>61.3</v>
      </c>
      <c r="C13" s="103">
        <v>28.9</v>
      </c>
      <c r="D13" s="104">
        <v>6.9</v>
      </c>
    </row>
    <row r="14" spans="1:19" ht="14.45" x14ac:dyDescent="0.35">
      <c r="A14" t="s">
        <v>159</v>
      </c>
      <c r="B14" s="102">
        <v>58.2</v>
      </c>
      <c r="C14" s="103">
        <v>42.5</v>
      </c>
      <c r="D14" s="104">
        <v>4.8</v>
      </c>
      <c r="F14" t="s">
        <v>236</v>
      </c>
    </row>
    <row r="15" spans="1:19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</row>
    <row r="16" spans="1:19" ht="14.45" x14ac:dyDescent="0.35">
      <c r="A16" t="s">
        <v>159</v>
      </c>
      <c r="B16" s="102">
        <v>66.900000000000006</v>
      </c>
      <c r="C16" s="103">
        <v>23.9</v>
      </c>
      <c r="D16" s="104">
        <v>1.1000000000000001</v>
      </c>
      <c r="G16" s="32" t="str">
        <f t="array" ref="G16:I16">$B$3:$D$3</f>
        <v>yield</v>
      </c>
      <c r="H16" s="32" t="str">
        <v>water</v>
      </c>
      <c r="I16" s="32" t="str">
        <v>herbicide</v>
      </c>
      <c r="J16" s="32" t="s">
        <v>100</v>
      </c>
      <c r="L16" s="32" t="s">
        <v>222</v>
      </c>
      <c r="N16" t="s">
        <v>218</v>
      </c>
      <c r="R16" s="37" t="s">
        <v>194</v>
      </c>
      <c r="S16" s="146">
        <f>MDETERM(N22:P24)/MDETERM(N17:P19+N22:P24)</f>
        <v>0.75628763427439605</v>
      </c>
    </row>
    <row r="17" spans="1:19" ht="14.45" x14ac:dyDescent="0.35">
      <c r="A17" t="s">
        <v>159</v>
      </c>
      <c r="B17" s="102">
        <v>55.4</v>
      </c>
      <c r="C17" s="103">
        <v>29.1</v>
      </c>
      <c r="D17" s="104">
        <v>5</v>
      </c>
      <c r="F17" t="s">
        <v>160</v>
      </c>
      <c r="G17" s="130">
        <f t="shared" ref="G17:I20" si="1">AVERAGEIF($A$4:$A$35,$F17,B$4:B$35)</f>
        <v>58.837499999999999</v>
      </c>
      <c r="H17" s="141">
        <f t="shared" si="1"/>
        <v>33.087500000000006</v>
      </c>
      <c r="I17" s="131">
        <f t="shared" si="1"/>
        <v>4.0875000000000004</v>
      </c>
      <c r="J17" s="132">
        <f>COUNTIF($A$4:$A$35,F17)</f>
        <v>8</v>
      </c>
      <c r="L17" s="133"/>
      <c r="N17" s="130">
        <f t="array" ref="N17:P19">MMULT(TRANSPOSE(G24:I24),G24:I24)/J23</f>
        <v>203.77562500000016</v>
      </c>
      <c r="O17" s="141">
        <v>129.545625</v>
      </c>
      <c r="P17" s="131">
        <v>58.170624999999966</v>
      </c>
      <c r="R17" s="37" t="s">
        <v>223</v>
      </c>
      <c r="S17" s="49">
        <f>COUNT($B$4:$B$35)</f>
        <v>32</v>
      </c>
    </row>
    <row r="18" spans="1:19" ht="14.45" x14ac:dyDescent="0.35">
      <c r="A18" t="s">
        <v>159</v>
      </c>
      <c r="B18" s="102">
        <v>50.5</v>
      </c>
      <c r="C18" s="103">
        <v>18</v>
      </c>
      <c r="D18" s="104">
        <v>4.8</v>
      </c>
      <c r="F18" t="s">
        <v>158</v>
      </c>
      <c r="G18" s="83">
        <f t="shared" si="1"/>
        <v>69.712500000000006</v>
      </c>
      <c r="H18" s="37">
        <f t="shared" si="1"/>
        <v>32.737499999999997</v>
      </c>
      <c r="I18" s="84">
        <f t="shared" si="1"/>
        <v>6.3874999999999984</v>
      </c>
      <c r="J18" s="98">
        <f>COUNTIF($A$4:$A$35,F18)</f>
        <v>8</v>
      </c>
      <c r="L18" s="127">
        <v>1</v>
      </c>
      <c r="N18" s="83">
        <v>129.545625</v>
      </c>
      <c r="O18" s="37">
        <v>82.355624999999918</v>
      </c>
      <c r="P18" s="84">
        <v>36.980624999999947</v>
      </c>
      <c r="R18" s="37" t="s">
        <v>224</v>
      </c>
      <c r="S18" s="49">
        <f>COUNT($B$4:$D$4)</f>
        <v>3</v>
      </c>
    </row>
    <row r="19" spans="1:19" ht="14.45" x14ac:dyDescent="0.35">
      <c r="A19" t="s">
        <v>159</v>
      </c>
      <c r="B19" s="102">
        <v>64.099999999999994</v>
      </c>
      <c r="C19" s="103">
        <v>14.5</v>
      </c>
      <c r="D19" s="104">
        <v>3.7</v>
      </c>
      <c r="F19" t="s">
        <v>161</v>
      </c>
      <c r="G19" s="83">
        <f t="shared" si="1"/>
        <v>55.3125</v>
      </c>
      <c r="H19" s="37">
        <f t="shared" si="1"/>
        <v>30.637499999999996</v>
      </c>
      <c r="I19" s="84">
        <f t="shared" si="1"/>
        <v>3.8624999999999998</v>
      </c>
      <c r="J19" s="98">
        <f>COUNTIF($A$4:$A$35,F19)</f>
        <v>8</v>
      </c>
      <c r="L19" s="127"/>
      <c r="N19" s="85">
        <v>58.170624999999966</v>
      </c>
      <c r="O19" s="86">
        <v>36.980624999999947</v>
      </c>
      <c r="P19" s="87">
        <v>16.605624999999964</v>
      </c>
      <c r="R19" s="37" t="s">
        <v>225</v>
      </c>
      <c r="S19" s="49">
        <f>COUNT(G17:G20)</f>
        <v>4</v>
      </c>
    </row>
    <row r="20" spans="1:19" ht="14.45" x14ac:dyDescent="0.35">
      <c r="A20" t="s">
        <v>161</v>
      </c>
      <c r="B20" s="102">
        <v>62.8</v>
      </c>
      <c r="C20" s="103">
        <v>25.9</v>
      </c>
      <c r="D20" s="104">
        <v>2.9</v>
      </c>
      <c r="F20" t="s">
        <v>159</v>
      </c>
      <c r="G20" s="85">
        <f t="shared" si="1"/>
        <v>62.575000000000003</v>
      </c>
      <c r="H20" s="86">
        <f t="shared" si="1"/>
        <v>28.2</v>
      </c>
      <c r="I20" s="87">
        <f t="shared" si="1"/>
        <v>4.3500000000000005</v>
      </c>
      <c r="J20" s="99">
        <f>COUNTIF($A$4:$A$35,F20)</f>
        <v>8</v>
      </c>
      <c r="L20" s="128">
        <v>-1</v>
      </c>
      <c r="R20" s="37" t="s">
        <v>55</v>
      </c>
      <c r="S20" s="49">
        <f>S18</f>
        <v>3</v>
      </c>
    </row>
    <row r="21" spans="1:19" ht="14.45" x14ac:dyDescent="0.35">
      <c r="A21" t="s">
        <v>161</v>
      </c>
      <c r="B21" s="102">
        <v>45</v>
      </c>
      <c r="C21" s="103">
        <v>15.9</v>
      </c>
      <c r="D21" s="104">
        <v>1.2</v>
      </c>
      <c r="F21" t="s">
        <v>168</v>
      </c>
      <c r="G21" s="134">
        <f>AVERAGE(B$4:B$35)</f>
        <v>61.609374999999993</v>
      </c>
      <c r="H21" s="135">
        <f>AVERAGE(C$4:C$35)</f>
        <v>31.165624999999999</v>
      </c>
      <c r="I21" s="136">
        <f>AVERAGE(D$4:D$35)</f>
        <v>4.6718749999999991</v>
      </c>
      <c r="J21" s="137">
        <f>SUM(J17:J20)</f>
        <v>32</v>
      </c>
      <c r="N21" t="s">
        <v>156</v>
      </c>
      <c r="R21" s="37" t="s">
        <v>56</v>
      </c>
      <c r="S21" s="49">
        <f>S17-S18-S19+1</f>
        <v>26</v>
      </c>
    </row>
    <row r="22" spans="1:19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  <c r="N22" s="130">
        <f t="array" ref="N22:P24">[1]!COVPooled($A$4:$D$35)*(S17-S19)</f>
        <v>4057.4512499999992</v>
      </c>
      <c r="O22" s="141">
        <v>713.71624999999983</v>
      </c>
      <c r="P22" s="131">
        <v>-272.65125</v>
      </c>
      <c r="R22" s="37" t="s">
        <v>54</v>
      </c>
      <c r="S22" s="49">
        <f>(1-S16)/S16*(S21/S20)</f>
        <v>2.7928181561702345</v>
      </c>
    </row>
    <row r="23" spans="1:19" ht="14.45" x14ac:dyDescent="0.35">
      <c r="A23" t="s">
        <v>161</v>
      </c>
      <c r="B23" s="102">
        <v>75.599999999999994</v>
      </c>
      <c r="C23" s="103">
        <v>27.7</v>
      </c>
      <c r="D23" s="104">
        <v>6.3</v>
      </c>
      <c r="F23" t="s">
        <v>217</v>
      </c>
      <c r="J23" s="137">
        <f>SUMPRODUCT(L17:L20^2/J17:J20)</f>
        <v>0.25</v>
      </c>
      <c r="N23" s="83">
        <v>713.71624999999983</v>
      </c>
      <c r="O23" s="37">
        <v>2833.9862499999999</v>
      </c>
      <c r="P23" s="84">
        <v>122.69374999999999</v>
      </c>
      <c r="R23" s="37" t="s">
        <v>65</v>
      </c>
      <c r="S23" s="49">
        <f>FDIST(S22,S20,S21)</f>
        <v>6.0267625406532355E-2</v>
      </c>
    </row>
    <row r="24" spans="1:19" ht="14.45" x14ac:dyDescent="0.35">
      <c r="A24" t="s">
        <v>161</v>
      </c>
      <c r="B24" s="102">
        <v>46.6</v>
      </c>
      <c r="C24" s="103">
        <v>46.9</v>
      </c>
      <c r="D24" s="104">
        <v>3.6</v>
      </c>
      <c r="F24" t="s">
        <v>48</v>
      </c>
      <c r="G24" s="130">
        <f>SUMPRODUCT(G17:G20,$L17:$L20)</f>
        <v>7.1375000000000028</v>
      </c>
      <c r="H24" s="141">
        <f>SUMPRODUCT(H17:H20,$L17:$L20)</f>
        <v>4.5374999999999979</v>
      </c>
      <c r="I24" s="131">
        <f>SUMPRODUCT(I17:I20,$L17:$L20)</f>
        <v>2.0374999999999979</v>
      </c>
      <c r="N24" s="85">
        <v>-272.65125</v>
      </c>
      <c r="O24" s="86">
        <v>122.69374999999999</v>
      </c>
      <c r="P24" s="87">
        <v>112.43624999999996</v>
      </c>
      <c r="R24" s="37" t="s">
        <v>226</v>
      </c>
      <c r="S24" s="52">
        <f>(S17-S19)*(1-S16)*J23/S16</f>
        <v>2.2557377415221125</v>
      </c>
    </row>
    <row r="25" spans="1:19" ht="14.45" x14ac:dyDescent="0.35">
      <c r="A25" t="s">
        <v>161</v>
      </c>
      <c r="B25" s="102">
        <v>50.6</v>
      </c>
      <c r="C25" s="103">
        <v>29.7</v>
      </c>
      <c r="D25" s="104">
        <v>4.7</v>
      </c>
      <c r="F25" t="s">
        <v>219</v>
      </c>
      <c r="G25" s="85">
        <f t="array" ref="G25:I25">SQRT([1]!DIAG(N22:P24)*J23/(S17-S19))</f>
        <v>6.0189071519314385</v>
      </c>
      <c r="H25" s="86">
        <v>5.0302533396156388</v>
      </c>
      <c r="I25" s="87">
        <v>1.0019456518622725</v>
      </c>
    </row>
    <row r="26" spans="1:19" ht="14.45" x14ac:dyDescent="0.35">
      <c r="A26" t="s">
        <v>161</v>
      </c>
      <c r="B26" s="102">
        <v>45.7</v>
      </c>
      <c r="C26" s="103">
        <v>27.6</v>
      </c>
      <c r="D26" s="104">
        <v>6.2</v>
      </c>
    </row>
    <row r="27" spans="1:19" ht="14.45" x14ac:dyDescent="0.35">
      <c r="A27" t="s">
        <v>161</v>
      </c>
      <c r="B27" s="102">
        <v>68.400000000000006</v>
      </c>
      <c r="C27" s="103">
        <v>35.299999999999997</v>
      </c>
      <c r="D27" s="104">
        <v>1.9</v>
      </c>
      <c r="F27" t="s">
        <v>236</v>
      </c>
    </row>
    <row r="28" spans="1:19" ht="14.45" x14ac:dyDescent="0.35">
      <c r="A28" t="s">
        <v>160</v>
      </c>
      <c r="B28" s="102">
        <v>52.5</v>
      </c>
      <c r="C28" s="103">
        <v>39</v>
      </c>
      <c r="D28" s="104">
        <v>3.1</v>
      </c>
    </row>
    <row r="29" spans="1:19" ht="14.45" x14ac:dyDescent="0.35">
      <c r="A29" t="s">
        <v>160</v>
      </c>
      <c r="B29" s="102">
        <v>80</v>
      </c>
      <c r="C29" s="103">
        <v>54.2</v>
      </c>
      <c r="D29" s="104">
        <v>4</v>
      </c>
      <c r="G29" s="32" t="str">
        <f t="array" ref="G29:I29">$B$3:$D$3</f>
        <v>yield</v>
      </c>
      <c r="H29" s="32" t="str">
        <v>water</v>
      </c>
      <c r="I29" s="32" t="str">
        <v>herbicide</v>
      </c>
      <c r="J29" s="32" t="s">
        <v>100</v>
      </c>
      <c r="L29" s="32" t="s">
        <v>222</v>
      </c>
      <c r="N29" t="s">
        <v>218</v>
      </c>
      <c r="R29" s="37" t="s">
        <v>194</v>
      </c>
      <c r="S29" s="146">
        <f>MDETERM(N35:P37)/MDETERM(N30:P32+N35:P37)</f>
        <v>0.60626940476989866</v>
      </c>
    </row>
    <row r="30" spans="1:19" ht="14.45" x14ac:dyDescent="0.35">
      <c r="A30" t="s">
        <v>160</v>
      </c>
      <c r="B30" s="102">
        <v>54.7</v>
      </c>
      <c r="C30" s="103">
        <v>32.1</v>
      </c>
      <c r="D30" s="104">
        <v>5.7</v>
      </c>
      <c r="F30" t="s">
        <v>160</v>
      </c>
      <c r="G30" s="130">
        <f t="shared" ref="G30:I33" si="2">AVERAGEIF($A$4:$A$35,$F30,B$4:B$35)</f>
        <v>58.837499999999999</v>
      </c>
      <c r="H30" s="141">
        <f t="shared" si="2"/>
        <v>33.087500000000006</v>
      </c>
      <c r="I30" s="131">
        <f t="shared" si="2"/>
        <v>4.0875000000000004</v>
      </c>
      <c r="J30" s="132">
        <f>COUNTIF($A$4:$A$35,F30)</f>
        <v>8</v>
      </c>
      <c r="L30" s="133">
        <f>L32</f>
        <v>-0.5</v>
      </c>
      <c r="N30" s="130">
        <f t="array" ref="N30:P32">MMULT(TRANSPOSE(G37:I37),G37:I37)/J36</f>
        <v>657.93781250000075</v>
      </c>
      <c r="O30" s="141">
        <v>-101.11656250000024</v>
      </c>
      <c r="P30" s="131">
        <v>101.11656250000001</v>
      </c>
      <c r="R30" s="37" t="s">
        <v>223</v>
      </c>
      <c r="S30" s="49">
        <f>COUNT($B$4:$B$35)</f>
        <v>32</v>
      </c>
    </row>
    <row r="31" spans="1:19" ht="14.45" x14ac:dyDescent="0.35">
      <c r="A31" t="s">
        <v>160</v>
      </c>
      <c r="B31" s="102">
        <v>63.5</v>
      </c>
      <c r="C31" s="103">
        <v>25.6</v>
      </c>
      <c r="D31" s="104">
        <v>3</v>
      </c>
      <c r="F31" t="s">
        <v>158</v>
      </c>
      <c r="G31" s="83">
        <f t="shared" si="2"/>
        <v>69.712500000000006</v>
      </c>
      <c r="H31" s="37">
        <f t="shared" si="2"/>
        <v>32.737499999999997</v>
      </c>
      <c r="I31" s="84">
        <f t="shared" si="2"/>
        <v>6.3874999999999984</v>
      </c>
      <c r="J31" s="98">
        <f>COUNTIF($A$4:$A$35,F31)</f>
        <v>8</v>
      </c>
      <c r="L31" s="127">
        <f>L33</f>
        <v>0.5</v>
      </c>
      <c r="N31" s="83">
        <v>-101.11656250000024</v>
      </c>
      <c r="O31" s="37">
        <v>15.540312500000056</v>
      </c>
      <c r="P31" s="84">
        <v>-15.54031250000002</v>
      </c>
      <c r="R31" s="37" t="s">
        <v>224</v>
      </c>
      <c r="S31" s="49">
        <f>COUNT($B$4:$D$4)</f>
        <v>3</v>
      </c>
    </row>
    <row r="32" spans="1:19" x14ac:dyDescent="0.25">
      <c r="A32" t="s">
        <v>160</v>
      </c>
      <c r="B32" s="102">
        <v>46.3</v>
      </c>
      <c r="C32" s="103">
        <v>31.8</v>
      </c>
      <c r="D32" s="104">
        <v>7.4</v>
      </c>
      <c r="F32" t="s">
        <v>161</v>
      </c>
      <c r="G32" s="83">
        <f t="shared" si="2"/>
        <v>55.3125</v>
      </c>
      <c r="H32" s="37">
        <f t="shared" si="2"/>
        <v>30.637499999999996</v>
      </c>
      <c r="I32" s="84">
        <f t="shared" si="2"/>
        <v>3.8624999999999998</v>
      </c>
      <c r="J32" s="98">
        <f>COUNTIF($A$4:$A$35,F32)</f>
        <v>8</v>
      </c>
      <c r="L32" s="127">
        <f>-L33</f>
        <v>-0.5</v>
      </c>
      <c r="N32" s="85">
        <v>101.11656250000001</v>
      </c>
      <c r="O32" s="86">
        <v>-15.54031250000002</v>
      </c>
      <c r="P32" s="87">
        <v>15.540312499999986</v>
      </c>
      <c r="R32" s="37" t="s">
        <v>225</v>
      </c>
      <c r="S32" s="49">
        <f>COUNT(G30:G33)</f>
        <v>4</v>
      </c>
    </row>
    <row r="33" spans="1:19" x14ac:dyDescent="0.25">
      <c r="A33" t="s">
        <v>160</v>
      </c>
      <c r="B33" s="102">
        <v>61.5</v>
      </c>
      <c r="C33" s="103">
        <v>16.8</v>
      </c>
      <c r="D33" s="104">
        <v>1.9</v>
      </c>
      <c r="F33" t="s">
        <v>159</v>
      </c>
      <c r="G33" s="85">
        <f t="shared" si="2"/>
        <v>62.575000000000003</v>
      </c>
      <c r="H33" s="86">
        <f t="shared" si="2"/>
        <v>28.2</v>
      </c>
      <c r="I33" s="87">
        <f t="shared" si="2"/>
        <v>4.3500000000000005</v>
      </c>
      <c r="J33" s="99">
        <f>COUNTIF($A$4:$A$35,F33)</f>
        <v>8</v>
      </c>
      <c r="L33" s="128">
        <f>1/2</f>
        <v>0.5</v>
      </c>
      <c r="R33" s="37" t="s">
        <v>55</v>
      </c>
      <c r="S33" s="49">
        <f>S31</f>
        <v>3</v>
      </c>
    </row>
    <row r="34" spans="1:19" x14ac:dyDescent="0.25">
      <c r="A34" t="s">
        <v>160</v>
      </c>
      <c r="B34" s="102">
        <v>62.9</v>
      </c>
      <c r="C34" s="103">
        <v>25.8</v>
      </c>
      <c r="D34" s="104">
        <v>2.4</v>
      </c>
      <c r="F34" t="s">
        <v>168</v>
      </c>
      <c r="G34" s="134">
        <f>AVERAGE(B$4:B$35)</f>
        <v>61.609374999999993</v>
      </c>
      <c r="H34" s="135">
        <f>AVERAGE(C$4:C$35)</f>
        <v>31.165624999999999</v>
      </c>
      <c r="I34" s="136">
        <f>AVERAGE(D$4:D$35)</f>
        <v>4.6718749999999991</v>
      </c>
      <c r="J34" s="137">
        <f>SUM(J30:J33)</f>
        <v>32</v>
      </c>
      <c r="N34" t="s">
        <v>156</v>
      </c>
      <c r="R34" s="37" t="s">
        <v>56</v>
      </c>
      <c r="S34" s="49">
        <f>S30-S31-S32+1</f>
        <v>26</v>
      </c>
    </row>
    <row r="35" spans="1:19" x14ac:dyDescent="0.25">
      <c r="A35" t="s">
        <v>160</v>
      </c>
      <c r="B35" s="105">
        <v>49.3</v>
      </c>
      <c r="C35" s="106">
        <v>39.4</v>
      </c>
      <c r="D35" s="107">
        <v>5.2</v>
      </c>
      <c r="N35" s="130">
        <f t="array" ref="N35:P37">[1]!COVPooled($A$4:$D$35)*(S30-S32)</f>
        <v>4057.4512499999992</v>
      </c>
      <c r="O35" s="141">
        <v>713.71624999999983</v>
      </c>
      <c r="P35" s="131">
        <v>-272.65125</v>
      </c>
      <c r="R35" s="37" t="s">
        <v>54</v>
      </c>
      <c r="S35" s="49">
        <f>(1-S29)/S29*(S34/S33)</f>
        <v>5.6284084245066746</v>
      </c>
    </row>
    <row r="36" spans="1:19" x14ac:dyDescent="0.25">
      <c r="F36" t="s">
        <v>217</v>
      </c>
      <c r="J36" s="137">
        <f>SUMPRODUCT(L30:L33^2/J30:J33)</f>
        <v>0.125</v>
      </c>
      <c r="N36" s="83">
        <v>713.71624999999983</v>
      </c>
      <c r="O36" s="37">
        <v>2833.9862499999999</v>
      </c>
      <c r="P36" s="84">
        <v>122.69374999999999</v>
      </c>
      <c r="R36" s="37" t="s">
        <v>65</v>
      </c>
      <c r="S36" s="49">
        <f>FDIST(S35,S33,S34)</f>
        <v>4.1316163101401977E-3</v>
      </c>
    </row>
    <row r="37" spans="1:19" x14ac:dyDescent="0.25">
      <c r="F37" t="s">
        <v>48</v>
      </c>
      <c r="G37" s="130">
        <f>SUMPRODUCT(G30:G33,$L30:$L33)</f>
        <v>9.068750000000005</v>
      </c>
      <c r="H37" s="141">
        <f>SUMPRODUCT(H30:H33,$L30:$L33)</f>
        <v>-1.3937500000000025</v>
      </c>
      <c r="I37" s="131">
        <f>SUMPRODUCT(I30:I33,$L30:$L33)</f>
        <v>1.3937499999999994</v>
      </c>
      <c r="N37" s="85">
        <v>-272.65125</v>
      </c>
      <c r="O37" s="86">
        <v>122.69374999999999</v>
      </c>
      <c r="P37" s="87">
        <v>112.43624999999996</v>
      </c>
      <c r="R37" s="37" t="s">
        <v>226</v>
      </c>
      <c r="S37" s="52">
        <f>(S30-S32)*(1-S29)*J36/S29</f>
        <v>2.2730110945123112</v>
      </c>
    </row>
    <row r="38" spans="1:19" x14ac:dyDescent="0.25">
      <c r="F38" t="s">
        <v>219</v>
      </c>
      <c r="G38" s="85">
        <f t="array" ref="G38:I38">SQRT([1]!DIAG(N35:P37)*J36/(S30-S32))</f>
        <v>4.2560100624629298</v>
      </c>
      <c r="H38" s="86">
        <v>3.5569262475284953</v>
      </c>
      <c r="I38" s="87">
        <v>0.70848256481218852</v>
      </c>
    </row>
    <row r="40" spans="1:19" x14ac:dyDescent="0.25">
      <c r="F40" t="s">
        <v>69</v>
      </c>
    </row>
    <row r="41" spans="1:19" x14ac:dyDescent="0.25">
      <c r="K41" t="s">
        <v>175</v>
      </c>
      <c r="L41" s="132">
        <v>0.05</v>
      </c>
    </row>
    <row r="42" spans="1:19" x14ac:dyDescent="0.25">
      <c r="F42" t="s">
        <v>66</v>
      </c>
      <c r="G42" s="130">
        <f>G37-G38*$L43</f>
        <v>-4.1262786585150319</v>
      </c>
      <c r="H42" s="141">
        <f>H37-H38*$L43</f>
        <v>-12.421389287394577</v>
      </c>
      <c r="I42" s="131">
        <f>I37-I38*$L43</f>
        <v>-0.80277858182980211</v>
      </c>
      <c r="K42" t="s">
        <v>58</v>
      </c>
      <c r="L42" s="98">
        <f>FINV(L41,S33,S34)</f>
        <v>2.9751539639733933</v>
      </c>
    </row>
    <row r="43" spans="1:19" x14ac:dyDescent="0.25">
      <c r="F43" t="s">
        <v>67</v>
      </c>
      <c r="G43" s="85">
        <f>G37+G38*$L43</f>
        <v>22.263778658515044</v>
      </c>
      <c r="H43" s="86">
        <f>H37+H38*$L43</f>
        <v>9.6338892873945721</v>
      </c>
      <c r="I43" s="87">
        <f>I37+I38*$L43</f>
        <v>3.5902785818298009</v>
      </c>
      <c r="K43" t="s">
        <v>113</v>
      </c>
      <c r="L43" s="99">
        <f>SQRT(S33*(S30-S32)*L42/S34)</f>
        <v>3.1003283509341952</v>
      </c>
    </row>
    <row r="45" spans="1:19" x14ac:dyDescent="0.25">
      <c r="F45" t="s">
        <v>221</v>
      </c>
    </row>
    <row r="46" spans="1:19" x14ac:dyDescent="0.25">
      <c r="K46" t="s">
        <v>175</v>
      </c>
      <c r="L46" s="132">
        <f>L41/3</f>
        <v>1.6666666666666666E-2</v>
      </c>
    </row>
    <row r="47" spans="1:19" x14ac:dyDescent="0.25">
      <c r="F47" t="s">
        <v>66</v>
      </c>
      <c r="G47" s="130">
        <f>G37-G38*$L48</f>
        <v>-1.7690316118653904</v>
      </c>
      <c r="H47" s="141">
        <f>H37-H38*$L48</f>
        <v>-10.451338989326194</v>
      </c>
      <c r="I47" s="131">
        <f>I37-I38*$L48</f>
        <v>-0.41037621224051724</v>
      </c>
      <c r="K47" t="s">
        <v>62</v>
      </c>
      <c r="L47" s="98">
        <f>S30-S32</f>
        <v>28</v>
      </c>
    </row>
    <row r="48" spans="1:19" x14ac:dyDescent="0.25">
      <c r="F48" t="s">
        <v>67</v>
      </c>
      <c r="G48" s="85">
        <f>G37+G38*$L48</f>
        <v>19.9065316118654</v>
      </c>
      <c r="H48" s="86">
        <f>H37+H38*$L48</f>
        <v>7.6638389893261891</v>
      </c>
      <c r="I48" s="87">
        <f>I37+I38*$L48</f>
        <v>3.1978762122405158</v>
      </c>
      <c r="K48" t="s">
        <v>63</v>
      </c>
      <c r="L48" s="99">
        <f>TINV(L46,L47)</f>
        <v>2.5464652227804252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/>
  <dimension ref="A1:BC46"/>
  <sheetViews>
    <sheetView workbookViewId="0">
      <selection activeCell="B19" sqref="B19"/>
    </sheetView>
  </sheetViews>
  <sheetFormatPr defaultRowHeight="15" x14ac:dyDescent="0.25"/>
  <cols>
    <col min="6" max="6" width="15" customWidth="1"/>
    <col min="22" max="22" width="15.85546875" customWidth="1"/>
  </cols>
  <sheetData>
    <row r="1" spans="1:55" ht="14.45" x14ac:dyDescent="0.35">
      <c r="A1" s="42" t="s">
        <v>282</v>
      </c>
      <c r="F1" t="s">
        <v>147</v>
      </c>
      <c r="N1" t="s">
        <v>232</v>
      </c>
      <c r="R1" t="s">
        <v>233</v>
      </c>
      <c r="V1" t="s">
        <v>234</v>
      </c>
      <c r="AF1" t="s">
        <v>235</v>
      </c>
      <c r="AM1" t="s">
        <v>108</v>
      </c>
      <c r="AP1" t="s">
        <v>236</v>
      </c>
    </row>
    <row r="2" spans="1:55" thickBot="1" x14ac:dyDescent="0.4"/>
    <row r="3" spans="1:55" thickTop="1" x14ac:dyDescent="0.35">
      <c r="B3" s="47" t="s">
        <v>144</v>
      </c>
      <c r="C3" s="47" t="s">
        <v>145</v>
      </c>
      <c r="D3" s="47" t="s">
        <v>146</v>
      </c>
      <c r="F3" s="94"/>
      <c r="G3" s="94" t="s">
        <v>148</v>
      </c>
      <c r="H3" s="94" t="s">
        <v>54</v>
      </c>
      <c r="I3" s="94" t="s">
        <v>55</v>
      </c>
      <c r="J3" s="94" t="s">
        <v>56</v>
      </c>
      <c r="K3" s="94" t="s">
        <v>65</v>
      </c>
      <c r="L3" s="94" t="s">
        <v>149</v>
      </c>
      <c r="N3" t="s">
        <v>154</v>
      </c>
      <c r="R3" t="s">
        <v>160</v>
      </c>
      <c r="V3" t="s">
        <v>173</v>
      </c>
      <c r="Y3" t="str">
        <f>B3</f>
        <v>yield</v>
      </c>
      <c r="AF3" s="32" t="s">
        <v>228</v>
      </c>
      <c r="AG3" s="32" t="s">
        <v>65</v>
      </c>
      <c r="AI3" t="s">
        <v>227</v>
      </c>
      <c r="AM3" t="s">
        <v>113</v>
      </c>
      <c r="AN3" s="132">
        <f>[1]!BOXM(A4:D35)</f>
        <v>14.970375425484164</v>
      </c>
      <c r="AQ3" s="32" t="str">
        <f t="array" ref="AQ3:AS3">$B$3:$D$3</f>
        <v>yield</v>
      </c>
      <c r="AR3" s="32" t="str">
        <v>water</v>
      </c>
      <c r="AS3" s="32" t="str">
        <v>herbicide</v>
      </c>
      <c r="AT3" s="32" t="s">
        <v>100</v>
      </c>
      <c r="AV3" s="32" t="s">
        <v>222</v>
      </c>
      <c r="AX3" t="s">
        <v>218</v>
      </c>
      <c r="BB3" t="s">
        <v>194</v>
      </c>
      <c r="BC3" s="132">
        <f>MDETERM(AX9:AZ11)/MDETERM(AX4:AZ6+AX9:AZ11)</f>
        <v>0.62213948978698763</v>
      </c>
    </row>
    <row r="4" spans="1:55" ht="14.45" x14ac:dyDescent="0.35">
      <c r="A4" t="s">
        <v>158</v>
      </c>
      <c r="B4" s="75">
        <v>76.7</v>
      </c>
      <c r="C4" s="100">
        <v>29.5</v>
      </c>
      <c r="D4" s="101">
        <v>7.5</v>
      </c>
      <c r="F4" t="s">
        <v>150</v>
      </c>
      <c r="G4">
        <f>[1]!MANOVA_PillaiTrace(A4:D35)</f>
        <v>0.5345015348635207</v>
      </c>
      <c r="H4">
        <f>[1]!MANOVA_PillaiF(A4:D35)</f>
        <v>2.0233965109296368</v>
      </c>
      <c r="I4">
        <f>[1]!MANOVA_Pillaidf1(A4:D35)</f>
        <v>9</v>
      </c>
      <c r="J4">
        <f>[1]!MANOVA_Pillaidf2(A4:D35)</f>
        <v>84</v>
      </c>
      <c r="K4">
        <f>[1]!F_DIST_RT(H4,I4,J4)</f>
        <v>4.6408000307959218E-2</v>
      </c>
      <c r="L4">
        <f>H4*I4/(H4*I4+J4)</f>
        <v>0.17816717828784023</v>
      </c>
      <c r="N4" s="149">
        <f t="array" ref="N4:P6">[1]!COVP(B4:D35)*COUNT(B4:B35)</f>
        <v>4968.8671874999991</v>
      </c>
      <c r="O4" s="129">
        <v>776.69031249999966</v>
      </c>
      <c r="P4" s="150">
        <v>-110.1915625</v>
      </c>
      <c r="R4" s="149">
        <f t="array" ref="R4:T6">[1]!ExtractCov(A4:D35,R3)</f>
        <v>114.08839285714288</v>
      </c>
      <c r="S4" s="129">
        <v>37.351964285714295</v>
      </c>
      <c r="T4" s="150">
        <v>-10.308035714285715</v>
      </c>
      <c r="AF4" s="149">
        <f t="array" ref="AF4">MMULT(B4:D4-$AI$14:$AK$14,MMULT($AI$9:$AK$11,TRANSPOSE(B4:D4-$AI$14:$AK$14)))</f>
        <v>4.2863900462934961</v>
      </c>
      <c r="AG4" s="150">
        <f>CHIDIST(AF4,COUNT($B$4:$D$4))</f>
        <v>0.23215367620007149</v>
      </c>
      <c r="AH4" s="70" t="str">
        <f>IF(AG4&lt;0.001,"*","")</f>
        <v/>
      </c>
      <c r="AI4" s="149">
        <f t="array" ref="AI4:AK6">[1]!COV(B4:D35)</f>
        <v>160.28603830645159</v>
      </c>
      <c r="AJ4" s="129">
        <v>25.054526209677409</v>
      </c>
      <c r="AK4" s="150">
        <v>-3.5545665322580646</v>
      </c>
      <c r="AM4" t="s">
        <v>54</v>
      </c>
      <c r="AN4" s="98">
        <f>[1]!BOXF(A4:D35)</f>
        <v>0.66539200993652636</v>
      </c>
      <c r="AP4" t="s">
        <v>160</v>
      </c>
      <c r="AQ4" s="149">
        <f t="shared" ref="AQ4:AS7" si="0">AVERAGEIF($A$4:$A$35,$AP4,B$4:B$35)</f>
        <v>58.837499999999999</v>
      </c>
      <c r="AR4" s="129">
        <f t="shared" si="0"/>
        <v>33.087500000000006</v>
      </c>
      <c r="AS4" s="150">
        <f t="shared" si="0"/>
        <v>4.0875000000000004</v>
      </c>
      <c r="AT4" s="132">
        <f>COUNTIF($A$4:$A$35,AP4)</f>
        <v>8</v>
      </c>
      <c r="AV4" s="133">
        <v>-1</v>
      </c>
      <c r="AX4" s="149">
        <f t="array" ref="AX4:AZ6">MMULT(TRANSPOSE(AQ11:AS11),AQ11:AS11)/AT10</f>
        <v>473.06250000000063</v>
      </c>
      <c r="AY4" s="129">
        <v>-15.225000000000382</v>
      </c>
      <c r="AZ4" s="150">
        <v>100.04999999999998</v>
      </c>
      <c r="BB4" t="s">
        <v>223</v>
      </c>
      <c r="BC4" s="98">
        <f>COUNT($B$4:$B$35)</f>
        <v>32</v>
      </c>
    </row>
    <row r="5" spans="1:55" thickBot="1" x14ac:dyDescent="0.4">
      <c r="A5" t="s">
        <v>158</v>
      </c>
      <c r="B5" s="102">
        <v>60.5</v>
      </c>
      <c r="C5" s="103">
        <v>32.1</v>
      </c>
      <c r="D5" s="104">
        <v>6.3</v>
      </c>
      <c r="F5" t="s">
        <v>151</v>
      </c>
      <c r="G5">
        <f>[1]!MANOVA_WilksLambda(A4:D35)</f>
        <v>0.48941378290183696</v>
      </c>
      <c r="H5">
        <f>[1]!MANOVA_WilksF(A4:D35)</f>
        <v>2.4049573708677712</v>
      </c>
      <c r="I5">
        <f>[1]!MANOVA_Wilksdf1(A4:D35)</f>
        <v>9</v>
      </c>
      <c r="J5">
        <f>[1]!MANOVA_Wilksdf2(A4:D35)</f>
        <v>63.427773928892357</v>
      </c>
      <c r="K5">
        <f>[1]!F_DIST_RT(H5,I5,J5)</f>
        <v>2.0471936357816189E-2</v>
      </c>
      <c r="L5">
        <f>H5*I5/(H5*I5+J5)</f>
        <v>0.25442586331421951</v>
      </c>
      <c r="N5" s="83">
        <v>776.69031249999966</v>
      </c>
      <c r="O5" s="37">
        <v>2955.8921874999996</v>
      </c>
      <c r="P5" s="84">
        <v>146.33906250000001</v>
      </c>
      <c r="R5" s="83">
        <v>37.351964285714295</v>
      </c>
      <c r="S5" s="37">
        <v>128.23267857142858</v>
      </c>
      <c r="T5" s="84">
        <v>7.0783928571428572</v>
      </c>
      <c r="V5" t="s">
        <v>174</v>
      </c>
      <c r="AA5" t="s">
        <v>175</v>
      </c>
      <c r="AB5" s="122">
        <v>1.6667000000000001E-2</v>
      </c>
      <c r="AF5" s="83">
        <f t="array" ref="AF5">MMULT(B5:D5-$AI$14:$AK$14,MMULT($AI$9:$AK$11,TRANSPOSE(B5:D5-$AI$14:$AK$14)))</f>
        <v>0.57399516355645808</v>
      </c>
      <c r="AG5" s="84">
        <f t="shared" ref="AG5:AG35" si="1">CHIDIST(AF5,COUNT($B$4:$D$4))</f>
        <v>0.90235891305093352</v>
      </c>
      <c r="AH5" s="70" t="str">
        <f t="shared" ref="AH5:AH35" si="2">IF(AG5&lt;0.001,"*","")</f>
        <v/>
      </c>
      <c r="AI5" s="83">
        <v>25.054526209677409</v>
      </c>
      <c r="AJ5" s="37">
        <v>95.35136088709676</v>
      </c>
      <c r="AK5" s="84">
        <v>4.7206149193548388</v>
      </c>
      <c r="AM5" t="s">
        <v>55</v>
      </c>
      <c r="AN5" s="98">
        <f>[1]!BOXdf1(A4:D35)</f>
        <v>18</v>
      </c>
      <c r="AP5" t="s">
        <v>158</v>
      </c>
      <c r="AQ5" s="83">
        <f t="shared" si="0"/>
        <v>69.712500000000006</v>
      </c>
      <c r="AR5" s="37">
        <f t="shared" si="0"/>
        <v>32.737499999999997</v>
      </c>
      <c r="AS5" s="84">
        <f t="shared" si="0"/>
        <v>6.3874999999999984</v>
      </c>
      <c r="AT5" s="98">
        <f>COUNTIF($A$4:$A$35,AP5)</f>
        <v>8</v>
      </c>
      <c r="AV5" s="127">
        <v>1</v>
      </c>
      <c r="AX5" s="83">
        <v>-15.225000000000382</v>
      </c>
      <c r="AY5" s="37">
        <v>0.49000000000002386</v>
      </c>
      <c r="AZ5" s="84">
        <v>-3.2200000000000757</v>
      </c>
      <c r="BB5" t="s">
        <v>224</v>
      </c>
      <c r="BC5" s="98">
        <f>COUNT($B$4:$D$4)</f>
        <v>3</v>
      </c>
    </row>
    <row r="6" spans="1:55" thickTop="1" x14ac:dyDescent="0.35">
      <c r="A6" t="s">
        <v>158</v>
      </c>
      <c r="B6" s="102">
        <v>96.1</v>
      </c>
      <c r="C6" s="103">
        <v>40.700000000000003</v>
      </c>
      <c r="D6" s="104">
        <v>4.2</v>
      </c>
      <c r="F6" t="s">
        <v>152</v>
      </c>
      <c r="G6">
        <f>[1]!MANOVA_HotelTrace(A4:D35)</f>
        <v>0.99463857861861438</v>
      </c>
      <c r="H6">
        <f>[1]!MANOVA_HotelF(A4:D35)</f>
        <v>2.7260464747324988</v>
      </c>
      <c r="I6">
        <f>[1]!MANOVA_Hoteldf1(A4:D35)</f>
        <v>9</v>
      </c>
      <c r="J6">
        <f>[1]!MANOVA_Hoteldf2(A4:D35)</f>
        <v>74</v>
      </c>
      <c r="K6">
        <f>[1]!F_DIST_RT(H6,I6,J6)</f>
        <v>8.3985125298039476E-3</v>
      </c>
      <c r="L6">
        <f>H6*I6/(H6*I6+J6)</f>
        <v>0.24899338426821341</v>
      </c>
      <c r="N6" s="85">
        <v>-110.1915625</v>
      </c>
      <c r="O6" s="86">
        <v>146.33906250000001</v>
      </c>
      <c r="P6" s="87">
        <v>144.78468750000002</v>
      </c>
      <c r="R6" s="85">
        <v>-10.308035714285715</v>
      </c>
      <c r="S6" s="86">
        <v>7.0783928571428572</v>
      </c>
      <c r="T6" s="87">
        <v>3.515535714285714</v>
      </c>
      <c r="V6" s="94" t="s">
        <v>176</v>
      </c>
      <c r="W6" s="94" t="s">
        <v>100</v>
      </c>
      <c r="X6" s="94" t="s">
        <v>177</v>
      </c>
      <c r="Y6" s="94" t="s">
        <v>34</v>
      </c>
      <c r="Z6" s="94" t="s">
        <v>178</v>
      </c>
      <c r="AA6" s="94" t="s">
        <v>179</v>
      </c>
      <c r="AB6" s="94" t="s">
        <v>180</v>
      </c>
      <c r="AC6" s="94" t="s">
        <v>181</v>
      </c>
      <c r="AD6" s="94" t="s">
        <v>182</v>
      </c>
      <c r="AF6" s="83">
        <f t="array" ref="AF6">MMULT(B6:D6-$AI$14:$AK$14,MMULT($AI$9:$AK$11,TRANSPOSE(B6:D6-$AI$14:$AK$14)))</f>
        <v>7.6101620595062656</v>
      </c>
      <c r="AG6" s="84">
        <f t="shared" si="1"/>
        <v>5.4794464443787202E-2</v>
      </c>
      <c r="AH6" s="70" t="str">
        <f t="shared" si="2"/>
        <v/>
      </c>
      <c r="AI6" s="85">
        <v>-3.5545665322580646</v>
      </c>
      <c r="AJ6" s="86">
        <v>4.7206149193548388</v>
      </c>
      <c r="AK6" s="87">
        <v>4.670473790322581</v>
      </c>
      <c r="AM6" t="s">
        <v>56</v>
      </c>
      <c r="AN6" s="98">
        <f>[1]!BOXdf2(A4:D35)</f>
        <v>2770.4539877300604</v>
      </c>
      <c r="AP6" t="s">
        <v>161</v>
      </c>
      <c r="AQ6" s="83">
        <f t="shared" si="0"/>
        <v>55.3125</v>
      </c>
      <c r="AR6" s="37">
        <f t="shared" si="0"/>
        <v>30.637499999999996</v>
      </c>
      <c r="AS6" s="84">
        <f t="shared" si="0"/>
        <v>3.8624999999999998</v>
      </c>
      <c r="AT6" s="98">
        <f>COUNTIF($A$4:$A$35,AP6)</f>
        <v>8</v>
      </c>
      <c r="AV6" s="127"/>
      <c r="AX6" s="85">
        <v>100.04999999999998</v>
      </c>
      <c r="AY6" s="86">
        <v>-3.2200000000000757</v>
      </c>
      <c r="AZ6" s="87">
        <v>21.159999999999965</v>
      </c>
      <c r="BB6" t="s">
        <v>225</v>
      </c>
      <c r="BC6" s="98">
        <f>COUNT(AQ4:AQ7)</f>
        <v>4</v>
      </c>
    </row>
    <row r="7" spans="1:55" ht="14.45" x14ac:dyDescent="0.35">
      <c r="A7" t="s">
        <v>158</v>
      </c>
      <c r="B7" s="102">
        <v>88.1</v>
      </c>
      <c r="C7" s="103">
        <v>45.1</v>
      </c>
      <c r="D7" s="104">
        <v>4.9000000000000004</v>
      </c>
      <c r="F7" s="40" t="s">
        <v>153</v>
      </c>
      <c r="G7" s="40">
        <f>[1]!MANOVA_RoyRoot(A4:D35)</f>
        <v>0.94364290775757154</v>
      </c>
      <c r="H7" s="40"/>
      <c r="I7" s="40"/>
      <c r="J7" s="40"/>
      <c r="K7" s="40"/>
      <c r="L7" s="40"/>
      <c r="V7" t="str">
        <f t="array" ref="V7:V10">[1]!SortUnique(A4:A35)</f>
        <v>clay</v>
      </c>
      <c r="W7">
        <f>COUNTIF($A$4:$A$35,$V7)</f>
        <v>8</v>
      </c>
      <c r="X7">
        <f>SUMIF($A$4:$A$35,$V7,$B$4:$B$35)</f>
        <v>470.7</v>
      </c>
      <c r="Y7">
        <f>AVERAGEIF($A$4:$A$35,$V7,$B$4:$B$35)</f>
        <v>58.837499999999999</v>
      </c>
      <c r="Z7">
        <f t="array" ref="Z7">VAR(IF($A$4:$A$35=$V7,$B$4:$B$35))</f>
        <v>114.08839285714306</v>
      </c>
      <c r="AA7">
        <f>($W7-1)*Z7</f>
        <v>798.61875000000146</v>
      </c>
      <c r="AB7">
        <f>SQRT(Y$15/W7)</f>
        <v>4.2560100624629316</v>
      </c>
      <c r="AC7">
        <f>Y7-AB7*TINV(AB$5,W7-1)</f>
        <v>45.526666910390652</v>
      </c>
      <c r="AD7">
        <f>Y7+AB7*TINV(AB$5,W7-1)</f>
        <v>72.148333089609352</v>
      </c>
      <c r="AF7" s="83">
        <f t="array" ref="AF7">MMULT(B7:D7-$AI$14:$AK$14,MMULT($AI$9:$AK$11,TRANSPOSE(B7:D7-$AI$14:$AK$14)))</f>
        <v>5.4417514827253575</v>
      </c>
      <c r="AG7" s="84">
        <f t="shared" si="1"/>
        <v>0.14216433087945762</v>
      </c>
      <c r="AH7" s="70" t="str">
        <f t="shared" si="2"/>
        <v/>
      </c>
      <c r="AM7" t="s">
        <v>65</v>
      </c>
      <c r="AN7" s="99">
        <f>[1]!BOXTEST(A4:D35)</f>
        <v>0.84797393932472176</v>
      </c>
      <c r="AP7" t="s">
        <v>159</v>
      </c>
      <c r="AQ7" s="85">
        <f t="shared" si="0"/>
        <v>62.575000000000003</v>
      </c>
      <c r="AR7" s="86">
        <f t="shared" si="0"/>
        <v>28.2</v>
      </c>
      <c r="AS7" s="87">
        <f t="shared" si="0"/>
        <v>4.3500000000000005</v>
      </c>
      <c r="AT7" s="99">
        <f>COUNTIF($A$4:$A$35,AP7)</f>
        <v>8</v>
      </c>
      <c r="AV7" s="128"/>
      <c r="BB7" t="s">
        <v>55</v>
      </c>
      <c r="BC7" s="98">
        <f>BC5</f>
        <v>3</v>
      </c>
    </row>
    <row r="8" spans="1:55" ht="14.45" x14ac:dyDescent="0.35">
      <c r="A8" t="s">
        <v>158</v>
      </c>
      <c r="B8" s="102">
        <v>50.2</v>
      </c>
      <c r="C8" s="103">
        <v>34.1</v>
      </c>
      <c r="D8" s="104">
        <v>11.7</v>
      </c>
      <c r="N8" t="s">
        <v>155</v>
      </c>
      <c r="R8" t="s">
        <v>158</v>
      </c>
      <c r="V8" t="str">
        <v>loam</v>
      </c>
      <c r="W8">
        <f>COUNTIF($A$4:$A$35,$V8)</f>
        <v>8</v>
      </c>
      <c r="X8">
        <f>SUMIF($A$4:$A$35,$V8,$B$4:$B$35)</f>
        <v>557.70000000000005</v>
      </c>
      <c r="Y8">
        <f>AVERAGEIF($A$4:$A$35,$V8,$B$4:$B$35)</f>
        <v>69.712500000000006</v>
      </c>
      <c r="Z8">
        <f t="array" ref="Z8">VAR(IF($A$4:$A$35=$V8,$B$4:$B$35))</f>
        <v>257.14124999999956</v>
      </c>
      <c r="AA8">
        <f>($W8-1)*Z8</f>
        <v>1799.9887499999968</v>
      </c>
      <c r="AB8">
        <f>SQRT(Y$15/W8)</f>
        <v>4.2560100624629316</v>
      </c>
      <c r="AC8">
        <f>Y8-AB8*TINV(AB$5,W8-1)</f>
        <v>56.401666910390659</v>
      </c>
      <c r="AD8">
        <f>Y8+AB8*TINV(AB$5,W8-1)</f>
        <v>83.023333089609352</v>
      </c>
      <c r="AF8" s="83">
        <f t="array" ref="AF8">MMULT(B8:D8-$AI$14:$AK$14,MMULT($AI$9:$AK$11,TRANSPOSE(B8:D8-$AI$14:$AK$14)))</f>
        <v>10.919212775331815</v>
      </c>
      <c r="AG8" s="84">
        <f t="shared" si="1"/>
        <v>1.217084056180243E-2</v>
      </c>
      <c r="AH8" s="70" t="str">
        <f t="shared" si="2"/>
        <v/>
      </c>
      <c r="AI8" t="s">
        <v>229</v>
      </c>
      <c r="AP8" t="s">
        <v>168</v>
      </c>
      <c r="AQ8" s="134">
        <f>AVERAGE(B$4:B$35)</f>
        <v>61.609374999999993</v>
      </c>
      <c r="AR8" s="135">
        <f>AVERAGE(C$4:C$35)</f>
        <v>31.165624999999999</v>
      </c>
      <c r="AS8" s="136">
        <f>AVERAGE(D$4:D$35)</f>
        <v>4.6718749999999991</v>
      </c>
      <c r="AT8" s="137">
        <f>SUM(AT4:AT7)</f>
        <v>32</v>
      </c>
      <c r="AX8" t="s">
        <v>156</v>
      </c>
      <c r="BB8" t="s">
        <v>56</v>
      </c>
      <c r="BC8" s="98">
        <f>BC4-BC5-BC6+1</f>
        <v>26</v>
      </c>
    </row>
    <row r="9" spans="1:55" ht="14.45" x14ac:dyDescent="0.35">
      <c r="A9" t="s">
        <v>158</v>
      </c>
      <c r="B9" s="102">
        <v>55</v>
      </c>
      <c r="C9" s="103">
        <v>31.1</v>
      </c>
      <c r="D9" s="104">
        <v>6.9</v>
      </c>
      <c r="N9" s="149">
        <f t="array" ref="N9:P11">N4:P6-N14:P16</f>
        <v>911.41593749999993</v>
      </c>
      <c r="O9" s="129">
        <v>62.974062499999832</v>
      </c>
      <c r="P9" s="150">
        <v>162.4596875</v>
      </c>
      <c r="R9" s="149">
        <f t="array" ref="R9:T11">[1]!ExtractCov(A4:D35,R8)</f>
        <v>257.1412499999999</v>
      </c>
      <c r="S9" s="129">
        <v>69.489464285714249</v>
      </c>
      <c r="T9" s="150">
        <v>-24.904107142857132</v>
      </c>
      <c r="V9" t="str">
        <v>salty</v>
      </c>
      <c r="W9">
        <f>COUNTIF($A$4:$A$35,$V9)</f>
        <v>8</v>
      </c>
      <c r="X9">
        <f>SUMIF($A$4:$A$35,$V9,$B$4:$B$35)</f>
        <v>442.5</v>
      </c>
      <c r="Y9">
        <f>AVERAGEIF($A$4:$A$35,$V9,$B$4:$B$35)</f>
        <v>55.3125</v>
      </c>
      <c r="Z9">
        <f t="array" ref="Z9">VAR(IF($A$4:$A$35=$V9,$B$4:$B$35))</f>
        <v>141.74696428571457</v>
      </c>
      <c r="AA9">
        <f>($W9-1)*Z9</f>
        <v>992.22875000000204</v>
      </c>
      <c r="AB9">
        <f>SQRT(Y$15/W9)</f>
        <v>4.2560100624629316</v>
      </c>
      <c r="AC9">
        <f>Y9-AB9*TINV(AB$5,W9-1)</f>
        <v>42.001666910390654</v>
      </c>
      <c r="AD9">
        <f>Y9+AB9*TINV(AB$5,W9-1)</f>
        <v>68.623333089609346</v>
      </c>
      <c r="AF9" s="83">
        <f t="array" ref="AF9">MMULT(B9:D9-$AI$14:$AK$14,MMULT($AI$9:$AK$11,TRANSPOSE(B9:D9-$AI$14:$AK$14)))</f>
        <v>1.2399427474272304</v>
      </c>
      <c r="AG9" s="84">
        <f t="shared" si="1"/>
        <v>0.74344118435062079</v>
      </c>
      <c r="AH9" s="70" t="str">
        <f t="shared" si="2"/>
        <v/>
      </c>
      <c r="AI9" s="149">
        <f t="array" ref="AI9:AK11">MINVERSE(AI4:AK6)</f>
        <v>6.733070456658761E-3</v>
      </c>
      <c r="AJ9" s="129">
        <v>-2.1294307374020655E-3</v>
      </c>
      <c r="AK9" s="150">
        <v>7.2766427859432244E-3</v>
      </c>
      <c r="AX9" s="149">
        <f t="array" ref="AX9:AZ11">$N$14:$P$16</f>
        <v>4057.4512499999992</v>
      </c>
      <c r="AY9" s="129">
        <v>713.71624999999983</v>
      </c>
      <c r="AZ9" s="150">
        <v>-272.65125</v>
      </c>
      <c r="BB9" t="s">
        <v>54</v>
      </c>
      <c r="BC9" s="98">
        <f>(1-BC3)/BC3*(BC8/BC7)</f>
        <v>5.263756990629255</v>
      </c>
    </row>
    <row r="10" spans="1:55" ht="14.45" x14ac:dyDescent="0.35">
      <c r="A10" t="s">
        <v>158</v>
      </c>
      <c r="B10" s="102">
        <v>65.400000000000006</v>
      </c>
      <c r="C10" s="103">
        <v>21.6</v>
      </c>
      <c r="D10" s="104">
        <v>4.3</v>
      </c>
      <c r="N10" s="83">
        <v>62.974062499999832</v>
      </c>
      <c r="O10" s="37">
        <v>121.90593749999971</v>
      </c>
      <c r="P10" s="84">
        <v>23.645312500000017</v>
      </c>
      <c r="R10" s="83">
        <v>69.489464285714249</v>
      </c>
      <c r="S10" s="37">
        <v>54.439821428571435</v>
      </c>
      <c r="T10" s="84">
        <v>-0.60375000000000068</v>
      </c>
      <c r="V10" t="str">
        <v>sandy</v>
      </c>
      <c r="W10">
        <f>COUNTIF($A$4:$A$35,$V10)</f>
        <v>8</v>
      </c>
      <c r="X10">
        <f>SUMIF($A$4:$A$35,$V10,$B$4:$B$35)</f>
        <v>500.6</v>
      </c>
      <c r="Y10">
        <f>AVERAGEIF($A$4:$A$35,$V10,$B$4:$B$35)</f>
        <v>62.575000000000003</v>
      </c>
      <c r="Z10">
        <f t="array" ref="Z10">VAR(IF($A$4:$A$35=$V10,$B$4:$B$35))</f>
        <v>66.659285714285943</v>
      </c>
      <c r="AA10">
        <f>($W10-1)*Z10</f>
        <v>466.6150000000016</v>
      </c>
      <c r="AB10">
        <f>SQRT(Y$15/W10)</f>
        <v>4.2560100624629316</v>
      </c>
      <c r="AC10">
        <f>Y10-AB10*TINV(AB$5,W10-1)</f>
        <v>49.264166910390657</v>
      </c>
      <c r="AD10">
        <f>Y10+AB10*TINV(AB$5,W10-1)</f>
        <v>75.885833089609349</v>
      </c>
      <c r="AF10" s="83">
        <f t="array" ref="AF10">MMULT(B10:D10-$AI$14:$AK$14,MMULT($AI$9:$AK$11,TRANSPOSE(B10:D10-$AI$14:$AK$14)))</f>
        <v>1.2389461412834806</v>
      </c>
      <c r="AG10" s="84">
        <f t="shared" si="1"/>
        <v>0.74367936430702708</v>
      </c>
      <c r="AH10" s="70" t="str">
        <f t="shared" si="2"/>
        <v/>
      </c>
      <c r="AI10" s="83">
        <v>-2.1294307374020651E-3</v>
      </c>
      <c r="AJ10" s="37">
        <v>1.1713419776105377E-2</v>
      </c>
      <c r="AK10" s="84">
        <v>-1.3459822323366075E-2</v>
      </c>
      <c r="AP10" t="s">
        <v>217</v>
      </c>
      <c r="AT10" s="137">
        <f>SUMPRODUCT(AV4:AV7^2/AT4:AT7)</f>
        <v>0.25</v>
      </c>
      <c r="AX10" s="83">
        <v>713.71624999999983</v>
      </c>
      <c r="AY10" s="37">
        <v>2833.9862499999999</v>
      </c>
      <c r="AZ10" s="84">
        <v>122.69374999999999</v>
      </c>
      <c r="BB10" t="s">
        <v>65</v>
      </c>
      <c r="BC10" s="98">
        <f>FDIST(BC9,BC7,BC8)</f>
        <v>5.682052185810779E-3</v>
      </c>
    </row>
    <row r="11" spans="1:55" ht="14.45" x14ac:dyDescent="0.35">
      <c r="A11" t="s">
        <v>158</v>
      </c>
      <c r="B11" s="102">
        <v>65.7</v>
      </c>
      <c r="C11" s="103">
        <v>27.7</v>
      </c>
      <c r="D11" s="104">
        <v>5.3</v>
      </c>
      <c r="N11" s="85">
        <v>162.4596875</v>
      </c>
      <c r="O11" s="86">
        <v>23.645312500000017</v>
      </c>
      <c r="P11" s="87">
        <v>32.34843750000006</v>
      </c>
      <c r="R11" s="85">
        <v>-24.904107142857132</v>
      </c>
      <c r="S11" s="86">
        <v>-0.60375000000000068</v>
      </c>
      <c r="T11" s="87">
        <v>6.0383928571428545</v>
      </c>
      <c r="V11" s="139"/>
      <c r="W11" s="139"/>
      <c r="X11" s="139"/>
      <c r="Y11" s="139"/>
      <c r="Z11" s="139"/>
      <c r="AA11" s="139"/>
      <c r="AB11" s="139"/>
      <c r="AC11" s="139"/>
      <c r="AD11" s="139"/>
      <c r="AF11" s="83">
        <f t="array" ref="AF11">MMULT(B11:D11-$AI$14:$AK$14,MMULT($AI$9:$AK$11,TRANSPOSE(B11:D11-$AI$14:$AK$14)))</f>
        <v>0.50174816022198621</v>
      </c>
      <c r="AG11" s="84">
        <f t="shared" si="1"/>
        <v>0.91850718095850992</v>
      </c>
      <c r="AH11" s="70" t="str">
        <f t="shared" si="2"/>
        <v/>
      </c>
      <c r="AI11" s="85">
        <v>7.2766427859432244E-3</v>
      </c>
      <c r="AJ11" s="86">
        <v>-1.3459822323366077E-2</v>
      </c>
      <c r="AK11" s="87">
        <v>0.23325341237177027</v>
      </c>
      <c r="AP11" t="s">
        <v>48</v>
      </c>
      <c r="AQ11" s="149">
        <f>SUMPRODUCT(AQ4:AQ7,$AV4:$AV7)</f>
        <v>10.875000000000007</v>
      </c>
      <c r="AR11" s="129">
        <f>SUMPRODUCT(AR4:AR7,$AV4:$AV7)</f>
        <v>-0.35000000000000853</v>
      </c>
      <c r="AS11" s="150">
        <f>SUMPRODUCT(AS4:AS7,$AV4:$AV7)</f>
        <v>2.299999999999998</v>
      </c>
      <c r="AX11" s="85">
        <v>-272.65125</v>
      </c>
      <c r="AY11" s="86">
        <v>122.69374999999999</v>
      </c>
      <c r="AZ11" s="87">
        <v>112.43624999999996</v>
      </c>
      <c r="BB11" t="s">
        <v>226</v>
      </c>
      <c r="BC11" s="99">
        <f>(BC4-BC6)*(1-BC3)*AT10/BC3</f>
        <v>4.2514960308928593</v>
      </c>
    </row>
    <row r="12" spans="1:55" thickBot="1" x14ac:dyDescent="0.4">
      <c r="A12" t="s">
        <v>159</v>
      </c>
      <c r="B12" s="102">
        <v>67.3</v>
      </c>
      <c r="C12" s="103">
        <v>48.3</v>
      </c>
      <c r="D12" s="104">
        <v>5.5</v>
      </c>
      <c r="V12" t="s">
        <v>183</v>
      </c>
      <c r="AF12" s="83">
        <f t="array" ref="AF12">MMULT(B12:D12-$AI$14:$AK$14,MMULT($AI$9:$AK$11,TRANSPOSE(B12:D12-$AI$14:$AK$14)))</f>
        <v>3.0882548255238427</v>
      </c>
      <c r="AG12" s="84">
        <f t="shared" si="1"/>
        <v>0.37821716541873462</v>
      </c>
      <c r="AH12" s="70" t="str">
        <f t="shared" si="2"/>
        <v/>
      </c>
      <c r="AP12" t="s">
        <v>219</v>
      </c>
      <c r="AQ12" s="85">
        <f t="array" ref="AQ12:AS12">SQRT([1]!DIAG(AX9:AZ11)*AT10/(BC4-BC6))</f>
        <v>6.0189071519314385</v>
      </c>
      <c r="AR12" s="86">
        <v>5.0302533396156388</v>
      </c>
      <c r="AS12" s="87">
        <v>1.0019456518622725</v>
      </c>
    </row>
    <row r="13" spans="1:55" thickTop="1" x14ac:dyDescent="0.35">
      <c r="A13" t="s">
        <v>159</v>
      </c>
      <c r="B13" s="102">
        <v>61.3</v>
      </c>
      <c r="C13" s="103">
        <v>28.9</v>
      </c>
      <c r="D13" s="104">
        <v>6.9</v>
      </c>
      <c r="N13" t="s">
        <v>156</v>
      </c>
      <c r="R13" t="s">
        <v>161</v>
      </c>
      <c r="V13" s="94" t="s">
        <v>184</v>
      </c>
      <c r="W13" s="94" t="s">
        <v>179</v>
      </c>
      <c r="X13" s="94" t="s">
        <v>62</v>
      </c>
      <c r="Y13" s="94" t="s">
        <v>185</v>
      </c>
      <c r="Z13" s="94" t="s">
        <v>54</v>
      </c>
      <c r="AA13" s="94" t="s">
        <v>186</v>
      </c>
      <c r="AB13" s="94" t="s">
        <v>187</v>
      </c>
      <c r="AC13" s="94" t="s">
        <v>188</v>
      </c>
      <c r="AD13" s="94" t="s">
        <v>189</v>
      </c>
      <c r="AF13" s="83">
        <f t="array" ref="AF13">MMULT(B13:D13-$AI$14:$AK$14,MMULT($AI$9:$AK$11,TRANSPOSE(B13:D13-$AI$14:$AK$14)))</f>
        <v>1.3416420492712982</v>
      </c>
      <c r="AG13" s="84">
        <f t="shared" si="1"/>
        <v>0.71926930543810164</v>
      </c>
      <c r="AH13" s="70" t="str">
        <f t="shared" si="2"/>
        <v/>
      </c>
      <c r="AI13" t="s">
        <v>230</v>
      </c>
    </row>
    <row r="14" spans="1:55" ht="14.45" x14ac:dyDescent="0.35">
      <c r="A14" t="s">
        <v>159</v>
      </c>
      <c r="B14" s="102">
        <v>58.2</v>
      </c>
      <c r="C14" s="103">
        <v>42.5</v>
      </c>
      <c r="D14" s="104">
        <v>4.8</v>
      </c>
      <c r="N14" s="149">
        <f t="array" ref="N14:P16">[1]!COVPooled(A4:D35)*(COUNT(B4:B35)-[1]!COUNTAU(A4:A35))</f>
        <v>4057.4512499999992</v>
      </c>
      <c r="O14" s="129">
        <v>713.71624999999983</v>
      </c>
      <c r="P14" s="150">
        <v>-272.65125</v>
      </c>
      <c r="R14" s="149">
        <f t="array" ref="R14:T16">[1]!ExtractCov(A4:D35,R13)</f>
        <v>141.74696428571426</v>
      </c>
      <c r="S14" s="129">
        <v>-4.4533928571428598</v>
      </c>
      <c r="T14" s="150">
        <v>2.5862499999999948</v>
      </c>
      <c r="V14" t="s">
        <v>190</v>
      </c>
      <c r="W14">
        <f>W16-W15</f>
        <v>911.4159374999972</v>
      </c>
      <c r="X14">
        <f>[1]!COUNTAU(A4:A35)-1</f>
        <v>3</v>
      </c>
      <c r="Y14">
        <f>W14/X14</f>
        <v>303.80531249999905</v>
      </c>
      <c r="Z14">
        <f>Y14/Y15</f>
        <v>2.0965251893044847</v>
      </c>
      <c r="AA14">
        <f>FDIST(Z14,X14,X15)</f>
        <v>0.12324752062884126</v>
      </c>
      <c r="AB14">
        <f>FINV(AB5,X14,X15)</f>
        <v>4.0366515447275884</v>
      </c>
      <c r="AC14">
        <f>SQRT(DEVSQ(Y7:Y10)/(Y15*X14))</f>
        <v>0.51192347930434057</v>
      </c>
      <c r="AD14">
        <f>(W16-X16*Y15)/(W16+Y15)</f>
        <v>9.3216637348975423E-2</v>
      </c>
      <c r="AF14" s="83">
        <f t="array" ref="AF14">MMULT(B14:D14-$AI$14:$AK$14,MMULT($AI$9:$AK$11,TRANSPOSE(B14:D14-$AI$14:$AK$14)))</f>
        <v>1.7060188281810822</v>
      </c>
      <c r="AG14" s="84">
        <f t="shared" si="1"/>
        <v>0.63559650239431154</v>
      </c>
      <c r="AH14" s="70" t="str">
        <f t="shared" si="2"/>
        <v/>
      </c>
      <c r="AI14" s="134">
        <f>AVERAGE(B4:B35)</f>
        <v>61.609374999999993</v>
      </c>
      <c r="AJ14" s="135">
        <f>AVERAGE(C4:C35)</f>
        <v>31.165624999999999</v>
      </c>
      <c r="AK14" s="136">
        <f>AVERAGE(D4:D35)</f>
        <v>4.6718749999999991</v>
      </c>
      <c r="AP14" t="s">
        <v>69</v>
      </c>
    </row>
    <row r="15" spans="1:55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  <c r="N15" s="83">
        <v>713.71624999999983</v>
      </c>
      <c r="O15" s="37">
        <v>2833.9862499999999</v>
      </c>
      <c r="P15" s="84">
        <v>122.69374999999999</v>
      </c>
      <c r="R15" s="83">
        <v>-4.4533928571428598</v>
      </c>
      <c r="S15" s="37">
        <v>82.059821428571411</v>
      </c>
      <c r="T15" s="84">
        <v>2.3758928571428588</v>
      </c>
      <c r="V15" t="s">
        <v>191</v>
      </c>
      <c r="W15">
        <f>SUM(AA7:AA10)</f>
        <v>4057.4512500000019</v>
      </c>
      <c r="X15">
        <f>X16-X14</f>
        <v>28</v>
      </c>
      <c r="Y15">
        <f>W15/X15</f>
        <v>144.90897321428579</v>
      </c>
      <c r="AF15" s="83">
        <f t="array" ref="AF15">MMULT(B15:D15-$AI$14:$AK$14,MMULT($AI$9:$AK$11,TRANSPOSE(B15:D15-$AI$14:$AK$14)))</f>
        <v>3.4282688300525628</v>
      </c>
      <c r="AG15" s="84">
        <f t="shared" si="1"/>
        <v>0.33018526887040461</v>
      </c>
      <c r="AH15" s="70" t="str">
        <f t="shared" si="2"/>
        <v/>
      </c>
      <c r="AU15" t="s">
        <v>175</v>
      </c>
      <c r="AV15" s="132">
        <v>0.05</v>
      </c>
    </row>
    <row r="16" spans="1:55" ht="14.45" x14ac:dyDescent="0.35">
      <c r="A16" t="s">
        <v>159</v>
      </c>
      <c r="B16" s="102">
        <v>66.900000000000006</v>
      </c>
      <c r="C16" s="103">
        <v>23.9</v>
      </c>
      <c r="D16" s="104">
        <v>1.1000000000000001</v>
      </c>
      <c r="N16" s="85">
        <v>-272.65125</v>
      </c>
      <c r="O16" s="86">
        <v>122.69374999999999</v>
      </c>
      <c r="P16" s="87">
        <v>112.43624999999996</v>
      </c>
      <c r="R16" s="85">
        <v>2.5862499999999948</v>
      </c>
      <c r="S16" s="86">
        <v>2.3758928571428588</v>
      </c>
      <c r="T16" s="87">
        <v>3.442678571428571</v>
      </c>
      <c r="V16" s="40" t="s">
        <v>168</v>
      </c>
      <c r="W16" s="40">
        <f>DEVSQ(B4:B35)</f>
        <v>4968.8671874999991</v>
      </c>
      <c r="X16" s="40">
        <f>COUNT(B4:B35)-1</f>
        <v>31</v>
      </c>
      <c r="Y16" s="40">
        <f>W16/X16</f>
        <v>160.28603830645159</v>
      </c>
      <c r="Z16" s="40"/>
      <c r="AA16" s="40"/>
      <c r="AB16" s="40"/>
      <c r="AC16" s="40"/>
      <c r="AD16" s="40"/>
      <c r="AF16" s="83">
        <f t="array" ref="AF16">MMULT(B16:D16-$AI$14:$AK$14,MMULT($AI$9:$AK$11,TRANSPOSE(B16:D16-$AI$14:$AK$14)))</f>
        <v>2.9727949665472519</v>
      </c>
      <c r="AG16" s="84">
        <f t="shared" si="1"/>
        <v>0.3958387043475371</v>
      </c>
      <c r="AH16" s="70" t="str">
        <f t="shared" si="2"/>
        <v/>
      </c>
      <c r="AP16" t="s">
        <v>66</v>
      </c>
      <c r="AQ16" s="149">
        <f>AQ11-AQ12*$AV17</f>
        <v>-7.7855884847736228</v>
      </c>
      <c r="AR16" s="129">
        <f>AR11-AR12*$AV17</f>
        <v>-15.94543704119179</v>
      </c>
      <c r="AS16" s="150">
        <f>AS11-AS12*$AV17</f>
        <v>-0.80636051056384828</v>
      </c>
      <c r="AU16" t="s">
        <v>58</v>
      </c>
      <c r="AV16" s="98">
        <f>FINV(AV15,BC7,BC8)</f>
        <v>2.9751539639733933</v>
      </c>
    </row>
    <row r="17" spans="1:48" ht="14.45" x14ac:dyDescent="0.35">
      <c r="A17" t="s">
        <v>159</v>
      </c>
      <c r="B17" s="102">
        <v>55.4</v>
      </c>
      <c r="C17" s="103">
        <v>29.1</v>
      </c>
      <c r="D17" s="104">
        <v>5</v>
      </c>
      <c r="AF17" s="83">
        <f t="array" ref="AF17">MMULT(B17:D17-$AI$14:$AK$14,MMULT($AI$9:$AK$11,TRANSPOSE(B17:D17-$AI$14:$AK$14)))</f>
        <v>0.26866379622625275</v>
      </c>
      <c r="AG17" s="84">
        <f t="shared" si="1"/>
        <v>0.96581004717443208</v>
      </c>
      <c r="AH17" s="70" t="str">
        <f t="shared" si="2"/>
        <v/>
      </c>
      <c r="AP17" t="s">
        <v>67</v>
      </c>
      <c r="AQ17" s="85">
        <f>AQ11+AQ12*$AV17</f>
        <v>29.535588484773637</v>
      </c>
      <c r="AR17" s="86">
        <f>AR11+AR12*$AV17</f>
        <v>15.245437041191773</v>
      </c>
      <c r="AS17" s="87">
        <f>AS11+AS12*$AV17</f>
        <v>5.4063605105638448</v>
      </c>
      <c r="AU17" t="s">
        <v>113</v>
      </c>
      <c r="AV17" s="99">
        <f>SQRT(BC7*(BC4-BC6)*AV16/BC8)</f>
        <v>3.1003283509341952</v>
      </c>
    </row>
    <row r="18" spans="1:48" ht="14.45" x14ac:dyDescent="0.35">
      <c r="A18" t="s">
        <v>159</v>
      </c>
      <c r="B18" s="102">
        <v>50.5</v>
      </c>
      <c r="C18" s="103">
        <v>18</v>
      </c>
      <c r="D18" s="104">
        <v>4.8</v>
      </c>
      <c r="R18" t="s">
        <v>159</v>
      </c>
      <c r="V18" t="s">
        <v>173</v>
      </c>
      <c r="Y18" t="str">
        <f>C3</f>
        <v>water</v>
      </c>
      <c r="AF18" s="83">
        <f t="array" ref="AF18">MMULT(B18:D18-$AI$14:$AK$14,MMULT($AI$9:$AK$11,TRANSPOSE(B18:D18-$AI$14:$AK$14)))</f>
        <v>2.266928071084751</v>
      </c>
      <c r="AG18" s="84">
        <f t="shared" si="1"/>
        <v>0.51888620042072686</v>
      </c>
      <c r="AH18" s="70" t="str">
        <f t="shared" si="2"/>
        <v/>
      </c>
    </row>
    <row r="19" spans="1:48" ht="14.45" x14ac:dyDescent="0.35">
      <c r="A19" t="s">
        <v>159</v>
      </c>
      <c r="B19" s="102">
        <v>64.099999999999994</v>
      </c>
      <c r="C19" s="103">
        <v>14.5</v>
      </c>
      <c r="D19" s="104">
        <v>3.7</v>
      </c>
      <c r="R19" s="149">
        <f t="array" ref="R19:T21">[1]!ExtractCov(A4:D35,R18)</f>
        <v>66.65928571428573</v>
      </c>
      <c r="S19" s="129">
        <v>-0.42857142857143615</v>
      </c>
      <c r="T19" s="150">
        <v>-6.3242857142857174</v>
      </c>
      <c r="AF19" s="83">
        <f t="array" ref="AF19">MMULT(B19:D19-$AI$14:$AK$14,MMULT($AI$9:$AK$11,TRANSPOSE(B19:D19-$AI$14:$AK$14)))</f>
        <v>3.2209389176233967</v>
      </c>
      <c r="AG19" s="84">
        <f t="shared" si="1"/>
        <v>0.3587989197989247</v>
      </c>
      <c r="AH19" s="70" t="str">
        <f t="shared" si="2"/>
        <v/>
      </c>
      <c r="AP19" t="s">
        <v>221</v>
      </c>
    </row>
    <row r="20" spans="1:48" thickBot="1" x14ac:dyDescent="0.4">
      <c r="A20" t="s">
        <v>161</v>
      </c>
      <c r="B20" s="102">
        <v>62.8</v>
      </c>
      <c r="C20" s="103">
        <v>25.9</v>
      </c>
      <c r="D20" s="104">
        <v>2.9</v>
      </c>
      <c r="R20" s="83">
        <v>-0.42857142857143615</v>
      </c>
      <c r="S20" s="37">
        <v>140.12285714285713</v>
      </c>
      <c r="T20" s="84">
        <v>8.6771428571428562</v>
      </c>
      <c r="V20" t="s">
        <v>174</v>
      </c>
      <c r="AA20" t="s">
        <v>175</v>
      </c>
      <c r="AB20" s="122">
        <v>1.6667000000000001E-2</v>
      </c>
      <c r="AF20" s="83">
        <f t="array" ref="AF20">MMULT(B20:D20-$AI$14:$AK$14,MMULT($AI$9:$AK$11,TRANSPOSE(B20:D20-$AI$14:$AK$14)))</f>
        <v>0.81146629354257227</v>
      </c>
      <c r="AG20" s="84">
        <f t="shared" si="1"/>
        <v>0.84672252723651265</v>
      </c>
      <c r="AH20" s="70" t="str">
        <f t="shared" si="2"/>
        <v/>
      </c>
      <c r="AU20" t="s">
        <v>175</v>
      </c>
      <c r="AV20" s="132">
        <f>AV15/3</f>
        <v>1.6666666666666666E-2</v>
      </c>
    </row>
    <row r="21" spans="1:48" thickTop="1" x14ac:dyDescent="0.35">
      <c r="A21" t="s">
        <v>161</v>
      </c>
      <c r="B21" s="102">
        <v>45</v>
      </c>
      <c r="C21" s="103">
        <v>15.9</v>
      </c>
      <c r="D21" s="104">
        <v>1.2</v>
      </c>
      <c r="R21" s="85">
        <v>-6.3242857142857174</v>
      </c>
      <c r="S21" s="86">
        <v>8.6771428571428562</v>
      </c>
      <c r="T21" s="87">
        <v>3.0657142857142858</v>
      </c>
      <c r="V21" s="94" t="s">
        <v>176</v>
      </c>
      <c r="W21" s="94" t="s">
        <v>100</v>
      </c>
      <c r="X21" s="94" t="s">
        <v>177</v>
      </c>
      <c r="Y21" s="94" t="s">
        <v>34</v>
      </c>
      <c r="Z21" s="94" t="s">
        <v>178</v>
      </c>
      <c r="AA21" s="94" t="s">
        <v>179</v>
      </c>
      <c r="AB21" s="94" t="s">
        <v>180</v>
      </c>
      <c r="AC21" s="94" t="s">
        <v>181</v>
      </c>
      <c r="AD21" s="94" t="s">
        <v>182</v>
      </c>
      <c r="AF21" s="83">
        <f t="array" ref="AF21">MMULT(B21:D21-$AI$14:$AK$14,MMULT($AI$9:$AK$11,TRANSPOSE(B21:D21-$AI$14:$AK$14)))</f>
        <v>5.7313951401806484</v>
      </c>
      <c r="AG21" s="84">
        <f t="shared" si="1"/>
        <v>0.12543535740753059</v>
      </c>
      <c r="AH21" s="70" t="str">
        <f t="shared" si="2"/>
        <v/>
      </c>
      <c r="AP21" t="s">
        <v>66</v>
      </c>
      <c r="AQ21" s="149">
        <f>AQ11-AQ12*$AV22</f>
        <v>-4.4519377415377779</v>
      </c>
      <c r="AR21" s="129">
        <f>AR11-AR12*$AV22</f>
        <v>-13.159365191106325</v>
      </c>
      <c r="AS21" s="150">
        <f>AS11-AS12*$AV22</f>
        <v>-0.25141975758334212</v>
      </c>
      <c r="AU21" t="s">
        <v>62</v>
      </c>
      <c r="AV21" s="98">
        <f>BC4-BC6</f>
        <v>28</v>
      </c>
    </row>
    <row r="22" spans="1:48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  <c r="V22" t="str">
        <f t="array" ref="V22:V25">[1]!SortUnique(A4:A35)</f>
        <v>clay</v>
      </c>
      <c r="W22">
        <f>COUNTIF($A$4:$A$35,$V22)</f>
        <v>8</v>
      </c>
      <c r="X22">
        <f>SUMIF($A$4:$A$35,$V22,$C$4:$C$35)</f>
        <v>264.70000000000005</v>
      </c>
      <c r="Y22">
        <f>AVERAGEIF($A$4:$A$35,$V22,$C$4:$C$35)</f>
        <v>33.087500000000006</v>
      </c>
      <c r="Z22">
        <f t="array" ref="Z22">VAR(IF($A$4:$A$35=$V22,$C$4:$C$35))</f>
        <v>128.23267857142804</v>
      </c>
      <c r="AA22">
        <f>($W22-1)*Z22</f>
        <v>897.62874999999622</v>
      </c>
      <c r="AB22">
        <f>SQRT(Y$30/W22)</f>
        <v>3.5569262475284975</v>
      </c>
      <c r="AC22">
        <f>Y22-AB22*TINV(AB$20,W22-1)</f>
        <v>21.963078088858271</v>
      </c>
      <c r="AD22">
        <f>Y22+AB22*TINV(AB$20,W22-1)</f>
        <v>44.211921911141744</v>
      </c>
      <c r="AF22" s="83">
        <f t="array" ref="AF22">MMULT(B22:D22-$AI$14:$AK$14,MMULT($AI$9:$AK$11,TRANSPOSE(B22:D22-$AI$14:$AK$14)))</f>
        <v>2.1265664959245476</v>
      </c>
      <c r="AG22" s="84">
        <f t="shared" si="1"/>
        <v>0.54655690568480431</v>
      </c>
      <c r="AH22" s="70" t="str">
        <f t="shared" si="2"/>
        <v/>
      </c>
      <c r="AP22" t="s">
        <v>67</v>
      </c>
      <c r="AQ22" s="85">
        <f>AQ11+AQ12*$AV22</f>
        <v>26.20193774153779</v>
      </c>
      <c r="AR22" s="86">
        <f>AR11+AR12*$AV22</f>
        <v>12.459365191106308</v>
      </c>
      <c r="AS22" s="87">
        <f>AS11+AS12*$AV22</f>
        <v>4.8514197575833382</v>
      </c>
      <c r="AU22" t="s">
        <v>63</v>
      </c>
      <c r="AV22" s="99">
        <f>TINV(AV20,AV21)</f>
        <v>2.5464652227804252</v>
      </c>
    </row>
    <row r="23" spans="1:48" ht="14.45" x14ac:dyDescent="0.35">
      <c r="A23" t="s">
        <v>161</v>
      </c>
      <c r="B23" s="102">
        <v>75.599999999999994</v>
      </c>
      <c r="C23" s="103">
        <v>27.7</v>
      </c>
      <c r="D23" s="104">
        <v>6.3</v>
      </c>
      <c r="R23" t="s">
        <v>157</v>
      </c>
      <c r="V23" t="str">
        <v>loam</v>
      </c>
      <c r="W23">
        <f>COUNTIF($A$4:$A$35,$V23)</f>
        <v>8</v>
      </c>
      <c r="X23">
        <f>SUMIF($A$4:$A$35,$V23,$C$4:$C$35)</f>
        <v>261.89999999999998</v>
      </c>
      <c r="Y23">
        <f>AVERAGEIF($A$4:$A$35,$V23,$C$4:$C$35)</f>
        <v>32.737499999999997</v>
      </c>
      <c r="Z23">
        <f t="array" ref="Z23">VAR(IF($A$4:$A$35=$V23,$C$4:$C$35))</f>
        <v>54.439821428572031</v>
      </c>
      <c r="AA23">
        <f>($W23-1)*Z23</f>
        <v>381.07875000000422</v>
      </c>
      <c r="AB23">
        <f>SQRT(Y$30/W23)</f>
        <v>3.5569262475284975</v>
      </c>
      <c r="AC23">
        <f>Y23-AB23*TINV(AB$20,W23-1)</f>
        <v>21.613078088858263</v>
      </c>
      <c r="AD23">
        <f>Y23+AB23*TINV(AB$20,W23-1)</f>
        <v>43.861921911141735</v>
      </c>
      <c r="AF23" s="83">
        <f t="array" ref="AF23">MMULT(B23:D23-$AI$14:$AK$14,MMULT($AI$9:$AK$11,TRANSPOSE(B23:D23-$AI$14:$AK$14)))</f>
        <v>2.76679709829871</v>
      </c>
      <c r="AG23" s="84">
        <f t="shared" si="1"/>
        <v>0.42899491138050339</v>
      </c>
      <c r="AH23" s="70" t="str">
        <f t="shared" si="2"/>
        <v/>
      </c>
    </row>
    <row r="24" spans="1:48" ht="14.45" x14ac:dyDescent="0.35">
      <c r="A24" t="s">
        <v>161</v>
      </c>
      <c r="B24" s="102">
        <v>46.6</v>
      </c>
      <c r="C24" s="103">
        <v>46.9</v>
      </c>
      <c r="D24" s="104">
        <v>3.6</v>
      </c>
      <c r="R24" s="149">
        <f t="array" ref="R24:T26">[1]!COVPooled(A4:D35)</f>
        <v>144.90897321428568</v>
      </c>
      <c r="S24" s="129">
        <v>25.489866071428565</v>
      </c>
      <c r="T24" s="150">
        <v>-9.7375446428571433</v>
      </c>
      <c r="V24" t="str">
        <v>salty</v>
      </c>
      <c r="W24">
        <f>COUNTIF($A$4:$A$35,$V24)</f>
        <v>8</v>
      </c>
      <c r="X24">
        <f>SUMIF($A$4:$A$35,$V24,$C$4:$C$35)</f>
        <v>245.09999999999997</v>
      </c>
      <c r="Y24">
        <f>AVERAGEIF($A$4:$A$35,$V24,$C$4:$C$35)</f>
        <v>30.637499999999996</v>
      </c>
      <c r="Z24">
        <f t="array" ref="Z24">VAR(IF($A$4:$A$35=$V24,$C$4:$C$35))</f>
        <v>82.059821428571794</v>
      </c>
      <c r="AA24">
        <f>($W24-1)*Z24</f>
        <v>574.41875000000255</v>
      </c>
      <c r="AB24">
        <f>SQRT(Y$30/W24)</f>
        <v>3.5569262475284975</v>
      </c>
      <c r="AC24">
        <f>Y24-AB24*TINV(AB$20,W24-1)</f>
        <v>19.513078088858261</v>
      </c>
      <c r="AD24">
        <f>Y24+AB24*TINV(AB$20,W24-1)</f>
        <v>41.761921911141727</v>
      </c>
      <c r="AF24" s="83">
        <f t="array" ref="AF24">MMULT(B24:D24-$AI$14:$AK$14,MMULT($AI$9:$AK$11,TRANSPOSE(B24:D24-$AI$14:$AK$14)))</f>
        <v>6.3786508510645215</v>
      </c>
      <c r="AG24" s="84">
        <f t="shared" si="1"/>
        <v>9.4573047412673264E-2</v>
      </c>
      <c r="AH24" s="70" t="str">
        <f t="shared" si="2"/>
        <v/>
      </c>
    </row>
    <row r="25" spans="1:48" ht="14.45" x14ac:dyDescent="0.35">
      <c r="A25" t="s">
        <v>161</v>
      </c>
      <c r="B25" s="102">
        <v>50.6</v>
      </c>
      <c r="C25" s="103">
        <v>29.7</v>
      </c>
      <c r="D25" s="104">
        <v>4.7</v>
      </c>
      <c r="R25" s="83">
        <v>25.489866071428565</v>
      </c>
      <c r="S25" s="37">
        <v>101.21379464285714</v>
      </c>
      <c r="T25" s="84">
        <v>4.3819196428571425</v>
      </c>
      <c r="V25" t="str">
        <v>sandy</v>
      </c>
      <c r="W25">
        <f>COUNTIF($A$4:$A$35,$V25)</f>
        <v>8</v>
      </c>
      <c r="X25">
        <f>SUMIF($A$4:$A$35,$V25,$C$4:$C$35)</f>
        <v>225.6</v>
      </c>
      <c r="Y25">
        <f>AVERAGEIF($A$4:$A$35,$V25,$C$4:$C$35)</f>
        <v>28.2</v>
      </c>
      <c r="Z25">
        <f t="array" ref="Z25">VAR(IF($A$4:$A$35=$V25,$C$4:$C$35))</f>
        <v>140.12285714285721</v>
      </c>
      <c r="AA25">
        <f>($W25-1)*Z25</f>
        <v>980.86000000000047</v>
      </c>
      <c r="AB25">
        <f>SQRT(Y$30/W25)</f>
        <v>3.5569262475284975</v>
      </c>
      <c r="AC25">
        <f>Y25-AB25*TINV(AB$20,W25-1)</f>
        <v>17.075578088858265</v>
      </c>
      <c r="AD25">
        <f>Y25+AB25*TINV(AB$20,W25-1)</f>
        <v>39.324421911141734</v>
      </c>
      <c r="AF25" s="83">
        <f t="array" ref="AF25">MMULT(B25:D25-$AI$14:$AK$14,MMULT($AI$9:$AK$11,TRANSPOSE(B25:D25-$AI$14:$AK$14)))</f>
        <v>0.76932044560980184</v>
      </c>
      <c r="AG25" s="84">
        <f t="shared" si="1"/>
        <v>0.85679021184143855</v>
      </c>
      <c r="AH25" s="70" t="str">
        <f t="shared" si="2"/>
        <v/>
      </c>
    </row>
    <row r="26" spans="1:48" ht="14.45" x14ac:dyDescent="0.35">
      <c r="A26" t="s">
        <v>161</v>
      </c>
      <c r="B26" s="102">
        <v>45.7</v>
      </c>
      <c r="C26" s="103">
        <v>27.6</v>
      </c>
      <c r="D26" s="104">
        <v>6.2</v>
      </c>
      <c r="R26" s="85">
        <v>-9.7375446428571433</v>
      </c>
      <c r="S26" s="86">
        <v>4.3819196428571425</v>
      </c>
      <c r="T26" s="87">
        <v>4.0155803571428557</v>
      </c>
      <c r="V26" s="139"/>
      <c r="W26" s="139"/>
      <c r="X26" s="139"/>
      <c r="Y26" s="139"/>
      <c r="Z26" s="139"/>
      <c r="AA26" s="139"/>
      <c r="AB26" s="139"/>
      <c r="AC26" s="139"/>
      <c r="AD26" s="139"/>
      <c r="AF26" s="83">
        <f t="array" ref="AF26">MMULT(B26:D26-$AI$14:$AK$14,MMULT($AI$9:$AK$11,TRANSPOSE(B26:D26-$AI$14:$AK$14)))</f>
        <v>1.9490749251298021</v>
      </c>
      <c r="AG26" s="84">
        <f t="shared" si="1"/>
        <v>0.58304337991521127</v>
      </c>
      <c r="AH26" s="70" t="str">
        <f t="shared" si="2"/>
        <v/>
      </c>
    </row>
    <row r="27" spans="1:48" thickBot="1" x14ac:dyDescent="0.4">
      <c r="A27" t="s">
        <v>161</v>
      </c>
      <c r="B27" s="102">
        <v>68.400000000000006</v>
      </c>
      <c r="C27" s="103">
        <v>35.299999999999997</v>
      </c>
      <c r="D27" s="104">
        <v>1.9</v>
      </c>
      <c r="V27" t="s">
        <v>183</v>
      </c>
      <c r="AF27" s="83">
        <f t="array" ref="AF27">MMULT(B27:D27-$AI$14:$AK$14,MMULT($AI$9:$AK$11,TRANSPOSE(B27:D27-$AI$14:$AK$14)))</f>
        <v>2.2178490882412065</v>
      </c>
      <c r="AG27" s="84">
        <f t="shared" si="1"/>
        <v>0.5284412198169125</v>
      </c>
      <c r="AH27" s="70" t="str">
        <f t="shared" si="2"/>
        <v/>
      </c>
    </row>
    <row r="28" spans="1:48" thickTop="1" x14ac:dyDescent="0.35">
      <c r="A28" t="s">
        <v>160</v>
      </c>
      <c r="B28" s="102">
        <v>52.5</v>
      </c>
      <c r="C28" s="103">
        <v>39</v>
      </c>
      <c r="D28" s="104">
        <v>3.1</v>
      </c>
      <c r="R28" t="s">
        <v>231</v>
      </c>
      <c r="V28" s="94" t="s">
        <v>184</v>
      </c>
      <c r="W28" s="94" t="s">
        <v>179</v>
      </c>
      <c r="X28" s="94" t="s">
        <v>62</v>
      </c>
      <c r="Y28" s="94" t="s">
        <v>185</v>
      </c>
      <c r="Z28" s="94" t="s">
        <v>54</v>
      </c>
      <c r="AA28" s="94" t="s">
        <v>186</v>
      </c>
      <c r="AB28" s="94" t="s">
        <v>187</v>
      </c>
      <c r="AC28" s="94" t="s">
        <v>188</v>
      </c>
      <c r="AD28" s="94" t="s">
        <v>189</v>
      </c>
      <c r="AF28" s="83">
        <f t="array" ref="AF28">MMULT(B28:D28-$AI$14:$AK$14,MMULT($AI$9:$AK$11,TRANSPOSE(B28:D28-$AI$14:$AK$14)))</f>
        <v>2.6978058491571146</v>
      </c>
      <c r="AG28" s="84">
        <f t="shared" si="1"/>
        <v>0.44060029610027784</v>
      </c>
      <c r="AH28" s="70" t="str">
        <f t="shared" si="2"/>
        <v/>
      </c>
    </row>
    <row r="29" spans="1:48" ht="14.45" x14ac:dyDescent="0.35">
      <c r="A29" t="s">
        <v>160</v>
      </c>
      <c r="B29" s="102">
        <v>80</v>
      </c>
      <c r="C29" s="103">
        <v>54.2</v>
      </c>
      <c r="D29" s="104">
        <v>4</v>
      </c>
      <c r="R29" s="149">
        <f t="array" ref="R29:T31">[1]!CORR(B4:D35)</f>
        <v>0.99999999999999389</v>
      </c>
      <c r="S29" s="129">
        <v>0.20266320158048864</v>
      </c>
      <c r="T29" s="150">
        <v>-0.12991471067215016</v>
      </c>
      <c r="V29" t="s">
        <v>190</v>
      </c>
      <c r="W29">
        <f>W31-W30</f>
        <v>121.90593749999607</v>
      </c>
      <c r="X29">
        <f>[1]!COUNTAU(A4:A35)-1</f>
        <v>3</v>
      </c>
      <c r="Y29">
        <f>W29/X29</f>
        <v>40.63531249999869</v>
      </c>
      <c r="Z29">
        <f>Y29/Y30</f>
        <v>0.40147998248049438</v>
      </c>
      <c r="AA29">
        <f>FDIST(Z29,X29,X30)</f>
        <v>0.75302082013764882</v>
      </c>
      <c r="AB29">
        <f>FINV(AB20,X29,X30)</f>
        <v>4.0366515447275884</v>
      </c>
      <c r="AC29">
        <f>SQRT(DEVSQ(Y22:Y25)/(Y30*X29))</f>
        <v>0.22402008349713531</v>
      </c>
      <c r="AD29">
        <f>(W31-X31*Y30)/(W31+Y30)</f>
        <v>-5.9446891108822217E-2</v>
      </c>
      <c r="AF29" s="83">
        <f t="array" ref="AF29">MMULT(B29:D29-$AI$14:$AK$14,MMULT($AI$9:$AK$11,TRANSPOSE(B29:D29-$AI$14:$AK$14)))</f>
        <v>7.0301219109845787</v>
      </c>
      <c r="AG29" s="84">
        <f t="shared" si="1"/>
        <v>7.0943856722068085E-2</v>
      </c>
      <c r="AH29" s="70" t="str">
        <f t="shared" si="2"/>
        <v/>
      </c>
    </row>
    <row r="30" spans="1:48" ht="14.45" x14ac:dyDescent="0.35">
      <c r="A30" t="s">
        <v>160</v>
      </c>
      <c r="B30" s="102">
        <v>54.7</v>
      </c>
      <c r="C30" s="103">
        <v>32.1</v>
      </c>
      <c r="D30" s="104">
        <v>5.7</v>
      </c>
      <c r="R30" s="83">
        <v>0.20266320158048864</v>
      </c>
      <c r="S30" s="37">
        <v>0.99999999999999833</v>
      </c>
      <c r="T30" s="84">
        <v>0.22369416566582276</v>
      </c>
      <c r="V30" t="s">
        <v>191</v>
      </c>
      <c r="W30">
        <f>SUM(AA22:AA25)</f>
        <v>2833.9862500000036</v>
      </c>
      <c r="X30">
        <f>X31-X29</f>
        <v>28</v>
      </c>
      <c r="Y30">
        <f>W30/X30</f>
        <v>101.21379464285727</v>
      </c>
      <c r="AF30" s="83">
        <f t="array" ref="AF30">MMULT(B30:D30-$AI$14:$AK$14,MMULT($AI$9:$AK$11,TRANSPOSE(B30:D30-$AI$14:$AK$14)))</f>
        <v>0.4764703910580988</v>
      </c>
      <c r="AG30" s="84">
        <f t="shared" si="1"/>
        <v>0.92402950661687344</v>
      </c>
      <c r="AH30" s="70" t="str">
        <f t="shared" si="2"/>
        <v/>
      </c>
    </row>
    <row r="31" spans="1:48" ht="14.45" x14ac:dyDescent="0.35">
      <c r="A31" t="s">
        <v>160</v>
      </c>
      <c r="B31" s="102">
        <v>63.5</v>
      </c>
      <c r="C31" s="103">
        <v>25.6</v>
      </c>
      <c r="D31" s="104">
        <v>3</v>
      </c>
      <c r="R31" s="85">
        <v>-0.12991471067215016</v>
      </c>
      <c r="S31" s="86">
        <v>0.22369416566582276</v>
      </c>
      <c r="T31" s="87">
        <v>0.99999999999999689</v>
      </c>
      <c r="V31" s="40" t="s">
        <v>168</v>
      </c>
      <c r="W31" s="40">
        <f>DEVSQ(C4:C35)</f>
        <v>2955.8921874999996</v>
      </c>
      <c r="X31" s="40">
        <f>COUNT(C4:C35)-1</f>
        <v>31</v>
      </c>
      <c r="Y31" s="40">
        <f>W31/X31</f>
        <v>95.35136088709676</v>
      </c>
      <c r="Z31" s="40"/>
      <c r="AA31" s="40"/>
      <c r="AB31" s="40"/>
      <c r="AC31" s="40"/>
      <c r="AD31" s="40"/>
      <c r="AF31" s="83">
        <f t="array" ref="AF31">MMULT(B31:D31-$AI$14:$AK$14,MMULT($AI$9:$AK$11,TRANSPOSE(B31:D31-$AI$14:$AK$14)))</f>
        <v>0.78721065425198089</v>
      </c>
      <c r="AG31" s="84">
        <f t="shared" si="1"/>
        <v>0.85252356699201726</v>
      </c>
      <c r="AH31" s="70" t="str">
        <f t="shared" si="2"/>
        <v/>
      </c>
    </row>
    <row r="32" spans="1:48" ht="14.45" x14ac:dyDescent="0.35">
      <c r="A32" t="s">
        <v>160</v>
      </c>
      <c r="B32" s="102">
        <v>46.3</v>
      </c>
      <c r="C32" s="103">
        <v>31.8</v>
      </c>
      <c r="D32" s="104">
        <v>7.4</v>
      </c>
      <c r="AF32" s="83">
        <f t="array" ref="AF32">MMULT(B32:D32-$AI$14:$AK$14,MMULT($AI$9:$AK$11,TRANSPOSE(B32:D32-$AI$14:$AK$14)))</f>
        <v>2.7057597687784689</v>
      </c>
      <c r="AG32" s="84">
        <f t="shared" si="1"/>
        <v>0.43924936925104274</v>
      </c>
      <c r="AH32" s="70" t="str">
        <f t="shared" si="2"/>
        <v/>
      </c>
    </row>
    <row r="33" spans="1:34" x14ac:dyDescent="0.25">
      <c r="A33" t="s">
        <v>160</v>
      </c>
      <c r="B33" s="102">
        <v>61.5</v>
      </c>
      <c r="C33" s="103">
        <v>16.8</v>
      </c>
      <c r="D33" s="104">
        <v>1.9</v>
      </c>
      <c r="V33" t="s">
        <v>173</v>
      </c>
      <c r="Y33" t="str">
        <f>D3</f>
        <v>herbicide</v>
      </c>
      <c r="AF33" s="83">
        <f t="array" ref="AF33">MMULT(B33:D33-$AI$14:$AK$14,MMULT($AI$9:$AK$11,TRANSPOSE(B33:D33-$AI$14:$AK$14)))</f>
        <v>3.1353345295642674</v>
      </c>
      <c r="AG33" s="84">
        <f t="shared" si="1"/>
        <v>0.37122624795165404</v>
      </c>
      <c r="AH33" s="70" t="str">
        <f t="shared" si="2"/>
        <v/>
      </c>
    </row>
    <row r="34" spans="1:34" x14ac:dyDescent="0.25">
      <c r="A34" t="s">
        <v>160</v>
      </c>
      <c r="B34" s="102">
        <v>62.9</v>
      </c>
      <c r="C34" s="103">
        <v>25.8</v>
      </c>
      <c r="D34" s="104">
        <v>2.4</v>
      </c>
      <c r="AF34" s="83">
        <f t="array" ref="AF34">MMULT(B34:D34-$AI$14:$AK$14,MMULT($AI$9:$AK$11,TRANSPOSE(B34:D34-$AI$14:$AK$14)))</f>
        <v>1.2110309641701633</v>
      </c>
      <c r="AG34" s="84">
        <f t="shared" si="1"/>
        <v>0.75035986486254047</v>
      </c>
      <c r="AH34" s="70" t="str">
        <f t="shared" si="2"/>
        <v/>
      </c>
    </row>
    <row r="35" spans="1:34" ht="15.75" thickBot="1" x14ac:dyDescent="0.3">
      <c r="A35" t="s">
        <v>160</v>
      </c>
      <c r="B35" s="105">
        <v>49.3</v>
      </c>
      <c r="C35" s="106">
        <v>39.4</v>
      </c>
      <c r="D35" s="107">
        <v>5.2</v>
      </c>
      <c r="V35" t="s">
        <v>174</v>
      </c>
      <c r="AA35" t="s">
        <v>175</v>
      </c>
      <c r="AB35" s="122">
        <v>1.6667000000000001E-2</v>
      </c>
      <c r="AF35" s="85">
        <f t="array" ref="AF35">MMULT(B35:D35-$AI$14:$AK$14,MMULT($AI$9:$AK$11,TRANSPOSE(B35:D35-$AI$14:$AK$14)))</f>
        <v>2.0994867331869917</v>
      </c>
      <c r="AG35" s="87">
        <f t="shared" si="1"/>
        <v>0.55201660769160943</v>
      </c>
      <c r="AH35" s="70" t="str">
        <f t="shared" si="2"/>
        <v/>
      </c>
    </row>
    <row r="36" spans="1:34" ht="15.75" thickTop="1" x14ac:dyDescent="0.25">
      <c r="V36" s="94" t="s">
        <v>176</v>
      </c>
      <c r="W36" s="94" t="s">
        <v>100</v>
      </c>
      <c r="X36" s="94" t="s">
        <v>177</v>
      </c>
      <c r="Y36" s="94" t="s">
        <v>34</v>
      </c>
      <c r="Z36" s="94" t="s">
        <v>178</v>
      </c>
      <c r="AA36" s="94" t="s">
        <v>179</v>
      </c>
      <c r="AB36" s="94" t="s">
        <v>180</v>
      </c>
      <c r="AC36" s="94" t="s">
        <v>181</v>
      </c>
      <c r="AD36" s="94" t="s">
        <v>182</v>
      </c>
    </row>
    <row r="37" spans="1:34" x14ac:dyDescent="0.25">
      <c r="V37" t="str">
        <f t="array" ref="V37:V40">[1]!SortUnique(A4:A35)</f>
        <v>clay</v>
      </c>
      <c r="W37">
        <f>COUNTIF($A$4:$A$35,$V37)</f>
        <v>8</v>
      </c>
      <c r="X37">
        <f>SUMIF($A$4:$A$35,$V37,$D$4:$D$35)</f>
        <v>32.700000000000003</v>
      </c>
      <c r="Y37">
        <f>AVERAGEIF($A$4:$A$35,$V37,$D$4:$D$35)</f>
        <v>4.0875000000000004</v>
      </c>
      <c r="Z37">
        <f t="array" ref="Z37">VAR(IF($A$4:$A$35=$V37,$D$4:$D$35))</f>
        <v>3.5155357142857082</v>
      </c>
      <c r="AA37">
        <f>($W37-1)*Z37</f>
        <v>24.608749999999958</v>
      </c>
      <c r="AB37">
        <f>SQRT(Y$45/W37)</f>
        <v>0.70848256481218908</v>
      </c>
      <c r="AC37">
        <f>Y37-AB37*TINV(AB$35,W37-1)</f>
        <v>1.8716938743781997</v>
      </c>
      <c r="AD37">
        <f>Y37+AB37*TINV(AB$35,W37-1)</f>
        <v>6.303306125621801</v>
      </c>
    </row>
    <row r="38" spans="1:34" x14ac:dyDescent="0.25">
      <c r="V38" t="str">
        <v>loam</v>
      </c>
      <c r="W38">
        <f>COUNTIF($A$4:$A$35,$V38)</f>
        <v>8</v>
      </c>
      <c r="X38">
        <f>SUMIF($A$4:$A$35,$V38,$D$4:$D$35)</f>
        <v>51.099999999999987</v>
      </c>
      <c r="Y38">
        <f>AVERAGEIF($A$4:$A$35,$V38,$D$4:$D$35)</f>
        <v>6.3874999999999984</v>
      </c>
      <c r="Z38">
        <f t="array" ref="Z38">VAR(IF($A$4:$A$35=$V38,$D$4:$D$35))</f>
        <v>6.0383928571428829</v>
      </c>
      <c r="AA38">
        <f>($W38-1)*Z38</f>
        <v>42.268750000000182</v>
      </c>
      <c r="AB38">
        <f>SQRT(Y$45/W38)</f>
        <v>0.70848256481218908</v>
      </c>
      <c r="AC38">
        <f>Y38-AB38*TINV(AB$35,W38-1)</f>
        <v>4.1716938743781977</v>
      </c>
      <c r="AD38">
        <f>Y38+AB38*TINV(AB$35,W38-1)</f>
        <v>8.6033061256217991</v>
      </c>
    </row>
    <row r="39" spans="1:34" x14ac:dyDescent="0.25">
      <c r="V39" t="str">
        <v>salty</v>
      </c>
      <c r="W39">
        <f>COUNTIF($A$4:$A$35,$V39)</f>
        <v>8</v>
      </c>
      <c r="X39">
        <f>SUMIF($A$4:$A$35,$V39,$D$4:$D$35)</f>
        <v>30.9</v>
      </c>
      <c r="Y39">
        <f>AVERAGEIF($A$4:$A$35,$V39,$D$4:$D$35)</f>
        <v>3.8624999999999998</v>
      </c>
      <c r="Z39">
        <f t="array" ref="Z39">VAR(IF($A$4:$A$35=$V39,$D$4:$D$35))</f>
        <v>3.442678571428575</v>
      </c>
      <c r="AA39">
        <f>($W39-1)*Z39</f>
        <v>24.098750000000024</v>
      </c>
      <c r="AB39">
        <f>SQRT(Y$45/W39)</f>
        <v>0.70848256481218908</v>
      </c>
      <c r="AC39">
        <f>Y39-AB39*TINV(AB$35,W39-1)</f>
        <v>1.6466938743781991</v>
      </c>
      <c r="AD39">
        <f>Y39+AB39*TINV(AB$35,W39-1)</f>
        <v>6.0783061256218005</v>
      </c>
    </row>
    <row r="40" spans="1:34" x14ac:dyDescent="0.25">
      <c r="V40" t="str">
        <v>sandy</v>
      </c>
      <c r="W40">
        <f>COUNTIF($A$4:$A$35,$V40)</f>
        <v>8</v>
      </c>
      <c r="X40">
        <f>SUMIF($A$4:$A$35,$V40,$D$4:$D$35)</f>
        <v>34.800000000000004</v>
      </c>
      <c r="Y40">
        <f>AVERAGEIF($A$4:$A$35,$V40,$D$4:$D$35)</f>
        <v>4.3500000000000005</v>
      </c>
      <c r="Z40">
        <f t="array" ref="Z40">VAR(IF($A$4:$A$35=$V40,$D$4:$D$35))</f>
        <v>3.0657142857142827</v>
      </c>
      <c r="AA40">
        <f>($W40-1)*Z40</f>
        <v>21.45999999999998</v>
      </c>
      <c r="AB40">
        <f>SQRT(Y$45/W40)</f>
        <v>0.70848256481218908</v>
      </c>
      <c r="AC40">
        <f>Y40-AB40*TINV(AB$35,W40-1)</f>
        <v>2.1341938743781999</v>
      </c>
      <c r="AD40">
        <f>Y40+AB40*TINV(AB$35,W40-1)</f>
        <v>6.5658061256218012</v>
      </c>
    </row>
    <row r="41" spans="1:34" x14ac:dyDescent="0.25">
      <c r="V41" s="139"/>
      <c r="W41" s="139"/>
      <c r="X41" s="139"/>
      <c r="Y41" s="139"/>
      <c r="Z41" s="139"/>
      <c r="AA41" s="139"/>
      <c r="AB41" s="139"/>
      <c r="AC41" s="139"/>
      <c r="AD41" s="139"/>
    </row>
    <row r="42" spans="1:34" ht="15.75" thickBot="1" x14ac:dyDescent="0.3">
      <c r="V42" t="s">
        <v>183</v>
      </c>
    </row>
    <row r="43" spans="1:34" ht="15.75" thickTop="1" x14ac:dyDescent="0.25">
      <c r="V43" s="94" t="s">
        <v>184</v>
      </c>
      <c r="W43" s="94" t="s">
        <v>179</v>
      </c>
      <c r="X43" s="94" t="s">
        <v>62</v>
      </c>
      <c r="Y43" s="94" t="s">
        <v>185</v>
      </c>
      <c r="Z43" s="94" t="s">
        <v>54</v>
      </c>
      <c r="AA43" s="94" t="s">
        <v>186</v>
      </c>
      <c r="AB43" s="94" t="s">
        <v>187</v>
      </c>
      <c r="AC43" s="94" t="s">
        <v>188</v>
      </c>
      <c r="AD43" s="94" t="s">
        <v>189</v>
      </c>
    </row>
    <row r="44" spans="1:34" x14ac:dyDescent="0.25">
      <c r="V44" t="s">
        <v>190</v>
      </c>
      <c r="W44">
        <f>W46-W45</f>
        <v>32.348437499999875</v>
      </c>
      <c r="X44">
        <f>[1]!COUNTAU(A4:A35)-1</f>
        <v>3</v>
      </c>
      <c r="Y44">
        <f>W44/X44</f>
        <v>10.782812499999958</v>
      </c>
      <c r="Z44">
        <f>Y44/Y45</f>
        <v>2.6852438604097739</v>
      </c>
      <c r="AA44">
        <f>FDIST(Z44,X44,X45)</f>
        <v>6.5729410608718716E-2</v>
      </c>
      <c r="AB44">
        <f>FINV(AB35,X44,X45)</f>
        <v>4.0366515447275884</v>
      </c>
      <c r="AC44">
        <f>SQRT(DEVSQ(Y37:Y40)/(Y45*X44))</f>
        <v>0.57935781909906303</v>
      </c>
      <c r="AD44">
        <f>(W46-X46*Y45)/(W46+Y45)</f>
        <v>0.13643588631212777</v>
      </c>
    </row>
    <row r="45" spans="1:34" x14ac:dyDescent="0.25">
      <c r="V45" t="s">
        <v>191</v>
      </c>
      <c r="W45">
        <f>SUM(AA37:AA40)</f>
        <v>112.43625000000014</v>
      </c>
      <c r="X45">
        <f>X46-X44</f>
        <v>28</v>
      </c>
      <c r="Y45">
        <f>W45/X45</f>
        <v>4.0155803571428619</v>
      </c>
    </row>
    <row r="46" spans="1:34" x14ac:dyDescent="0.25">
      <c r="V46" s="40" t="s">
        <v>168</v>
      </c>
      <c r="W46" s="40">
        <f>DEVSQ(D4:D35)</f>
        <v>144.78468750000002</v>
      </c>
      <c r="X46" s="40">
        <f>COUNT(D4:D35)-1</f>
        <v>31</v>
      </c>
      <c r="Y46" s="40">
        <f>W46/X46</f>
        <v>4.670473790322581</v>
      </c>
      <c r="Z46" s="40"/>
      <c r="AA46" s="40"/>
      <c r="AB46" s="40"/>
      <c r="AC46" s="40"/>
      <c r="AD46" s="40"/>
    </row>
  </sheetData>
  <pageMargins left="0.7" right="0.7" top="0.75" bottom="0.75" header="0.3" footer="0.3"/>
  <pageSetup paperSize="9" orientation="portrait" horizontalDpi="300" verticalDpi="300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6"/>
  <dimension ref="A1:AO34"/>
  <sheetViews>
    <sheetView topLeftCell="A2" workbookViewId="0">
      <selection activeCell="N21" sqref="N21"/>
    </sheetView>
  </sheetViews>
  <sheetFormatPr defaultRowHeight="15" x14ac:dyDescent="0.25"/>
  <sheetData>
    <row r="1" spans="1:41" ht="14.45" x14ac:dyDescent="0.35">
      <c r="A1" s="42" t="s">
        <v>938</v>
      </c>
    </row>
    <row r="2" spans="1:41" ht="14.45" x14ac:dyDescent="0.35">
      <c r="A2" s="42"/>
      <c r="F2" t="s">
        <v>939</v>
      </c>
      <c r="N2" t="s">
        <v>232</v>
      </c>
      <c r="Q2" t="s">
        <v>233</v>
      </c>
      <c r="T2" t="s">
        <v>235</v>
      </c>
      <c r="Z2" t="s">
        <v>108</v>
      </c>
      <c r="AD2" t="s">
        <v>940</v>
      </c>
    </row>
    <row r="3" spans="1:41" thickBot="1" x14ac:dyDescent="0.4">
      <c r="A3" s="306" t="s">
        <v>941</v>
      </c>
      <c r="B3" s="306" t="s">
        <v>942</v>
      </c>
      <c r="C3" s="306" t="s">
        <v>943</v>
      </c>
      <c r="D3" s="306" t="s">
        <v>944</v>
      </c>
    </row>
    <row r="4" spans="1:41" thickTop="1" x14ac:dyDescent="0.35">
      <c r="A4" s="32" t="s">
        <v>945</v>
      </c>
      <c r="B4" s="32" t="s">
        <v>946</v>
      </c>
      <c r="C4" s="426">
        <v>5</v>
      </c>
      <c r="D4" s="426">
        <v>3</v>
      </c>
      <c r="F4" s="94" t="s">
        <v>947</v>
      </c>
      <c r="G4" s="94" t="s">
        <v>148</v>
      </c>
      <c r="H4" s="94" t="s">
        <v>55</v>
      </c>
      <c r="I4" s="94" t="s">
        <v>56</v>
      </c>
      <c r="J4" s="94" t="s">
        <v>54</v>
      </c>
      <c r="K4" s="94" t="s">
        <v>65</v>
      </c>
      <c r="L4" s="94" t="s">
        <v>948</v>
      </c>
      <c r="N4" t="s">
        <v>949</v>
      </c>
      <c r="Q4" t="s">
        <v>950</v>
      </c>
      <c r="R4" t="s">
        <v>951</v>
      </c>
      <c r="T4" s="32" t="s">
        <v>228</v>
      </c>
      <c r="U4" s="32" t="s">
        <v>65</v>
      </c>
      <c r="W4" t="s">
        <v>227</v>
      </c>
      <c r="Z4" t="str">
        <f t="array" ref="Z4:AA8">[1]!MANOVA2_BOX(A4:D27,TRUE)</f>
        <v>M-stat</v>
      </c>
      <c r="AA4" s="132">
        <v>16.56713886168551</v>
      </c>
      <c r="AE4" s="32" t="str">
        <f t="array" ref="AE4:AF4">$C$3:$D$3</f>
        <v>kindness</v>
      </c>
      <c r="AF4" s="32" t="str">
        <v>optimism</v>
      </c>
      <c r="AG4" s="32" t="s">
        <v>100</v>
      </c>
      <c r="AI4" s="32" t="s">
        <v>222</v>
      </c>
      <c r="AK4" t="s">
        <v>952</v>
      </c>
      <c r="AN4" t="s">
        <v>194</v>
      </c>
      <c r="AO4" s="132">
        <f>MDETERM(AK9:AL10)/MDETERM(AK5:AL6+AK9:AL10)</f>
        <v>0.39467087549902513</v>
      </c>
    </row>
    <row r="5" spans="1:41" ht="14.45" x14ac:dyDescent="0.35">
      <c r="A5" s="32" t="s">
        <v>945</v>
      </c>
      <c r="B5" s="32" t="s">
        <v>946</v>
      </c>
      <c r="C5" s="426">
        <v>4</v>
      </c>
      <c r="D5" s="426">
        <v>6</v>
      </c>
      <c r="F5" t="s">
        <v>150</v>
      </c>
      <c r="G5">
        <f t="array" ref="G5:L5">TRANSPOSE([1]!MANOVA2_PillaiRow(A4:D27))</f>
        <v>0.20589522872602073</v>
      </c>
      <c r="H5">
        <v>2</v>
      </c>
      <c r="I5">
        <v>17</v>
      </c>
      <c r="J5">
        <v>2.2038772558480946</v>
      </c>
      <c r="K5">
        <v>0.14091633719934094</v>
      </c>
      <c r="L5">
        <v>0.20589522872602073</v>
      </c>
      <c r="N5" s="149">
        <f t="array" ref="N5:O6">[1]!MANOVA2_Tot(A4:D27)</f>
        <v>104.95833333333334</v>
      </c>
      <c r="O5" s="150">
        <v>59.958333333333329</v>
      </c>
      <c r="Q5" s="149">
        <f t="array" ref="Q5:R6">[1]!Extract2Cov(A4:D27,Q4,R4)</f>
        <v>1.6666666666666665</v>
      </c>
      <c r="R5" s="150">
        <v>2</v>
      </c>
      <c r="T5" s="149">
        <f t="array" ref="T5">MMULT(C4:D4-$W$13:$X$13,MMULT($W$9:$X$10,TRANSPOSE(C4:D4-$W$13:$X$13)))</f>
        <v>1.1607665191014922</v>
      </c>
      <c r="U5" s="150">
        <f>_xlfn.CHISQ.DIST.RT(T5,COUNT($C$4:$D$4))</f>
        <v>0.55968382128485883</v>
      </c>
      <c r="V5" s="70" t="str">
        <f>IF(U5&lt;0.001,"*","")</f>
        <v/>
      </c>
      <c r="W5" s="149">
        <f t="array" ref="W5:X6">[1]!COV(C4:D27)</f>
        <v>4.5634057971014492</v>
      </c>
      <c r="X5" s="150">
        <v>2.6068840579710146</v>
      </c>
      <c r="Z5" t="str">
        <v>df1</v>
      </c>
      <c r="AA5" s="98">
        <v>15</v>
      </c>
      <c r="AC5" t="s">
        <v>950</v>
      </c>
      <c r="AD5" t="s">
        <v>951</v>
      </c>
      <c r="AE5" s="149">
        <f>AVERAGEIFS(C$4:C$27,$A$4:$A$27,$AC5,$B$4:$B$27,$AD5)</f>
        <v>7.5</v>
      </c>
      <c r="AF5" s="150">
        <f>AVERAGEIFS(D$4:D$27,$A$4:$A$27,$AC5,$B$4:$B$27,$AD5)</f>
        <v>7</v>
      </c>
      <c r="AG5" s="132">
        <f>COUNTIFS($A$4:$A$27,AC5,$B$4:$B$27,AD5)</f>
        <v>4</v>
      </c>
      <c r="AI5" s="133"/>
      <c r="AK5" s="149">
        <f t="array" ref="AK5:AL6">MMULT(TRANSPOSE(AE14:AF14),AE14:AF14)/AG13</f>
        <v>2</v>
      </c>
      <c r="AL5" s="150">
        <v>10</v>
      </c>
      <c r="AN5" t="s">
        <v>223</v>
      </c>
      <c r="AO5" s="98">
        <f>COUNT($C$4:$C$27)</f>
        <v>24</v>
      </c>
    </row>
    <row r="6" spans="1:41" ht="14.45" x14ac:dyDescent="0.35">
      <c r="A6" s="32" t="s">
        <v>945</v>
      </c>
      <c r="B6" s="32" t="s">
        <v>946</v>
      </c>
      <c r="C6" s="426">
        <v>3</v>
      </c>
      <c r="D6" s="426">
        <v>4</v>
      </c>
      <c r="F6" t="s">
        <v>151</v>
      </c>
      <c r="G6">
        <f t="array" ref="G6:L6">TRANSPOSE([1]!MANOVA2_WilksRow(A4:D27))</f>
        <v>0.79410477127397927</v>
      </c>
      <c r="H6">
        <v>2</v>
      </c>
      <c r="I6">
        <v>17</v>
      </c>
      <c r="J6">
        <v>2.2038772558480946</v>
      </c>
      <c r="K6">
        <v>0.14091633719934094</v>
      </c>
      <c r="L6">
        <v>0.20589522872602073</v>
      </c>
      <c r="N6" s="85">
        <v>59.958333333333329</v>
      </c>
      <c r="O6" s="87">
        <v>114.95833333333333</v>
      </c>
      <c r="Q6" s="85">
        <v>2</v>
      </c>
      <c r="R6" s="87">
        <v>3.333333333333333</v>
      </c>
      <c r="T6" s="83">
        <f t="array" ref="T6">MMULT(C5:D5-$W$13:$X$13,MMULT($W$9:$X$10,TRANSPOSE(C5:D5-$W$13:$X$13)))</f>
        <v>0.92544925397606181</v>
      </c>
      <c r="U6" s="84">
        <f t="shared" ref="U6:U28" si="0">_xlfn.CHISQ.DIST.RT(T6,COUNT($C$4:$D$4))</f>
        <v>0.62956597411879311</v>
      </c>
      <c r="V6" s="70" t="str">
        <f t="shared" ref="V6:V28" si="1">IF(U6&lt;0.001,"*","")</f>
        <v/>
      </c>
      <c r="W6" s="85">
        <v>2.6068840579710146</v>
      </c>
      <c r="X6" s="87">
        <v>4.9981884057971007</v>
      </c>
      <c r="Z6" t="str">
        <v>df2</v>
      </c>
      <c r="AA6" s="98">
        <v>1772.1866931479592</v>
      </c>
      <c r="AC6" t="s">
        <v>950</v>
      </c>
      <c r="AD6" t="s">
        <v>953</v>
      </c>
      <c r="AE6" s="83">
        <f t="shared" ref="AE6:AF10" si="2">AVERAGEIFS(C$4:C$27,$A$4:$A$27,$AC6,$B$4:$B$27,$AD6)</f>
        <v>6.25</v>
      </c>
      <c r="AF6" s="84">
        <f t="shared" si="2"/>
        <v>7.75</v>
      </c>
      <c r="AG6" s="98">
        <f t="shared" ref="AG6:AG10" si="3">COUNTIFS($A$4:$A$27,AC6,$B$4:$B$27,AD6)</f>
        <v>4</v>
      </c>
      <c r="AI6" s="127">
        <v>1</v>
      </c>
      <c r="AK6" s="85">
        <v>10</v>
      </c>
      <c r="AL6" s="87">
        <v>50</v>
      </c>
      <c r="AN6" t="s">
        <v>224</v>
      </c>
      <c r="AO6" s="98">
        <f>COUNT($C$4:$D$4)</f>
        <v>2</v>
      </c>
    </row>
    <row r="7" spans="1:41" ht="14.45" x14ac:dyDescent="0.35">
      <c r="A7" s="32" t="s">
        <v>945</v>
      </c>
      <c r="B7" s="32" t="s">
        <v>946</v>
      </c>
      <c r="C7" s="426">
        <v>2</v>
      </c>
      <c r="D7" s="426">
        <v>4</v>
      </c>
      <c r="F7" t="s">
        <v>152</v>
      </c>
      <c r="G7">
        <f t="array" ref="G7:L7">TRANSPOSE([1]!MANOVA2_HotelRow(A4:D27))</f>
        <v>0.25927967715859934</v>
      </c>
      <c r="H7">
        <v>2</v>
      </c>
      <c r="I7">
        <v>17</v>
      </c>
      <c r="J7">
        <v>2.2038772558480946</v>
      </c>
      <c r="K7">
        <v>0.14091633719934094</v>
      </c>
      <c r="L7">
        <v>0.20589522872602073</v>
      </c>
      <c r="T7" s="83">
        <f t="array" ref="T7">MMULT(C6:D6-$W$13:$X$13,MMULT($W$9:$X$10,TRANSPOSE(C6:D6-$W$13:$X$13)))</f>
        <v>0.91786932283981004</v>
      </c>
      <c r="U7" s="84">
        <f t="shared" si="0"/>
        <v>0.63195653469323154</v>
      </c>
      <c r="V7" s="70" t="str">
        <f t="shared" si="1"/>
        <v/>
      </c>
      <c r="Z7" t="str">
        <v>F-stat</v>
      </c>
      <c r="AA7" s="98">
        <v>0.78491976375486772</v>
      </c>
      <c r="AC7" t="s">
        <v>950</v>
      </c>
      <c r="AD7" t="s">
        <v>946</v>
      </c>
      <c r="AE7" s="83">
        <f t="shared" si="2"/>
        <v>3.5</v>
      </c>
      <c r="AF7" s="84">
        <f t="shared" si="2"/>
        <v>3.25</v>
      </c>
      <c r="AG7" s="98">
        <f t="shared" si="3"/>
        <v>4</v>
      </c>
      <c r="AI7" s="127"/>
      <c r="AN7" t="s">
        <v>225</v>
      </c>
      <c r="AO7" s="98">
        <f>COUNT(AE5:AE10)</f>
        <v>6</v>
      </c>
    </row>
    <row r="8" spans="1:41" ht="14.45" x14ac:dyDescent="0.35">
      <c r="A8" s="32" t="s">
        <v>945</v>
      </c>
      <c r="B8" s="32" t="s">
        <v>951</v>
      </c>
      <c r="C8" s="426">
        <v>4</v>
      </c>
      <c r="D8" s="426">
        <v>6</v>
      </c>
      <c r="F8" s="40" t="s">
        <v>153</v>
      </c>
      <c r="G8" s="40">
        <f>[1]!MANOVA2_RoyRow(A4:D27)</f>
        <v>0.2592796771585984</v>
      </c>
      <c r="H8" s="40"/>
      <c r="I8" s="40"/>
      <c r="J8" s="40"/>
      <c r="K8" s="40"/>
      <c r="L8" s="40"/>
      <c r="N8" t="s">
        <v>954</v>
      </c>
      <c r="Q8" t="s">
        <v>950</v>
      </c>
      <c r="R8" t="s">
        <v>953</v>
      </c>
      <c r="T8" s="83">
        <f t="array" ref="T8">MMULT(C7:D7-$W$13:$X$13,MMULT($W$9:$X$10,TRANSPOSE(C7:D7-$W$13:$X$13)))</f>
        <v>2.1653902279062143</v>
      </c>
      <c r="U8" s="84">
        <f t="shared" si="0"/>
        <v>0.33868150924779045</v>
      </c>
      <c r="V8" s="70" t="str">
        <f t="shared" si="1"/>
        <v/>
      </c>
      <c r="W8" t="s">
        <v>766</v>
      </c>
      <c r="Z8" t="str">
        <v>p-value</v>
      </c>
      <c r="AA8" s="99">
        <v>0.69576098818506682</v>
      </c>
      <c r="AC8" t="s">
        <v>945</v>
      </c>
      <c r="AD8" t="s">
        <v>951</v>
      </c>
      <c r="AE8" s="83">
        <f t="shared" si="2"/>
        <v>4.25</v>
      </c>
      <c r="AF8" s="84">
        <f t="shared" si="2"/>
        <v>5.25</v>
      </c>
      <c r="AG8" s="98">
        <f t="shared" si="3"/>
        <v>4</v>
      </c>
      <c r="AI8" s="127"/>
      <c r="AK8" t="s">
        <v>955</v>
      </c>
      <c r="AN8" t="s">
        <v>55</v>
      </c>
      <c r="AO8" s="98">
        <f>AO6</f>
        <v>2</v>
      </c>
    </row>
    <row r="9" spans="1:41" thickBot="1" x14ac:dyDescent="0.4">
      <c r="A9" s="32" t="s">
        <v>945</v>
      </c>
      <c r="B9" s="32" t="s">
        <v>951</v>
      </c>
      <c r="C9" s="426">
        <v>3</v>
      </c>
      <c r="D9" s="426">
        <v>6</v>
      </c>
      <c r="N9" s="149">
        <f t="array" ref="N9:O10">[1]!MANOVA2_Row(A4:D27)</f>
        <v>12.041666666666671</v>
      </c>
      <c r="O9" s="150">
        <v>16.291666666666671</v>
      </c>
      <c r="Q9" s="149">
        <f t="array" ref="Q9:R10">[1]!Extract2Cov(A4:D27,Q8,R8)</f>
        <v>7.583333333333333</v>
      </c>
      <c r="R9" s="150">
        <v>2.083333333333333</v>
      </c>
      <c r="T9" s="83">
        <f t="array" ref="T9">MMULT(C8:D8-$W$13:$X$13,MMULT($W$9:$X$10,TRANSPOSE(C8:D8-$W$13:$X$13)))</f>
        <v>0.92544925397606181</v>
      </c>
      <c r="U9" s="84">
        <f t="shared" si="0"/>
        <v>0.62956597411879311</v>
      </c>
      <c r="V9" s="70" t="str">
        <f t="shared" si="1"/>
        <v/>
      </c>
      <c r="W9" s="149">
        <f t="array" ref="W9:X10">MINVERSE(W5:X6)</f>
        <v>0.31213477619281854</v>
      </c>
      <c r="X9" s="150">
        <v>-0.16279881947860309</v>
      </c>
      <c r="AC9" t="s">
        <v>945</v>
      </c>
      <c r="AD9" t="s">
        <v>953</v>
      </c>
      <c r="AE9" s="83">
        <f t="shared" si="2"/>
        <v>5.25</v>
      </c>
      <c r="AF9" s="84">
        <f t="shared" si="2"/>
        <v>2.75</v>
      </c>
      <c r="AG9" s="98">
        <f t="shared" si="3"/>
        <v>4</v>
      </c>
      <c r="AI9" s="127">
        <v>-1</v>
      </c>
      <c r="AK9" s="149">
        <f t="array" ref="AK9:AL10">$N$21:$O$22</f>
        <v>53.249999999999993</v>
      </c>
      <c r="AL9" s="150">
        <v>14.25</v>
      </c>
      <c r="AN9" t="s">
        <v>56</v>
      </c>
      <c r="AO9" s="98">
        <f>AO5-AO6-AO7+1</f>
        <v>17</v>
      </c>
    </row>
    <row r="10" spans="1:41" thickTop="1" x14ac:dyDescent="0.35">
      <c r="A10" s="32" t="s">
        <v>945</v>
      </c>
      <c r="B10" s="32" t="s">
        <v>951</v>
      </c>
      <c r="C10" s="426">
        <v>5</v>
      </c>
      <c r="D10" s="426">
        <v>4</v>
      </c>
      <c r="F10" s="94" t="s">
        <v>956</v>
      </c>
      <c r="G10" s="94" t="s">
        <v>148</v>
      </c>
      <c r="H10" s="94" t="s">
        <v>55</v>
      </c>
      <c r="I10" s="94" t="s">
        <v>56</v>
      </c>
      <c r="J10" s="94" t="s">
        <v>54</v>
      </c>
      <c r="K10" s="94" t="s">
        <v>65</v>
      </c>
      <c r="L10" s="94" t="s">
        <v>948</v>
      </c>
      <c r="N10" s="85">
        <v>16.291666666666671</v>
      </c>
      <c r="O10" s="87">
        <v>22.041666666666671</v>
      </c>
      <c r="Q10" s="85">
        <v>2.083333333333333</v>
      </c>
      <c r="R10" s="87">
        <v>0.91666666666666663</v>
      </c>
      <c r="T10" s="83">
        <f t="array" ref="T10">MMULT(C9:D9-$W$13:$X$13,MMULT($W$9:$X$10,TRANSPOSE(C9:D9-$W$13:$X$13)))</f>
        <v>2.1998958845712417</v>
      </c>
      <c r="U10" s="84">
        <f t="shared" si="0"/>
        <v>0.33288841265692887</v>
      </c>
      <c r="V10" s="70" t="str">
        <f t="shared" si="1"/>
        <v/>
      </c>
      <c r="W10" s="85">
        <v>-0.16279881947860309</v>
      </c>
      <c r="X10" s="87">
        <v>0.28498278406296118</v>
      </c>
      <c r="AC10" t="s">
        <v>945</v>
      </c>
      <c r="AD10" t="s">
        <v>946</v>
      </c>
      <c r="AE10" s="85">
        <f t="shared" si="2"/>
        <v>3.5</v>
      </c>
      <c r="AF10" s="87">
        <f t="shared" si="2"/>
        <v>4.25</v>
      </c>
      <c r="AG10" s="99">
        <f t="shared" si="3"/>
        <v>4</v>
      </c>
      <c r="AI10" s="128"/>
      <c r="AK10" s="85">
        <v>14.25</v>
      </c>
      <c r="AL10" s="87">
        <v>33.75</v>
      </c>
      <c r="AN10" t="s">
        <v>54</v>
      </c>
      <c r="AO10" s="98">
        <f>(1-AO4)/AO4*(AO9/AO8)</f>
        <v>13.036932486473772</v>
      </c>
    </row>
    <row r="11" spans="1:41" ht="14.45" x14ac:dyDescent="0.35">
      <c r="A11" s="32" t="s">
        <v>945</v>
      </c>
      <c r="B11" s="32" t="s">
        <v>951</v>
      </c>
      <c r="C11" s="426">
        <v>5</v>
      </c>
      <c r="D11" s="426">
        <v>5</v>
      </c>
      <c r="F11" t="s">
        <v>150</v>
      </c>
      <c r="G11">
        <f t="array" ref="G11:L11">TRANSPOSE([1]!MANOVA2_PillaiCol(A4:D27))</f>
        <v>0.32944909001475653</v>
      </c>
      <c r="H11">
        <v>4</v>
      </c>
      <c r="I11">
        <v>36</v>
      </c>
      <c r="J11">
        <v>1.7748886265064499</v>
      </c>
      <c r="K11">
        <v>0.15530402962505763</v>
      </c>
      <c r="L11">
        <v>0.16472454500737826</v>
      </c>
      <c r="T11" s="83">
        <f t="array" ref="T11">MMULT(C10:D10-$W$13:$X$13,MMULT($W$9:$X$10,TRANSPOSE(C10:D10-$W$13:$X$13)))</f>
        <v>0.29563616986391228</v>
      </c>
      <c r="U11" s="84">
        <f t="shared" si="0"/>
        <v>0.86258801842812471</v>
      </c>
      <c r="V11" s="70" t="str">
        <f t="shared" si="1"/>
        <v/>
      </c>
      <c r="AD11" t="s">
        <v>168</v>
      </c>
      <c r="AE11" s="427">
        <f>AVERAGE(C$4:C$27)</f>
        <v>5.041666666666667</v>
      </c>
      <c r="AF11" s="428">
        <f>AVERAGE(D$4:D$27)</f>
        <v>5.041666666666667</v>
      </c>
      <c r="AG11" s="137">
        <f>SUM(AG5:AG10)</f>
        <v>24</v>
      </c>
      <c r="AN11" t="s">
        <v>65</v>
      </c>
      <c r="AO11" s="98">
        <f>_xlfn.F.DIST.RT(AO10,AO8,AO9)</f>
        <v>3.6982662325947655E-4</v>
      </c>
    </row>
    <row r="12" spans="1:41" ht="14.45" x14ac:dyDescent="0.35">
      <c r="A12" s="32" t="s">
        <v>945</v>
      </c>
      <c r="B12" s="32" t="s">
        <v>953</v>
      </c>
      <c r="C12" s="426">
        <v>7</v>
      </c>
      <c r="D12" s="426">
        <v>5</v>
      </c>
      <c r="F12" t="s">
        <v>151</v>
      </c>
      <c r="G12">
        <f t="array" ref="G12:L12">TRANSPOSE([1]!MANOVA2_WilksCol(A4:D27))</f>
        <v>0.82373634385697159</v>
      </c>
      <c r="H12">
        <v>4</v>
      </c>
      <c r="I12">
        <v>34</v>
      </c>
      <c r="J12">
        <v>1.8188357092519967</v>
      </c>
      <c r="K12">
        <v>0.14793732129367054</v>
      </c>
      <c r="L12">
        <v>0.17626365614302841</v>
      </c>
      <c r="N12" t="s">
        <v>957</v>
      </c>
      <c r="Q12" t="s">
        <v>950</v>
      </c>
      <c r="R12" t="s">
        <v>946</v>
      </c>
      <c r="T12" s="83">
        <f t="array" ref="T12">MMULT(C11:D11-$W$13:$X$13,MMULT($W$9:$X$10,TRANSPOSE(C11:D11-$W$13:$X$13)))</f>
        <v>4.7138875225447463E-4</v>
      </c>
      <c r="U12" s="84">
        <f t="shared" si="0"/>
        <v>0.99976433339761017</v>
      </c>
      <c r="V12" s="70" t="str">
        <f t="shared" si="1"/>
        <v/>
      </c>
      <c r="W12" t="s">
        <v>230</v>
      </c>
      <c r="AN12" t="s">
        <v>226</v>
      </c>
      <c r="AO12" s="99">
        <f>(AO5-AO7)*(1-AO4)*AG13/AO4</f>
        <v>13.803810868031054</v>
      </c>
    </row>
    <row r="13" spans="1:41" ht="14.45" x14ac:dyDescent="0.35">
      <c r="A13" s="32" t="s">
        <v>945</v>
      </c>
      <c r="B13" s="32" t="s">
        <v>953</v>
      </c>
      <c r="C13" s="426">
        <v>4</v>
      </c>
      <c r="D13" s="426">
        <v>3</v>
      </c>
      <c r="F13" t="s">
        <v>152</v>
      </c>
      <c r="G13">
        <f t="array" ref="G13:L13">TRANSPOSE([1]!MANOVA2_HotelCol(A4:D27))</f>
        <v>0.46197285199079363</v>
      </c>
      <c r="H13">
        <v>4</v>
      </c>
      <c r="I13">
        <v>32</v>
      </c>
      <c r="J13">
        <v>1.8478914079631745</v>
      </c>
      <c r="K13">
        <v>0.14396493751079409</v>
      </c>
      <c r="L13">
        <v>0.18764335748756711</v>
      </c>
      <c r="N13" s="149">
        <f t="array" ref="N13:O14">[1]!MANOVA2_Col(A4:D27)</f>
        <v>28.583333333333336</v>
      </c>
      <c r="O13" s="150">
        <v>24.333333333333336</v>
      </c>
      <c r="Q13" s="149">
        <f t="array" ref="Q13:R14">[1]!Extract2Cov(A4:D27,Q12,R12)</f>
        <v>1.6666666666666665</v>
      </c>
      <c r="R13" s="150">
        <v>-0.5</v>
      </c>
      <c r="T13" s="83">
        <f t="array" ref="T13">MMULT(C12:D12-$W$13:$X$13,MMULT($W$9:$X$10,TRANSPOSE(C12:D12-$W$13:$X$13)))</f>
        <v>1.2241211674044929</v>
      </c>
      <c r="U13" s="84">
        <f t="shared" si="0"/>
        <v>0.54223240187247879</v>
      </c>
      <c r="V13" s="70" t="str">
        <f t="shared" si="1"/>
        <v/>
      </c>
      <c r="W13" s="427">
        <f>AVERAGE(C4:C27)</f>
        <v>5.041666666666667</v>
      </c>
      <c r="X13" s="428">
        <f>AVERAGE(D4:D27)</f>
        <v>5.041666666666667</v>
      </c>
      <c r="AD13" t="s">
        <v>217</v>
      </c>
      <c r="AG13" s="137">
        <f>SUMPRODUCT(AI5:AI10^2/AG5:AG10)</f>
        <v>0.5</v>
      </c>
    </row>
    <row r="14" spans="1:41" ht="14.45" x14ac:dyDescent="0.35">
      <c r="A14" s="32" t="s">
        <v>945</v>
      </c>
      <c r="B14" s="32" t="s">
        <v>953</v>
      </c>
      <c r="C14" s="426">
        <v>3</v>
      </c>
      <c r="D14" s="426">
        <v>1</v>
      </c>
      <c r="F14" s="40" t="s">
        <v>153</v>
      </c>
      <c r="G14" s="40">
        <f>[1]!MANOVA2_RoyCol(A4:D27)</f>
        <v>0.43489451749815106</v>
      </c>
      <c r="H14" s="40"/>
      <c r="I14" s="40"/>
      <c r="J14" s="40"/>
      <c r="K14" s="40"/>
      <c r="L14" s="40"/>
      <c r="N14" s="85">
        <v>24.333333333333336</v>
      </c>
      <c r="O14" s="87">
        <v>23.083333333333336</v>
      </c>
      <c r="Q14" s="85">
        <v>-0.5</v>
      </c>
      <c r="R14" s="87">
        <v>1.5833333333333333</v>
      </c>
      <c r="T14" s="83">
        <f t="array" ref="T14">MMULT(C13:D13-$W$13:$X$13,MMULT($W$9:$X$10,TRANSPOSE(C13:D13-$W$13:$X$13)))</f>
        <v>0.83415068043941665</v>
      </c>
      <c r="U14" s="84">
        <f t="shared" si="0"/>
        <v>0.65897127103352315</v>
      </c>
      <c r="V14" s="70" t="str">
        <f t="shared" si="1"/>
        <v/>
      </c>
      <c r="AD14" t="s">
        <v>48</v>
      </c>
      <c r="AE14" s="149">
        <f>SUMPRODUCT(AE5:AE10,$AI5:$AI10)</f>
        <v>1</v>
      </c>
      <c r="AF14" s="150">
        <f>SUMPRODUCT(AF5:AF10,$AI5:$AI10)</f>
        <v>5</v>
      </c>
    </row>
    <row r="15" spans="1:41" thickBot="1" x14ac:dyDescent="0.4">
      <c r="A15" s="32" t="s">
        <v>945</v>
      </c>
      <c r="B15" s="32" t="s">
        <v>953</v>
      </c>
      <c r="C15" s="426">
        <v>7</v>
      </c>
      <c r="D15" s="426">
        <v>2</v>
      </c>
      <c r="T15" s="83">
        <f t="array" ref="T15">MMULT(C14:D14-$W$13:$X$13,MMULT($W$9:$X$10,TRANSPOSE(C14:D14-$W$13:$X$13)))</f>
        <v>3.269571241187081</v>
      </c>
      <c r="U15" s="84">
        <f t="shared" si="0"/>
        <v>0.19499416955301183</v>
      </c>
      <c r="V15" s="70" t="str">
        <f t="shared" si="1"/>
        <v/>
      </c>
      <c r="AD15" t="s">
        <v>219</v>
      </c>
      <c r="AE15" s="85">
        <f t="array" ref="AE15:AF15">SQRT([1]!DIAG(AK9:AL10)*AG13/(AO5-AO7))</f>
        <v>1.2162099599438687</v>
      </c>
      <c r="AF15" s="87">
        <v>0.96824583655185426</v>
      </c>
    </row>
    <row r="16" spans="1:41" thickTop="1" x14ac:dyDescent="0.35">
      <c r="A16" s="32" t="s">
        <v>950</v>
      </c>
      <c r="B16" s="32" t="s">
        <v>946</v>
      </c>
      <c r="C16" s="426">
        <v>2</v>
      </c>
      <c r="D16" s="426">
        <v>3</v>
      </c>
      <c r="F16" s="94" t="s">
        <v>958</v>
      </c>
      <c r="G16" s="94" t="s">
        <v>148</v>
      </c>
      <c r="H16" s="94" t="s">
        <v>55</v>
      </c>
      <c r="I16" s="94" t="s">
        <v>56</v>
      </c>
      <c r="J16" s="94" t="s">
        <v>54</v>
      </c>
      <c r="K16" s="94" t="s">
        <v>65</v>
      </c>
      <c r="L16" s="94" t="s">
        <v>948</v>
      </c>
      <c r="N16" t="s">
        <v>959</v>
      </c>
      <c r="Q16" t="s">
        <v>945</v>
      </c>
      <c r="R16" t="s">
        <v>951</v>
      </c>
      <c r="T16" s="83">
        <f t="array" ref="T16">MMULT(C15:D15-$W$13:$X$13,MMULT($W$9:$X$10,TRANSPOSE(C15:D15-$W$13:$X$13)))</f>
        <v>5.7730980488604704</v>
      </c>
      <c r="U16" s="84">
        <f t="shared" si="0"/>
        <v>5.5768336079492373E-2</v>
      </c>
      <c r="V16" s="70" t="str">
        <f t="shared" si="1"/>
        <v/>
      </c>
    </row>
    <row r="17" spans="1:35" ht="14.45" x14ac:dyDescent="0.35">
      <c r="A17" s="32" t="s">
        <v>950</v>
      </c>
      <c r="B17" s="32" t="s">
        <v>946</v>
      </c>
      <c r="C17" s="426">
        <v>3</v>
      </c>
      <c r="D17" s="426">
        <v>5</v>
      </c>
      <c r="F17" t="s">
        <v>150</v>
      </c>
      <c r="G17">
        <f t="array" ref="G17:L17">TRANSPOSE([1]!MANOVA2_PillaiInt(A4:D27))</f>
        <v>0.52554353172651269</v>
      </c>
      <c r="H17">
        <v>4</v>
      </c>
      <c r="I17">
        <v>36</v>
      </c>
      <c r="J17">
        <v>3.2078883895955737</v>
      </c>
      <c r="K17">
        <v>2.3712737194918398E-2</v>
      </c>
      <c r="L17">
        <v>0.26277176586325635</v>
      </c>
      <c r="N17" s="149">
        <f t="array" ref="N17:O18">N5:O6-N9:O10-N13:O14-N21:O22</f>
        <v>11.08333333333335</v>
      </c>
      <c r="O17" s="150">
        <v>5.0833333333333215</v>
      </c>
      <c r="Q17" s="149">
        <f t="array" ref="Q17:R18">[1]!Extract2Cov(A4:D27,Q16,R16)</f>
        <v>0.91666666666666663</v>
      </c>
      <c r="R17" s="150">
        <v>-0.75</v>
      </c>
      <c r="T17" s="83">
        <f t="array" ref="T17">MMULT(C16:D16-$W$13:$X$13,MMULT($W$9:$X$10,TRANSPOSE(C16:D16-$W$13:$X$13)))</f>
        <v>2.0537276602721763</v>
      </c>
      <c r="U17" s="84">
        <f t="shared" si="0"/>
        <v>0.35812835255884645</v>
      </c>
      <c r="V17" s="70" t="str">
        <f t="shared" si="1"/>
        <v/>
      </c>
      <c r="AD17" t="s">
        <v>69</v>
      </c>
    </row>
    <row r="18" spans="1:35" ht="14.45" x14ac:dyDescent="0.35">
      <c r="A18" s="32" t="s">
        <v>950</v>
      </c>
      <c r="B18" s="32" t="s">
        <v>946</v>
      </c>
      <c r="C18" s="426">
        <v>5</v>
      </c>
      <c r="D18" s="426">
        <v>3</v>
      </c>
      <c r="F18" t="s">
        <v>151</v>
      </c>
      <c r="G18">
        <f t="array" ref="G18:L18">TRANSPOSE([1]!MANOVA2_WilksInt(A4:D27))</f>
        <v>0.72015123841991513</v>
      </c>
      <c r="H18">
        <v>4</v>
      </c>
      <c r="I18">
        <v>34</v>
      </c>
      <c r="J18">
        <v>3.3030762797129425</v>
      </c>
      <c r="K18">
        <v>2.1698598740096164E-2</v>
      </c>
      <c r="L18">
        <v>0.27984876158008487</v>
      </c>
      <c r="N18" s="85">
        <v>5.0833333333333215</v>
      </c>
      <c r="O18" s="87">
        <v>36.083333333333314</v>
      </c>
      <c r="Q18" s="85">
        <v>-0.75</v>
      </c>
      <c r="R18" s="87">
        <v>0.91666666666666663</v>
      </c>
      <c r="T18" s="83">
        <f t="array" ref="T18">MMULT(C17:D17-$W$13:$X$13,MMULT($W$9:$X$10,TRANSPOSE(C17:D17-$W$13:$X$13)))</f>
        <v>1.2738998196425644</v>
      </c>
      <c r="U18" s="84">
        <f t="shared" si="0"/>
        <v>0.52890316869642207</v>
      </c>
      <c r="V18" s="70" t="str">
        <f t="shared" si="1"/>
        <v/>
      </c>
      <c r="AH18" t="s">
        <v>175</v>
      </c>
      <c r="AI18" s="132">
        <v>0.05</v>
      </c>
    </row>
    <row r="19" spans="1:35" ht="14.45" x14ac:dyDescent="0.35">
      <c r="A19" s="32" t="s">
        <v>950</v>
      </c>
      <c r="B19" s="32" t="s">
        <v>946</v>
      </c>
      <c r="C19" s="426">
        <v>4</v>
      </c>
      <c r="D19" s="426">
        <v>2</v>
      </c>
      <c r="F19" t="s">
        <v>152</v>
      </c>
      <c r="G19">
        <f t="array" ref="G19:L19">TRANSPOSE([1]!MANOVA2_HotelInt(A4:D27))</f>
        <v>0.84305022051500944</v>
      </c>
      <c r="H19">
        <v>4</v>
      </c>
      <c r="I19">
        <v>32</v>
      </c>
      <c r="J19">
        <v>3.3722008820600378</v>
      </c>
      <c r="K19">
        <v>2.0662286600083846E-2</v>
      </c>
      <c r="L19">
        <v>0.29653018945345733</v>
      </c>
      <c r="T19" s="83">
        <f t="array" ref="T19">MMULT(C18:D18-$W$13:$X$13,MMULT($W$9:$X$10,TRANSPOSE(C18:D18-$W$13:$X$13)))</f>
        <v>1.1607665191014922</v>
      </c>
      <c r="U19" s="84">
        <f t="shared" si="0"/>
        <v>0.55968382128485883</v>
      </c>
      <c r="V19" s="70" t="str">
        <f t="shared" si="1"/>
        <v/>
      </c>
      <c r="AD19" t="s">
        <v>66</v>
      </c>
      <c r="AE19" s="149">
        <f>AE14-AE15*$AI20</f>
        <v>-2.3540932216454755</v>
      </c>
      <c r="AF19" s="150">
        <f>AF14-AF15*$AI20</f>
        <v>2.32974823079486</v>
      </c>
      <c r="AH19" t="s">
        <v>58</v>
      </c>
      <c r="AI19" s="98">
        <f>_xlfn.F.INV.RT(AI18,AO8,AO9)</f>
        <v>3.5915305684750827</v>
      </c>
    </row>
    <row r="20" spans="1:35" ht="14.45" x14ac:dyDescent="0.35">
      <c r="A20" s="32" t="s">
        <v>950</v>
      </c>
      <c r="B20" s="32" t="s">
        <v>951</v>
      </c>
      <c r="C20" s="426">
        <v>9</v>
      </c>
      <c r="D20" s="426">
        <v>8</v>
      </c>
      <c r="F20" s="40" t="s">
        <v>153</v>
      </c>
      <c r="G20" s="40">
        <f>[1]!MANOVA2_RoyInt(A4:D27)</f>
        <v>0.72571490167112085</v>
      </c>
      <c r="H20" s="40"/>
      <c r="I20" s="40"/>
      <c r="J20" s="40"/>
      <c r="K20" s="40"/>
      <c r="L20" s="40"/>
      <c r="N20" t="s">
        <v>955</v>
      </c>
      <c r="Q20" t="s">
        <v>945</v>
      </c>
      <c r="R20" t="s">
        <v>953</v>
      </c>
      <c r="T20" s="83">
        <f t="array" ref="T20">MMULT(C19:D19-$W$13:$X$13,MMULT($W$9:$X$10,TRANSPOSE(C19:D19-$W$13:$X$13)))</f>
        <v>1.9436489588457131</v>
      </c>
      <c r="U20" s="84">
        <f t="shared" si="0"/>
        <v>0.37839203944891708</v>
      </c>
      <c r="V20" s="70" t="str">
        <f t="shared" si="1"/>
        <v/>
      </c>
      <c r="AD20" t="s">
        <v>67</v>
      </c>
      <c r="AE20" s="85">
        <f>AE14+AE15*$AI20</f>
        <v>4.354093221645476</v>
      </c>
      <c r="AF20" s="87">
        <f>AF14+AF15*$AI20</f>
        <v>7.67025176920514</v>
      </c>
      <c r="AH20" t="s">
        <v>113</v>
      </c>
      <c r="AI20" s="99">
        <f>SQRT(AO8*(AO5-AO7)*AI19/AO9)</f>
        <v>2.7578241686166391</v>
      </c>
    </row>
    <row r="21" spans="1:35" ht="14.45" x14ac:dyDescent="0.35">
      <c r="A21" s="32" t="s">
        <v>950</v>
      </c>
      <c r="B21" s="32" t="s">
        <v>951</v>
      </c>
      <c r="C21" s="426">
        <v>6</v>
      </c>
      <c r="D21" s="426">
        <v>5</v>
      </c>
      <c r="N21" s="149">
        <f t="array" ref="N21:O22">[1]!MANOVA2_Res(A4:D27)</f>
        <v>53.249999999999993</v>
      </c>
      <c r="O21" s="150">
        <v>14.25</v>
      </c>
      <c r="Q21" s="149">
        <f t="array" ref="Q21:R22">[1]!Extract2Cov(A4:D27,Q20,R20)</f>
        <v>4.25</v>
      </c>
      <c r="R21" s="150">
        <v>2.083333333333333</v>
      </c>
      <c r="T21" s="83">
        <f t="array" ref="T21">MMULT(C20:D20-$W$13:$X$13,MMULT($W$9:$X$10,TRANSPOSE(C20:D20-$W$13:$X$13)))</f>
        <v>3.5719765535333661</v>
      </c>
      <c r="U21" s="84">
        <f t="shared" si="0"/>
        <v>0.1676313129792312</v>
      </c>
      <c r="V21" s="70" t="str">
        <f t="shared" si="1"/>
        <v/>
      </c>
    </row>
    <row r="22" spans="1:35" ht="14.45" x14ac:dyDescent="0.35">
      <c r="A22" s="32" t="s">
        <v>950</v>
      </c>
      <c r="B22" s="32" t="s">
        <v>951</v>
      </c>
      <c r="C22" s="426">
        <v>7</v>
      </c>
      <c r="D22" s="426">
        <v>6</v>
      </c>
      <c r="N22" s="85">
        <v>14.25</v>
      </c>
      <c r="O22" s="87">
        <v>33.75</v>
      </c>
      <c r="Q22" s="85">
        <v>2.083333333333333</v>
      </c>
      <c r="R22" s="87">
        <v>2.9166666666666665</v>
      </c>
      <c r="T22" s="83">
        <f t="array" ref="T22">MMULT(C21:D21-$W$13:$X$13,MMULT($W$9:$X$10,TRANSPOSE(C21:D21-$W$13:$X$13)))</f>
        <v>0.30016150188555496</v>
      </c>
      <c r="U22" s="84">
        <f t="shared" si="0"/>
        <v>0.86063847625064549</v>
      </c>
      <c r="V22" s="70" t="str">
        <f t="shared" si="1"/>
        <v/>
      </c>
      <c r="AD22" t="s">
        <v>221</v>
      </c>
    </row>
    <row r="23" spans="1:35" ht="14.45" x14ac:dyDescent="0.35">
      <c r="A23" s="32" t="s">
        <v>950</v>
      </c>
      <c r="B23" s="32" t="s">
        <v>951</v>
      </c>
      <c r="C23" s="426">
        <v>8</v>
      </c>
      <c r="D23" s="426">
        <v>9</v>
      </c>
      <c r="T23" s="83">
        <f t="array" ref="T23">MMULT(C22:D22-$W$13:$X$13,MMULT($W$9:$X$10,TRANSPOSE(C22:D22-$W$13:$X$13)))</f>
        <v>0.84772667650434497</v>
      </c>
      <c r="U23" s="84">
        <f t="shared" si="0"/>
        <v>0.65451332273181073</v>
      </c>
      <c r="V23" s="70" t="str">
        <f t="shared" si="1"/>
        <v/>
      </c>
      <c r="AH23" t="s">
        <v>175</v>
      </c>
      <c r="AI23" s="132">
        <f>AI18/2</f>
        <v>2.5000000000000001E-2</v>
      </c>
    </row>
    <row r="24" spans="1:35" ht="14.45" x14ac:dyDescent="0.35">
      <c r="A24" s="32" t="s">
        <v>950</v>
      </c>
      <c r="B24" s="32" t="s">
        <v>953</v>
      </c>
      <c r="C24" s="426">
        <v>8</v>
      </c>
      <c r="D24" s="426">
        <v>9</v>
      </c>
      <c r="Q24" t="s">
        <v>945</v>
      </c>
      <c r="R24" t="s">
        <v>946</v>
      </c>
      <c r="T24" s="83">
        <f t="array" ref="T24">MMULT(C23:D23-$W$13:$X$13,MMULT($W$9:$X$10,TRANSPOSE(C23:D23-$W$13:$X$13)))</f>
        <v>3.3841752746351856</v>
      </c>
      <c r="U24" s="84">
        <f t="shared" si="0"/>
        <v>0.18413471595844036</v>
      </c>
      <c r="V24" s="70" t="str">
        <f t="shared" si="1"/>
        <v/>
      </c>
      <c r="AD24" t="s">
        <v>66</v>
      </c>
      <c r="AE24" s="149">
        <f>AE14-AE15*$AI25</f>
        <v>-1.9736401829241728</v>
      </c>
      <c r="AF24" s="150">
        <f>AF14-AF15*$AI25</f>
        <v>2.632633491463507</v>
      </c>
      <c r="AH24" t="s">
        <v>62</v>
      </c>
      <c r="AI24" s="98">
        <f>AO5-AO7</f>
        <v>18</v>
      </c>
    </row>
    <row r="25" spans="1:35" ht="14.45" x14ac:dyDescent="0.35">
      <c r="A25" s="32" t="s">
        <v>950</v>
      </c>
      <c r="B25" s="32" t="s">
        <v>953</v>
      </c>
      <c r="C25" s="426">
        <v>9</v>
      </c>
      <c r="D25" s="426">
        <v>8</v>
      </c>
      <c r="Q25" s="149">
        <f t="array" ref="Q25:R26">[1]!Extract2Cov(A4:D27,Q24,R24)</f>
        <v>1.6666666666666665</v>
      </c>
      <c r="R25" s="150">
        <v>-0.16666666666666666</v>
      </c>
      <c r="T25" s="83">
        <f t="array" ref="T25">MMULT(C24:D24-$W$13:$X$13,MMULT($W$9:$X$10,TRANSPOSE(C24:D24-$W$13:$X$13)))</f>
        <v>3.3841752746351856</v>
      </c>
      <c r="U25" s="84">
        <f t="shared" si="0"/>
        <v>0.18413471595844036</v>
      </c>
      <c r="V25" s="70" t="str">
        <f t="shared" si="1"/>
        <v/>
      </c>
      <c r="AD25" t="s">
        <v>67</v>
      </c>
      <c r="AE25" s="85">
        <f>AE14+AE15*$AI25</f>
        <v>3.9736401829241728</v>
      </c>
      <c r="AF25" s="87">
        <f>AF14+AF15*$AI25</f>
        <v>7.3673665085364934</v>
      </c>
      <c r="AH25" t="s">
        <v>63</v>
      </c>
      <c r="AI25" s="99">
        <f>_xlfn.T.INV.2T(AI23,AI24)</f>
        <v>2.4450056165149427</v>
      </c>
    </row>
    <row r="26" spans="1:35" ht="14.45" x14ac:dyDescent="0.35">
      <c r="A26" s="32" t="s">
        <v>950</v>
      </c>
      <c r="B26" s="32" t="s">
        <v>953</v>
      </c>
      <c r="C26" s="426">
        <v>3</v>
      </c>
      <c r="D26" s="426">
        <v>7</v>
      </c>
      <c r="Q26" s="85">
        <v>-0.16666666666666666</v>
      </c>
      <c r="R26" s="87">
        <v>1.5833333333333333</v>
      </c>
      <c r="T26" s="83">
        <f t="array" ref="T26">MMULT(C25:D25-$W$13:$X$13,MMULT($W$9:$X$10,TRANSPOSE(C25:D25-$W$13:$X$13)))</f>
        <v>3.5719765535333661</v>
      </c>
      <c r="U26" s="84">
        <f t="shared" si="0"/>
        <v>0.1676313129792312</v>
      </c>
      <c r="V26" s="70" t="str">
        <f t="shared" si="1"/>
        <v/>
      </c>
    </row>
    <row r="27" spans="1:35" ht="14.45" x14ac:dyDescent="0.35">
      <c r="A27" s="74" t="s">
        <v>950</v>
      </c>
      <c r="B27" s="74" t="s">
        <v>953</v>
      </c>
      <c r="C27" s="429">
        <v>5</v>
      </c>
      <c r="D27" s="429">
        <v>7</v>
      </c>
      <c r="T27" s="83">
        <f t="array" ref="T27">MMULT(C26:D26-$W$13:$X$13,MMULT($W$9:$X$10,TRANSPOSE(C26:D26-$W$13:$X$13)))</f>
        <v>3.695857517625841</v>
      </c>
      <c r="U27" s="84">
        <f t="shared" si="0"/>
        <v>0.15756317991848809</v>
      </c>
      <c r="V27" s="70" t="str">
        <f t="shared" si="1"/>
        <v/>
      </c>
    </row>
    <row r="28" spans="1:35" ht="14.45" x14ac:dyDescent="0.35">
      <c r="K28">
        <f>Q5+Q9+Q13+Q17+Q25</f>
        <v>13.499999999999998</v>
      </c>
      <c r="L28">
        <f>R5+R9+R13+R17+R25</f>
        <v>2.6666666666666665</v>
      </c>
      <c r="Q28" t="s">
        <v>157</v>
      </c>
      <c r="T28" s="85">
        <f t="array" ref="T28">MMULT(C27:D27-$W$13:$X$13,MMULT($W$9:$X$10,TRANSPOSE(C27:D27-$W$13:$X$13)))</f>
        <v>1.1200385309067062</v>
      </c>
      <c r="U28" s="87">
        <f t="shared" si="0"/>
        <v>0.57119805935324408</v>
      </c>
      <c r="V28" s="70" t="str">
        <f t="shared" si="1"/>
        <v/>
      </c>
    </row>
    <row r="29" spans="1:35" ht="14.45" x14ac:dyDescent="0.35">
      <c r="K29">
        <f>Q6+Q10+Q14+Q18+Q26</f>
        <v>2.6666666666666665</v>
      </c>
      <c r="L29">
        <f>R6+R10+R14+R18+R26</f>
        <v>8.3333333333333339</v>
      </c>
      <c r="Q29" s="149">
        <f t="array" ref="Q29:R30">[1]!COV2Pooled(A4:D27)</f>
        <v>2.958333333333333</v>
      </c>
      <c r="R29" s="150">
        <v>0.79166666666666663</v>
      </c>
    </row>
    <row r="30" spans="1:35" ht="14.45" x14ac:dyDescent="0.35">
      <c r="Q30" s="85">
        <v>0.79166666666666663</v>
      </c>
      <c r="R30" s="87">
        <v>1.875</v>
      </c>
    </row>
    <row r="31" spans="1:35" ht="14.45" x14ac:dyDescent="0.35">
      <c r="K31">
        <f>K28/6</f>
        <v>2.2499999999999996</v>
      </c>
      <c r="L31">
        <f>L28/6</f>
        <v>0.44444444444444442</v>
      </c>
    </row>
    <row r="32" spans="1:35" ht="14.45" x14ac:dyDescent="0.35">
      <c r="K32">
        <f>K29/6</f>
        <v>0.44444444444444442</v>
      </c>
      <c r="L32">
        <f>L29/6</f>
        <v>1.3888888888888891</v>
      </c>
      <c r="Q32" t="s">
        <v>231</v>
      </c>
    </row>
    <row r="33" spans="17:18" ht="14.45" x14ac:dyDescent="0.35">
      <c r="Q33" s="149">
        <f t="array" ref="Q33:R34">[1]!CORR(C4:D27)</f>
        <v>0.99999999999999967</v>
      </c>
      <c r="R33" s="150">
        <v>0.54584691478716008</v>
      </c>
    </row>
    <row r="34" spans="17:18" ht="14.45" x14ac:dyDescent="0.35">
      <c r="Q34" s="85">
        <v>0.54584691478716008</v>
      </c>
      <c r="R34" s="87">
        <v>0.99999999999999978</v>
      </c>
    </row>
  </sheetData>
  <pageMargins left="0.7" right="0.7" top="0.75" bottom="0.75" header="0.3" footer="0.3"/>
  <pageSetup paperSize="9"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8"/>
  <dimension ref="A1:I19"/>
  <sheetViews>
    <sheetView workbookViewId="0"/>
  </sheetViews>
  <sheetFormatPr defaultRowHeight="15" x14ac:dyDescent="0.25"/>
  <cols>
    <col min="3" max="3" width="2.85546875" customWidth="1"/>
    <col min="4" max="4" width="32.140625" customWidth="1"/>
    <col min="8" max="8" width="3" customWidth="1"/>
    <col min="9" max="9" width="30.28515625" customWidth="1"/>
  </cols>
  <sheetData>
    <row r="1" spans="1:9" ht="14.45" x14ac:dyDescent="0.35">
      <c r="A1" s="42" t="s">
        <v>966</v>
      </c>
    </row>
    <row r="3" spans="1:9" x14ac:dyDescent="0.25">
      <c r="A3" t="s">
        <v>202</v>
      </c>
      <c r="B3" s="146">
        <f>'Manova 1k'!G4</f>
        <v>0.5345015348635207</v>
      </c>
      <c r="D3" t="str">
        <f>[1]!FTEXT(B3)</f>
        <v>='Manova 1k'!G4</v>
      </c>
      <c r="F3" s="71" t="s">
        <v>972</v>
      </c>
      <c r="G3" s="146">
        <v>0.1</v>
      </c>
    </row>
    <row r="4" spans="1:9" x14ac:dyDescent="0.25">
      <c r="A4" s="71" t="s">
        <v>971</v>
      </c>
      <c r="B4" s="49">
        <f>B3/(B8-B3)</f>
        <v>0.21679248331388964</v>
      </c>
      <c r="D4" t="str">
        <f>[1]!FTEXT(B4)</f>
        <v>=B3/(B8-B3)</v>
      </c>
      <c r="F4" t="s">
        <v>969</v>
      </c>
      <c r="G4" s="49">
        <v>4</v>
      </c>
    </row>
    <row r="5" spans="1:9" x14ac:dyDescent="0.25">
      <c r="A5" s="71" t="s">
        <v>972</v>
      </c>
      <c r="B5" s="49">
        <f>B4/(1+B4)</f>
        <v>0.17816717828784023</v>
      </c>
      <c r="D5" t="str">
        <f>[1]!FTEXT(B5)</f>
        <v>=B4/(1+B4)</v>
      </c>
      <c r="F5" t="s">
        <v>970</v>
      </c>
      <c r="G5" s="49">
        <v>3</v>
      </c>
    </row>
    <row r="6" spans="1:9" x14ac:dyDescent="0.25">
      <c r="A6" t="s">
        <v>969</v>
      </c>
      <c r="B6" s="49">
        <f>COUNTA('Manova 1k'!V7:V10)</f>
        <v>4</v>
      </c>
      <c r="D6" t="str">
        <f>[1]!FTEXT(B6)</f>
        <v>=COUNTA('Manova 1k'!V7:V10)</v>
      </c>
      <c r="F6" s="71" t="s">
        <v>937</v>
      </c>
      <c r="G6" s="221">
        <v>0.95</v>
      </c>
    </row>
    <row r="7" spans="1:9" ht="14.45" x14ac:dyDescent="0.35">
      <c r="A7" t="s">
        <v>970</v>
      </c>
      <c r="B7" s="49">
        <f>COUNTA('Manova 1k'!B3:D3)</f>
        <v>3</v>
      </c>
      <c r="D7" t="str">
        <f>[1]!FTEXT(B7)</f>
        <v>=COUNTA('Manova 1k'!B3:D3)</v>
      </c>
      <c r="F7" s="424" t="s">
        <v>52</v>
      </c>
      <c r="G7" s="49">
        <f>[1]!MANOVA_SIZE(G3,G5,G4,G6)</f>
        <v>74</v>
      </c>
      <c r="I7" t="str">
        <f>[1]!FTEXT(G7)</f>
        <v>=MANOVA_SIZE(G3,G5,G4,G6)</v>
      </c>
    </row>
    <row r="8" spans="1:9" ht="14.45" x14ac:dyDescent="0.35">
      <c r="A8" t="s">
        <v>61</v>
      </c>
      <c r="B8" s="49">
        <f>MIN(B7,B6-1)</f>
        <v>3</v>
      </c>
      <c r="D8" t="str">
        <f>[1]!FTEXT(B8)</f>
        <v>=MIN(B7,B6-1)</v>
      </c>
      <c r="F8" s="424" t="s">
        <v>974</v>
      </c>
      <c r="G8" s="52">
        <f>[1]!MANOVA_POWER(G3,G7,G5,G4)</f>
        <v>0.95105692934051222</v>
      </c>
      <c r="I8" t="str">
        <f>[1]!FTEXT(G8)</f>
        <v>=MANOVA_POWER(G3,G7,G5,G4)</v>
      </c>
    </row>
    <row r="9" spans="1:9" ht="14.45" x14ac:dyDescent="0.35">
      <c r="A9" t="s">
        <v>52</v>
      </c>
      <c r="B9" s="49">
        <f>COUNT('Manova 1k'!B4:B35)</f>
        <v>32</v>
      </c>
      <c r="D9" t="str">
        <f>[1]!FTEXT(B9)</f>
        <v>=COUNT('Manova 1k'!B4:B35)</v>
      </c>
    </row>
    <row r="10" spans="1:9" ht="14.45" x14ac:dyDescent="0.35">
      <c r="A10" t="s">
        <v>967</v>
      </c>
      <c r="B10" s="49">
        <f>B9*B8*B4</f>
        <v>20.812078398133405</v>
      </c>
      <c r="D10" t="str">
        <f>[1]!FTEXT(B10)</f>
        <v>=B9*B8*B4</v>
      </c>
    </row>
    <row r="11" spans="1:9" ht="14.45" x14ac:dyDescent="0.35">
      <c r="A11" t="s">
        <v>55</v>
      </c>
      <c r="B11" s="49">
        <f>B7*(B6-1)</f>
        <v>9</v>
      </c>
      <c r="D11" t="str">
        <f>[1]!FTEXT(B11)</f>
        <v>=B7*(B6-1)</v>
      </c>
    </row>
    <row r="12" spans="1:9" ht="14.45" x14ac:dyDescent="0.35">
      <c r="A12" t="s">
        <v>56</v>
      </c>
      <c r="B12" s="49">
        <f>B8*(B9-B6-B7+B8)</f>
        <v>84</v>
      </c>
      <c r="D12" t="str">
        <f>[1]!FTEXT(B12)</f>
        <v>=B8*(B9-B6-B7+B8)</v>
      </c>
    </row>
    <row r="13" spans="1:9" x14ac:dyDescent="0.25">
      <c r="A13" s="71" t="s">
        <v>57</v>
      </c>
      <c r="B13" s="49">
        <v>0.05</v>
      </c>
    </row>
    <row r="14" spans="1:9" ht="14.45" x14ac:dyDescent="0.35">
      <c r="A14" s="71" t="s">
        <v>973</v>
      </c>
      <c r="B14" s="49">
        <f>[1]!F_INV_RT(B13,B11,B12)</f>
        <v>1.9933120301272065</v>
      </c>
      <c r="D14" t="str">
        <f>[1]!FTEXT(B14)</f>
        <v>=F_INV_RT(B13,B11,B12)</v>
      </c>
    </row>
    <row r="15" spans="1:9" x14ac:dyDescent="0.25">
      <c r="A15" s="71" t="s">
        <v>937</v>
      </c>
      <c r="B15" s="52">
        <f>1-[1]!NF_DIST(B14,B11,B12,B10,TRUE)</f>
        <v>0.88170718941754578</v>
      </c>
      <c r="D15" t="str">
        <f>[1]!FTEXT(B15)</f>
        <v>=1-NF_DIST(B14,B11,B12,B10,TRUE)</v>
      </c>
    </row>
    <row r="17" spans="1:4" x14ac:dyDescent="0.25">
      <c r="A17" s="71" t="s">
        <v>937</v>
      </c>
      <c r="B17" s="146">
        <f>[1]!MANOVA_POWER(B3,B9,B7,B6,3,B13)</f>
        <v>0.88170718941754578</v>
      </c>
      <c r="D17" t="str">
        <f>[1]!FTEXT(B17)</f>
        <v>=MANOVA_POWER(B3,B9,B7,B6,3,B13)</v>
      </c>
    </row>
    <row r="18" spans="1:4" ht="14.45" x14ac:dyDescent="0.35">
      <c r="B18" s="49">
        <f>[1]!MANOVA_POWER(B4,B9,B7,B6,2,B13)</f>
        <v>0.88170718941754578</v>
      </c>
      <c r="D18" t="str">
        <f>[1]!FTEXT(B18)</f>
        <v>=MANOVA_POWER(B4,B9,B7,B6,2,B13)</v>
      </c>
    </row>
    <row r="19" spans="1:4" ht="14.45" x14ac:dyDescent="0.35">
      <c r="B19" s="52">
        <f>[1]!MANOVA_POWER(B5,B9,B7,B6)</f>
        <v>0.88170718941754578</v>
      </c>
      <c r="D19" t="str">
        <f>[1]!FTEXT(B19)</f>
        <v>=MANOVA_POWER(B5,B9,B7,B6)</v>
      </c>
    </row>
  </sheetData>
  <pageMargins left="0.7" right="0.7" top="0.75" bottom="0.75" header="0.3" footer="0.3"/>
  <pageSetup paperSize="9"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7"/>
  <dimension ref="A1:I22"/>
  <sheetViews>
    <sheetView workbookViewId="0"/>
  </sheetViews>
  <sheetFormatPr defaultRowHeight="15" x14ac:dyDescent="0.25"/>
  <cols>
    <col min="1" max="1" width="9.85546875" customWidth="1"/>
    <col min="3" max="3" width="2.85546875" customWidth="1"/>
    <col min="4" max="4" width="31.85546875" customWidth="1"/>
    <col min="6" max="6" width="9.85546875" customWidth="1"/>
    <col min="8" max="8" width="3" customWidth="1"/>
    <col min="9" max="9" width="39.42578125" customWidth="1"/>
  </cols>
  <sheetData>
    <row r="1" spans="1:9" ht="14.45" x14ac:dyDescent="0.35">
      <c r="A1" s="42" t="s">
        <v>975</v>
      </c>
    </row>
    <row r="3" spans="1:9" x14ac:dyDescent="0.25">
      <c r="A3" t="s">
        <v>202</v>
      </c>
      <c r="B3" s="146">
        <f>Manova2!G17</f>
        <v>0.52554353172651269</v>
      </c>
      <c r="D3" t="str">
        <f>[1]!FTEXT(B3)</f>
        <v>=Manova2!G17</v>
      </c>
      <c r="F3" s="71" t="s">
        <v>972</v>
      </c>
      <c r="G3" s="146">
        <v>0.2</v>
      </c>
    </row>
    <row r="4" spans="1:9" x14ac:dyDescent="0.25">
      <c r="A4" s="71" t="s">
        <v>971</v>
      </c>
      <c r="B4" s="49">
        <f>B3/(B9-B3)</f>
        <v>0.35643204328839706</v>
      </c>
      <c r="D4" t="str">
        <f>[1]!FTEXT(B4)</f>
        <v>=B3/(B9-B3)</v>
      </c>
      <c r="F4" t="s">
        <v>976</v>
      </c>
      <c r="G4" s="49">
        <v>2</v>
      </c>
    </row>
    <row r="5" spans="1:9" x14ac:dyDescent="0.25">
      <c r="A5" s="71" t="s">
        <v>972</v>
      </c>
      <c r="B5" s="49">
        <f>B4/(1+B4)</f>
        <v>0.26277176586325635</v>
      </c>
      <c r="D5" t="str">
        <f>[1]!FTEXT(B5)</f>
        <v>=B4/(1+B4)</v>
      </c>
      <c r="F5" t="s">
        <v>977</v>
      </c>
      <c r="G5" s="49">
        <v>3</v>
      </c>
    </row>
    <row r="6" spans="1:9" ht="14.45" x14ac:dyDescent="0.35">
      <c r="A6" t="s">
        <v>976</v>
      </c>
      <c r="B6" s="49">
        <f>[1]!COUNTAU(Manova2!A4:A27)</f>
        <v>2</v>
      </c>
      <c r="D6" t="str">
        <f>[1]!FTEXT(B6)</f>
        <v>=COUNTAU(Manova2!A4:A27)</v>
      </c>
      <c r="F6" t="s">
        <v>970</v>
      </c>
      <c r="G6" s="49">
        <v>3</v>
      </c>
    </row>
    <row r="7" spans="1:9" x14ac:dyDescent="0.25">
      <c r="A7" t="s">
        <v>977</v>
      </c>
      <c r="B7" s="49">
        <f>[1]!COUNTAU(Manova2!B4:B27)</f>
        <v>3</v>
      </c>
      <c r="D7" t="str">
        <f>[1]!FTEXT(B7)</f>
        <v>=COUNTAU(Manova2!B4:B27)</v>
      </c>
      <c r="F7" s="71" t="s">
        <v>937</v>
      </c>
      <c r="G7" s="221">
        <v>0.95</v>
      </c>
    </row>
    <row r="8" spans="1:9" ht="14.45" x14ac:dyDescent="0.35">
      <c r="A8" t="s">
        <v>970</v>
      </c>
      <c r="B8" s="49">
        <f>COUNTA(Manova2!C3:D3)</f>
        <v>2</v>
      </c>
      <c r="D8" t="str">
        <f>[1]!FTEXT(B8)</f>
        <v>=COUNTA(Manova2!C3:D3)</v>
      </c>
      <c r="F8" s="424" t="s">
        <v>52</v>
      </c>
      <c r="G8" s="49">
        <f>[1]!MANOVA2Int_SIZE(G3,G6,G4,G5,G7)</f>
        <v>46</v>
      </c>
      <c r="I8" t="str">
        <f>[1]!FTEXT(G8)</f>
        <v>=MANOVA2Int_SIZE(G3,G6,G4,G5,G7)</v>
      </c>
    </row>
    <row r="9" spans="1:9" ht="14.45" x14ac:dyDescent="0.35">
      <c r="A9" t="s">
        <v>61</v>
      </c>
      <c r="B9" s="49">
        <f>MIN(B8,B12)</f>
        <v>2</v>
      </c>
      <c r="D9" t="str">
        <f>[1]!FTEXT(B9)</f>
        <v>=MIN(B8,B12)</v>
      </c>
      <c r="F9" s="424" t="s">
        <v>974</v>
      </c>
      <c r="G9" s="52">
        <f>[1]!MANOVA2Int_POWER(G3,G8,G6,G4,G5,G7)</f>
        <v>0.95374807893876345</v>
      </c>
      <c r="I9" t="str">
        <f>[1]!FTEXT(G9)</f>
        <v>=MANOVA2Int_POWER(G3,G8,G6,G4,G5,G7)</v>
      </c>
    </row>
    <row r="10" spans="1:9" ht="14.45" x14ac:dyDescent="0.35">
      <c r="A10" t="s">
        <v>52</v>
      </c>
      <c r="B10" s="49">
        <f>COUNT(Manova2!C4:C27)</f>
        <v>24</v>
      </c>
      <c r="D10" t="str">
        <f>[1]!FTEXT(B10)</f>
        <v>=COUNT(Manova2!C4:C27)</v>
      </c>
    </row>
    <row r="11" spans="1:9" ht="14.45" x14ac:dyDescent="0.35">
      <c r="A11" t="s">
        <v>967</v>
      </c>
      <c r="B11" s="49">
        <f>B10*B9*B4</f>
        <v>17.108738077843057</v>
      </c>
      <c r="D11" t="str">
        <f>[1]!FTEXT(B11)</f>
        <v>=B10*B9*B4</v>
      </c>
    </row>
    <row r="12" spans="1:9" ht="14.45" x14ac:dyDescent="0.35">
      <c r="A12" t="s">
        <v>978</v>
      </c>
      <c r="B12" s="49">
        <f>(B6-1)*(B7-1)</f>
        <v>2</v>
      </c>
      <c r="D12" t="str">
        <f>[1]!FTEXT(B12)</f>
        <v>=(B6-1)*(B7-1)</v>
      </c>
    </row>
    <row r="13" spans="1:9" ht="14.45" x14ac:dyDescent="0.35">
      <c r="A13" t="s">
        <v>979</v>
      </c>
      <c r="B13" s="49">
        <f>B10*B12</f>
        <v>48</v>
      </c>
      <c r="D13" t="str">
        <f>[1]!FTEXT(B13)</f>
        <v>=B10*B12</v>
      </c>
    </row>
    <row r="14" spans="1:9" ht="14.45" x14ac:dyDescent="0.35">
      <c r="A14" t="s">
        <v>55</v>
      </c>
      <c r="B14" s="49">
        <f>B8*B12</f>
        <v>4</v>
      </c>
      <c r="D14" t="str">
        <f>[1]!FTEXT(B14)</f>
        <v>=B8*B12</v>
      </c>
    </row>
    <row r="15" spans="1:9" ht="14.45" x14ac:dyDescent="0.35">
      <c r="A15" t="s">
        <v>56</v>
      </c>
      <c r="B15" s="49">
        <f>B9*(B10-B6*B7-B8+B9)</f>
        <v>36</v>
      </c>
      <c r="D15" t="str">
        <f>[1]!FTEXT(B15)</f>
        <v>=B9*(B10-B6*B7-B8+B9)</v>
      </c>
    </row>
    <row r="16" spans="1:9" x14ac:dyDescent="0.25">
      <c r="A16" s="71" t="s">
        <v>57</v>
      </c>
      <c r="B16" s="49">
        <v>0.05</v>
      </c>
    </row>
    <row r="17" spans="1:4" ht="14.45" x14ac:dyDescent="0.35">
      <c r="A17" s="71" t="s">
        <v>973</v>
      </c>
      <c r="B17" s="49">
        <f>[1]!F_INV_RT(B16,B14,B15)</f>
        <v>2.6335320942137526</v>
      </c>
      <c r="D17" t="str">
        <f>[1]!FTEXT(B17)</f>
        <v>=F_INV_RT(B16,B14,B15)</v>
      </c>
    </row>
    <row r="18" spans="1:4" x14ac:dyDescent="0.25">
      <c r="A18" s="71" t="s">
        <v>937</v>
      </c>
      <c r="B18" s="52">
        <f>1-[1]!NF_DIST(B17,B14,B15,B11,TRUE)</f>
        <v>0.89109497228764489</v>
      </c>
      <c r="D18" t="str">
        <f>[1]!FTEXT(B18)</f>
        <v>=1-NF_DIST(B17,B14,B15,B11,TRUE)</v>
      </c>
    </row>
    <row r="20" spans="1:4" x14ac:dyDescent="0.25">
      <c r="A20" s="71" t="s">
        <v>937</v>
      </c>
      <c r="B20" s="146">
        <f>[1]!MANOVA2Int_POWER(B3,B10,B8,B6,B7,3,B16)</f>
        <v>0.89109497228764489</v>
      </c>
      <c r="D20" t="str">
        <f>[1]!FTEXT(B20)</f>
        <v>=MANOVA2Int_POWER(B3,B10,B8,B6,B7,3,B16)</v>
      </c>
    </row>
    <row r="21" spans="1:4" ht="14.45" x14ac:dyDescent="0.35">
      <c r="B21" s="49">
        <f>[1]!MANOVA2Int_POWER(B4,B10,B8,B6,B7,2,B16)</f>
        <v>0.89109497228764489</v>
      </c>
      <c r="D21" t="str">
        <f>[1]!FTEXT(B21)</f>
        <v>=MANOVA2Int_POWER(B4,B10,B8,B6,B7,2,B16)</v>
      </c>
    </row>
    <row r="22" spans="1:4" ht="14.45" x14ac:dyDescent="0.35">
      <c r="B22" s="52">
        <f>[1]!MANOVA2Int_POWER(B5,B10,B8,B7,B6)</f>
        <v>0.89109497228764489</v>
      </c>
      <c r="D22" t="str">
        <f>[1]!FTEXT(B22)</f>
        <v>=MANOVA2Int_POWER(B5,B10,B8,B7,B6)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1"/>
  <dimension ref="A1:W26"/>
  <sheetViews>
    <sheetView workbookViewId="0">
      <selection activeCell="B1" sqref="B1"/>
    </sheetView>
  </sheetViews>
  <sheetFormatPr defaultRowHeight="15" x14ac:dyDescent="0.25"/>
  <cols>
    <col min="1" max="1" width="3.28515625" customWidth="1"/>
    <col min="2" max="2" width="6.5703125" customWidth="1"/>
    <col min="6" max="6" width="5.5703125" customWidth="1"/>
    <col min="7" max="7" width="3.85546875" customWidth="1"/>
    <col min="8" max="23" width="7.28515625" customWidth="1"/>
  </cols>
  <sheetData>
    <row r="1" spans="1:23" ht="14.45" x14ac:dyDescent="0.35">
      <c r="B1" s="42" t="s">
        <v>984</v>
      </c>
    </row>
    <row r="3" spans="1:23" ht="14.45" x14ac:dyDescent="0.35">
      <c r="C3" s="32" t="s">
        <v>144</v>
      </c>
      <c r="D3" s="32" t="s">
        <v>145</v>
      </c>
      <c r="E3" s="32" t="s">
        <v>146</v>
      </c>
      <c r="H3" s="32">
        <v>1</v>
      </c>
      <c r="I3" s="32">
        <f>H3+1</f>
        <v>2</v>
      </c>
      <c r="J3" s="32">
        <f>I3+1</f>
        <v>3</v>
      </c>
      <c r="K3" s="32">
        <f t="shared" ref="K3:W3" si="0">J3+1</f>
        <v>4</v>
      </c>
      <c r="L3" s="32">
        <f t="shared" si="0"/>
        <v>5</v>
      </c>
      <c r="M3" s="32">
        <f t="shared" si="0"/>
        <v>6</v>
      </c>
      <c r="N3" s="32">
        <f t="shared" si="0"/>
        <v>7</v>
      </c>
      <c r="O3" s="32">
        <f t="shared" si="0"/>
        <v>8</v>
      </c>
      <c r="P3" s="32">
        <f t="shared" si="0"/>
        <v>9</v>
      </c>
      <c r="Q3" s="32">
        <f t="shared" si="0"/>
        <v>10</v>
      </c>
      <c r="R3" s="32">
        <f t="shared" si="0"/>
        <v>11</v>
      </c>
      <c r="S3" s="32">
        <f t="shared" si="0"/>
        <v>12</v>
      </c>
      <c r="T3" s="32">
        <f t="shared" si="0"/>
        <v>13</v>
      </c>
      <c r="U3" s="32">
        <f t="shared" si="0"/>
        <v>14</v>
      </c>
      <c r="V3" s="32">
        <f t="shared" si="0"/>
        <v>15</v>
      </c>
      <c r="W3" s="32">
        <f t="shared" si="0"/>
        <v>16</v>
      </c>
    </row>
    <row r="4" spans="1:23" ht="14.45" x14ac:dyDescent="0.35">
      <c r="A4">
        <v>1</v>
      </c>
      <c r="B4" t="s">
        <v>158</v>
      </c>
      <c r="C4" s="436">
        <v>76.7</v>
      </c>
      <c r="D4" s="437">
        <v>29.5</v>
      </c>
      <c r="E4" s="438">
        <v>7.5</v>
      </c>
      <c r="G4">
        <v>1</v>
      </c>
      <c r="H4" s="138" t="str">
        <f>IF(H$3&gt;=$G4,"",(INDEX($C$4:$E$19,$G4,1)-INDEX($C$4:$E$19,H$3,1))^2+(INDEX($C$4:$E$19,$G4,2)-INDEX($C$4:$E$19,H$3,2))^2+(INDEX($C$4:$E$19,$G4,3)-INDEX($C$4:$E$19,H$3,3))^2)</f>
        <v/>
      </c>
      <c r="I4" s="139" t="str">
        <f t="shared" ref="I4:W19" si="1">IF(I$3&gt;=$G4,"",(INDEX($C$4:$E$19,$G4,1)-INDEX($C$4:$E$19,I$3,1))^2+(INDEX($C$4:$E$19,$G4,2)-INDEX($C$4:$E$19,I$3,2))^2+(INDEX($C$4:$E$19,$G4,3)-INDEX($C$4:$E$19,I$3,3))^2)</f>
        <v/>
      </c>
      <c r="J4" s="139" t="str">
        <f t="shared" si="1"/>
        <v/>
      </c>
      <c r="K4" s="140" t="str">
        <f t="shared" si="1"/>
        <v/>
      </c>
      <c r="L4" s="139" t="str">
        <f t="shared" si="1"/>
        <v/>
      </c>
      <c r="M4" s="139" t="str">
        <f t="shared" si="1"/>
        <v/>
      </c>
      <c r="N4" s="139" t="str">
        <f t="shared" si="1"/>
        <v/>
      </c>
      <c r="O4" s="139" t="str">
        <f t="shared" si="1"/>
        <v/>
      </c>
      <c r="P4" s="139" t="str">
        <f t="shared" si="1"/>
        <v/>
      </c>
      <c r="Q4" s="139" t="str">
        <f t="shared" si="1"/>
        <v/>
      </c>
      <c r="R4" s="139" t="str">
        <f t="shared" si="1"/>
        <v/>
      </c>
      <c r="S4" s="139" t="str">
        <f t="shared" si="1"/>
        <v/>
      </c>
      <c r="T4" s="139" t="str">
        <f t="shared" si="1"/>
        <v/>
      </c>
      <c r="U4" s="139" t="str">
        <f t="shared" si="1"/>
        <v/>
      </c>
      <c r="V4" s="139" t="str">
        <f t="shared" si="1"/>
        <v/>
      </c>
      <c r="W4" s="140" t="str">
        <f t="shared" si="1"/>
        <v/>
      </c>
    </row>
    <row r="5" spans="1:23" ht="14.45" x14ac:dyDescent="0.35">
      <c r="A5">
        <f>A4+1</f>
        <v>2</v>
      </c>
      <c r="B5" t="s">
        <v>158</v>
      </c>
      <c r="C5" s="439">
        <v>60.5</v>
      </c>
      <c r="D5" s="440">
        <v>32.1</v>
      </c>
      <c r="E5" s="441">
        <v>6.3</v>
      </c>
      <c r="G5">
        <f>G4+1</f>
        <v>2</v>
      </c>
      <c r="H5" s="123">
        <f t="shared" ref="H5:H19" si="2">IF(H$3&gt;=$G5,"",(INDEX($C$4:$E$19,$G5,1)-INDEX($C$4:$E$19,H$3,1))^2+(INDEX($C$4:$E$19,$G5,2)-INDEX($C$4:$E$19,H$3,2))^2+(INDEX($C$4:$E$19,$G5,3)-INDEX($C$4:$E$19,H$3,3))^2)</f>
        <v>270.6400000000001</v>
      </c>
      <c r="I5" s="37" t="str">
        <f t="shared" si="1"/>
        <v/>
      </c>
      <c r="J5" s="37" t="str">
        <f t="shared" si="1"/>
        <v/>
      </c>
      <c r="K5" s="90" t="str">
        <f t="shared" si="1"/>
        <v/>
      </c>
      <c r="L5" s="37" t="str">
        <f t="shared" si="1"/>
        <v/>
      </c>
      <c r="M5" s="37" t="str">
        <f t="shared" si="1"/>
        <v/>
      </c>
      <c r="N5" s="37" t="str">
        <f t="shared" si="1"/>
        <v/>
      </c>
      <c r="O5" s="37" t="str">
        <f t="shared" si="1"/>
        <v/>
      </c>
      <c r="P5" s="37" t="str">
        <f t="shared" si="1"/>
        <v/>
      </c>
      <c r="Q5" s="37" t="str">
        <f t="shared" si="1"/>
        <v/>
      </c>
      <c r="R5" s="37" t="str">
        <f t="shared" si="1"/>
        <v/>
      </c>
      <c r="S5" s="37" t="str">
        <f t="shared" si="1"/>
        <v/>
      </c>
      <c r="T5" s="37" t="str">
        <f t="shared" si="1"/>
        <v/>
      </c>
      <c r="U5" s="37" t="str">
        <f t="shared" si="1"/>
        <v/>
      </c>
      <c r="V5" s="37" t="str">
        <f t="shared" si="1"/>
        <v/>
      </c>
      <c r="W5" s="90" t="str">
        <f t="shared" si="1"/>
        <v/>
      </c>
    </row>
    <row r="6" spans="1:23" ht="14.45" x14ac:dyDescent="0.35">
      <c r="A6">
        <f t="shared" ref="A6:A19" si="3">A5+1</f>
        <v>3</v>
      </c>
      <c r="B6" t="s">
        <v>158</v>
      </c>
      <c r="C6" s="439">
        <v>96.1</v>
      </c>
      <c r="D6" s="440">
        <v>40.700000000000003</v>
      </c>
      <c r="E6" s="441">
        <v>4.2</v>
      </c>
      <c r="G6">
        <f t="shared" ref="G6:G19" si="4">G5+1</f>
        <v>3</v>
      </c>
      <c r="H6" s="123">
        <f t="shared" si="2"/>
        <v>512.68999999999971</v>
      </c>
      <c r="I6" s="37">
        <f t="shared" si="1"/>
        <v>1345.7299999999998</v>
      </c>
      <c r="J6" s="37" t="str">
        <f t="shared" si="1"/>
        <v/>
      </c>
      <c r="K6" s="90" t="str">
        <f t="shared" si="1"/>
        <v/>
      </c>
      <c r="L6" s="37" t="str">
        <f t="shared" si="1"/>
        <v/>
      </c>
      <c r="M6" s="37" t="str">
        <f t="shared" si="1"/>
        <v/>
      </c>
      <c r="N6" s="37" t="str">
        <f t="shared" si="1"/>
        <v/>
      </c>
      <c r="O6" s="37" t="str">
        <f t="shared" si="1"/>
        <v/>
      </c>
      <c r="P6" s="37" t="str">
        <f t="shared" si="1"/>
        <v/>
      </c>
      <c r="Q6" s="37" t="str">
        <f t="shared" si="1"/>
        <v/>
      </c>
      <c r="R6" s="37" t="str">
        <f t="shared" si="1"/>
        <v/>
      </c>
      <c r="S6" s="37" t="str">
        <f t="shared" si="1"/>
        <v/>
      </c>
      <c r="T6" s="37" t="str">
        <f t="shared" si="1"/>
        <v/>
      </c>
      <c r="U6" s="37" t="str">
        <f t="shared" si="1"/>
        <v/>
      </c>
      <c r="V6" s="37" t="str">
        <f t="shared" si="1"/>
        <v/>
      </c>
      <c r="W6" s="90" t="str">
        <f t="shared" si="1"/>
        <v/>
      </c>
    </row>
    <row r="7" spans="1:23" ht="14.45" x14ac:dyDescent="0.35">
      <c r="A7">
        <f t="shared" si="3"/>
        <v>4</v>
      </c>
      <c r="B7" t="s">
        <v>158</v>
      </c>
      <c r="C7" s="439">
        <v>88.1</v>
      </c>
      <c r="D7" s="440">
        <v>45.1</v>
      </c>
      <c r="E7" s="441">
        <v>4.9000000000000004</v>
      </c>
      <c r="G7">
        <f t="shared" si="4"/>
        <v>4</v>
      </c>
      <c r="H7" s="39">
        <f t="shared" si="2"/>
        <v>380.07999999999981</v>
      </c>
      <c r="I7" s="40">
        <f t="shared" si="1"/>
        <v>932.71999999999969</v>
      </c>
      <c r="J7" s="40">
        <f t="shared" si="1"/>
        <v>83.84999999999998</v>
      </c>
      <c r="K7" s="41" t="str">
        <f t="shared" si="1"/>
        <v/>
      </c>
      <c r="L7" s="37" t="str">
        <f t="shared" si="1"/>
        <v/>
      </c>
      <c r="M7" s="37" t="str">
        <f t="shared" si="1"/>
        <v/>
      </c>
      <c r="N7" s="37" t="str">
        <f t="shared" si="1"/>
        <v/>
      </c>
      <c r="O7" s="37" t="str">
        <f t="shared" si="1"/>
        <v/>
      </c>
      <c r="P7" s="37" t="str">
        <f t="shared" si="1"/>
        <v/>
      </c>
      <c r="Q7" s="37" t="str">
        <f t="shared" si="1"/>
        <v/>
      </c>
      <c r="R7" s="37" t="str">
        <f t="shared" si="1"/>
        <v/>
      </c>
      <c r="S7" s="37" t="str">
        <f t="shared" si="1"/>
        <v/>
      </c>
      <c r="T7" s="37" t="str">
        <f t="shared" si="1"/>
        <v/>
      </c>
      <c r="U7" s="37" t="str">
        <f t="shared" si="1"/>
        <v/>
      </c>
      <c r="V7" s="37" t="str">
        <f t="shared" si="1"/>
        <v/>
      </c>
      <c r="W7" s="90" t="str">
        <f t="shared" si="1"/>
        <v/>
      </c>
    </row>
    <row r="8" spans="1:23" ht="14.45" x14ac:dyDescent="0.35">
      <c r="A8">
        <f t="shared" si="3"/>
        <v>5</v>
      </c>
      <c r="B8" t="s">
        <v>159</v>
      </c>
      <c r="C8" s="439">
        <v>66.900000000000006</v>
      </c>
      <c r="D8" s="440">
        <v>23.9</v>
      </c>
      <c r="E8" s="441">
        <v>1.1000000000000001</v>
      </c>
      <c r="G8">
        <f t="shared" si="4"/>
        <v>5</v>
      </c>
      <c r="H8" s="123">
        <f t="shared" si="2"/>
        <v>168.35999999999996</v>
      </c>
      <c r="I8" s="37">
        <f t="shared" si="1"/>
        <v>135.24000000000012</v>
      </c>
      <c r="J8" s="37">
        <f t="shared" si="1"/>
        <v>1144.4899999999993</v>
      </c>
      <c r="K8" s="37">
        <f t="shared" si="1"/>
        <v>913.31999999999971</v>
      </c>
      <c r="L8" s="138" t="str">
        <f t="shared" si="1"/>
        <v/>
      </c>
      <c r="M8" s="139" t="str">
        <f t="shared" si="1"/>
        <v/>
      </c>
      <c r="N8" s="139" t="str">
        <f t="shared" si="1"/>
        <v/>
      </c>
      <c r="O8" s="140" t="str">
        <f t="shared" si="1"/>
        <v/>
      </c>
      <c r="P8" s="37" t="str">
        <f t="shared" si="1"/>
        <v/>
      </c>
      <c r="Q8" s="37" t="str">
        <f t="shared" si="1"/>
        <v/>
      </c>
      <c r="R8" s="37" t="str">
        <f t="shared" si="1"/>
        <v/>
      </c>
      <c r="S8" s="37" t="str">
        <f t="shared" si="1"/>
        <v/>
      </c>
      <c r="T8" s="37" t="str">
        <f t="shared" si="1"/>
        <v/>
      </c>
      <c r="U8" s="37" t="str">
        <f t="shared" si="1"/>
        <v/>
      </c>
      <c r="V8" s="37" t="str">
        <f t="shared" si="1"/>
        <v/>
      </c>
      <c r="W8" s="90" t="str">
        <f t="shared" si="1"/>
        <v/>
      </c>
    </row>
    <row r="9" spans="1:23" ht="14.45" x14ac:dyDescent="0.35">
      <c r="A9">
        <f t="shared" si="3"/>
        <v>6</v>
      </c>
      <c r="B9" t="s">
        <v>159</v>
      </c>
      <c r="C9" s="439">
        <v>55.4</v>
      </c>
      <c r="D9" s="440">
        <v>29.1</v>
      </c>
      <c r="E9" s="441">
        <v>5</v>
      </c>
      <c r="G9">
        <f t="shared" si="4"/>
        <v>6</v>
      </c>
      <c r="H9" s="123">
        <f t="shared" si="2"/>
        <v>460.10000000000019</v>
      </c>
      <c r="I9" s="37">
        <f t="shared" si="1"/>
        <v>36.700000000000017</v>
      </c>
      <c r="J9" s="37">
        <f t="shared" si="1"/>
        <v>1791.6899999999996</v>
      </c>
      <c r="K9" s="37">
        <f t="shared" si="1"/>
        <v>1325.2999999999997</v>
      </c>
      <c r="L9" s="123">
        <f t="shared" si="1"/>
        <v>174.5000000000002</v>
      </c>
      <c r="M9" s="37" t="str">
        <f t="shared" si="1"/>
        <v/>
      </c>
      <c r="N9" s="37" t="str">
        <f t="shared" si="1"/>
        <v/>
      </c>
      <c r="O9" s="90" t="str">
        <f t="shared" si="1"/>
        <v/>
      </c>
      <c r="P9" s="37" t="str">
        <f t="shared" si="1"/>
        <v/>
      </c>
      <c r="Q9" s="37" t="str">
        <f t="shared" si="1"/>
        <v/>
      </c>
      <c r="R9" s="37" t="str">
        <f t="shared" si="1"/>
        <v/>
      </c>
      <c r="S9" s="37" t="str">
        <f t="shared" si="1"/>
        <v/>
      </c>
      <c r="T9" s="37" t="str">
        <f t="shared" si="1"/>
        <v/>
      </c>
      <c r="U9" s="37" t="str">
        <f t="shared" si="1"/>
        <v/>
      </c>
      <c r="V9" s="37" t="str">
        <f t="shared" si="1"/>
        <v/>
      </c>
      <c r="W9" s="90" t="str">
        <f t="shared" si="1"/>
        <v/>
      </c>
    </row>
    <row r="10" spans="1:23" ht="14.45" x14ac:dyDescent="0.35">
      <c r="A10">
        <f t="shared" si="3"/>
        <v>7</v>
      </c>
      <c r="B10" t="s">
        <v>159</v>
      </c>
      <c r="C10" s="439">
        <v>50.5</v>
      </c>
      <c r="D10" s="440">
        <v>18</v>
      </c>
      <c r="E10" s="441">
        <v>4.8</v>
      </c>
      <c r="G10">
        <f t="shared" si="4"/>
        <v>7</v>
      </c>
      <c r="H10" s="123">
        <f t="shared" si="2"/>
        <v>825.98000000000013</v>
      </c>
      <c r="I10" s="37">
        <f t="shared" si="1"/>
        <v>301.06000000000006</v>
      </c>
      <c r="J10" s="37">
        <f t="shared" si="1"/>
        <v>2595.0099999999998</v>
      </c>
      <c r="K10" s="37">
        <f t="shared" si="1"/>
        <v>2148.1799999999998</v>
      </c>
      <c r="L10" s="123">
        <f t="shared" si="1"/>
        <v>317.46000000000021</v>
      </c>
      <c r="M10" s="37">
        <f t="shared" si="1"/>
        <v>147.26000000000002</v>
      </c>
      <c r="N10" s="37" t="str">
        <f t="shared" si="1"/>
        <v/>
      </c>
      <c r="O10" s="90" t="str">
        <f t="shared" si="1"/>
        <v/>
      </c>
      <c r="P10" s="37" t="str">
        <f t="shared" si="1"/>
        <v/>
      </c>
      <c r="Q10" s="37" t="str">
        <f t="shared" si="1"/>
        <v/>
      </c>
      <c r="R10" s="37" t="str">
        <f t="shared" si="1"/>
        <v/>
      </c>
      <c r="S10" s="37" t="str">
        <f t="shared" si="1"/>
        <v/>
      </c>
      <c r="T10" s="37" t="str">
        <f t="shared" si="1"/>
        <v/>
      </c>
      <c r="U10" s="37" t="str">
        <f t="shared" si="1"/>
        <v/>
      </c>
      <c r="V10" s="37" t="str">
        <f t="shared" si="1"/>
        <v/>
      </c>
      <c r="W10" s="90" t="str">
        <f t="shared" si="1"/>
        <v/>
      </c>
    </row>
    <row r="11" spans="1:23" ht="14.45" x14ac:dyDescent="0.35">
      <c r="A11">
        <f t="shared" si="3"/>
        <v>8</v>
      </c>
      <c r="B11" t="s">
        <v>159</v>
      </c>
      <c r="C11" s="439">
        <v>64.099999999999994</v>
      </c>
      <c r="D11" s="440">
        <v>14.5</v>
      </c>
      <c r="E11" s="441">
        <v>3.7</v>
      </c>
      <c r="G11">
        <f t="shared" si="4"/>
        <v>8</v>
      </c>
      <c r="H11" s="123">
        <f t="shared" si="2"/>
        <v>398.20000000000022</v>
      </c>
      <c r="I11" s="37">
        <f t="shared" si="1"/>
        <v>329.48</v>
      </c>
      <c r="J11" s="37">
        <f t="shared" si="1"/>
        <v>1710.69</v>
      </c>
      <c r="K11" s="37">
        <f t="shared" si="1"/>
        <v>1513.8000000000002</v>
      </c>
      <c r="L11" s="39">
        <f t="shared" si="1"/>
        <v>102.96000000000004</v>
      </c>
      <c r="M11" s="40">
        <f t="shared" si="1"/>
        <v>290.53999999999996</v>
      </c>
      <c r="N11" s="40">
        <f t="shared" si="1"/>
        <v>198.41999999999985</v>
      </c>
      <c r="O11" s="41" t="str">
        <f t="shared" si="1"/>
        <v/>
      </c>
      <c r="P11" s="37" t="str">
        <f t="shared" si="1"/>
        <v/>
      </c>
      <c r="Q11" s="37" t="str">
        <f t="shared" si="1"/>
        <v/>
      </c>
      <c r="R11" s="37" t="str">
        <f t="shared" si="1"/>
        <v/>
      </c>
      <c r="S11" s="37" t="str">
        <f t="shared" si="1"/>
        <v/>
      </c>
      <c r="T11" s="37" t="str">
        <f t="shared" si="1"/>
        <v/>
      </c>
      <c r="U11" s="37" t="str">
        <f t="shared" si="1"/>
        <v/>
      </c>
      <c r="V11" s="37" t="str">
        <f t="shared" si="1"/>
        <v/>
      </c>
      <c r="W11" s="90" t="str">
        <f t="shared" si="1"/>
        <v/>
      </c>
    </row>
    <row r="12" spans="1:23" ht="14.45" x14ac:dyDescent="0.35">
      <c r="A12">
        <f t="shared" si="3"/>
        <v>9</v>
      </c>
      <c r="B12" t="s">
        <v>161</v>
      </c>
      <c r="C12" s="439">
        <v>62.8</v>
      </c>
      <c r="D12" s="440">
        <v>25.9</v>
      </c>
      <c r="E12" s="441">
        <v>2.9</v>
      </c>
      <c r="G12">
        <f t="shared" si="4"/>
        <v>9</v>
      </c>
      <c r="H12" s="123">
        <f t="shared" si="2"/>
        <v>227.33000000000015</v>
      </c>
      <c r="I12" s="37">
        <f t="shared" si="1"/>
        <v>55.29000000000002</v>
      </c>
      <c r="J12" s="37">
        <f t="shared" si="1"/>
        <v>1329.6200000000001</v>
      </c>
      <c r="K12" s="37">
        <f t="shared" si="1"/>
        <v>1012.7299999999999</v>
      </c>
      <c r="L12" s="37">
        <f t="shared" si="1"/>
        <v>24.050000000000068</v>
      </c>
      <c r="M12" s="37">
        <f t="shared" si="1"/>
        <v>69.41</v>
      </c>
      <c r="N12" s="37">
        <f t="shared" si="1"/>
        <v>217.30999999999992</v>
      </c>
      <c r="O12" s="37">
        <f t="shared" si="1"/>
        <v>132.28999999999996</v>
      </c>
      <c r="P12" s="138" t="str">
        <f t="shared" si="1"/>
        <v/>
      </c>
      <c r="Q12" s="139" t="str">
        <f t="shared" si="1"/>
        <v/>
      </c>
      <c r="R12" s="139" t="str">
        <f t="shared" si="1"/>
        <v/>
      </c>
      <c r="S12" s="140" t="str">
        <f t="shared" si="1"/>
        <v/>
      </c>
      <c r="T12" s="37" t="str">
        <f t="shared" si="1"/>
        <v/>
      </c>
      <c r="U12" s="37" t="str">
        <f t="shared" si="1"/>
        <v/>
      </c>
      <c r="V12" s="37" t="str">
        <f t="shared" si="1"/>
        <v/>
      </c>
      <c r="W12" s="90" t="str">
        <f t="shared" si="1"/>
        <v/>
      </c>
    </row>
    <row r="13" spans="1:23" ht="14.45" x14ac:dyDescent="0.35">
      <c r="A13">
        <f t="shared" si="3"/>
        <v>10</v>
      </c>
      <c r="B13" t="s">
        <v>161</v>
      </c>
      <c r="C13" s="439">
        <v>45</v>
      </c>
      <c r="D13" s="440">
        <v>15.9</v>
      </c>
      <c r="E13" s="441">
        <v>1.2</v>
      </c>
      <c r="G13">
        <f t="shared" si="4"/>
        <v>10</v>
      </c>
      <c r="H13" s="123">
        <f t="shared" si="2"/>
        <v>1229.5400000000002</v>
      </c>
      <c r="I13" s="37">
        <f t="shared" si="1"/>
        <v>528.70000000000016</v>
      </c>
      <c r="J13" s="37">
        <f t="shared" si="1"/>
        <v>3235.25</v>
      </c>
      <c r="K13" s="37">
        <f t="shared" si="1"/>
        <v>2723.9399999999996</v>
      </c>
      <c r="L13" s="37">
        <f t="shared" si="1"/>
        <v>543.62000000000023</v>
      </c>
      <c r="M13" s="37">
        <f t="shared" si="1"/>
        <v>296.83999999999997</v>
      </c>
      <c r="N13" s="37">
        <f t="shared" si="1"/>
        <v>47.61999999999999</v>
      </c>
      <c r="O13" s="37">
        <f t="shared" si="1"/>
        <v>373.01999999999975</v>
      </c>
      <c r="P13" s="123">
        <f t="shared" si="1"/>
        <v>419.7299999999999</v>
      </c>
      <c r="Q13" s="37" t="str">
        <f t="shared" si="1"/>
        <v/>
      </c>
      <c r="R13" s="37" t="str">
        <f t="shared" si="1"/>
        <v/>
      </c>
      <c r="S13" s="90" t="str">
        <f t="shared" si="1"/>
        <v/>
      </c>
      <c r="T13" s="37" t="str">
        <f t="shared" si="1"/>
        <v/>
      </c>
      <c r="U13" s="37" t="str">
        <f t="shared" si="1"/>
        <v/>
      </c>
      <c r="V13" s="37" t="str">
        <f t="shared" si="1"/>
        <v/>
      </c>
      <c r="W13" s="90" t="str">
        <f t="shared" si="1"/>
        <v/>
      </c>
    </row>
    <row r="14" spans="1:23" ht="14.45" x14ac:dyDescent="0.35">
      <c r="A14">
        <f t="shared" si="3"/>
        <v>11</v>
      </c>
      <c r="B14" t="s">
        <v>161</v>
      </c>
      <c r="C14" s="439">
        <v>47.8</v>
      </c>
      <c r="D14" s="440">
        <v>36.1</v>
      </c>
      <c r="E14" s="441">
        <v>4.0999999999999996</v>
      </c>
      <c r="G14">
        <f t="shared" si="4"/>
        <v>11</v>
      </c>
      <c r="H14" s="123">
        <f t="shared" si="2"/>
        <v>890.33000000000038</v>
      </c>
      <c r="I14" s="37">
        <f t="shared" si="1"/>
        <v>182.13000000000008</v>
      </c>
      <c r="J14" s="37">
        <f t="shared" si="1"/>
        <v>2354.06</v>
      </c>
      <c r="K14" s="37">
        <f t="shared" si="1"/>
        <v>1705.7299999999998</v>
      </c>
      <c r="L14" s="37">
        <f t="shared" si="1"/>
        <v>522.65000000000043</v>
      </c>
      <c r="M14" s="37">
        <f t="shared" si="1"/>
        <v>107.57000000000002</v>
      </c>
      <c r="N14" s="37">
        <f t="shared" si="1"/>
        <v>335.3900000000001</v>
      </c>
      <c r="O14" s="37">
        <f t="shared" si="1"/>
        <v>732.41</v>
      </c>
      <c r="P14" s="123">
        <f t="shared" si="1"/>
        <v>330.48000000000008</v>
      </c>
      <c r="Q14" s="37">
        <f t="shared" si="1"/>
        <v>424.29000000000008</v>
      </c>
      <c r="R14" s="37" t="str">
        <f t="shared" si="1"/>
        <v/>
      </c>
      <c r="S14" s="90" t="str">
        <f t="shared" si="1"/>
        <v/>
      </c>
      <c r="T14" s="37" t="str">
        <f t="shared" si="1"/>
        <v/>
      </c>
      <c r="U14" s="37" t="str">
        <f t="shared" si="1"/>
        <v/>
      </c>
      <c r="V14" s="37" t="str">
        <f t="shared" si="1"/>
        <v/>
      </c>
      <c r="W14" s="90" t="str">
        <f t="shared" si="1"/>
        <v/>
      </c>
    </row>
    <row r="15" spans="1:23" ht="14.45" x14ac:dyDescent="0.35">
      <c r="A15">
        <f t="shared" si="3"/>
        <v>12</v>
      </c>
      <c r="B15" t="s">
        <v>161</v>
      </c>
      <c r="C15" s="439">
        <v>75.599999999999994</v>
      </c>
      <c r="D15" s="440">
        <v>27.7</v>
      </c>
      <c r="E15" s="441">
        <v>6.3</v>
      </c>
      <c r="G15">
        <f t="shared" si="4"/>
        <v>12</v>
      </c>
      <c r="H15" s="123">
        <f t="shared" si="2"/>
        <v>5.8900000000000219</v>
      </c>
      <c r="I15" s="37">
        <f t="shared" si="1"/>
        <v>247.36999999999983</v>
      </c>
      <c r="J15" s="37">
        <f t="shared" si="1"/>
        <v>593.66000000000008</v>
      </c>
      <c r="K15" s="37">
        <f t="shared" si="1"/>
        <v>460.97</v>
      </c>
      <c r="L15" s="37">
        <f t="shared" si="1"/>
        <v>117.16999999999979</v>
      </c>
      <c r="M15" s="37">
        <f t="shared" si="1"/>
        <v>411.68999999999983</v>
      </c>
      <c r="N15" s="37">
        <f t="shared" si="1"/>
        <v>726.3499999999998</v>
      </c>
      <c r="O15" s="37">
        <f t="shared" si="1"/>
        <v>313.25</v>
      </c>
      <c r="P15" s="39">
        <f t="shared" si="1"/>
        <v>178.63999999999993</v>
      </c>
      <c r="Q15" s="40">
        <f t="shared" si="1"/>
        <v>1101.6099999999997</v>
      </c>
      <c r="R15" s="40">
        <f t="shared" si="1"/>
        <v>848.2399999999999</v>
      </c>
      <c r="S15" s="41" t="str">
        <f t="shared" si="1"/>
        <v/>
      </c>
      <c r="T15" s="37" t="str">
        <f t="shared" si="1"/>
        <v/>
      </c>
      <c r="U15" s="37" t="str">
        <f t="shared" si="1"/>
        <v/>
      </c>
      <c r="V15" s="37" t="str">
        <f t="shared" si="1"/>
        <v/>
      </c>
      <c r="W15" s="90" t="str">
        <f t="shared" si="1"/>
        <v/>
      </c>
    </row>
    <row r="16" spans="1:23" ht="14.45" x14ac:dyDescent="0.35">
      <c r="A16">
        <f t="shared" si="3"/>
        <v>13</v>
      </c>
      <c r="B16" t="s">
        <v>160</v>
      </c>
      <c r="C16" s="439">
        <v>46.3</v>
      </c>
      <c r="D16" s="440">
        <v>31.8</v>
      </c>
      <c r="E16" s="441">
        <v>7.4</v>
      </c>
      <c r="G16">
        <f t="shared" si="4"/>
        <v>13</v>
      </c>
      <c r="H16" s="123">
        <f t="shared" si="2"/>
        <v>929.46000000000026</v>
      </c>
      <c r="I16" s="37">
        <f t="shared" si="1"/>
        <v>202.94000000000008</v>
      </c>
      <c r="J16" s="37">
        <f t="shared" si="1"/>
        <v>2569.4899999999993</v>
      </c>
      <c r="K16" s="37">
        <f t="shared" si="1"/>
        <v>1930.3799999999999</v>
      </c>
      <c r="L16" s="37">
        <f t="shared" si="1"/>
        <v>526.46000000000038</v>
      </c>
      <c r="M16" s="37">
        <f t="shared" si="1"/>
        <v>95.860000000000028</v>
      </c>
      <c r="N16" s="37">
        <f t="shared" si="1"/>
        <v>214.84000000000003</v>
      </c>
      <c r="O16" s="37">
        <f t="shared" si="1"/>
        <v>629.81999999999994</v>
      </c>
      <c r="P16" s="37">
        <f t="shared" si="1"/>
        <v>327.31</v>
      </c>
      <c r="Q16" s="37">
        <f t="shared" si="1"/>
        <v>292.94</v>
      </c>
      <c r="R16" s="37">
        <f t="shared" si="1"/>
        <v>31.63000000000001</v>
      </c>
      <c r="S16" s="37">
        <f t="shared" si="1"/>
        <v>876.50999999999988</v>
      </c>
      <c r="T16" s="138" t="str">
        <f t="shared" si="1"/>
        <v/>
      </c>
      <c r="U16" s="139" t="str">
        <f t="shared" si="1"/>
        <v/>
      </c>
      <c r="V16" s="139" t="str">
        <f t="shared" si="1"/>
        <v/>
      </c>
      <c r="W16" s="140" t="str">
        <f t="shared" si="1"/>
        <v/>
      </c>
    </row>
    <row r="17" spans="1:23" ht="14.45" x14ac:dyDescent="0.35">
      <c r="A17">
        <f t="shared" si="3"/>
        <v>14</v>
      </c>
      <c r="B17" t="s">
        <v>160</v>
      </c>
      <c r="C17" s="439">
        <v>61.5</v>
      </c>
      <c r="D17" s="440">
        <v>16.8</v>
      </c>
      <c r="E17" s="441">
        <v>1.9</v>
      </c>
      <c r="G17">
        <f t="shared" si="4"/>
        <v>14</v>
      </c>
      <c r="H17" s="123">
        <f t="shared" si="2"/>
        <v>423.69000000000005</v>
      </c>
      <c r="I17" s="37">
        <f t="shared" si="1"/>
        <v>254.45000000000005</v>
      </c>
      <c r="J17" s="37">
        <f t="shared" si="1"/>
        <v>1773.6599999999999</v>
      </c>
      <c r="K17" s="37">
        <f t="shared" si="1"/>
        <v>1517.4499999999998</v>
      </c>
      <c r="L17" s="37">
        <f t="shared" si="1"/>
        <v>80.210000000000022</v>
      </c>
      <c r="M17" s="37">
        <f t="shared" si="1"/>
        <v>198.11000000000004</v>
      </c>
      <c r="N17" s="37">
        <f t="shared" si="1"/>
        <v>130.85</v>
      </c>
      <c r="O17" s="37">
        <f t="shared" si="1"/>
        <v>15.289999999999974</v>
      </c>
      <c r="P17" s="37">
        <f t="shared" si="1"/>
        <v>85.499999999999957</v>
      </c>
      <c r="Q17" s="37">
        <f t="shared" si="1"/>
        <v>273.55</v>
      </c>
      <c r="R17" s="37">
        <f t="shared" si="1"/>
        <v>565.0200000000001</v>
      </c>
      <c r="S17" s="37">
        <f t="shared" si="1"/>
        <v>336.97999999999979</v>
      </c>
      <c r="T17" s="123">
        <f t="shared" si="1"/>
        <v>486.29000000000008</v>
      </c>
      <c r="U17" s="37" t="str">
        <f t="shared" si="1"/>
        <v/>
      </c>
      <c r="V17" s="37" t="str">
        <f t="shared" si="1"/>
        <v/>
      </c>
      <c r="W17" s="90" t="str">
        <f t="shared" si="1"/>
        <v/>
      </c>
    </row>
    <row r="18" spans="1:23" ht="14.45" x14ac:dyDescent="0.35">
      <c r="A18">
        <f t="shared" si="3"/>
        <v>15</v>
      </c>
      <c r="B18" t="s">
        <v>160</v>
      </c>
      <c r="C18" s="439">
        <v>62.9</v>
      </c>
      <c r="D18" s="440">
        <v>25.8</v>
      </c>
      <c r="E18" s="441">
        <v>2.4</v>
      </c>
      <c r="G18">
        <f t="shared" si="4"/>
        <v>15</v>
      </c>
      <c r="H18" s="123">
        <f t="shared" si="2"/>
        <v>230.1400000000001</v>
      </c>
      <c r="I18" s="37">
        <f t="shared" si="1"/>
        <v>60.660000000000004</v>
      </c>
      <c r="J18" s="37">
        <f t="shared" si="1"/>
        <v>1327.4899999999998</v>
      </c>
      <c r="K18" s="37">
        <f t="shared" si="1"/>
        <v>1013.7799999999997</v>
      </c>
      <c r="L18" s="37">
        <f t="shared" si="1"/>
        <v>21.300000000000061</v>
      </c>
      <c r="M18" s="37">
        <f t="shared" si="1"/>
        <v>73.900000000000006</v>
      </c>
      <c r="N18" s="37">
        <f t="shared" si="1"/>
        <v>220.35999999999996</v>
      </c>
      <c r="O18" s="37">
        <f t="shared" si="1"/>
        <v>130.82</v>
      </c>
      <c r="P18" s="37">
        <f t="shared" si="1"/>
        <v>0.26999999999999985</v>
      </c>
      <c r="Q18" s="37">
        <f t="shared" si="1"/>
        <v>419.85999999999996</v>
      </c>
      <c r="R18" s="37">
        <f t="shared" si="1"/>
        <v>336.99000000000007</v>
      </c>
      <c r="S18" s="37">
        <f t="shared" si="1"/>
        <v>180.10999999999987</v>
      </c>
      <c r="T18" s="123">
        <f t="shared" si="1"/>
        <v>336.56000000000006</v>
      </c>
      <c r="U18" s="37">
        <f t="shared" si="1"/>
        <v>83.21</v>
      </c>
      <c r="V18" s="37" t="str">
        <f t="shared" si="1"/>
        <v/>
      </c>
      <c r="W18" s="90" t="str">
        <f t="shared" si="1"/>
        <v/>
      </c>
    </row>
    <row r="19" spans="1:23" ht="14.45" x14ac:dyDescent="0.35">
      <c r="A19">
        <f t="shared" si="3"/>
        <v>16</v>
      </c>
      <c r="B19" t="s">
        <v>160</v>
      </c>
      <c r="C19" s="442">
        <v>49.3</v>
      </c>
      <c r="D19" s="443">
        <v>39.4</v>
      </c>
      <c r="E19" s="444">
        <v>5.2</v>
      </c>
      <c r="G19">
        <f t="shared" si="4"/>
        <v>16</v>
      </c>
      <c r="H19" s="39">
        <f t="shared" si="2"/>
        <v>854.06000000000029</v>
      </c>
      <c r="I19" s="40">
        <f t="shared" si="1"/>
        <v>179.94000000000003</v>
      </c>
      <c r="J19" s="40">
        <f t="shared" si="1"/>
        <v>2192.9299999999998</v>
      </c>
      <c r="K19" s="40">
        <f t="shared" si="1"/>
        <v>1538.0199999999998</v>
      </c>
      <c r="L19" s="40">
        <f t="shared" si="1"/>
        <v>566.82000000000016</v>
      </c>
      <c r="M19" s="40">
        <f t="shared" si="1"/>
        <v>143.33999999999995</v>
      </c>
      <c r="N19" s="40">
        <f t="shared" si="1"/>
        <v>459.55999999999995</v>
      </c>
      <c r="O19" s="40">
        <f t="shared" si="1"/>
        <v>841.29999999999973</v>
      </c>
      <c r="P19" s="40">
        <f t="shared" si="1"/>
        <v>369.79</v>
      </c>
      <c r="Q19" s="40">
        <f t="shared" si="1"/>
        <v>586.74</v>
      </c>
      <c r="R19" s="40">
        <f t="shared" si="1"/>
        <v>14.349999999999982</v>
      </c>
      <c r="S19" s="40">
        <f t="shared" si="1"/>
        <v>829.78999999999985</v>
      </c>
      <c r="T19" s="39">
        <f t="shared" si="1"/>
        <v>71.599999999999966</v>
      </c>
      <c r="U19" s="40">
        <f t="shared" si="1"/>
        <v>670.4899999999999</v>
      </c>
      <c r="V19" s="40">
        <f t="shared" si="1"/>
        <v>377.75999999999993</v>
      </c>
      <c r="W19" s="41" t="str">
        <f t="shared" si="1"/>
        <v/>
      </c>
    </row>
    <row r="21" spans="1:23" x14ac:dyDescent="0.25">
      <c r="L21" s="445" t="s">
        <v>994</v>
      </c>
      <c r="M21" s="47" t="s">
        <v>179</v>
      </c>
      <c r="N21" s="47" t="s">
        <v>62</v>
      </c>
      <c r="O21" s="47" t="s">
        <v>185</v>
      </c>
    </row>
    <row r="22" spans="1:23" ht="14.45" x14ac:dyDescent="0.35">
      <c r="H22" s="47" t="s">
        <v>52</v>
      </c>
      <c r="I22" s="146">
        <f>I24/I23</f>
        <v>4</v>
      </c>
      <c r="K22" s="47" t="s">
        <v>154</v>
      </c>
      <c r="L22" s="138">
        <f>SUM(H4:W19)</f>
        <v>74511.25</v>
      </c>
      <c r="M22" s="139">
        <f>L22/I24</f>
        <v>4656.953125</v>
      </c>
      <c r="N22" s="139">
        <f>I24-1</f>
        <v>15</v>
      </c>
      <c r="O22" s="140">
        <f>M22/N22</f>
        <v>310.46354166666669</v>
      </c>
      <c r="Q22" s="47" t="s">
        <v>54</v>
      </c>
      <c r="R22" s="446">
        <f>O24/O23</f>
        <v>3.3877748308256712</v>
      </c>
    </row>
    <row r="23" spans="1:23" ht="14.45" x14ac:dyDescent="0.35">
      <c r="H23" s="47" t="s">
        <v>203</v>
      </c>
      <c r="I23" s="49">
        <f>[1]!COUNTAU(B4:B19)</f>
        <v>4</v>
      </c>
      <c r="K23" s="47" t="s">
        <v>278</v>
      </c>
      <c r="L23" s="123">
        <f>SUM(H4:K7,L8:O11,P12:S15,T16:W19)</f>
        <v>10085.749999999998</v>
      </c>
      <c r="M23" s="37">
        <f>L23/I22</f>
        <v>2521.4374999999995</v>
      </c>
      <c r="N23" s="37">
        <f>I24-I23</f>
        <v>12</v>
      </c>
      <c r="O23" s="90">
        <f t="shared" ref="O23:O24" si="5">M23/N23</f>
        <v>210.11979166666663</v>
      </c>
    </row>
    <row r="24" spans="1:23" ht="14.45" x14ac:dyDescent="0.35">
      <c r="H24" s="47" t="s">
        <v>995</v>
      </c>
      <c r="I24" s="52">
        <f>COUNT(C4:C19)</f>
        <v>16</v>
      </c>
      <c r="K24" s="47" t="s">
        <v>389</v>
      </c>
      <c r="L24" s="39"/>
      <c r="M24" s="40">
        <f>M22-M23</f>
        <v>2135.5156250000005</v>
      </c>
      <c r="N24" s="40">
        <f>I23-1</f>
        <v>3</v>
      </c>
      <c r="O24" s="41">
        <f t="shared" si="5"/>
        <v>711.83854166666686</v>
      </c>
    </row>
    <row r="26" spans="1:23" ht="14.45" x14ac:dyDescent="0.35">
      <c r="Q26" s="47" t="s">
        <v>54</v>
      </c>
      <c r="R26" s="446">
        <f>[1]!PseudoF(C4:E19,4)</f>
        <v>3.3877748308256752</v>
      </c>
    </row>
  </sheetData>
  <pageMargins left="0.7" right="0.7" top="0.75" bottom="0.75" header="0.3" footer="0.3"/>
  <pageSetup paperSize="9" orientation="portrait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2"/>
  <dimension ref="A1:P21"/>
  <sheetViews>
    <sheetView topLeftCell="A4" workbookViewId="0">
      <selection activeCell="P6" sqref="P6"/>
    </sheetView>
  </sheetViews>
  <sheetFormatPr defaultRowHeight="15" x14ac:dyDescent="0.25"/>
  <cols>
    <col min="1" max="1" width="3.28515625" customWidth="1"/>
    <col min="2" max="2" width="6.5703125" customWidth="1"/>
    <col min="6" max="6" width="6.7109375" customWidth="1"/>
    <col min="10" max="10" width="6.7109375" customWidth="1"/>
    <col min="14" max="14" width="4.7109375" customWidth="1"/>
    <col min="15" max="15" width="7.7109375" bestFit="1" customWidth="1"/>
  </cols>
  <sheetData>
    <row r="1" spans="1:16" x14ac:dyDescent="0.35">
      <c r="B1" s="42" t="s">
        <v>984</v>
      </c>
    </row>
    <row r="3" spans="1:16" x14ac:dyDescent="0.35">
      <c r="C3" s="32" t="s">
        <v>144</v>
      </c>
      <c r="D3" s="32" t="s">
        <v>145</v>
      </c>
      <c r="E3" s="32" t="s">
        <v>146</v>
      </c>
      <c r="G3" s="32" t="s">
        <v>144</v>
      </c>
      <c r="H3" s="32" t="s">
        <v>145</v>
      </c>
      <c r="I3" s="32" t="s">
        <v>146</v>
      </c>
      <c r="K3" s="32" t="s">
        <v>144</v>
      </c>
      <c r="L3" s="32" t="s">
        <v>145</v>
      </c>
      <c r="M3" s="32" t="s">
        <v>146</v>
      </c>
    </row>
    <row r="4" spans="1:16" x14ac:dyDescent="0.35">
      <c r="A4">
        <v>1</v>
      </c>
      <c r="B4" t="s">
        <v>158</v>
      </c>
      <c r="C4" s="436">
        <v>76.7</v>
      </c>
      <c r="D4" s="437">
        <v>29.5</v>
      </c>
      <c r="E4" s="438">
        <v>7.5</v>
      </c>
      <c r="F4">
        <f t="array" aca="1" ref="F4:F19" ca="1">[1]!SHUFFLE($A4:$A19)</f>
        <v>12</v>
      </c>
      <c r="G4" s="436">
        <f t="array" aca="1" ref="G4:G19" ca="1">INDEX($C4:$C19,F4:F19)</f>
        <v>75.599999999999994</v>
      </c>
      <c r="H4" s="437">
        <f t="array" aca="1" ref="H4:H19" ca="1">INDEX($D4:$D19,F4:F19)</f>
        <v>27.7</v>
      </c>
      <c r="I4" s="438">
        <f t="array" aca="1" ref="I4:I19" ca="1">INDEX($E4:$E19,F4:F19)</f>
        <v>6.3</v>
      </c>
      <c r="J4">
        <f t="array" aca="1" ref="J4:J19" ca="1">[1]!SHUFFLE($A4:$A19)</f>
        <v>13</v>
      </c>
      <c r="K4" s="436">
        <f t="array" aca="1" ref="K4:K19" ca="1">INDEX($C4:$C19,J4:J19)</f>
        <v>46.3</v>
      </c>
      <c r="L4" s="437">
        <f t="array" aca="1" ref="L4:L19" ca="1">INDEX($D4:$D19,J4:J19)</f>
        <v>31.8</v>
      </c>
      <c r="M4" s="438">
        <f t="array" aca="1" ref="M4:M19" ca="1">INDEX($E4:$E19,J4:J19)</f>
        <v>7.4</v>
      </c>
      <c r="O4" t="s">
        <v>65</v>
      </c>
      <c r="P4" s="446">
        <f ca="1">COUNTIF(B21:K21,"&gt;="&amp;C21)/COUNTIF(B21:K21,"F")</f>
        <v>0.66666666666666663</v>
      </c>
    </row>
    <row r="5" spans="1:16" x14ac:dyDescent="0.35">
      <c r="A5">
        <f>A4+1</f>
        <v>2</v>
      </c>
      <c r="B5" t="s">
        <v>158</v>
      </c>
      <c r="C5" s="439">
        <v>60.5</v>
      </c>
      <c r="D5" s="440">
        <v>32.1</v>
      </c>
      <c r="E5" s="441">
        <v>6.3</v>
      </c>
      <c r="F5">
        <f ca="1"/>
        <v>9</v>
      </c>
      <c r="G5" s="439">
        <f ca="1"/>
        <v>62.8</v>
      </c>
      <c r="H5" s="440">
        <f ca="1"/>
        <v>25.9</v>
      </c>
      <c r="I5" s="441">
        <f ca="1"/>
        <v>2.9</v>
      </c>
      <c r="J5">
        <f ca="1"/>
        <v>15</v>
      </c>
      <c r="K5" s="439">
        <f ca="1"/>
        <v>62.9</v>
      </c>
      <c r="L5" s="440">
        <f ca="1"/>
        <v>25.8</v>
      </c>
      <c r="M5" s="441">
        <f ca="1"/>
        <v>2.4</v>
      </c>
    </row>
    <row r="6" spans="1:16" x14ac:dyDescent="0.35">
      <c r="A6">
        <f t="shared" ref="A6:A19" si="0">A5+1</f>
        <v>3</v>
      </c>
      <c r="B6" t="s">
        <v>158</v>
      </c>
      <c r="C6" s="439">
        <v>96.1</v>
      </c>
      <c r="D6" s="440">
        <v>40.700000000000003</v>
      </c>
      <c r="E6" s="441">
        <v>4.2</v>
      </c>
      <c r="F6">
        <f ca="1"/>
        <v>8</v>
      </c>
      <c r="G6" s="439">
        <f ca="1"/>
        <v>64.099999999999994</v>
      </c>
      <c r="H6" s="440">
        <f ca="1"/>
        <v>14.5</v>
      </c>
      <c r="I6" s="441">
        <f ca="1"/>
        <v>3.7</v>
      </c>
      <c r="J6">
        <f ca="1"/>
        <v>10</v>
      </c>
      <c r="K6" s="439">
        <f ca="1"/>
        <v>45</v>
      </c>
      <c r="L6" s="440">
        <f ca="1"/>
        <v>15.9</v>
      </c>
      <c r="M6" s="441">
        <f ca="1"/>
        <v>1.2</v>
      </c>
      <c r="O6" t="s">
        <v>65</v>
      </c>
      <c r="P6" s="446">
        <f ca="1">[1]!PERMANOVA(C4:E19,4)</f>
        <v>2.2297770222977704E-2</v>
      </c>
    </row>
    <row r="7" spans="1:16" x14ac:dyDescent="0.35">
      <c r="A7">
        <f t="shared" si="0"/>
        <v>4</v>
      </c>
      <c r="B7" t="s">
        <v>158</v>
      </c>
      <c r="C7" s="439">
        <v>88.1</v>
      </c>
      <c r="D7" s="440">
        <v>45.1</v>
      </c>
      <c r="E7" s="441">
        <v>4.9000000000000004</v>
      </c>
      <c r="F7">
        <f ca="1"/>
        <v>5</v>
      </c>
      <c r="G7" s="439">
        <f ca="1"/>
        <v>66.900000000000006</v>
      </c>
      <c r="H7" s="440">
        <f ca="1"/>
        <v>23.9</v>
      </c>
      <c r="I7" s="441">
        <f ca="1"/>
        <v>1.1000000000000001</v>
      </c>
      <c r="J7">
        <f ca="1"/>
        <v>11</v>
      </c>
      <c r="K7" s="439">
        <f ca="1"/>
        <v>47.8</v>
      </c>
      <c r="L7" s="440">
        <f ca="1"/>
        <v>36.1</v>
      </c>
      <c r="M7" s="441">
        <f ca="1"/>
        <v>4.0999999999999996</v>
      </c>
    </row>
    <row r="8" spans="1:16" x14ac:dyDescent="0.35">
      <c r="A8">
        <f t="shared" si="0"/>
        <v>5</v>
      </c>
      <c r="B8" t="s">
        <v>159</v>
      </c>
      <c r="C8" s="439">
        <v>66.900000000000006</v>
      </c>
      <c r="D8" s="440">
        <v>23.9</v>
      </c>
      <c r="E8" s="441">
        <v>1.1000000000000001</v>
      </c>
      <c r="F8">
        <f ca="1"/>
        <v>7</v>
      </c>
      <c r="G8" s="439">
        <f ca="1"/>
        <v>50.5</v>
      </c>
      <c r="H8" s="440">
        <f ca="1"/>
        <v>18</v>
      </c>
      <c r="I8" s="441">
        <f ca="1"/>
        <v>4.8</v>
      </c>
      <c r="J8">
        <f ca="1"/>
        <v>16</v>
      </c>
      <c r="K8" s="439">
        <f ca="1"/>
        <v>49.3</v>
      </c>
      <c r="L8" s="440">
        <f ca="1"/>
        <v>39.4</v>
      </c>
      <c r="M8" s="441">
        <f ca="1"/>
        <v>5.2</v>
      </c>
    </row>
    <row r="9" spans="1:16" x14ac:dyDescent="0.35">
      <c r="A9">
        <f t="shared" si="0"/>
        <v>6</v>
      </c>
      <c r="B9" t="s">
        <v>159</v>
      </c>
      <c r="C9" s="439">
        <v>55.4</v>
      </c>
      <c r="D9" s="440">
        <v>29.1</v>
      </c>
      <c r="E9" s="441">
        <v>5</v>
      </c>
      <c r="F9">
        <f ca="1"/>
        <v>4</v>
      </c>
      <c r="G9" s="439">
        <f ca="1"/>
        <v>88.1</v>
      </c>
      <c r="H9" s="440">
        <f ca="1"/>
        <v>45.1</v>
      </c>
      <c r="I9" s="441">
        <f ca="1"/>
        <v>4.9000000000000004</v>
      </c>
      <c r="J9">
        <f ca="1"/>
        <v>14</v>
      </c>
      <c r="K9" s="439">
        <f ca="1"/>
        <v>61.5</v>
      </c>
      <c r="L9" s="440">
        <f ca="1"/>
        <v>16.8</v>
      </c>
      <c r="M9" s="441">
        <f ca="1"/>
        <v>1.9</v>
      </c>
    </row>
    <row r="10" spans="1:16" x14ac:dyDescent="0.35">
      <c r="A10">
        <f t="shared" si="0"/>
        <v>7</v>
      </c>
      <c r="B10" t="s">
        <v>159</v>
      </c>
      <c r="C10" s="439">
        <v>50.5</v>
      </c>
      <c r="D10" s="440">
        <v>18</v>
      </c>
      <c r="E10" s="441">
        <v>4.8</v>
      </c>
      <c r="F10">
        <f ca="1"/>
        <v>13</v>
      </c>
      <c r="G10" s="439">
        <f ca="1"/>
        <v>46.3</v>
      </c>
      <c r="H10" s="440">
        <f ca="1"/>
        <v>31.8</v>
      </c>
      <c r="I10" s="441">
        <f ca="1"/>
        <v>7.4</v>
      </c>
      <c r="J10">
        <f ca="1"/>
        <v>5</v>
      </c>
      <c r="K10" s="439">
        <f ca="1"/>
        <v>66.900000000000006</v>
      </c>
      <c r="L10" s="440">
        <f ca="1"/>
        <v>23.9</v>
      </c>
      <c r="M10" s="441">
        <f ca="1"/>
        <v>1.1000000000000001</v>
      </c>
    </row>
    <row r="11" spans="1:16" x14ac:dyDescent="0.35">
      <c r="A11">
        <f t="shared" si="0"/>
        <v>8</v>
      </c>
      <c r="B11" t="s">
        <v>159</v>
      </c>
      <c r="C11" s="439">
        <v>64.099999999999994</v>
      </c>
      <c r="D11" s="440">
        <v>14.5</v>
      </c>
      <c r="E11" s="441">
        <v>3.7</v>
      </c>
      <c r="F11">
        <f ca="1"/>
        <v>11</v>
      </c>
      <c r="G11" s="439">
        <f ca="1"/>
        <v>47.8</v>
      </c>
      <c r="H11" s="440">
        <f ca="1"/>
        <v>36.1</v>
      </c>
      <c r="I11" s="441">
        <f ca="1"/>
        <v>4.0999999999999996</v>
      </c>
      <c r="J11">
        <f ca="1"/>
        <v>8</v>
      </c>
      <c r="K11" s="439">
        <f ca="1"/>
        <v>64.099999999999994</v>
      </c>
      <c r="L11" s="440">
        <f ca="1"/>
        <v>14.5</v>
      </c>
      <c r="M11" s="441">
        <f ca="1"/>
        <v>3.7</v>
      </c>
    </row>
    <row r="12" spans="1:16" x14ac:dyDescent="0.35">
      <c r="A12">
        <f t="shared" si="0"/>
        <v>9</v>
      </c>
      <c r="B12" t="s">
        <v>161</v>
      </c>
      <c r="C12" s="439">
        <v>62.8</v>
      </c>
      <c r="D12" s="440">
        <v>25.9</v>
      </c>
      <c r="E12" s="441">
        <v>2.9</v>
      </c>
      <c r="F12">
        <f ca="1"/>
        <v>16</v>
      </c>
      <c r="G12" s="439">
        <f ca="1"/>
        <v>49.3</v>
      </c>
      <c r="H12" s="440">
        <f ca="1"/>
        <v>39.4</v>
      </c>
      <c r="I12" s="441">
        <f ca="1"/>
        <v>5.2</v>
      </c>
      <c r="J12">
        <f ca="1"/>
        <v>3</v>
      </c>
      <c r="K12" s="439">
        <f ca="1"/>
        <v>96.1</v>
      </c>
      <c r="L12" s="440">
        <f ca="1"/>
        <v>40.700000000000003</v>
      </c>
      <c r="M12" s="441">
        <f ca="1"/>
        <v>4.2</v>
      </c>
    </row>
    <row r="13" spans="1:16" x14ac:dyDescent="0.35">
      <c r="A13">
        <f t="shared" si="0"/>
        <v>10</v>
      </c>
      <c r="B13" t="s">
        <v>161</v>
      </c>
      <c r="C13" s="439">
        <v>45</v>
      </c>
      <c r="D13" s="440">
        <v>15.9</v>
      </c>
      <c r="E13" s="441">
        <v>1.2</v>
      </c>
      <c r="F13">
        <f ca="1"/>
        <v>1</v>
      </c>
      <c r="G13" s="439">
        <f ca="1"/>
        <v>76.7</v>
      </c>
      <c r="H13" s="440">
        <f ca="1"/>
        <v>29.5</v>
      </c>
      <c r="I13" s="441">
        <f ca="1"/>
        <v>7.5</v>
      </c>
      <c r="J13">
        <f ca="1"/>
        <v>1</v>
      </c>
      <c r="K13" s="439">
        <f ca="1"/>
        <v>76.7</v>
      </c>
      <c r="L13" s="440">
        <f ca="1"/>
        <v>29.5</v>
      </c>
      <c r="M13" s="441">
        <f ca="1"/>
        <v>7.5</v>
      </c>
    </row>
    <row r="14" spans="1:16" x14ac:dyDescent="0.35">
      <c r="A14">
        <f t="shared" si="0"/>
        <v>11</v>
      </c>
      <c r="B14" t="s">
        <v>161</v>
      </c>
      <c r="C14" s="439">
        <v>47.8</v>
      </c>
      <c r="D14" s="440">
        <v>36.1</v>
      </c>
      <c r="E14" s="441">
        <v>4.0999999999999996</v>
      </c>
      <c r="F14">
        <f ca="1"/>
        <v>3</v>
      </c>
      <c r="G14" s="439">
        <f ca="1"/>
        <v>96.1</v>
      </c>
      <c r="H14" s="440">
        <f ca="1"/>
        <v>40.700000000000003</v>
      </c>
      <c r="I14" s="441">
        <f ca="1"/>
        <v>4.2</v>
      </c>
      <c r="J14">
        <f ca="1"/>
        <v>4</v>
      </c>
      <c r="K14" s="439">
        <f ca="1"/>
        <v>88.1</v>
      </c>
      <c r="L14" s="440">
        <f ca="1"/>
        <v>45.1</v>
      </c>
      <c r="M14" s="441">
        <f ca="1"/>
        <v>4.9000000000000004</v>
      </c>
    </row>
    <row r="15" spans="1:16" x14ac:dyDescent="0.35">
      <c r="A15">
        <f t="shared" si="0"/>
        <v>12</v>
      </c>
      <c r="B15" t="s">
        <v>161</v>
      </c>
      <c r="C15" s="439">
        <v>75.599999999999994</v>
      </c>
      <c r="D15" s="440">
        <v>27.7</v>
      </c>
      <c r="E15" s="441">
        <v>6.3</v>
      </c>
      <c r="F15">
        <f ca="1"/>
        <v>10</v>
      </c>
      <c r="G15" s="439">
        <f ca="1"/>
        <v>45</v>
      </c>
      <c r="H15" s="440">
        <f ca="1"/>
        <v>15.9</v>
      </c>
      <c r="I15" s="441">
        <f ca="1"/>
        <v>1.2</v>
      </c>
      <c r="J15">
        <f ca="1"/>
        <v>9</v>
      </c>
      <c r="K15" s="439">
        <f ca="1"/>
        <v>62.8</v>
      </c>
      <c r="L15" s="440">
        <f ca="1"/>
        <v>25.9</v>
      </c>
      <c r="M15" s="441">
        <f ca="1"/>
        <v>2.9</v>
      </c>
    </row>
    <row r="16" spans="1:16" x14ac:dyDescent="0.35">
      <c r="A16">
        <f t="shared" si="0"/>
        <v>13</v>
      </c>
      <c r="B16" t="s">
        <v>160</v>
      </c>
      <c r="C16" s="439">
        <v>46.3</v>
      </c>
      <c r="D16" s="440">
        <v>31.8</v>
      </c>
      <c r="E16" s="441">
        <v>7.4</v>
      </c>
      <c r="F16">
        <f ca="1"/>
        <v>15</v>
      </c>
      <c r="G16" s="439">
        <f ca="1"/>
        <v>62.9</v>
      </c>
      <c r="H16" s="440">
        <f ca="1"/>
        <v>25.8</v>
      </c>
      <c r="I16" s="441">
        <f ca="1"/>
        <v>2.4</v>
      </c>
      <c r="J16">
        <f ca="1"/>
        <v>7</v>
      </c>
      <c r="K16" s="439">
        <f ca="1"/>
        <v>50.5</v>
      </c>
      <c r="L16" s="440">
        <f ca="1"/>
        <v>18</v>
      </c>
      <c r="M16" s="441">
        <f ca="1"/>
        <v>4.8</v>
      </c>
    </row>
    <row r="17" spans="1:13" x14ac:dyDescent="0.35">
      <c r="A17">
        <f t="shared" si="0"/>
        <v>14</v>
      </c>
      <c r="B17" t="s">
        <v>160</v>
      </c>
      <c r="C17" s="439">
        <v>61.5</v>
      </c>
      <c r="D17" s="440">
        <v>16.8</v>
      </c>
      <c r="E17" s="441">
        <v>1.9</v>
      </c>
      <c r="F17">
        <f ca="1"/>
        <v>14</v>
      </c>
      <c r="G17" s="439">
        <f ca="1"/>
        <v>61.5</v>
      </c>
      <c r="H17" s="440">
        <f ca="1"/>
        <v>16.8</v>
      </c>
      <c r="I17" s="441">
        <f ca="1"/>
        <v>1.9</v>
      </c>
      <c r="J17">
        <f ca="1"/>
        <v>6</v>
      </c>
      <c r="K17" s="439">
        <f ca="1"/>
        <v>55.4</v>
      </c>
      <c r="L17" s="440">
        <f ca="1"/>
        <v>29.1</v>
      </c>
      <c r="M17" s="441">
        <f ca="1"/>
        <v>5</v>
      </c>
    </row>
    <row r="18" spans="1:13" x14ac:dyDescent="0.35">
      <c r="A18">
        <f t="shared" si="0"/>
        <v>15</v>
      </c>
      <c r="B18" t="s">
        <v>160</v>
      </c>
      <c r="C18" s="439">
        <v>62.9</v>
      </c>
      <c r="D18" s="440">
        <v>25.8</v>
      </c>
      <c r="E18" s="441">
        <v>2.4</v>
      </c>
      <c r="F18">
        <f ca="1"/>
        <v>6</v>
      </c>
      <c r="G18" s="439">
        <f ca="1"/>
        <v>55.4</v>
      </c>
      <c r="H18" s="440">
        <f ca="1"/>
        <v>29.1</v>
      </c>
      <c r="I18" s="441">
        <f ca="1"/>
        <v>5</v>
      </c>
      <c r="J18">
        <f ca="1"/>
        <v>2</v>
      </c>
      <c r="K18" s="439">
        <f ca="1"/>
        <v>60.5</v>
      </c>
      <c r="L18" s="440">
        <f ca="1"/>
        <v>32.1</v>
      </c>
      <c r="M18" s="441">
        <f ca="1"/>
        <v>6.3</v>
      </c>
    </row>
    <row r="19" spans="1:13" x14ac:dyDescent="0.35">
      <c r="A19">
        <f t="shared" si="0"/>
        <v>16</v>
      </c>
      <c r="B19" t="s">
        <v>160</v>
      </c>
      <c r="C19" s="442">
        <v>49.3</v>
      </c>
      <c r="D19" s="443">
        <v>39.4</v>
      </c>
      <c r="E19" s="444">
        <v>5.2</v>
      </c>
      <c r="F19">
        <f ca="1"/>
        <v>2</v>
      </c>
      <c r="G19" s="442">
        <f ca="1"/>
        <v>60.5</v>
      </c>
      <c r="H19" s="443">
        <f ca="1"/>
        <v>32.1</v>
      </c>
      <c r="I19" s="444">
        <f ca="1"/>
        <v>6.3</v>
      </c>
      <c r="J19">
        <f ca="1"/>
        <v>12</v>
      </c>
      <c r="K19" s="442">
        <f ca="1"/>
        <v>75.599999999999994</v>
      </c>
      <c r="L19" s="443">
        <f ca="1"/>
        <v>27.7</v>
      </c>
      <c r="M19" s="444">
        <f ca="1"/>
        <v>6.3</v>
      </c>
    </row>
    <row r="21" spans="1:13" x14ac:dyDescent="0.35">
      <c r="B21" s="47" t="s">
        <v>54</v>
      </c>
      <c r="C21" s="446">
        <f>[1]!PseudoF(C4:E19,4)</f>
        <v>3.3877748308256752</v>
      </c>
      <c r="F21" s="47" t="s">
        <v>54</v>
      </c>
      <c r="G21" s="446">
        <f ca="1">[1]!PseudoF(G4:I19,4)</f>
        <v>0.50144235852049213</v>
      </c>
      <c r="J21" s="47" t="s">
        <v>54</v>
      </c>
      <c r="K21" s="446">
        <f ca="1">[1]!PseudoF(K4:M19,4)</f>
        <v>3.8136223832249616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3"/>
  <dimension ref="A1:V19"/>
  <sheetViews>
    <sheetView topLeftCell="A2" workbookViewId="0">
      <selection activeCell="Q15" sqref="Q15"/>
    </sheetView>
  </sheetViews>
  <sheetFormatPr defaultRowHeight="15" x14ac:dyDescent="0.25"/>
  <cols>
    <col min="1" max="1" width="3.28515625" customWidth="1"/>
    <col min="2" max="2" width="6.5703125" customWidth="1"/>
    <col min="6" max="6" width="4.7109375" customWidth="1"/>
    <col min="7" max="7" width="15" customWidth="1"/>
    <col min="10" max="10" width="6.7109375" customWidth="1"/>
    <col min="13" max="13" width="10.7109375" customWidth="1"/>
    <col min="14" max="14" width="4.7109375" customWidth="1"/>
    <col min="17" max="17" width="4.7109375" customWidth="1"/>
    <col min="18" max="18" width="6.7109375" customWidth="1"/>
    <col min="22" max="22" width="8" customWidth="1"/>
  </cols>
  <sheetData>
    <row r="1" spans="1:22" ht="14.45" x14ac:dyDescent="0.35">
      <c r="B1" s="42" t="s">
        <v>984</v>
      </c>
    </row>
    <row r="2" spans="1:22" ht="14.45" x14ac:dyDescent="0.35">
      <c r="G2" t="s">
        <v>963</v>
      </c>
      <c r="O2" t="s">
        <v>108</v>
      </c>
      <c r="R2" t="s">
        <v>996</v>
      </c>
    </row>
    <row r="3" spans="1:22" thickBot="1" x14ac:dyDescent="0.4">
      <c r="C3" s="32" t="s">
        <v>144</v>
      </c>
      <c r="D3" s="32" t="s">
        <v>145</v>
      </c>
      <c r="E3" s="32" t="s">
        <v>146</v>
      </c>
    </row>
    <row r="4" spans="1:22" thickTop="1" x14ac:dyDescent="0.35">
      <c r="A4">
        <v>1</v>
      </c>
      <c r="B4" t="s">
        <v>158</v>
      </c>
      <c r="C4" s="436">
        <v>76.7</v>
      </c>
      <c r="D4" s="437">
        <v>29.5</v>
      </c>
      <c r="E4" s="438">
        <v>7.5</v>
      </c>
      <c r="G4" s="94"/>
      <c r="H4" s="94" t="s">
        <v>148</v>
      </c>
      <c r="I4" s="94" t="s">
        <v>54</v>
      </c>
      <c r="J4" s="94" t="s">
        <v>55</v>
      </c>
      <c r="K4" s="94" t="s">
        <v>56</v>
      </c>
      <c r="L4" s="94" t="s">
        <v>65</v>
      </c>
      <c r="M4" s="94" t="s">
        <v>948</v>
      </c>
      <c r="O4" t="s">
        <v>113</v>
      </c>
      <c r="P4" s="132">
        <f>[1]!BOXM(B4:E19)</f>
        <v>29.209606419583487</v>
      </c>
      <c r="S4" s="32" t="str">
        <f t="array" ref="S4:U4">$C$3:$E$3</f>
        <v>yield</v>
      </c>
      <c r="T4" s="32" t="str">
        <v>water</v>
      </c>
      <c r="U4" s="32" t="str">
        <v>herbicide</v>
      </c>
      <c r="V4" s="32" t="s">
        <v>100</v>
      </c>
    </row>
    <row r="5" spans="1:22" ht="14.45" x14ac:dyDescent="0.35">
      <c r="A5">
        <f>A4+1</f>
        <v>2</v>
      </c>
      <c r="B5" t="s">
        <v>158</v>
      </c>
      <c r="C5" s="439">
        <v>60.5</v>
      </c>
      <c r="D5" s="440">
        <v>32.1</v>
      </c>
      <c r="E5" s="441">
        <v>6.3</v>
      </c>
      <c r="G5" t="s">
        <v>150</v>
      </c>
      <c r="H5">
        <f>[1]!MANOVA_PillaiTrace(B4:E19)</f>
        <v>0.77750552244961546</v>
      </c>
      <c r="I5">
        <f>[1]!MANOVA_PillaiF(B4:E19)</f>
        <v>1.3993385005960974</v>
      </c>
      <c r="J5">
        <f>[1]!MANOVA_Pillaidf1(B4:E19)</f>
        <v>9</v>
      </c>
      <c r="K5">
        <f>[1]!MANOVA_Pillaidf2(B4:E19)</f>
        <v>36</v>
      </c>
      <c r="L5">
        <f>[1]!F_DIST_RT(I5,J5,K5)</f>
        <v>0.22489961527889701</v>
      </c>
      <c r="M5">
        <f>I5*J5/(I5*J5+K5)</f>
        <v>0.25916850748320519</v>
      </c>
      <c r="O5" t="s">
        <v>54</v>
      </c>
      <c r="P5" s="98">
        <f>[1]!BOXF(B4:E19)</f>
        <v>0.83285975094419062</v>
      </c>
      <c r="R5" t="s">
        <v>160</v>
      </c>
      <c r="S5" s="149">
        <f>AVERAGEIF($B$4:$B$19,$R5,C$4:C$19)</f>
        <v>55</v>
      </c>
      <c r="T5" s="141">
        <f t="shared" ref="T5:U8" si="0">AVERAGEIF($B$4:$B$19,$R5,D$4:D$19)</f>
        <v>28.450000000000003</v>
      </c>
      <c r="U5" s="150">
        <f t="shared" si="0"/>
        <v>4.2250000000000005</v>
      </c>
      <c r="V5" s="132">
        <f>COUNTIF($B$4:$B$19,R5)</f>
        <v>4</v>
      </c>
    </row>
    <row r="6" spans="1:22" ht="14.45" x14ac:dyDescent="0.35">
      <c r="A6">
        <f t="shared" ref="A6:A19" si="1">A5+1</f>
        <v>3</v>
      </c>
      <c r="B6" t="s">
        <v>158</v>
      </c>
      <c r="C6" s="439">
        <v>96.1</v>
      </c>
      <c r="D6" s="440">
        <v>40.700000000000003</v>
      </c>
      <c r="E6" s="441">
        <v>4.2</v>
      </c>
      <c r="G6" t="s">
        <v>151</v>
      </c>
      <c r="H6">
        <f>[1]!MANOVA_WilksLambda(B4:E19)</f>
        <v>0.31965967421710406</v>
      </c>
      <c r="I6">
        <f>[1]!MANOVA_WilksF(B4:E19)</f>
        <v>1.6265132861755192</v>
      </c>
      <c r="J6">
        <f>[1]!MANOVA_Wilksdf1(B4:E19)</f>
        <v>9</v>
      </c>
      <c r="K6">
        <f>[1]!MANOVA_Wilksdf2(B4:E19)</f>
        <v>24.487978188445897</v>
      </c>
      <c r="L6">
        <f>[1]!F_DIST_RT(I6,J6,K6)</f>
        <v>0.1627010923834098</v>
      </c>
      <c r="M6">
        <f t="shared" ref="M6:M7" si="2">I6*J6/(I6*J6+K6)</f>
        <v>0.37413474240377109</v>
      </c>
      <c r="O6" t="s">
        <v>55</v>
      </c>
      <c r="P6" s="98">
        <f>[1]!BOXdf1(B4:E19)</f>
        <v>18</v>
      </c>
      <c r="R6" t="s">
        <v>158</v>
      </c>
      <c r="S6" s="83">
        <f t="shared" ref="S6:S8" si="3">AVERAGEIF($B$4:$B$19,$R6,C$4:C$19)</f>
        <v>80.349999999999994</v>
      </c>
      <c r="T6" s="37">
        <f t="shared" si="0"/>
        <v>36.85</v>
      </c>
      <c r="U6" s="84">
        <f t="shared" si="0"/>
        <v>5.7249999999999996</v>
      </c>
      <c r="V6" s="98">
        <f t="shared" ref="V6:V8" si="4">COUNTIF($B$4:$B$19,R6)</f>
        <v>4</v>
      </c>
    </row>
    <row r="7" spans="1:22" ht="14.45" x14ac:dyDescent="0.35">
      <c r="A7">
        <f t="shared" si="1"/>
        <v>4</v>
      </c>
      <c r="B7" t="s">
        <v>158</v>
      </c>
      <c r="C7" s="439">
        <v>88.1</v>
      </c>
      <c r="D7" s="440">
        <v>45.1</v>
      </c>
      <c r="E7" s="441">
        <v>4.9000000000000004</v>
      </c>
      <c r="G7" t="s">
        <v>152</v>
      </c>
      <c r="H7">
        <f>[1]!MANOVA_HotelTrace(B4:E19)</f>
        <v>1.8275001488169635</v>
      </c>
      <c r="I7">
        <f>[1]!MANOVA_HotelF(B4:E19)</f>
        <v>1.7598149581200391</v>
      </c>
      <c r="J7">
        <f>[1]!MANOVA_Hoteldf1(B4:E19)</f>
        <v>9</v>
      </c>
      <c r="K7">
        <f>[1]!MANOVA_Hoteldf2(B4:E19)</f>
        <v>26</v>
      </c>
      <c r="L7">
        <f>[1]!F_DIST_RT(I7,J7,K7)</f>
        <v>0.12534912081405503</v>
      </c>
      <c r="M7">
        <f t="shared" si="2"/>
        <v>0.37856035059156123</v>
      </c>
      <c r="O7" t="s">
        <v>56</v>
      </c>
      <c r="P7" s="98">
        <f>[1]!BOXdf2(B4:E19)</f>
        <v>508.85889570552081</v>
      </c>
      <c r="R7" t="s">
        <v>161</v>
      </c>
      <c r="S7" s="83">
        <f t="shared" si="3"/>
        <v>57.8</v>
      </c>
      <c r="T7" s="37">
        <f t="shared" si="0"/>
        <v>26.400000000000002</v>
      </c>
      <c r="U7" s="84">
        <f t="shared" si="0"/>
        <v>3.625</v>
      </c>
      <c r="V7" s="98">
        <f t="shared" si="4"/>
        <v>4</v>
      </c>
    </row>
    <row r="8" spans="1:22" ht="14.45" x14ac:dyDescent="0.35">
      <c r="A8">
        <f t="shared" si="1"/>
        <v>5</v>
      </c>
      <c r="B8" t="s">
        <v>159</v>
      </c>
      <c r="C8" s="439">
        <v>66.900000000000006</v>
      </c>
      <c r="D8" s="440">
        <v>23.9</v>
      </c>
      <c r="E8" s="441">
        <v>1.1000000000000001</v>
      </c>
      <c r="G8" s="40" t="s">
        <v>153</v>
      </c>
      <c r="H8" s="40">
        <f>[1]!MANOVA_RoyRoot(B4:E19)</f>
        <v>1.6480210181877806</v>
      </c>
      <c r="I8" s="40"/>
      <c r="J8" s="40"/>
      <c r="K8" s="40"/>
      <c r="L8" s="40"/>
      <c r="M8" s="40"/>
      <c r="O8" t="s">
        <v>65</v>
      </c>
      <c r="P8" s="99">
        <f>[1]!BOXTEST(B4:E19)</f>
        <v>0.66156477308565842</v>
      </c>
      <c r="R8" t="s">
        <v>159</v>
      </c>
      <c r="S8" s="85">
        <f t="shared" si="3"/>
        <v>59.225000000000001</v>
      </c>
      <c r="T8" s="86">
        <f t="shared" si="0"/>
        <v>21.375</v>
      </c>
      <c r="U8" s="87">
        <f t="shared" si="0"/>
        <v>3.6499999999999995</v>
      </c>
      <c r="V8" s="99">
        <f t="shared" si="4"/>
        <v>4</v>
      </c>
    </row>
    <row r="9" spans="1:22" ht="14.45" x14ac:dyDescent="0.35">
      <c r="A9">
        <f t="shared" si="1"/>
        <v>6</v>
      </c>
      <c r="B9" t="s">
        <v>159</v>
      </c>
      <c r="C9" s="439">
        <v>55.4</v>
      </c>
      <c r="D9" s="440">
        <v>29.1</v>
      </c>
      <c r="E9" s="441">
        <v>5</v>
      </c>
      <c r="R9" t="s">
        <v>168</v>
      </c>
      <c r="S9" s="134">
        <f>AVERAGE(C$4:C$19)</f>
        <v>63.093749999999986</v>
      </c>
      <c r="T9" s="135">
        <f t="shared" ref="T9:U9" si="5">AVERAGE(D$4:D$19)</f>
        <v>28.268750000000001</v>
      </c>
      <c r="U9" s="136">
        <f t="shared" si="5"/>
        <v>4.3062499999999995</v>
      </c>
      <c r="V9" s="137">
        <f>SUM(V5:V8)</f>
        <v>16</v>
      </c>
    </row>
    <row r="10" spans="1:22" ht="14.45" x14ac:dyDescent="0.35">
      <c r="A10">
        <f t="shared" si="1"/>
        <v>7</v>
      </c>
      <c r="B10" t="s">
        <v>159</v>
      </c>
      <c r="C10" s="439">
        <v>50.5</v>
      </c>
      <c r="D10" s="440">
        <v>18</v>
      </c>
      <c r="E10" s="441">
        <v>4.8</v>
      </c>
      <c r="G10" t="s">
        <v>984</v>
      </c>
    </row>
    <row r="11" spans="1:22" ht="14.45" x14ac:dyDescent="0.35">
      <c r="A11">
        <f t="shared" si="1"/>
        <v>8</v>
      </c>
      <c r="B11" t="s">
        <v>159</v>
      </c>
      <c r="C11" s="439">
        <v>64.099999999999994</v>
      </c>
      <c r="D11" s="440">
        <v>14.5</v>
      </c>
      <c r="E11" s="441">
        <v>3.7</v>
      </c>
    </row>
    <row r="12" spans="1:22" ht="14.45" x14ac:dyDescent="0.35">
      <c r="A12">
        <f t="shared" si="1"/>
        <v>9</v>
      </c>
      <c r="B12" t="s">
        <v>161</v>
      </c>
      <c r="C12" s="439">
        <v>62.8</v>
      </c>
      <c r="D12" s="440">
        <v>25.9</v>
      </c>
      <c r="E12" s="441">
        <v>2.9</v>
      </c>
      <c r="G12" t="s">
        <v>989</v>
      </c>
      <c r="H12" s="132">
        <v>4</v>
      </c>
    </row>
    <row r="13" spans="1:22" ht="14.45" x14ac:dyDescent="0.35">
      <c r="A13">
        <f t="shared" si="1"/>
        <v>10</v>
      </c>
      <c r="B13" t="s">
        <v>161</v>
      </c>
      <c r="C13" s="439">
        <v>45</v>
      </c>
      <c r="D13" s="440">
        <v>15.9</v>
      </c>
      <c r="E13" s="441">
        <v>1.2</v>
      </c>
      <c r="G13" t="s">
        <v>990</v>
      </c>
      <c r="H13" s="99">
        <v>1000</v>
      </c>
    </row>
    <row r="14" spans="1:22" ht="14.45" x14ac:dyDescent="0.35">
      <c r="A14">
        <f t="shared" si="1"/>
        <v>11</v>
      </c>
      <c r="B14" t="s">
        <v>161</v>
      </c>
      <c r="C14" s="439">
        <v>47.8</v>
      </c>
      <c r="D14" s="440">
        <v>36.1</v>
      </c>
      <c r="E14" s="441">
        <v>4.0999999999999996</v>
      </c>
    </row>
    <row r="15" spans="1:22" ht="14.45" x14ac:dyDescent="0.35">
      <c r="A15">
        <f t="shared" si="1"/>
        <v>12</v>
      </c>
      <c r="B15" t="s">
        <v>161</v>
      </c>
      <c r="C15" s="439">
        <v>75.599999999999994</v>
      </c>
      <c r="D15" s="440">
        <v>27.7</v>
      </c>
      <c r="E15" s="441">
        <v>6.3</v>
      </c>
      <c r="G15" t="s">
        <v>65</v>
      </c>
      <c r="H15" s="137">
        <f ca="1">[1]!PERMANOVA(C4:E19,H12,H13)</f>
        <v>2.4975024975024976E-2</v>
      </c>
    </row>
    <row r="16" spans="1:22" ht="14.45" x14ac:dyDescent="0.35">
      <c r="A16">
        <f t="shared" si="1"/>
        <v>13</v>
      </c>
      <c r="B16" t="s">
        <v>160</v>
      </c>
      <c r="C16" s="439">
        <v>46.3</v>
      </c>
      <c r="D16" s="440">
        <v>31.8</v>
      </c>
      <c r="E16" s="441">
        <v>7.4</v>
      </c>
    </row>
    <row r="17" spans="1:5" ht="14.45" x14ac:dyDescent="0.35">
      <c r="A17">
        <f t="shared" si="1"/>
        <v>14</v>
      </c>
      <c r="B17" t="s">
        <v>160</v>
      </c>
      <c r="C17" s="439">
        <v>61.5</v>
      </c>
      <c r="D17" s="440">
        <v>16.8</v>
      </c>
      <c r="E17" s="441">
        <v>1.9</v>
      </c>
    </row>
    <row r="18" spans="1:5" ht="14.45" x14ac:dyDescent="0.35">
      <c r="A18">
        <f t="shared" si="1"/>
        <v>15</v>
      </c>
      <c r="B18" t="s">
        <v>160</v>
      </c>
      <c r="C18" s="439">
        <v>62.9</v>
      </c>
      <c r="D18" s="440">
        <v>25.8</v>
      </c>
      <c r="E18" s="441">
        <v>2.4</v>
      </c>
    </row>
    <row r="19" spans="1:5" ht="14.45" x14ac:dyDescent="0.35">
      <c r="A19">
        <f t="shared" si="1"/>
        <v>16</v>
      </c>
      <c r="B19" t="s">
        <v>160</v>
      </c>
      <c r="C19" s="442">
        <v>49.3</v>
      </c>
      <c r="D19" s="443">
        <v>39.4</v>
      </c>
      <c r="E19" s="444">
        <v>5.2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4"/>
  <dimension ref="A1:Q19"/>
  <sheetViews>
    <sheetView workbookViewId="0">
      <selection activeCell="E16" sqref="E16"/>
    </sheetView>
  </sheetViews>
  <sheetFormatPr defaultRowHeight="15" x14ac:dyDescent="0.25"/>
  <cols>
    <col min="1" max="1" width="7.42578125" customWidth="1"/>
    <col min="3" max="3" width="2.7109375" customWidth="1"/>
    <col min="8" max="8" width="3" customWidth="1"/>
    <col min="9" max="9" width="16" customWidth="1"/>
  </cols>
  <sheetData>
    <row r="1" spans="1:17" ht="14.45" x14ac:dyDescent="0.35">
      <c r="A1" s="42" t="s">
        <v>986</v>
      </c>
    </row>
    <row r="3" spans="1:17" ht="14.45" x14ac:dyDescent="0.35">
      <c r="B3" s="32" t="s">
        <v>144</v>
      </c>
      <c r="D3" t="s">
        <v>671</v>
      </c>
    </row>
    <row r="4" spans="1:17" ht="14.45" x14ac:dyDescent="0.35">
      <c r="A4" t="s">
        <v>158</v>
      </c>
      <c r="B4" s="432">
        <v>76.7</v>
      </c>
    </row>
    <row r="5" spans="1:17" ht="14.45" x14ac:dyDescent="0.35">
      <c r="A5" t="s">
        <v>158</v>
      </c>
      <c r="B5" s="433">
        <v>60.5</v>
      </c>
      <c r="D5" t="str">
        <f t="array" ref="D5:G9">[1]!StdAnova1(A4:B19)</f>
        <v>clay</v>
      </c>
      <c r="E5" t="str">
        <v>loam</v>
      </c>
      <c r="F5" t="str">
        <v>salty</v>
      </c>
      <c r="G5" t="str">
        <v>sandy</v>
      </c>
      <c r="I5" t="s">
        <v>173</v>
      </c>
    </row>
    <row r="6" spans="1:17" ht="14.45" x14ac:dyDescent="0.35">
      <c r="A6" t="s">
        <v>158</v>
      </c>
      <c r="B6" s="434">
        <v>96.1</v>
      </c>
      <c r="D6" s="149">
        <v>46.3</v>
      </c>
      <c r="E6" s="141">
        <v>76.7</v>
      </c>
      <c r="F6" s="141">
        <v>62.8</v>
      </c>
      <c r="G6" s="150">
        <v>66.900000000000006</v>
      </c>
    </row>
    <row r="7" spans="1:17" thickBot="1" x14ac:dyDescent="0.4">
      <c r="A7" t="s">
        <v>158</v>
      </c>
      <c r="B7" s="434">
        <v>88.1</v>
      </c>
      <c r="D7" s="83">
        <v>61.5</v>
      </c>
      <c r="E7" s="37">
        <v>60.5</v>
      </c>
      <c r="F7" s="37">
        <v>45</v>
      </c>
      <c r="G7" s="84">
        <v>55.4</v>
      </c>
      <c r="I7" t="s">
        <v>174</v>
      </c>
      <c r="N7" t="s">
        <v>175</v>
      </c>
      <c r="O7">
        <v>0.05</v>
      </c>
    </row>
    <row r="8" spans="1:17" thickTop="1" x14ac:dyDescent="0.35">
      <c r="A8" t="s">
        <v>159</v>
      </c>
      <c r="B8" s="434">
        <v>66.900000000000006</v>
      </c>
      <c r="D8" s="83">
        <v>62.9</v>
      </c>
      <c r="E8" s="37">
        <v>96.1</v>
      </c>
      <c r="F8" s="37">
        <v>47.8</v>
      </c>
      <c r="G8" s="84">
        <v>50.5</v>
      </c>
      <c r="I8" s="94" t="s">
        <v>987</v>
      </c>
      <c r="J8" s="94" t="s">
        <v>100</v>
      </c>
      <c r="K8" s="94" t="s">
        <v>177</v>
      </c>
      <c r="L8" s="94" t="s">
        <v>34</v>
      </c>
      <c r="M8" s="94" t="s">
        <v>178</v>
      </c>
      <c r="N8" s="94" t="s">
        <v>179</v>
      </c>
      <c r="O8" s="94" t="s">
        <v>180</v>
      </c>
      <c r="P8" s="94" t="s">
        <v>181</v>
      </c>
      <c r="Q8" s="94" t="s">
        <v>182</v>
      </c>
    </row>
    <row r="9" spans="1:17" ht="14.45" x14ac:dyDescent="0.35">
      <c r="A9" t="s">
        <v>159</v>
      </c>
      <c r="B9" s="434">
        <v>55.4</v>
      </c>
      <c r="D9" s="85">
        <v>49.3</v>
      </c>
      <c r="E9" s="86">
        <v>88.1</v>
      </c>
      <c r="F9" s="86">
        <v>75.599999999999994</v>
      </c>
      <c r="G9" s="87">
        <v>64.099999999999994</v>
      </c>
      <c r="I9" t="str">
        <f>D5</f>
        <v>clay</v>
      </c>
      <c r="J9">
        <f>COUNT(D6:D9)</f>
        <v>4</v>
      </c>
      <c r="K9">
        <f>SUM(D6:D9)</f>
        <v>220</v>
      </c>
      <c r="L9">
        <f>AVERAGE(D6:D9)</f>
        <v>55</v>
      </c>
      <c r="M9">
        <f>_xlfn.VAR.S(D6:D9)</f>
        <v>70.946666666666104</v>
      </c>
      <c r="N9">
        <f>DEVSQ(D6:D9)</f>
        <v>212.84000000000006</v>
      </c>
      <c r="O9">
        <f>SQRT(L17/J9)</f>
        <v>5.964159447622662</v>
      </c>
      <c r="P9">
        <f>L9-O9*_xlfn.T.INV.2T(O7,K17)</f>
        <v>42.005212877338735</v>
      </c>
      <c r="Q9">
        <f>L9+O9*_xlfn.T.INV.2T(O7,K17)</f>
        <v>67.994787122661265</v>
      </c>
    </row>
    <row r="10" spans="1:17" ht="14.45" x14ac:dyDescent="0.35">
      <c r="A10" t="s">
        <v>159</v>
      </c>
      <c r="B10" s="434">
        <v>50.5</v>
      </c>
      <c r="I10" t="str">
        <f>E5</f>
        <v>loam</v>
      </c>
      <c r="J10">
        <f>COUNT(E6:E9)</f>
        <v>4</v>
      </c>
      <c r="K10">
        <f>SUM(E6:E9)</f>
        <v>321.39999999999998</v>
      </c>
      <c r="L10">
        <f>AVERAGE(E6:E9)</f>
        <v>80.349999999999994</v>
      </c>
      <c r="M10">
        <f>_xlfn.VAR.S(E6:E9)</f>
        <v>238.49000000000038</v>
      </c>
      <c r="N10">
        <f>DEVSQ(E6:E9)</f>
        <v>715.46999999999969</v>
      </c>
      <c r="O10">
        <f>SQRT(L17/J10)</f>
        <v>5.964159447622662</v>
      </c>
      <c r="P10">
        <f>L10-O10*_xlfn.T.INV.2T(O7,K17)</f>
        <v>67.35521287733873</v>
      </c>
      <c r="Q10">
        <f>L10+O10*_xlfn.T.INV.2T(O7,K17)</f>
        <v>93.344787122661259</v>
      </c>
    </row>
    <row r="11" spans="1:17" ht="14.45" x14ac:dyDescent="0.35">
      <c r="A11" t="s">
        <v>159</v>
      </c>
      <c r="B11" s="434">
        <v>64.099999999999994</v>
      </c>
      <c r="D11" t="s">
        <v>988</v>
      </c>
      <c r="I11" t="str">
        <f>F5</f>
        <v>salty</v>
      </c>
      <c r="J11">
        <f>COUNT(F6:F9)</f>
        <v>4</v>
      </c>
      <c r="K11">
        <f>SUM(F6:F9)</f>
        <v>231.2</v>
      </c>
      <c r="L11">
        <f>AVERAGE(F6:F9)</f>
        <v>57.8</v>
      </c>
      <c r="M11">
        <f>_xlfn.VAR.S(F6:F9)</f>
        <v>201.89333333333343</v>
      </c>
      <c r="N11">
        <f>DEVSQ(F6:F9)</f>
        <v>605.67999999999984</v>
      </c>
      <c r="O11">
        <f>SQRT(L17/J11)</f>
        <v>5.964159447622662</v>
      </c>
      <c r="P11">
        <f>L11-O11*_xlfn.T.INV.2T(O7,K17)</f>
        <v>44.805212877338732</v>
      </c>
      <c r="Q11">
        <f>L11+O11*_xlfn.T.INV.2T(O7,K17)</f>
        <v>70.794787122661262</v>
      </c>
    </row>
    <row r="12" spans="1:17" ht="14.45" x14ac:dyDescent="0.35">
      <c r="A12" t="s">
        <v>161</v>
      </c>
      <c r="B12" s="434">
        <v>62.8</v>
      </c>
      <c r="I12" t="str">
        <f>G5</f>
        <v>sandy</v>
      </c>
      <c r="J12">
        <f>COUNT(G6:G9)</f>
        <v>4</v>
      </c>
      <c r="K12">
        <f>SUM(G6:G9)</f>
        <v>236.9</v>
      </c>
      <c r="L12">
        <f>AVERAGE(G6:G9)</f>
        <v>59.225000000000001</v>
      </c>
      <c r="M12">
        <f>_xlfn.VAR.S(G6:G9)</f>
        <v>57.809166666666592</v>
      </c>
      <c r="N12">
        <f>DEVSQ(G6:G9)</f>
        <v>173.42750000000007</v>
      </c>
      <c r="O12">
        <f>SQRT(L17/J12)</f>
        <v>5.964159447622662</v>
      </c>
      <c r="P12">
        <f>L12-O12*_xlfn.T.INV.2T(O7,K17)</f>
        <v>46.230212877338737</v>
      </c>
      <c r="Q12">
        <f>L12+O12*_xlfn.T.INV.2T(O7,K17)</f>
        <v>72.219787122661273</v>
      </c>
    </row>
    <row r="13" spans="1:17" ht="14.45" x14ac:dyDescent="0.35">
      <c r="A13" t="s">
        <v>161</v>
      </c>
      <c r="B13" s="434">
        <v>45</v>
      </c>
      <c r="D13" t="s">
        <v>989</v>
      </c>
      <c r="E13" s="132">
        <v>4</v>
      </c>
      <c r="I13" s="139"/>
      <c r="J13" s="139"/>
      <c r="K13" s="139"/>
      <c r="L13" s="139"/>
      <c r="M13" s="139"/>
      <c r="N13" s="139"/>
      <c r="O13" s="139"/>
      <c r="P13" s="139"/>
      <c r="Q13" s="139"/>
    </row>
    <row r="14" spans="1:17" thickBot="1" x14ac:dyDescent="0.4">
      <c r="A14" t="s">
        <v>161</v>
      </c>
      <c r="B14" s="434">
        <v>47.8</v>
      </c>
      <c r="D14" t="s">
        <v>990</v>
      </c>
      <c r="E14" s="99">
        <v>1000</v>
      </c>
      <c r="I14" t="s">
        <v>183</v>
      </c>
    </row>
    <row r="15" spans="1:17" thickTop="1" x14ac:dyDescent="0.35">
      <c r="A15" t="s">
        <v>161</v>
      </c>
      <c r="B15" s="434">
        <v>75.599999999999994</v>
      </c>
      <c r="I15" s="94" t="s">
        <v>184</v>
      </c>
      <c r="J15" s="94" t="s">
        <v>179</v>
      </c>
      <c r="K15" s="94" t="s">
        <v>62</v>
      </c>
      <c r="L15" s="94" t="s">
        <v>185</v>
      </c>
      <c r="M15" s="94" t="s">
        <v>54</v>
      </c>
      <c r="N15" s="94" t="s">
        <v>186</v>
      </c>
      <c r="O15" s="94" t="s">
        <v>187</v>
      </c>
      <c r="P15" s="94" t="s">
        <v>188</v>
      </c>
      <c r="Q15" s="94" t="s">
        <v>189</v>
      </c>
    </row>
    <row r="16" spans="1:17" ht="14.45" x14ac:dyDescent="0.35">
      <c r="A16" t="s">
        <v>160</v>
      </c>
      <c r="B16" s="434">
        <v>46.3</v>
      </c>
      <c r="D16" t="s">
        <v>65</v>
      </c>
      <c r="E16" s="137">
        <f ca="1">[1]!PERMANOVA(B4:B19,E13,E14)</f>
        <v>2.5974025974025976E-2</v>
      </c>
      <c r="I16" t="s">
        <v>190</v>
      </c>
      <c r="J16">
        <f>J18-J17</f>
        <v>1625.1118750000001</v>
      </c>
      <c r="K16">
        <f>COUNTA(I9:I12)-1</f>
        <v>3</v>
      </c>
      <c r="L16">
        <f>J16/K16</f>
        <v>541.70395833333339</v>
      </c>
      <c r="M16">
        <f>L16/L17</f>
        <v>3.8071810204592627</v>
      </c>
      <c r="N16">
        <f>_xlfn.F.DIST.RT(M16,K16,K17)</f>
        <v>3.966583846705956E-2</v>
      </c>
      <c r="O16">
        <f>_xlfn.F.INV.RT(O7,K16,K17)</f>
        <v>3.4902948194976045</v>
      </c>
      <c r="P16">
        <f>SQRT(DEVSQ(L9:L12)/(L17*K16))</f>
        <v>0.97559994624580371</v>
      </c>
      <c r="Q16">
        <f>(J18-K18*L17)/(J18+L17)</f>
        <v>0.34484074328195496</v>
      </c>
    </row>
    <row r="17" spans="1:17" ht="14.45" x14ac:dyDescent="0.35">
      <c r="A17" t="s">
        <v>160</v>
      </c>
      <c r="B17" s="434">
        <v>61.5</v>
      </c>
      <c r="I17" t="s">
        <v>191</v>
      </c>
      <c r="J17">
        <f>SUM(N9:N12)</f>
        <v>1707.4174999999996</v>
      </c>
      <c r="K17">
        <f>K18-K16</f>
        <v>12</v>
      </c>
      <c r="L17">
        <f>J17/K17</f>
        <v>142.28479166666662</v>
      </c>
    </row>
    <row r="18" spans="1:17" ht="14.45" x14ac:dyDescent="0.35">
      <c r="A18" t="s">
        <v>160</v>
      </c>
      <c r="B18" s="434">
        <v>62.9</v>
      </c>
      <c r="I18" s="40" t="s">
        <v>168</v>
      </c>
      <c r="J18" s="40">
        <f>DEVSQ(D6:G9)</f>
        <v>3332.5293749999996</v>
      </c>
      <c r="K18" s="40">
        <f>COUNT(D6:G9)-1</f>
        <v>15</v>
      </c>
      <c r="L18" s="40">
        <f>J18/K18</f>
        <v>222.16862499999996</v>
      </c>
      <c r="M18" s="40"/>
      <c r="N18" s="40"/>
      <c r="O18" s="40"/>
      <c r="P18" s="40"/>
      <c r="Q18" s="40"/>
    </row>
    <row r="19" spans="1:17" ht="14.45" x14ac:dyDescent="0.35">
      <c r="A19" t="s">
        <v>160</v>
      </c>
      <c r="B19" s="435">
        <v>49.3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/>
  <dimension ref="A1:AC33"/>
  <sheetViews>
    <sheetView workbookViewId="0"/>
  </sheetViews>
  <sheetFormatPr defaultRowHeight="15" x14ac:dyDescent="0.25"/>
  <cols>
    <col min="6" max="6" width="6.28515625" customWidth="1"/>
    <col min="12" max="12" width="6.28515625" customWidth="1"/>
    <col min="13" max="14" width="10.85546875" customWidth="1"/>
    <col min="15" max="15" width="6.42578125" customWidth="1"/>
    <col min="16" max="21" width="10.85546875" customWidth="1"/>
    <col min="22" max="22" width="10.42578125" customWidth="1"/>
    <col min="29" max="29" width="9.140625" customWidth="1"/>
  </cols>
  <sheetData>
    <row r="1" spans="1:29" ht="14.45" x14ac:dyDescent="0.35">
      <c r="A1" s="42" t="s">
        <v>108</v>
      </c>
    </row>
    <row r="2" spans="1:29" ht="14.45" x14ac:dyDescent="0.35">
      <c r="X2" t="s">
        <v>291</v>
      </c>
      <c r="AB2" t="s">
        <v>108</v>
      </c>
    </row>
    <row r="3" spans="1:29" ht="14.45" x14ac:dyDescent="0.35">
      <c r="A3" t="s">
        <v>287</v>
      </c>
      <c r="G3" t="s">
        <v>288</v>
      </c>
      <c r="M3" t="s">
        <v>108</v>
      </c>
      <c r="Q3" s="32" t="s">
        <v>289</v>
      </c>
      <c r="R3" s="32" t="s">
        <v>123</v>
      </c>
      <c r="S3" s="32" t="s">
        <v>124</v>
      </c>
      <c r="T3" s="32" t="s">
        <v>109</v>
      </c>
      <c r="U3" s="32" t="s">
        <v>110</v>
      </c>
      <c r="V3" s="32" t="s">
        <v>122</v>
      </c>
    </row>
    <row r="4" spans="1:29" ht="14.45" x14ac:dyDescent="0.35">
      <c r="P4" t="s">
        <v>287</v>
      </c>
      <c r="Q4" s="145">
        <v>6</v>
      </c>
      <c r="R4" s="139">
        <f>1/Q4</f>
        <v>0.16666666666666666</v>
      </c>
      <c r="S4" s="139">
        <f>R4^2</f>
        <v>2.7777777777777776E-2</v>
      </c>
      <c r="T4" s="139">
        <f>MDETERM(A5:E9)</f>
        <v>1.0473579666471442E+16</v>
      </c>
      <c r="U4" s="139">
        <f>LN(T4)</f>
        <v>36.887632258825739</v>
      </c>
      <c r="V4" s="139">
        <f>U4*Q4</f>
        <v>221.32579355295445</v>
      </c>
      <c r="Y4" t="s">
        <v>292</v>
      </c>
      <c r="Z4" t="s">
        <v>293</v>
      </c>
      <c r="AB4" t="s">
        <v>113</v>
      </c>
      <c r="AC4" s="146" t="e">
        <f t="array" ref="AC4:AC8">[1]!BOX(Y5:Z7,5)</f>
        <v>#VALUE!</v>
      </c>
    </row>
    <row r="5" spans="1:29" ht="14.45" x14ac:dyDescent="0.35">
      <c r="A5" s="138">
        <v>5971.1428571428569</v>
      </c>
      <c r="B5" s="139">
        <v>2240.1428571428573</v>
      </c>
      <c r="C5" s="139">
        <v>2635.9761904761899</v>
      </c>
      <c r="D5" s="139">
        <v>2408.5952380952376</v>
      </c>
      <c r="E5" s="140">
        <v>3615.4523809523807</v>
      </c>
      <c r="F5" s="37"/>
      <c r="G5" s="138">
        <v>937.61904761904748</v>
      </c>
      <c r="H5" s="139">
        <v>181.30952380952377</v>
      </c>
      <c r="I5" s="139">
        <v>432.38095238095235</v>
      </c>
      <c r="J5" s="139">
        <v>-228.64285714285711</v>
      </c>
      <c r="K5" s="140">
        <v>124.33333333333329</v>
      </c>
      <c r="M5" t="s">
        <v>53</v>
      </c>
      <c r="N5" s="146">
        <f>COUNTA(A5:E5)</f>
        <v>5</v>
      </c>
      <c r="P5" t="s">
        <v>290</v>
      </c>
      <c r="Q5" s="73">
        <f>Q4</f>
        <v>6</v>
      </c>
      <c r="R5" s="37">
        <f>1/Q5</f>
        <v>0.16666666666666666</v>
      </c>
      <c r="S5" s="37">
        <f>R5^2</f>
        <v>2.7777777777777776E-2</v>
      </c>
      <c r="T5" s="37">
        <f>MDETERM(A13:E17)</f>
        <v>4.5544512692109672E+16</v>
      </c>
      <c r="U5" s="37">
        <f>LN(T5)</f>
        <v>38.357466543568599</v>
      </c>
      <c r="V5" s="37">
        <f>U5*Q5</f>
        <v>230.14479926141161</v>
      </c>
      <c r="X5" t="s">
        <v>287</v>
      </c>
      <c r="Y5" s="138">
        <f>A5</f>
        <v>5971.1428571428569</v>
      </c>
      <c r="Z5" s="140">
        <v>7</v>
      </c>
      <c r="AB5" t="s">
        <v>55</v>
      </c>
      <c r="AC5" s="49" t="e">
        <v>#VALUE!</v>
      </c>
    </row>
    <row r="6" spans="1:29" ht="14.45" x14ac:dyDescent="0.35">
      <c r="A6" s="36">
        <v>2240.1428571428573</v>
      </c>
      <c r="B6" s="37">
        <v>2915.1428571428573</v>
      </c>
      <c r="C6" s="37">
        <v>3314.8095238095239</v>
      </c>
      <c r="D6" s="37">
        <v>1553.0952380952378</v>
      </c>
      <c r="E6" s="38">
        <v>2755.9523809523803</v>
      </c>
      <c r="F6" s="37"/>
      <c r="G6" s="36">
        <v>181.30952380952377</v>
      </c>
      <c r="H6" s="37">
        <v>4400.9047619047624</v>
      </c>
      <c r="I6" s="37">
        <v>1918.0238095238096</v>
      </c>
      <c r="J6" s="37">
        <v>2596.0952380952376</v>
      </c>
      <c r="K6" s="38">
        <v>2264.9999999999995</v>
      </c>
      <c r="M6" t="s">
        <v>111</v>
      </c>
      <c r="N6" s="52">
        <f>COUNTA(P4:P6)</f>
        <v>3</v>
      </c>
      <c r="P6" t="s">
        <v>288</v>
      </c>
      <c r="Q6" s="73">
        <f>Q4</f>
        <v>6</v>
      </c>
      <c r="R6" s="37">
        <f>1/Q6</f>
        <v>0.16666666666666666</v>
      </c>
      <c r="S6" s="37">
        <f>R6^2</f>
        <v>2.7777777777777776E-2</v>
      </c>
      <c r="T6" s="37">
        <f>MDETERM(G5:K9)</f>
        <v>1.8162198398096784E+16</v>
      </c>
      <c r="U6" s="37">
        <f>LN(T6)</f>
        <v>37.438118817920923</v>
      </c>
      <c r="V6" s="37">
        <f>U6*Q6</f>
        <v>224.62871290752554</v>
      </c>
      <c r="X6" t="s">
        <v>290</v>
      </c>
      <c r="Y6" s="36">
        <f>A13</f>
        <v>4377.6190476190468</v>
      </c>
      <c r="Z6" s="38">
        <v>7</v>
      </c>
      <c r="AB6" t="s">
        <v>56</v>
      </c>
      <c r="AC6" s="49" t="e">
        <v>#VALUE!</v>
      </c>
    </row>
    <row r="7" spans="1:29" ht="14.45" x14ac:dyDescent="0.35">
      <c r="A7" s="36">
        <v>2635.9761904761899</v>
      </c>
      <c r="B7" s="37">
        <v>3314.8095238095239</v>
      </c>
      <c r="C7" s="37">
        <v>4241.1428571428569</v>
      </c>
      <c r="D7" s="37">
        <v>2092.2619047619046</v>
      </c>
      <c r="E7" s="38">
        <v>3222.4523809523807</v>
      </c>
      <c r="F7" s="37"/>
      <c r="G7" s="36">
        <v>432.38095238095235</v>
      </c>
      <c r="H7" s="37">
        <v>1918.0238095238096</v>
      </c>
      <c r="I7" s="37">
        <v>3550.6190476190468</v>
      </c>
      <c r="J7" s="37">
        <v>1563.9761904761904</v>
      </c>
      <c r="K7" s="38">
        <v>1917</v>
      </c>
      <c r="P7" t="s">
        <v>112</v>
      </c>
      <c r="Q7" s="74">
        <f>SUM(Q4:Q6)</f>
        <v>18</v>
      </c>
      <c r="R7" s="40">
        <f>1/Q7</f>
        <v>5.5555555555555552E-2</v>
      </c>
      <c r="S7" s="40">
        <f>R7^2</f>
        <v>3.0864197530864196E-3</v>
      </c>
      <c r="T7" s="40">
        <f>MDETERM(G13:K17)</f>
        <v>1.4203888611701739E+17</v>
      </c>
      <c r="U7" s="40">
        <f>LN(T7)</f>
        <v>39.494877260917491</v>
      </c>
      <c r="V7" s="40">
        <f>U7*Q7</f>
        <v>710.90779069651489</v>
      </c>
      <c r="X7" t="s">
        <v>288</v>
      </c>
      <c r="Y7" s="39">
        <f>G5</f>
        <v>937.61904761904748</v>
      </c>
      <c r="Z7" s="41">
        <v>7</v>
      </c>
      <c r="AB7" t="s">
        <v>54</v>
      </c>
      <c r="AC7" s="49" t="e">
        <v>#VALUE!</v>
      </c>
    </row>
    <row r="8" spans="1:29" ht="14.45" x14ac:dyDescent="0.35">
      <c r="A8" s="36">
        <v>2408.5952380952376</v>
      </c>
      <c r="B8" s="37">
        <v>1553.0952380952378</v>
      </c>
      <c r="C8" s="37">
        <v>2092.2619047619046</v>
      </c>
      <c r="D8" s="37">
        <v>3318.2857142857147</v>
      </c>
      <c r="E8" s="38">
        <v>1225.6904761904761</v>
      </c>
      <c r="F8" s="37"/>
      <c r="G8" s="36">
        <v>-228.64285714285711</v>
      </c>
      <c r="H8" s="37">
        <v>2596.0952380952376</v>
      </c>
      <c r="I8" s="37">
        <v>1563.9761904761904</v>
      </c>
      <c r="J8" s="37">
        <v>2882.9047619047619</v>
      </c>
      <c r="K8" s="38">
        <v>2364.1666666666665</v>
      </c>
      <c r="P8" t="s">
        <v>96</v>
      </c>
      <c r="R8">
        <f>SUM(R4:R6)-R7</f>
        <v>0.44444444444444442</v>
      </c>
      <c r="S8">
        <f>SUM(S4:S6)-S7</f>
        <v>8.0246913580246909E-2</v>
      </c>
      <c r="V8" s="37">
        <f>V7-SUM(V4:V6)</f>
        <v>34.808484974623298</v>
      </c>
      <c r="AB8" t="s">
        <v>65</v>
      </c>
      <c r="AC8" s="52" t="e">
        <v>#VALUE!</v>
      </c>
    </row>
    <row r="9" spans="1:29" ht="14.45" x14ac:dyDescent="0.35">
      <c r="A9" s="39">
        <v>3615.4523809523807</v>
      </c>
      <c r="B9" s="40">
        <v>2755.9523809523803</v>
      </c>
      <c r="C9" s="40">
        <v>3222.4523809523807</v>
      </c>
      <c r="D9" s="40">
        <v>1225.6904761904761</v>
      </c>
      <c r="E9" s="41">
        <v>4318.9047619047615</v>
      </c>
      <c r="F9" s="37"/>
      <c r="G9" s="39">
        <v>124.33333333333329</v>
      </c>
      <c r="H9" s="40">
        <v>2264.9999999999995</v>
      </c>
      <c r="I9" s="40">
        <v>1917</v>
      </c>
      <c r="J9" s="40">
        <v>2364.1666666666665</v>
      </c>
      <c r="K9" s="41">
        <v>3680.333333333333</v>
      </c>
    </row>
    <row r="11" spans="1:29" ht="14.45" x14ac:dyDescent="0.35">
      <c r="A11" t="s">
        <v>290</v>
      </c>
      <c r="G11" t="s">
        <v>112</v>
      </c>
      <c r="M11" t="s">
        <v>113</v>
      </c>
      <c r="N11" s="146">
        <f>V8</f>
        <v>34.808484974623298</v>
      </c>
      <c r="P11" t="s">
        <v>283</v>
      </c>
      <c r="Q11" s="146">
        <f>(N5-1)*(N5+2)/(6*(N6-1))*S8</f>
        <v>0.18724279835390947</v>
      </c>
    </row>
    <row r="12" spans="1:29" ht="14.45" x14ac:dyDescent="0.35">
      <c r="M12" t="s">
        <v>114</v>
      </c>
      <c r="N12" s="49">
        <f>(2*N5^2+3*N5-1)/(6*(N5+1)*(N6-1))*R8</f>
        <v>0.39506172839506171</v>
      </c>
      <c r="P12" t="s">
        <v>56</v>
      </c>
      <c r="Q12" s="49">
        <f>(N14+2)/ABS(Q11-N12^2)</f>
        <v>1026.6601466992654</v>
      </c>
    </row>
    <row r="13" spans="1:29" x14ac:dyDescent="0.25">
      <c r="A13" s="138">
        <v>4377.6190476190468</v>
      </c>
      <c r="B13" s="139">
        <v>1656.2619047619046</v>
      </c>
      <c r="C13" s="139">
        <v>-896.38095238095229</v>
      </c>
      <c r="D13" s="139">
        <v>-549.95238095238096</v>
      </c>
      <c r="E13" s="140">
        <v>-168.92857142857133</v>
      </c>
      <c r="F13" s="37"/>
      <c r="G13" s="138">
        <v>3762.1269841269841</v>
      </c>
      <c r="H13" s="139">
        <v>1359.2380952380952</v>
      </c>
      <c r="I13" s="139">
        <v>723.99206349206327</v>
      </c>
      <c r="J13" s="139">
        <v>543.33333333333314</v>
      </c>
      <c r="K13" s="140">
        <v>1190.2857142857142</v>
      </c>
      <c r="M13" s="71" t="s">
        <v>115</v>
      </c>
      <c r="N13" s="49">
        <f>N11*(1-N12)</f>
        <v>21.056984737735082</v>
      </c>
      <c r="P13" t="s">
        <v>116</v>
      </c>
      <c r="Q13" s="49">
        <f>N14/(1-N12-N14/Q12)</f>
        <v>52.108907696507906</v>
      </c>
    </row>
    <row r="14" spans="1:29" ht="14.45" x14ac:dyDescent="0.35">
      <c r="A14" s="36">
        <v>1656.2619047619046</v>
      </c>
      <c r="B14" s="37">
        <v>2236.8095238095239</v>
      </c>
      <c r="C14" s="37">
        <v>1085.4285714285711</v>
      </c>
      <c r="D14" s="37">
        <v>888.73809523809507</v>
      </c>
      <c r="E14" s="38">
        <v>2671.8571428571427</v>
      </c>
      <c r="F14" s="37"/>
      <c r="G14" s="36">
        <v>1359.2380952380952</v>
      </c>
      <c r="H14" s="37">
        <v>3184.2857142857151</v>
      </c>
      <c r="I14" s="37">
        <v>2106.0873015873017</v>
      </c>
      <c r="J14" s="37">
        <v>1679.3095238095236</v>
      </c>
      <c r="K14" s="38">
        <v>2564.269841269841</v>
      </c>
      <c r="M14" s="71" t="s">
        <v>62</v>
      </c>
      <c r="N14" s="49">
        <f>N5*(N5+1)*(N6-1)/2</f>
        <v>30</v>
      </c>
      <c r="P14" t="s">
        <v>117</v>
      </c>
      <c r="Q14" s="49">
        <f>Q12/(1-N12+2/Q12)</f>
        <v>1691.6843994114142</v>
      </c>
    </row>
    <row r="15" spans="1:29" ht="14.45" x14ac:dyDescent="0.35">
      <c r="A15" s="36">
        <v>-896.38095238095229</v>
      </c>
      <c r="B15" s="37">
        <v>1085.4285714285711</v>
      </c>
      <c r="C15" s="37">
        <v>5699.2857142857138</v>
      </c>
      <c r="D15" s="37">
        <v>3818.0476190476193</v>
      </c>
      <c r="E15" s="38">
        <v>2991.7380952380954</v>
      </c>
      <c r="F15" s="37"/>
      <c r="G15" s="36">
        <v>723.99206349206327</v>
      </c>
      <c r="H15" s="37">
        <v>2106.0873015873017</v>
      </c>
      <c r="I15" s="37">
        <v>4497.0158730158728</v>
      </c>
      <c r="J15" s="37">
        <v>2491.4285714285711</v>
      </c>
      <c r="K15" s="38">
        <v>2710.3968253968255</v>
      </c>
      <c r="M15" s="71" t="s">
        <v>65</v>
      </c>
      <c r="N15" s="49">
        <f>CHIDIST(N13,N14)</f>
        <v>0.88609754039959765</v>
      </c>
      <c r="P15" t="s">
        <v>118</v>
      </c>
      <c r="Q15" s="49">
        <f>N11/Q13</f>
        <v>0.66799490746101364</v>
      </c>
    </row>
    <row r="16" spans="1:29" x14ac:dyDescent="0.25">
      <c r="A16" s="36">
        <v>-549.95238095238096</v>
      </c>
      <c r="B16" s="37">
        <v>888.73809523809507</v>
      </c>
      <c r="C16" s="37">
        <v>3818.0476190476193</v>
      </c>
      <c r="D16" s="37">
        <v>3628.9523809523803</v>
      </c>
      <c r="E16" s="38">
        <v>1338.7619047619048</v>
      </c>
      <c r="F16" s="37"/>
      <c r="G16" s="36">
        <v>543.33333333333314</v>
      </c>
      <c r="H16" s="37">
        <v>1679.3095238095236</v>
      </c>
      <c r="I16" s="37">
        <v>2491.4285714285711</v>
      </c>
      <c r="J16" s="37">
        <v>3276.7142857142858</v>
      </c>
      <c r="K16" s="38">
        <v>1642.8730158730159</v>
      </c>
      <c r="M16" s="71" t="s">
        <v>57</v>
      </c>
      <c r="N16" s="49">
        <v>1E-3</v>
      </c>
      <c r="P16" t="s">
        <v>119</v>
      </c>
      <c r="Q16" s="49">
        <f>Q12*N11/(N14*(Q14-N11))</f>
        <v>0.71895314104986463</v>
      </c>
    </row>
    <row r="17" spans="1:17" x14ac:dyDescent="0.25">
      <c r="A17" s="39">
        <v>-168.92857142857133</v>
      </c>
      <c r="B17" s="40">
        <v>2671.8571428571427</v>
      </c>
      <c r="C17" s="40">
        <v>2991.7380952380954</v>
      </c>
      <c r="D17" s="40">
        <v>1338.7619047619048</v>
      </c>
      <c r="E17" s="41">
        <v>6914.4761904761908</v>
      </c>
      <c r="F17" s="37"/>
      <c r="G17" s="39">
        <v>1190.2857142857142</v>
      </c>
      <c r="H17" s="40">
        <v>2564.269841269841</v>
      </c>
      <c r="I17" s="40">
        <v>2710.3968253968255</v>
      </c>
      <c r="J17" s="40">
        <v>1642.8730158730159</v>
      </c>
      <c r="K17" s="41">
        <v>4971.2380952380954</v>
      </c>
      <c r="M17" s="71" t="s">
        <v>120</v>
      </c>
      <c r="N17" s="49">
        <f>CHIINV(N16,N14)</f>
        <v>59.70306430442993</v>
      </c>
      <c r="P17" t="s">
        <v>54</v>
      </c>
      <c r="Q17" s="49">
        <f>IF(Q11&gt;N12^2,Q15,Q16)</f>
        <v>0.66799490746101364</v>
      </c>
    </row>
    <row r="18" spans="1:17" ht="14.45" x14ac:dyDescent="0.35">
      <c r="M18" s="71" t="s">
        <v>60</v>
      </c>
      <c r="N18" s="51" t="str">
        <f>IF(N15&lt;N16,"yes","no")</f>
        <v>no</v>
      </c>
      <c r="P18" t="s">
        <v>65</v>
      </c>
      <c r="Q18" s="49">
        <f>FDIST(Q17,N14,Q12)</f>
        <v>0.91347717728266986</v>
      </c>
    </row>
    <row r="19" spans="1:17" ht="14.45" x14ac:dyDescent="0.35">
      <c r="P19" t="s">
        <v>58</v>
      </c>
      <c r="Q19" s="49">
        <f>FINV(N16,N14,Q12)</f>
        <v>2.020965765571419</v>
      </c>
    </row>
    <row r="20" spans="1:17" ht="14.45" x14ac:dyDescent="0.35">
      <c r="P20" t="s">
        <v>60</v>
      </c>
      <c r="Q20" s="51" t="str">
        <f>IF(Q18&lt;N16,"yes","no")</f>
        <v>no</v>
      </c>
    </row>
    <row r="21" spans="1:17" ht="14.45" x14ac:dyDescent="0.35">
      <c r="F21" s="37"/>
      <c r="G21" s="37"/>
      <c r="J21" s="37"/>
      <c r="K21" s="37"/>
    </row>
    <row r="22" spans="1:17" ht="14.45" x14ac:dyDescent="0.35">
      <c r="F22" s="37"/>
      <c r="G22" s="37"/>
      <c r="J22" s="37"/>
      <c r="K22" s="37"/>
    </row>
    <row r="23" spans="1:17" ht="14.45" x14ac:dyDescent="0.35">
      <c r="F23" s="37"/>
      <c r="G23" s="37"/>
      <c r="J23" s="37"/>
      <c r="K23" s="37"/>
    </row>
    <row r="24" spans="1:17" ht="14.45" x14ac:dyDescent="0.35">
      <c r="F24" s="37"/>
      <c r="G24" s="37"/>
      <c r="J24" s="37"/>
      <c r="K24" s="37"/>
    </row>
    <row r="25" spans="1:17" ht="14.45" x14ac:dyDescent="0.35">
      <c r="F25" s="37"/>
      <c r="G25" s="37"/>
      <c r="J25" s="37"/>
      <c r="K25" s="37"/>
    </row>
    <row r="29" spans="1:17" ht="14.45" x14ac:dyDescent="0.35">
      <c r="F29" s="37"/>
      <c r="G29" s="37"/>
      <c r="H29" s="37"/>
      <c r="I29" s="37"/>
      <c r="J29" s="37"/>
      <c r="K29" s="37"/>
    </row>
    <row r="30" spans="1:17" ht="14.45" x14ac:dyDescent="0.35">
      <c r="F30" s="37"/>
      <c r="G30" s="37"/>
      <c r="H30" s="37"/>
      <c r="I30" s="37"/>
      <c r="J30" s="37"/>
      <c r="K30" s="37"/>
    </row>
    <row r="31" spans="1:17" ht="14.45" x14ac:dyDescent="0.35">
      <c r="F31" s="37"/>
      <c r="G31" s="37"/>
      <c r="H31" s="37"/>
      <c r="I31" s="37"/>
      <c r="J31" s="37"/>
      <c r="K31" s="37"/>
    </row>
    <row r="32" spans="1:17" x14ac:dyDescent="0.25">
      <c r="F32" s="37"/>
      <c r="G32" s="37"/>
      <c r="H32" s="37"/>
      <c r="I32" s="37"/>
      <c r="J32" s="37"/>
      <c r="K32" s="37"/>
    </row>
    <row r="33" spans="6:11" x14ac:dyDescent="0.25">
      <c r="F33" s="37"/>
      <c r="G33" s="37"/>
      <c r="H33" s="37"/>
      <c r="I33" s="37"/>
      <c r="J33" s="37"/>
      <c r="K33" s="37"/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/>
  <dimension ref="A1:BF129"/>
  <sheetViews>
    <sheetView zoomScaleNormal="100" workbookViewId="0"/>
  </sheetViews>
  <sheetFormatPr defaultRowHeight="15" x14ac:dyDescent="0.25"/>
  <cols>
    <col min="1" max="1" width="5.7109375" customWidth="1"/>
    <col min="2" max="10" width="10.28515625" customWidth="1"/>
    <col min="44" max="44" width="5" customWidth="1"/>
    <col min="46" max="46" width="4.85546875" customWidth="1"/>
    <col min="48" max="48" width="4.7109375" customWidth="1"/>
  </cols>
  <sheetData>
    <row r="1" spans="1:58" ht="14.45" x14ac:dyDescent="0.35">
      <c r="A1" s="42" t="s">
        <v>370</v>
      </c>
      <c r="L1" s="42" t="s">
        <v>39</v>
      </c>
      <c r="AH1" s="42" t="s">
        <v>227</v>
      </c>
    </row>
    <row r="3" spans="1:58" s="47" customFormat="1" ht="14.45" x14ac:dyDescent="0.35">
      <c r="B3" s="47" t="s">
        <v>371</v>
      </c>
      <c r="C3" s="47" t="s">
        <v>372</v>
      </c>
      <c r="D3" s="47" t="s">
        <v>373</v>
      </c>
      <c r="E3" s="47" t="s">
        <v>374</v>
      </c>
      <c r="F3" s="47" t="s">
        <v>375</v>
      </c>
      <c r="G3" s="47" t="s">
        <v>376</v>
      </c>
      <c r="H3" s="47" t="s">
        <v>377</v>
      </c>
      <c r="I3" s="47" t="s">
        <v>378</v>
      </c>
      <c r="J3" s="47" t="s">
        <v>379</v>
      </c>
      <c r="M3" s="47" t="str">
        <f t="array" ref="M3:U3">B3:J3</f>
        <v>Expect</v>
      </c>
      <c r="N3" s="47" t="str">
        <v>Entertain</v>
      </c>
      <c r="O3" s="47" t="str">
        <v>Comm</v>
      </c>
      <c r="P3" s="47" t="str">
        <v>Expert</v>
      </c>
      <c r="Q3" s="47" t="str">
        <v>Motivate</v>
      </c>
      <c r="R3" s="47" t="str">
        <v>Caring</v>
      </c>
      <c r="S3" s="47" t="str">
        <v>Charisma</v>
      </c>
      <c r="T3" s="47" t="str">
        <v>Passion</v>
      </c>
      <c r="U3" s="47" t="str">
        <v>Friendly</v>
      </c>
      <c r="X3" s="47" t="s">
        <v>371</v>
      </c>
      <c r="Y3" s="47" t="s">
        <v>372</v>
      </c>
      <c r="Z3" s="47" t="s">
        <v>373</v>
      </c>
      <c r="AA3" s="47" t="s">
        <v>376</v>
      </c>
      <c r="AB3" s="47" t="s">
        <v>377</v>
      </c>
      <c r="AC3" s="47" t="s">
        <v>374</v>
      </c>
      <c r="AD3" s="47" t="s">
        <v>375</v>
      </c>
      <c r="AE3" s="47" t="s">
        <v>378</v>
      </c>
      <c r="AF3" s="47" t="s">
        <v>379</v>
      </c>
      <c r="AI3" s="47" t="str">
        <f t="array" ref="AI3:AQ3">M3:U3</f>
        <v>Expect</v>
      </c>
      <c r="AJ3" s="47" t="str">
        <v>Entertain</v>
      </c>
      <c r="AK3" s="47" t="str">
        <v>Comm</v>
      </c>
      <c r="AL3" s="47" t="str">
        <v>Expert</v>
      </c>
      <c r="AM3" s="47" t="str">
        <v>Motivate</v>
      </c>
      <c r="AN3" s="47" t="str">
        <v>Caring</v>
      </c>
      <c r="AO3" s="47" t="str">
        <v>Charisma</v>
      </c>
      <c r="AP3" s="47" t="str">
        <v>Passion</v>
      </c>
      <c r="AQ3" s="47" t="str">
        <v>Friendly</v>
      </c>
      <c r="AW3"/>
      <c r="AX3"/>
      <c r="AY3"/>
      <c r="AZ3"/>
      <c r="BA3"/>
      <c r="BB3"/>
      <c r="BC3"/>
      <c r="BD3"/>
      <c r="BE3"/>
      <c r="BF3"/>
    </row>
    <row r="4" spans="1:58" ht="14.45" x14ac:dyDescent="0.35">
      <c r="A4">
        <v>1</v>
      </c>
      <c r="B4" s="217">
        <v>2</v>
      </c>
      <c r="C4" s="218">
        <v>8</v>
      </c>
      <c r="D4" s="218">
        <v>1</v>
      </c>
      <c r="E4" s="218">
        <v>4</v>
      </c>
      <c r="F4" s="218">
        <v>7</v>
      </c>
      <c r="G4" s="218">
        <v>5</v>
      </c>
      <c r="H4" s="218">
        <v>4</v>
      </c>
      <c r="I4" s="218">
        <v>4</v>
      </c>
      <c r="J4" s="219">
        <v>8</v>
      </c>
      <c r="L4" t="str">
        <f t="array" ref="L4:L12">TRANSPOSE(M3:U3)</f>
        <v>Expect</v>
      </c>
      <c r="M4" s="156">
        <f t="array" ref="M4:U12">[1]!CORR(B4:J123)</f>
        <v>0.99999999999999833</v>
      </c>
      <c r="N4" s="157">
        <v>-0.17658022821634106</v>
      </c>
      <c r="O4" s="157">
        <v>7.9472348910152368E-2</v>
      </c>
      <c r="P4" s="157">
        <v>0.12053127811168438</v>
      </c>
      <c r="Q4" s="157">
        <v>-0.1472071906836242</v>
      </c>
      <c r="R4" s="157">
        <v>-0.1052452402704131</v>
      </c>
      <c r="S4" s="157">
        <v>-2.189090621599556E-2</v>
      </c>
      <c r="T4" s="157">
        <v>-0.12979427946395597</v>
      </c>
      <c r="U4" s="158">
        <v>-0.34401036690229408</v>
      </c>
      <c r="W4">
        <v>1</v>
      </c>
      <c r="X4" s="156">
        <f t="shared" ref="X4:AF32" si="0">STANDARDIZE(B4,B$126,B$127)</f>
        <v>-1.349169127354642</v>
      </c>
      <c r="Y4" s="157">
        <f t="shared" si="0"/>
        <v>-0.29238417492594532</v>
      </c>
      <c r="Z4" s="157">
        <f t="shared" si="0"/>
        <v>-1.4854848104327987</v>
      </c>
      <c r="AA4" s="157">
        <f t="shared" si="0"/>
        <v>0.60812434450388564</v>
      </c>
      <c r="AB4" s="157">
        <f t="shared" si="0"/>
        <v>0.30504398370210595</v>
      </c>
      <c r="AC4" s="157">
        <f t="shared" si="0"/>
        <v>-0.73660266912250705</v>
      </c>
      <c r="AD4" s="157">
        <f t="shared" si="0"/>
        <v>-0.32502325131756366</v>
      </c>
      <c r="AE4" s="157">
        <f t="shared" si="0"/>
        <v>-0.76129058458721444</v>
      </c>
      <c r="AF4" s="158">
        <f t="shared" si="0"/>
        <v>1.1896601456449316</v>
      </c>
      <c r="AH4" t="str">
        <f t="array" ref="AH4:AH12">L4:L12</f>
        <v>Expect</v>
      </c>
      <c r="AI4" s="156">
        <f t="array" ref="AI4:AQ12">[1]!COV(B4:J123)</f>
        <v>1.6032913165266116</v>
      </c>
      <c r="AJ4" s="157">
        <v>-0.12745098039215677</v>
      </c>
      <c r="AK4" s="157">
        <v>0.16596638655462181</v>
      </c>
      <c r="AL4" s="157">
        <v>0.15476190476190477</v>
      </c>
      <c r="AM4" s="157">
        <v>-0.17822128851540625</v>
      </c>
      <c r="AN4" s="157">
        <v>-0.18242296918767495</v>
      </c>
      <c r="AO4" s="157">
        <v>-7.1778711484593735E-2</v>
      </c>
      <c r="AP4" s="157">
        <v>-0.15651260504201683</v>
      </c>
      <c r="AQ4" s="158">
        <v>-0.25630252100840334</v>
      </c>
    </row>
    <row r="5" spans="1:58" ht="14.45" x14ac:dyDescent="0.35">
      <c r="A5">
        <v>2</v>
      </c>
      <c r="B5" s="36">
        <v>4</v>
      </c>
      <c r="C5" s="37">
        <v>8</v>
      </c>
      <c r="D5" s="37">
        <v>5</v>
      </c>
      <c r="E5" s="37">
        <v>3</v>
      </c>
      <c r="F5" s="37">
        <v>7</v>
      </c>
      <c r="G5" s="37">
        <v>7</v>
      </c>
      <c r="H5" s="37">
        <v>7</v>
      </c>
      <c r="I5" s="37">
        <v>6</v>
      </c>
      <c r="J5" s="90">
        <v>6</v>
      </c>
      <c r="L5" t="str">
        <v>Entertain</v>
      </c>
      <c r="M5" s="123">
        <v>-0.17658022821634106</v>
      </c>
      <c r="N5" s="37">
        <v>1.0000000000000011</v>
      </c>
      <c r="O5" s="37">
        <v>0.44692051174421527</v>
      </c>
      <c r="P5" s="37">
        <v>4.8459487091569518E-2</v>
      </c>
      <c r="Q5" s="37">
        <v>0.24412158026310946</v>
      </c>
      <c r="R5" s="37">
        <v>0.11666737388326598</v>
      </c>
      <c r="S5" s="37">
        <v>0.45068677465590851</v>
      </c>
      <c r="T5" s="37">
        <v>0.37925969237500351</v>
      </c>
      <c r="U5" s="90">
        <v>0.40086949354334672</v>
      </c>
      <c r="W5">
        <f>W4+1</f>
        <v>2</v>
      </c>
      <c r="X5" s="123">
        <f t="shared" si="0"/>
        <v>0.23034594857274363</v>
      </c>
      <c r="Y5" s="37">
        <f t="shared" si="0"/>
        <v>-0.29238417492594532</v>
      </c>
      <c r="Z5" s="37">
        <f t="shared" si="0"/>
        <v>0.93979651272279086</v>
      </c>
      <c r="AA5" s="37">
        <f t="shared" si="0"/>
        <v>-0.378023241178091</v>
      </c>
      <c r="AB5" s="37">
        <f t="shared" si="0"/>
        <v>0.30504398370210595</v>
      </c>
      <c r="AC5" s="37">
        <f t="shared" si="0"/>
        <v>0.72442741839320879</v>
      </c>
      <c r="AD5" s="37">
        <f t="shared" si="0"/>
        <v>0.8334754662499898</v>
      </c>
      <c r="AE5" s="37">
        <f t="shared" si="0"/>
        <v>1.3388213728947576</v>
      </c>
      <c r="AF5" s="90">
        <f t="shared" si="0"/>
        <v>-2.2093688419120152</v>
      </c>
      <c r="AH5" t="str">
        <v>Entertain</v>
      </c>
      <c r="AI5" s="123">
        <v>-0.12745098039215677</v>
      </c>
      <c r="AJ5" s="37">
        <v>0.3249299719887957</v>
      </c>
      <c r="AK5" s="37">
        <v>0.42016806722689093</v>
      </c>
      <c r="AL5" s="37">
        <v>2.8011204481792715E-2</v>
      </c>
      <c r="AM5" s="37">
        <v>0.13305322128851546</v>
      </c>
      <c r="AN5" s="37">
        <v>9.1036414565826257E-2</v>
      </c>
      <c r="AO5" s="37">
        <v>0.66526610644257644</v>
      </c>
      <c r="AP5" s="37">
        <v>0.20588235294117682</v>
      </c>
      <c r="AQ5" s="90">
        <v>0.1344537815126047</v>
      </c>
    </row>
    <row r="6" spans="1:58" ht="14.45" x14ac:dyDescent="0.35">
      <c r="A6">
        <v>3</v>
      </c>
      <c r="B6" s="36">
        <v>2</v>
      </c>
      <c r="C6" s="37">
        <v>8</v>
      </c>
      <c r="D6" s="37">
        <v>2</v>
      </c>
      <c r="E6" s="37">
        <v>3</v>
      </c>
      <c r="F6" s="37">
        <v>6</v>
      </c>
      <c r="G6" s="37">
        <v>7</v>
      </c>
      <c r="H6" s="37">
        <v>1</v>
      </c>
      <c r="I6" s="37">
        <v>3</v>
      </c>
      <c r="J6" s="90">
        <v>7</v>
      </c>
      <c r="L6" t="str">
        <v>Comm</v>
      </c>
      <c r="M6" s="123">
        <v>7.9472348910152368E-2</v>
      </c>
      <c r="N6" s="37">
        <v>0.44692051174421527</v>
      </c>
      <c r="O6" s="37">
        <v>1.0000000000000007</v>
      </c>
      <c r="P6" s="37">
        <v>0.15224383453637197</v>
      </c>
      <c r="Q6" s="37">
        <v>0.28642393294527835</v>
      </c>
      <c r="R6" s="37">
        <v>0.10626504883200415</v>
      </c>
      <c r="S6" s="37">
        <v>0.74875752234637871</v>
      </c>
      <c r="T6" s="37">
        <v>0.3683592382753193</v>
      </c>
      <c r="U6" s="90">
        <v>6.9273962356187456E-3</v>
      </c>
      <c r="W6">
        <f t="shared" ref="W6:W69" si="1">W5+1</f>
        <v>3</v>
      </c>
      <c r="X6" s="123">
        <f t="shared" si="0"/>
        <v>-1.349169127354642</v>
      </c>
      <c r="Y6" s="37">
        <f t="shared" si="0"/>
        <v>-0.29238417492594532</v>
      </c>
      <c r="Z6" s="37">
        <f t="shared" si="0"/>
        <v>-0.87916447964390132</v>
      </c>
      <c r="AA6" s="37">
        <f t="shared" si="0"/>
        <v>-0.378023241178091</v>
      </c>
      <c r="AB6" s="37">
        <f t="shared" si="0"/>
        <v>-0.74082110327654205</v>
      </c>
      <c r="AC6" s="37">
        <f t="shared" si="0"/>
        <v>0.72442741839320879</v>
      </c>
      <c r="AD6" s="37">
        <f t="shared" si="0"/>
        <v>-1.4835219688851171</v>
      </c>
      <c r="AE6" s="37">
        <f t="shared" si="0"/>
        <v>-1.8113465633282004</v>
      </c>
      <c r="AF6" s="90">
        <f t="shared" si="0"/>
        <v>-0.50985434813354169</v>
      </c>
      <c r="AH6" t="str">
        <v>Comm</v>
      </c>
      <c r="AI6" s="123">
        <v>0.16596638655462181</v>
      </c>
      <c r="AJ6" s="37">
        <v>0.42016806722689093</v>
      </c>
      <c r="AK6" s="37">
        <v>2.7201680672268886</v>
      </c>
      <c r="AL6" s="37">
        <v>0.25462184873949584</v>
      </c>
      <c r="AM6" s="37">
        <v>0.45168067226890779</v>
      </c>
      <c r="AN6" s="37">
        <v>0.23991596638655471</v>
      </c>
      <c r="AO6" s="37">
        <v>3.1978991596638653</v>
      </c>
      <c r="AP6" s="37">
        <v>0.57857142857142874</v>
      </c>
      <c r="AQ6" s="90">
        <v>6.7226890756301181E-3</v>
      </c>
    </row>
    <row r="7" spans="1:58" ht="14.45" x14ac:dyDescent="0.35">
      <c r="A7">
        <v>4</v>
      </c>
      <c r="B7" s="36">
        <v>4</v>
      </c>
      <c r="C7" s="37">
        <v>8</v>
      </c>
      <c r="D7" s="37">
        <v>4</v>
      </c>
      <c r="E7" s="37">
        <v>2</v>
      </c>
      <c r="F7" s="37">
        <v>8</v>
      </c>
      <c r="G7" s="37">
        <v>7</v>
      </c>
      <c r="H7" s="37">
        <v>7</v>
      </c>
      <c r="I7" s="37">
        <v>5</v>
      </c>
      <c r="J7" s="90">
        <v>7</v>
      </c>
      <c r="L7" t="str">
        <v>Expert</v>
      </c>
      <c r="M7" s="123">
        <v>0.12053127811168438</v>
      </c>
      <c r="N7" s="37">
        <v>4.8459487091569518E-2</v>
      </c>
      <c r="O7" s="37">
        <v>0.15224383453637197</v>
      </c>
      <c r="P7" s="37">
        <v>1.0000000000000009</v>
      </c>
      <c r="Q7" s="37">
        <v>0.19428606575437976</v>
      </c>
      <c r="R7" s="37">
        <v>4.610935721914871E-2</v>
      </c>
      <c r="S7" s="37">
        <v>0.24731764508778434</v>
      </c>
      <c r="T7" s="37">
        <v>0.25800736545459846</v>
      </c>
      <c r="U7" s="90">
        <v>0.18590615055713855</v>
      </c>
      <c r="W7">
        <f t="shared" si="1"/>
        <v>4</v>
      </c>
      <c r="X7" s="123">
        <f t="shared" si="0"/>
        <v>0.23034594857274363</v>
      </c>
      <c r="Y7" s="37">
        <f t="shared" si="0"/>
        <v>-0.29238417492594532</v>
      </c>
      <c r="Z7" s="37">
        <f t="shared" si="0"/>
        <v>0.33347618193389345</v>
      </c>
      <c r="AA7" s="37">
        <f t="shared" si="0"/>
        <v>-1.3641708268600676</v>
      </c>
      <c r="AB7" s="37">
        <f t="shared" si="0"/>
        <v>1.3509090706807538</v>
      </c>
      <c r="AC7" s="37">
        <f t="shared" si="0"/>
        <v>0.72442741839320879</v>
      </c>
      <c r="AD7" s="37">
        <f t="shared" si="0"/>
        <v>0.8334754662499898</v>
      </c>
      <c r="AE7" s="37">
        <f t="shared" si="0"/>
        <v>0.2887653941537715</v>
      </c>
      <c r="AF7" s="90">
        <f t="shared" si="0"/>
        <v>-0.50985434813354169</v>
      </c>
      <c r="AH7" t="str">
        <v>Expert</v>
      </c>
      <c r="AI7" s="123">
        <v>0.15476190476190477</v>
      </c>
      <c r="AJ7" s="37">
        <v>2.8011204481792715E-2</v>
      </c>
      <c r="AK7" s="37">
        <v>0.25462184873949584</v>
      </c>
      <c r="AL7" s="37">
        <v>1.0282913165266101</v>
      </c>
      <c r="AM7" s="37">
        <v>0.18837535014005602</v>
      </c>
      <c r="AN7" s="37">
        <v>6.4005602240896339E-2</v>
      </c>
      <c r="AO7" s="37">
        <v>0.64943977591036439</v>
      </c>
      <c r="AP7" s="37">
        <v>0.24915966386554614</v>
      </c>
      <c r="AQ7" s="90">
        <v>0.11092436974789911</v>
      </c>
    </row>
    <row r="8" spans="1:58" ht="14.45" x14ac:dyDescent="0.35">
      <c r="A8">
        <v>5</v>
      </c>
      <c r="B8" s="36">
        <v>3</v>
      </c>
      <c r="C8" s="37">
        <v>8</v>
      </c>
      <c r="D8" s="37">
        <v>5</v>
      </c>
      <c r="E8" s="37">
        <v>4</v>
      </c>
      <c r="F8" s="37">
        <v>8</v>
      </c>
      <c r="G8" s="37">
        <v>8</v>
      </c>
      <c r="H8" s="37">
        <v>7</v>
      </c>
      <c r="I8" s="37">
        <v>6</v>
      </c>
      <c r="J8" s="90">
        <v>7</v>
      </c>
      <c r="L8" t="str">
        <v>Motivate</v>
      </c>
      <c r="M8" s="123">
        <v>-0.1472071906836242</v>
      </c>
      <c r="N8" s="37">
        <v>0.24412158026310946</v>
      </c>
      <c r="O8" s="37">
        <v>0.28642393294527835</v>
      </c>
      <c r="P8" s="37">
        <v>0.19428606575437976</v>
      </c>
      <c r="Q8" s="37">
        <v>1.0000000000000009</v>
      </c>
      <c r="R8" s="37">
        <v>0.28436745486873366</v>
      </c>
      <c r="S8" s="37">
        <v>0.34434258129116857</v>
      </c>
      <c r="T8" s="37">
        <v>0.32646573442580362</v>
      </c>
      <c r="U8" s="90">
        <v>3.7341657013804541E-2</v>
      </c>
      <c r="W8">
        <f t="shared" si="1"/>
        <v>5</v>
      </c>
      <c r="X8" s="123">
        <f t="shared" si="0"/>
        <v>-0.55941158939094915</v>
      </c>
      <c r="Y8" s="37">
        <f t="shared" si="0"/>
        <v>-0.29238417492594532</v>
      </c>
      <c r="Z8" s="37">
        <f t="shared" si="0"/>
        <v>0.93979651272279086</v>
      </c>
      <c r="AA8" s="37">
        <f t="shared" si="0"/>
        <v>0.60812434450388564</v>
      </c>
      <c r="AB8" s="37">
        <f t="shared" si="0"/>
        <v>1.3509090706807538</v>
      </c>
      <c r="AC8" s="37">
        <f t="shared" si="0"/>
        <v>1.4549424621510667</v>
      </c>
      <c r="AD8" s="37">
        <f t="shared" si="0"/>
        <v>0.8334754662499898</v>
      </c>
      <c r="AE8" s="37">
        <f t="shared" si="0"/>
        <v>1.3388213728947576</v>
      </c>
      <c r="AF8" s="90">
        <f t="shared" si="0"/>
        <v>-0.50985434813354169</v>
      </c>
      <c r="AH8" t="str">
        <v>Motivate</v>
      </c>
      <c r="AI8" s="123">
        <v>-0.17822128851540625</v>
      </c>
      <c r="AJ8" s="37">
        <v>0.13305322128851546</v>
      </c>
      <c r="AK8" s="37">
        <v>0.45168067226890779</v>
      </c>
      <c r="AL8" s="37">
        <v>0.18837535014005602</v>
      </c>
      <c r="AM8" s="37">
        <v>0.91421568627450955</v>
      </c>
      <c r="AN8" s="37">
        <v>0.37219887955182063</v>
      </c>
      <c r="AO8" s="37">
        <v>0.85259103641456524</v>
      </c>
      <c r="AP8" s="37">
        <v>0.29726890756302521</v>
      </c>
      <c r="AQ8" s="90">
        <v>2.1008403361344498E-2</v>
      </c>
    </row>
    <row r="9" spans="1:58" ht="14.45" x14ac:dyDescent="0.35">
      <c r="A9">
        <v>6</v>
      </c>
      <c r="B9" s="36">
        <v>4</v>
      </c>
      <c r="C9" s="37">
        <v>7</v>
      </c>
      <c r="D9" s="37">
        <v>3</v>
      </c>
      <c r="E9" s="37">
        <v>3</v>
      </c>
      <c r="F9" s="37">
        <v>6</v>
      </c>
      <c r="G9" s="37">
        <v>6</v>
      </c>
      <c r="H9" s="37">
        <v>1</v>
      </c>
      <c r="I9" s="37">
        <v>4</v>
      </c>
      <c r="J9" s="90">
        <v>7</v>
      </c>
      <c r="L9" t="str">
        <v>Caring</v>
      </c>
      <c r="M9" s="123">
        <v>-0.1052452402704131</v>
      </c>
      <c r="N9" s="37">
        <v>0.11666737388326598</v>
      </c>
      <c r="O9" s="37">
        <v>0.10626504883200415</v>
      </c>
      <c r="P9" s="37">
        <v>4.610935721914871E-2</v>
      </c>
      <c r="Q9" s="37">
        <v>0.28436745486873366</v>
      </c>
      <c r="R9" s="37">
        <v>1.0000000000000018</v>
      </c>
      <c r="S9" s="37">
        <v>0.10231072687883692</v>
      </c>
      <c r="T9" s="37">
        <v>0.19515460623774106</v>
      </c>
      <c r="U9" s="90">
        <v>-5.5294628532650346E-2</v>
      </c>
      <c r="W9">
        <f t="shared" si="1"/>
        <v>6</v>
      </c>
      <c r="X9" s="123">
        <f t="shared" si="0"/>
        <v>0.23034594857274363</v>
      </c>
      <c r="Y9" s="37">
        <f t="shared" si="0"/>
        <v>-2.0466892244816233</v>
      </c>
      <c r="Z9" s="37">
        <f t="shared" si="0"/>
        <v>-0.27284414885500391</v>
      </c>
      <c r="AA9" s="37">
        <f t="shared" si="0"/>
        <v>-0.378023241178091</v>
      </c>
      <c r="AB9" s="37">
        <f t="shared" si="0"/>
        <v>-0.74082110327654205</v>
      </c>
      <c r="AC9" s="37">
        <f t="shared" si="0"/>
        <v>-6.0876253646491192E-3</v>
      </c>
      <c r="AD9" s="37">
        <f t="shared" si="0"/>
        <v>-1.4835219688851171</v>
      </c>
      <c r="AE9" s="37">
        <f t="shared" si="0"/>
        <v>-0.76129058458721444</v>
      </c>
      <c r="AF9" s="90">
        <f t="shared" si="0"/>
        <v>-0.50985434813354169</v>
      </c>
      <c r="AH9" t="str">
        <v>Caring</v>
      </c>
      <c r="AI9" s="123">
        <v>-0.18242296918767495</v>
      </c>
      <c r="AJ9" s="37">
        <v>9.1036414565826257E-2</v>
      </c>
      <c r="AK9" s="37">
        <v>0.23991596638655471</v>
      </c>
      <c r="AL9" s="37">
        <v>6.4005602240896339E-2</v>
      </c>
      <c r="AM9" s="37">
        <v>0.37219887955182063</v>
      </c>
      <c r="AN9" s="37">
        <v>1.8738795518207285</v>
      </c>
      <c r="AO9" s="37">
        <v>0.36267507002801114</v>
      </c>
      <c r="AP9" s="37">
        <v>0.25441176470588228</v>
      </c>
      <c r="AQ9" s="90">
        <v>-4.4537815126050324E-2</v>
      </c>
    </row>
    <row r="10" spans="1:58" ht="14.45" x14ac:dyDescent="0.35">
      <c r="A10">
        <v>7</v>
      </c>
      <c r="B10" s="36">
        <v>4</v>
      </c>
      <c r="C10" s="37">
        <v>8</v>
      </c>
      <c r="D10" s="37">
        <v>4</v>
      </c>
      <c r="E10" s="37">
        <v>2</v>
      </c>
      <c r="F10" s="37">
        <v>6</v>
      </c>
      <c r="G10" s="37">
        <v>4</v>
      </c>
      <c r="H10" s="37">
        <v>5</v>
      </c>
      <c r="I10" s="37">
        <v>4</v>
      </c>
      <c r="J10" s="90">
        <v>7</v>
      </c>
      <c r="L10" t="str">
        <v>Charisma</v>
      </c>
      <c r="M10" s="123">
        <v>-2.189090621599556E-2</v>
      </c>
      <c r="N10" s="37">
        <v>0.45068677465590851</v>
      </c>
      <c r="O10" s="37">
        <v>0.74875752234637871</v>
      </c>
      <c r="P10" s="37">
        <v>0.24731764508778434</v>
      </c>
      <c r="Q10" s="37">
        <v>0.34434258129116857</v>
      </c>
      <c r="R10" s="37">
        <v>0.10231072687883692</v>
      </c>
      <c r="S10" s="37">
        <v>1.0000000000000009</v>
      </c>
      <c r="T10" s="37">
        <v>0.43880478206893986</v>
      </c>
      <c r="U10" s="90">
        <v>0.10313209036584842</v>
      </c>
      <c r="W10">
        <f t="shared" si="1"/>
        <v>7</v>
      </c>
      <c r="X10" s="123">
        <f t="shared" si="0"/>
        <v>0.23034594857274363</v>
      </c>
      <c r="Y10" s="37">
        <f t="shared" si="0"/>
        <v>-0.29238417492594532</v>
      </c>
      <c r="Z10" s="37">
        <f t="shared" si="0"/>
        <v>0.33347618193389345</v>
      </c>
      <c r="AA10" s="37">
        <f t="shared" si="0"/>
        <v>-1.3641708268600676</v>
      </c>
      <c r="AB10" s="37">
        <f t="shared" si="0"/>
        <v>-0.74082110327654205</v>
      </c>
      <c r="AC10" s="37">
        <f t="shared" si="0"/>
        <v>-1.467117712880365</v>
      </c>
      <c r="AD10" s="37">
        <f t="shared" si="0"/>
        <v>6.1142987871620834E-2</v>
      </c>
      <c r="AE10" s="37">
        <f t="shared" si="0"/>
        <v>-0.76129058458721444</v>
      </c>
      <c r="AF10" s="90">
        <f t="shared" si="0"/>
        <v>-0.50985434813354169</v>
      </c>
      <c r="AH10" t="str">
        <v>Charisma</v>
      </c>
      <c r="AI10" s="123">
        <v>-7.1778711484593735E-2</v>
      </c>
      <c r="AJ10" s="37">
        <v>0.66526610644257644</v>
      </c>
      <c r="AK10" s="37">
        <v>3.1978991596638653</v>
      </c>
      <c r="AL10" s="37">
        <v>0.64943977591036439</v>
      </c>
      <c r="AM10" s="37">
        <v>0.85259103641456524</v>
      </c>
      <c r="AN10" s="37">
        <v>0.36267507002801114</v>
      </c>
      <c r="AO10" s="37">
        <v>6.7058123249299699</v>
      </c>
      <c r="AP10" s="37">
        <v>1.0821428571428573</v>
      </c>
      <c r="AQ10" s="90">
        <v>0.15714285714285717</v>
      </c>
    </row>
    <row r="11" spans="1:58" ht="14.45" x14ac:dyDescent="0.35">
      <c r="A11">
        <v>8</v>
      </c>
      <c r="B11" s="36">
        <v>4</v>
      </c>
      <c r="C11" s="37">
        <v>8</v>
      </c>
      <c r="D11" s="37">
        <v>3</v>
      </c>
      <c r="E11" s="37">
        <v>3</v>
      </c>
      <c r="F11" s="37">
        <v>7</v>
      </c>
      <c r="G11" s="37">
        <v>5</v>
      </c>
      <c r="H11" s="37">
        <v>4</v>
      </c>
      <c r="I11" s="37">
        <v>4</v>
      </c>
      <c r="J11" s="90">
        <v>7</v>
      </c>
      <c r="L11" t="str">
        <v>Passion</v>
      </c>
      <c r="M11" s="123">
        <v>-0.12979427946395597</v>
      </c>
      <c r="N11" s="37">
        <v>0.37925969237500351</v>
      </c>
      <c r="O11" s="37">
        <v>0.3683592382753193</v>
      </c>
      <c r="P11" s="37">
        <v>0.25800736545459846</v>
      </c>
      <c r="Q11" s="37">
        <v>0.32646573442580362</v>
      </c>
      <c r="R11" s="37">
        <v>0.19515460623774106</v>
      </c>
      <c r="S11" s="37">
        <v>0.43880478206893986</v>
      </c>
      <c r="T11" s="37">
        <v>0.99999999999999967</v>
      </c>
      <c r="U11" s="90">
        <v>8.8479441977978163E-2</v>
      </c>
      <c r="W11">
        <f t="shared" si="1"/>
        <v>8</v>
      </c>
      <c r="X11" s="123">
        <f t="shared" si="0"/>
        <v>0.23034594857274363</v>
      </c>
      <c r="Y11" s="37">
        <f t="shared" si="0"/>
        <v>-0.29238417492594532</v>
      </c>
      <c r="Z11" s="37">
        <f t="shared" si="0"/>
        <v>-0.27284414885500391</v>
      </c>
      <c r="AA11" s="37">
        <f t="shared" si="0"/>
        <v>-0.378023241178091</v>
      </c>
      <c r="AB11" s="37">
        <f t="shared" si="0"/>
        <v>0.30504398370210595</v>
      </c>
      <c r="AC11" s="37">
        <f t="shared" si="0"/>
        <v>-0.73660266912250705</v>
      </c>
      <c r="AD11" s="37">
        <f t="shared" si="0"/>
        <v>-0.32502325131756366</v>
      </c>
      <c r="AE11" s="37">
        <f t="shared" si="0"/>
        <v>-0.76129058458721444</v>
      </c>
      <c r="AF11" s="90">
        <f t="shared" si="0"/>
        <v>-0.50985434813354169</v>
      </c>
      <c r="AH11" t="str">
        <v>Passion</v>
      </c>
      <c r="AI11" s="123">
        <v>-0.15651260504201683</v>
      </c>
      <c r="AJ11" s="37">
        <v>0.20588235294117682</v>
      </c>
      <c r="AK11" s="37">
        <v>0.57857142857142874</v>
      </c>
      <c r="AL11" s="37">
        <v>0.24915966386554614</v>
      </c>
      <c r="AM11" s="37">
        <v>0.29726890756302521</v>
      </c>
      <c r="AN11" s="37">
        <v>0.25441176470588228</v>
      </c>
      <c r="AO11" s="37">
        <v>1.0821428571428573</v>
      </c>
      <c r="AP11" s="37">
        <v>0.90693277310924425</v>
      </c>
      <c r="AQ11" s="90">
        <v>4.9579831932772919E-2</v>
      </c>
    </row>
    <row r="12" spans="1:58" ht="14.45" x14ac:dyDescent="0.35">
      <c r="A12">
        <v>9</v>
      </c>
      <c r="B12" s="36">
        <v>2</v>
      </c>
      <c r="C12" s="37">
        <v>8</v>
      </c>
      <c r="D12" s="37">
        <v>2</v>
      </c>
      <c r="E12" s="37">
        <v>2</v>
      </c>
      <c r="F12" s="37">
        <v>7</v>
      </c>
      <c r="G12" s="37">
        <v>6</v>
      </c>
      <c r="H12" s="37">
        <v>1</v>
      </c>
      <c r="I12" s="37">
        <v>4</v>
      </c>
      <c r="J12" s="90">
        <v>7</v>
      </c>
      <c r="L12" t="str">
        <v>Friendly</v>
      </c>
      <c r="M12" s="91">
        <v>-0.34401036690229408</v>
      </c>
      <c r="N12" s="92">
        <v>0.40086949354334672</v>
      </c>
      <c r="O12" s="92">
        <v>6.9273962356187456E-3</v>
      </c>
      <c r="P12" s="92">
        <v>0.18590615055713855</v>
      </c>
      <c r="Q12" s="92">
        <v>3.7341657013804541E-2</v>
      </c>
      <c r="R12" s="92">
        <v>-5.5294628532650346E-2</v>
      </c>
      <c r="S12" s="92">
        <v>0.10313209036584842</v>
      </c>
      <c r="T12" s="92">
        <v>8.8479441977978163E-2</v>
      </c>
      <c r="U12" s="93">
        <v>1.0000000000000009</v>
      </c>
      <c r="W12">
        <f t="shared" si="1"/>
        <v>9</v>
      </c>
      <c r="X12" s="123">
        <f t="shared" si="0"/>
        <v>-1.349169127354642</v>
      </c>
      <c r="Y12" s="37">
        <f t="shared" si="0"/>
        <v>-0.29238417492594532</v>
      </c>
      <c r="Z12" s="37">
        <f t="shared" si="0"/>
        <v>-0.87916447964390132</v>
      </c>
      <c r="AA12" s="37">
        <f t="shared" si="0"/>
        <v>-1.3641708268600676</v>
      </c>
      <c r="AB12" s="37">
        <f t="shared" si="0"/>
        <v>0.30504398370210595</v>
      </c>
      <c r="AC12" s="37">
        <f t="shared" si="0"/>
        <v>-6.0876253646491192E-3</v>
      </c>
      <c r="AD12" s="37">
        <f t="shared" si="0"/>
        <v>-1.4835219688851171</v>
      </c>
      <c r="AE12" s="37">
        <f t="shared" si="0"/>
        <v>-0.76129058458721444</v>
      </c>
      <c r="AF12" s="90">
        <f t="shared" si="0"/>
        <v>-0.50985434813354169</v>
      </c>
      <c r="AH12" t="str">
        <v>Friendly</v>
      </c>
      <c r="AI12" s="91">
        <v>-0.25630252100840334</v>
      </c>
      <c r="AJ12" s="92">
        <v>0.1344537815126047</v>
      </c>
      <c r="AK12" s="92">
        <v>6.7226890756301181E-3</v>
      </c>
      <c r="AL12" s="92">
        <v>0.11092436974789911</v>
      </c>
      <c r="AM12" s="92">
        <v>2.1008403361344498E-2</v>
      </c>
      <c r="AN12" s="92">
        <v>-4.4537815126050324E-2</v>
      </c>
      <c r="AO12" s="92">
        <v>0.15714285714285717</v>
      </c>
      <c r="AP12" s="92">
        <v>4.9579831932772919E-2</v>
      </c>
      <c r="AQ12" s="93">
        <v>0.34621848739495875</v>
      </c>
    </row>
    <row r="13" spans="1:58" ht="14.45" x14ac:dyDescent="0.35">
      <c r="A13">
        <v>10</v>
      </c>
      <c r="B13" s="36">
        <v>4</v>
      </c>
      <c r="C13" s="37">
        <v>8</v>
      </c>
      <c r="D13" s="37">
        <v>3</v>
      </c>
      <c r="E13" s="37">
        <v>4</v>
      </c>
      <c r="F13" s="37">
        <v>8</v>
      </c>
      <c r="G13" s="37">
        <v>7</v>
      </c>
      <c r="H13" s="37">
        <v>4</v>
      </c>
      <c r="I13" s="37">
        <v>4</v>
      </c>
      <c r="J13" s="90">
        <v>8</v>
      </c>
      <c r="W13">
        <f t="shared" si="1"/>
        <v>10</v>
      </c>
      <c r="X13" s="123">
        <f t="shared" si="0"/>
        <v>0.23034594857274363</v>
      </c>
      <c r="Y13" s="37">
        <f t="shared" si="0"/>
        <v>-0.29238417492594532</v>
      </c>
      <c r="Z13" s="37">
        <f t="shared" si="0"/>
        <v>-0.27284414885500391</v>
      </c>
      <c r="AA13" s="37">
        <f t="shared" si="0"/>
        <v>0.60812434450388564</v>
      </c>
      <c r="AB13" s="37">
        <f t="shared" si="0"/>
        <v>1.3509090706807538</v>
      </c>
      <c r="AC13" s="37">
        <f t="shared" si="0"/>
        <v>0.72442741839320879</v>
      </c>
      <c r="AD13" s="37">
        <f t="shared" si="0"/>
        <v>-0.32502325131756366</v>
      </c>
      <c r="AE13" s="37">
        <f t="shared" si="0"/>
        <v>-0.76129058458721444</v>
      </c>
      <c r="AF13" s="90">
        <f t="shared" si="0"/>
        <v>1.1896601456449316</v>
      </c>
    </row>
    <row r="14" spans="1:58" ht="14.45" x14ac:dyDescent="0.35">
      <c r="A14">
        <v>11</v>
      </c>
      <c r="B14" s="36">
        <v>3</v>
      </c>
      <c r="C14" s="37">
        <v>10</v>
      </c>
      <c r="D14" s="37">
        <v>5</v>
      </c>
      <c r="E14" s="37">
        <v>4</v>
      </c>
      <c r="F14" s="37">
        <v>7</v>
      </c>
      <c r="G14" s="37">
        <v>8</v>
      </c>
      <c r="H14" s="37">
        <v>7</v>
      </c>
      <c r="I14" s="37">
        <v>6</v>
      </c>
      <c r="J14" s="90">
        <v>8</v>
      </c>
      <c r="M14" t="s">
        <v>109</v>
      </c>
      <c r="N14" s="159">
        <f>MDETERM(M4:U12)</f>
        <v>0.10167915255824189</v>
      </c>
      <c r="W14">
        <f t="shared" si="1"/>
        <v>11</v>
      </c>
      <c r="X14" s="123">
        <f t="shared" si="0"/>
        <v>-0.55941158939094915</v>
      </c>
      <c r="Y14" s="37">
        <f t="shared" si="0"/>
        <v>3.2162259241854105</v>
      </c>
      <c r="Z14" s="37">
        <f t="shared" si="0"/>
        <v>0.93979651272279086</v>
      </c>
      <c r="AA14" s="37">
        <f t="shared" si="0"/>
        <v>0.60812434450388564</v>
      </c>
      <c r="AB14" s="37">
        <f t="shared" si="0"/>
        <v>0.30504398370210595</v>
      </c>
      <c r="AC14" s="37">
        <f t="shared" si="0"/>
        <v>1.4549424621510667</v>
      </c>
      <c r="AD14" s="37">
        <f t="shared" si="0"/>
        <v>0.8334754662499898</v>
      </c>
      <c r="AE14" s="37">
        <f t="shared" si="0"/>
        <v>1.3388213728947576</v>
      </c>
      <c r="AF14" s="90">
        <f t="shared" si="0"/>
        <v>1.1896601456449316</v>
      </c>
      <c r="AI14" t="s">
        <v>109</v>
      </c>
      <c r="AJ14" s="159">
        <f>MDETERM(AI4:AQ12)</f>
        <v>0.53445743615459251</v>
      </c>
    </row>
    <row r="15" spans="1:58" ht="14.45" x14ac:dyDescent="0.35">
      <c r="A15">
        <v>12</v>
      </c>
      <c r="B15" s="36">
        <v>1</v>
      </c>
      <c r="C15" s="37">
        <v>9</v>
      </c>
      <c r="D15" s="37">
        <v>2</v>
      </c>
      <c r="E15" s="37">
        <v>5</v>
      </c>
      <c r="F15" s="37">
        <v>9</v>
      </c>
      <c r="G15" s="37">
        <v>7</v>
      </c>
      <c r="H15" s="37">
        <v>5</v>
      </c>
      <c r="I15" s="37">
        <v>6</v>
      </c>
      <c r="J15" s="90">
        <v>9</v>
      </c>
      <c r="W15">
        <f t="shared" si="1"/>
        <v>12</v>
      </c>
      <c r="X15" s="123">
        <f t="shared" si="0"/>
        <v>-2.1389266653183348</v>
      </c>
      <c r="Y15" s="37">
        <f t="shared" si="0"/>
        <v>1.4619208746297327</v>
      </c>
      <c r="Z15" s="37">
        <f t="shared" si="0"/>
        <v>-0.87916447964390132</v>
      </c>
      <c r="AA15" s="37">
        <f t="shared" si="0"/>
        <v>1.5942719301858623</v>
      </c>
      <c r="AB15" s="37">
        <f t="shared" si="0"/>
        <v>2.3967741576594017</v>
      </c>
      <c r="AC15" s="37">
        <f t="shared" si="0"/>
        <v>0.72442741839320879</v>
      </c>
      <c r="AD15" s="37">
        <f t="shared" si="0"/>
        <v>6.1142987871620834E-2</v>
      </c>
      <c r="AE15" s="37">
        <f t="shared" si="0"/>
        <v>1.3388213728947576</v>
      </c>
      <c r="AF15" s="90">
        <f t="shared" si="0"/>
        <v>2.889174639423405</v>
      </c>
    </row>
    <row r="16" spans="1:58" ht="14.45" x14ac:dyDescent="0.35">
      <c r="A16">
        <v>13</v>
      </c>
      <c r="B16" s="36">
        <v>5</v>
      </c>
      <c r="C16" s="37">
        <v>7</v>
      </c>
      <c r="D16" s="37">
        <v>2</v>
      </c>
      <c r="E16" s="37">
        <v>3</v>
      </c>
      <c r="F16" s="37">
        <v>6</v>
      </c>
      <c r="G16" s="37">
        <v>4</v>
      </c>
      <c r="H16" s="37">
        <v>2</v>
      </c>
      <c r="I16" s="37">
        <v>3</v>
      </c>
      <c r="J16" s="90">
        <v>6</v>
      </c>
      <c r="L16" s="42" t="s">
        <v>380</v>
      </c>
      <c r="W16">
        <f t="shared" si="1"/>
        <v>13</v>
      </c>
      <c r="X16" s="123">
        <f t="shared" si="0"/>
        <v>1.0201034865364365</v>
      </c>
      <c r="Y16" s="37">
        <f t="shared" si="0"/>
        <v>-2.0466892244816233</v>
      </c>
      <c r="Z16" s="37">
        <f t="shared" si="0"/>
        <v>-0.87916447964390132</v>
      </c>
      <c r="AA16" s="37">
        <f t="shared" si="0"/>
        <v>-0.378023241178091</v>
      </c>
      <c r="AB16" s="37">
        <f t="shared" si="0"/>
        <v>-0.74082110327654205</v>
      </c>
      <c r="AC16" s="37">
        <f t="shared" si="0"/>
        <v>-1.467117712880365</v>
      </c>
      <c r="AD16" s="37">
        <f t="shared" si="0"/>
        <v>-1.0973557296959326</v>
      </c>
      <c r="AE16" s="37">
        <f t="shared" si="0"/>
        <v>-1.8113465633282004</v>
      </c>
      <c r="AF16" s="90">
        <f t="shared" si="0"/>
        <v>-2.2093688419120152</v>
      </c>
      <c r="AH16" s="42" t="s">
        <v>380</v>
      </c>
    </row>
    <row r="17" spans="1:43" ht="14.45" x14ac:dyDescent="0.35">
      <c r="A17">
        <v>14</v>
      </c>
      <c r="B17" s="36">
        <v>3</v>
      </c>
      <c r="C17" s="37">
        <v>7</v>
      </c>
      <c r="D17" s="37">
        <v>3</v>
      </c>
      <c r="E17" s="37">
        <v>4</v>
      </c>
      <c r="F17" s="37">
        <v>6</v>
      </c>
      <c r="G17" s="37">
        <v>7</v>
      </c>
      <c r="H17" s="37">
        <v>1</v>
      </c>
      <c r="I17" s="37">
        <v>3</v>
      </c>
      <c r="J17" s="90">
        <v>7</v>
      </c>
      <c r="W17">
        <f t="shared" si="1"/>
        <v>14</v>
      </c>
      <c r="X17" s="123">
        <f t="shared" si="0"/>
        <v>-0.55941158939094915</v>
      </c>
      <c r="Y17" s="37">
        <f t="shared" si="0"/>
        <v>-2.0466892244816233</v>
      </c>
      <c r="Z17" s="37">
        <f t="shared" si="0"/>
        <v>-0.27284414885500391</v>
      </c>
      <c r="AA17" s="37">
        <f t="shared" si="0"/>
        <v>0.60812434450388564</v>
      </c>
      <c r="AB17" s="37">
        <f t="shared" si="0"/>
        <v>-0.74082110327654205</v>
      </c>
      <c r="AC17" s="37">
        <f t="shared" si="0"/>
        <v>0.72442741839320879</v>
      </c>
      <c r="AD17" s="37">
        <f t="shared" si="0"/>
        <v>-1.4835219688851171</v>
      </c>
      <c r="AE17" s="37">
        <f t="shared" si="0"/>
        <v>-1.8113465633282004</v>
      </c>
      <c r="AF17" s="90">
        <f t="shared" si="0"/>
        <v>-0.50985434813354169</v>
      </c>
    </row>
    <row r="18" spans="1:43" ht="14.45" x14ac:dyDescent="0.35">
      <c r="A18">
        <v>15</v>
      </c>
      <c r="B18" s="36">
        <v>2</v>
      </c>
      <c r="C18" s="37">
        <v>9</v>
      </c>
      <c r="D18" s="37">
        <v>6</v>
      </c>
      <c r="E18" s="37">
        <v>4</v>
      </c>
      <c r="F18" s="37">
        <v>6</v>
      </c>
      <c r="G18" s="37">
        <v>3</v>
      </c>
      <c r="H18" s="37">
        <v>8</v>
      </c>
      <c r="I18" s="37">
        <v>5</v>
      </c>
      <c r="J18" s="90">
        <v>7</v>
      </c>
      <c r="M18" s="160">
        <f t="array" ref="M18:U27">[1]!eVECTORS(M4:U12)</f>
        <v>2.8804369060025632</v>
      </c>
      <c r="N18" s="161">
        <v>1.4386543900717295</v>
      </c>
      <c r="O18" s="161">
        <v>1.1639296497396123</v>
      </c>
      <c r="P18" s="161">
        <v>1.0244527111999511</v>
      </c>
      <c r="Q18" s="161">
        <v>0.70520866438791441</v>
      </c>
      <c r="R18" s="161">
        <v>0.64762340983248512</v>
      </c>
      <c r="S18" s="161">
        <v>0.5623932488275537</v>
      </c>
      <c r="T18" s="161">
        <v>0.34524839907614585</v>
      </c>
      <c r="U18" s="162">
        <v>0.2320526208620349</v>
      </c>
      <c r="W18">
        <f t="shared" si="1"/>
        <v>15</v>
      </c>
      <c r="X18" s="123">
        <f t="shared" si="0"/>
        <v>-1.349169127354642</v>
      </c>
      <c r="Y18" s="37">
        <f t="shared" si="0"/>
        <v>1.4619208746297327</v>
      </c>
      <c r="Z18" s="37">
        <f t="shared" si="0"/>
        <v>1.5461168435116881</v>
      </c>
      <c r="AA18" s="37">
        <f t="shared" si="0"/>
        <v>0.60812434450388564</v>
      </c>
      <c r="AB18" s="37">
        <f t="shared" si="0"/>
        <v>-0.74082110327654205</v>
      </c>
      <c r="AC18" s="37">
        <f t="shared" si="0"/>
        <v>-2.1976327566382228</v>
      </c>
      <c r="AD18" s="37">
        <f t="shared" si="0"/>
        <v>1.2196417054391744</v>
      </c>
      <c r="AE18" s="37">
        <f t="shared" si="0"/>
        <v>0.2887653941537715</v>
      </c>
      <c r="AF18" s="90">
        <f t="shared" si="0"/>
        <v>-0.50985434813354169</v>
      </c>
      <c r="AI18" s="160">
        <f t="array" ref="AI18:AQ27">[1]!eVECTORS(AI4:AQ12)</f>
        <v>8.9908023424224055</v>
      </c>
      <c r="AJ18" s="161">
        <v>2.1024493719839947</v>
      </c>
      <c r="AK18" s="161">
        <v>1.6266176243928223</v>
      </c>
      <c r="AL18" s="161">
        <v>1.1172876147849138</v>
      </c>
      <c r="AM18" s="161">
        <v>0.86136303551723969</v>
      </c>
      <c r="AN18" s="161">
        <v>0.65203002613531513</v>
      </c>
      <c r="AO18" s="161">
        <v>0.59139671860743537</v>
      </c>
      <c r="AP18" s="161">
        <v>0.34453589889904368</v>
      </c>
      <c r="AQ18" s="162">
        <v>0.13725686305521556</v>
      </c>
    </row>
    <row r="19" spans="1:43" ht="14.45" x14ac:dyDescent="0.35">
      <c r="A19">
        <v>16</v>
      </c>
      <c r="B19" s="36">
        <v>7</v>
      </c>
      <c r="C19" s="37">
        <v>7</v>
      </c>
      <c r="D19" s="37">
        <v>2</v>
      </c>
      <c r="E19" s="37">
        <v>7</v>
      </c>
      <c r="F19" s="37">
        <v>6</v>
      </c>
      <c r="G19" s="37">
        <v>5</v>
      </c>
      <c r="H19" s="37">
        <v>1</v>
      </c>
      <c r="I19" s="37">
        <v>4</v>
      </c>
      <c r="J19" s="90">
        <v>7</v>
      </c>
      <c r="L19" t="str">
        <f t="array" ref="L19:L27">L4:L12</f>
        <v>Expect</v>
      </c>
      <c r="M19" s="123">
        <v>0.10867282066236424</v>
      </c>
      <c r="N19" s="37">
        <v>0.63924827717306298</v>
      </c>
      <c r="O19" s="37">
        <v>-0.25729565212955918</v>
      </c>
      <c r="P19" s="37">
        <v>0.11377557935722513</v>
      </c>
      <c r="Q19" s="37">
        <v>0.41710079267245143</v>
      </c>
      <c r="R19" s="37">
        <v>-9.591215740460142E-2</v>
      </c>
      <c r="S19" s="37">
        <v>0.48082938909867129</v>
      </c>
      <c r="T19" s="37">
        <v>-0.28424031931196581</v>
      </c>
      <c r="U19" s="90">
        <v>-7.2417189866390647E-2</v>
      </c>
      <c r="W19">
        <f t="shared" si="1"/>
        <v>16</v>
      </c>
      <c r="X19" s="123">
        <f t="shared" si="0"/>
        <v>2.5996185624638222</v>
      </c>
      <c r="Y19" s="37">
        <f t="shared" si="0"/>
        <v>-2.0466892244816233</v>
      </c>
      <c r="Z19" s="37">
        <f t="shared" si="0"/>
        <v>-0.87916447964390132</v>
      </c>
      <c r="AA19" s="37">
        <f t="shared" si="0"/>
        <v>3.5665671015498153</v>
      </c>
      <c r="AB19" s="37">
        <f t="shared" si="0"/>
        <v>-0.74082110327654205</v>
      </c>
      <c r="AC19" s="37">
        <f t="shared" si="0"/>
        <v>-0.73660266912250705</v>
      </c>
      <c r="AD19" s="37">
        <f t="shared" si="0"/>
        <v>-1.4835219688851171</v>
      </c>
      <c r="AE19" s="37">
        <f t="shared" si="0"/>
        <v>-0.76129058458721444</v>
      </c>
      <c r="AF19" s="90">
        <f t="shared" si="0"/>
        <v>-0.50985434813354169</v>
      </c>
      <c r="AH19" t="str">
        <f t="array" ref="AH19:AH27">AH4:AH12</f>
        <v>Expect</v>
      </c>
      <c r="AI19" s="123">
        <v>6.3541688004700664E-3</v>
      </c>
      <c r="AJ19" s="37">
        <v>0.51611937373230299</v>
      </c>
      <c r="AK19" s="37">
        <v>-0.77244206343293431</v>
      </c>
      <c r="AL19" s="37">
        <v>8.2292507345981813E-2</v>
      </c>
      <c r="AM19" s="37">
        <v>-0.1549489007184407</v>
      </c>
      <c r="AN19" s="37">
        <v>-0.18684209306128863</v>
      </c>
      <c r="AO19" s="37">
        <v>-0.13343360381825245</v>
      </c>
      <c r="AP19" s="37">
        <v>-0.21594750325961098</v>
      </c>
      <c r="AQ19" s="90">
        <v>8.236891468178037E-2</v>
      </c>
    </row>
    <row r="20" spans="1:43" ht="14.45" x14ac:dyDescent="0.35">
      <c r="A20">
        <v>17</v>
      </c>
      <c r="B20" s="36">
        <v>2</v>
      </c>
      <c r="C20" s="37">
        <v>8</v>
      </c>
      <c r="D20" s="37">
        <v>3</v>
      </c>
      <c r="E20" s="37">
        <v>2</v>
      </c>
      <c r="F20" s="37">
        <v>6</v>
      </c>
      <c r="G20" s="37">
        <v>7</v>
      </c>
      <c r="H20" s="37">
        <v>4</v>
      </c>
      <c r="I20" s="37">
        <v>5</v>
      </c>
      <c r="J20" s="90">
        <v>7</v>
      </c>
      <c r="L20" s="60" t="str">
        <v>Entertain</v>
      </c>
      <c r="M20" s="123">
        <v>-0.41155512846221565</v>
      </c>
      <c r="N20" s="37">
        <v>-0.25314343484567209</v>
      </c>
      <c r="O20" s="37">
        <v>-0.18110398426320345</v>
      </c>
      <c r="P20" s="37">
        <v>-0.26162000264296353</v>
      </c>
      <c r="Q20" s="37">
        <v>0.33963616583182932</v>
      </c>
      <c r="R20" s="37">
        <v>6.7990131664195271E-5</v>
      </c>
      <c r="S20" s="37">
        <v>0.43645311465032116</v>
      </c>
      <c r="T20" s="37">
        <v>0.59253174817325882</v>
      </c>
      <c r="U20" s="90">
        <v>-9.1428524472632819E-2</v>
      </c>
      <c r="W20">
        <f t="shared" si="1"/>
        <v>17</v>
      </c>
      <c r="X20" s="123">
        <f t="shared" si="0"/>
        <v>-1.349169127354642</v>
      </c>
      <c r="Y20" s="37">
        <f t="shared" si="0"/>
        <v>-0.29238417492594532</v>
      </c>
      <c r="Z20" s="37">
        <f t="shared" si="0"/>
        <v>-0.27284414885500391</v>
      </c>
      <c r="AA20" s="37">
        <f t="shared" si="0"/>
        <v>-1.3641708268600676</v>
      </c>
      <c r="AB20" s="37">
        <f t="shared" si="0"/>
        <v>-0.74082110327654205</v>
      </c>
      <c r="AC20" s="37">
        <f t="shared" si="0"/>
        <v>0.72442741839320879</v>
      </c>
      <c r="AD20" s="37">
        <f t="shared" si="0"/>
        <v>-0.32502325131756366</v>
      </c>
      <c r="AE20" s="37">
        <f t="shared" si="0"/>
        <v>0.2887653941537715</v>
      </c>
      <c r="AF20" s="90">
        <f t="shared" si="0"/>
        <v>-0.50985434813354169</v>
      </c>
      <c r="AH20" s="60" t="str">
        <v>Entertain</v>
      </c>
      <c r="AI20" s="123">
        <v>-9.4859006302239715E-2</v>
      </c>
      <c r="AJ20" s="37">
        <v>-6.1099904058583079E-2</v>
      </c>
      <c r="AK20" s="37">
        <v>7.0341086380933365E-2</v>
      </c>
      <c r="AL20" s="37">
        <v>-3.5719300674780873E-2</v>
      </c>
      <c r="AM20" s="37">
        <v>0.10064502910031574</v>
      </c>
      <c r="AN20" s="37">
        <v>-1.9270626298635476E-3</v>
      </c>
      <c r="AO20" s="37">
        <v>-0.19613577306141519</v>
      </c>
      <c r="AP20" s="37">
        <v>-0.63940407652150821</v>
      </c>
      <c r="AQ20" s="90">
        <v>-0.72360547522371244</v>
      </c>
    </row>
    <row r="21" spans="1:43" ht="14.45" x14ac:dyDescent="0.35">
      <c r="A21">
        <v>18</v>
      </c>
      <c r="B21" s="36">
        <v>4</v>
      </c>
      <c r="C21" s="37">
        <v>8</v>
      </c>
      <c r="D21" s="37">
        <v>4</v>
      </c>
      <c r="E21" s="37">
        <v>2</v>
      </c>
      <c r="F21" s="37">
        <v>7</v>
      </c>
      <c r="G21" s="37">
        <v>8</v>
      </c>
      <c r="H21" s="37">
        <v>4</v>
      </c>
      <c r="I21" s="37">
        <v>5</v>
      </c>
      <c r="J21" s="90">
        <v>7</v>
      </c>
      <c r="L21" t="str">
        <v>Comm</v>
      </c>
      <c r="M21" s="123">
        <v>-0.44432039453439659</v>
      </c>
      <c r="N21" s="37">
        <v>0.29067886866213077</v>
      </c>
      <c r="O21" s="37">
        <v>-0.187280211477794</v>
      </c>
      <c r="P21" s="37">
        <v>-0.30220270581537695</v>
      </c>
      <c r="Q21" s="37">
        <v>3.010300172535367E-2</v>
      </c>
      <c r="R21" s="37">
        <v>-0.13252436880522347</v>
      </c>
      <c r="S21" s="37">
        <v>-0.30089804917138796</v>
      </c>
      <c r="T21" s="37">
        <v>-6.3954964480358992E-2</v>
      </c>
      <c r="U21" s="90">
        <v>0.69179914482736116</v>
      </c>
      <c r="W21">
        <f t="shared" si="1"/>
        <v>18</v>
      </c>
      <c r="X21" s="123">
        <f t="shared" si="0"/>
        <v>0.23034594857274363</v>
      </c>
      <c r="Y21" s="37">
        <f t="shared" si="0"/>
        <v>-0.29238417492594532</v>
      </c>
      <c r="Z21" s="37">
        <f t="shared" si="0"/>
        <v>0.33347618193389345</v>
      </c>
      <c r="AA21" s="37">
        <f t="shared" si="0"/>
        <v>-1.3641708268600676</v>
      </c>
      <c r="AB21" s="37">
        <f t="shared" si="0"/>
        <v>0.30504398370210595</v>
      </c>
      <c r="AC21" s="37">
        <f t="shared" si="0"/>
        <v>1.4549424621510667</v>
      </c>
      <c r="AD21" s="37">
        <f t="shared" si="0"/>
        <v>-0.32502325131756366</v>
      </c>
      <c r="AE21" s="37">
        <f t="shared" si="0"/>
        <v>0.2887653941537715</v>
      </c>
      <c r="AF21" s="90">
        <f t="shared" si="0"/>
        <v>-0.50985434813354169</v>
      </c>
      <c r="AH21" t="str">
        <v>Comm</v>
      </c>
      <c r="AI21" s="123">
        <v>-0.46812813243689488</v>
      </c>
      <c r="AJ21" s="37">
        <v>0.12149879157942245</v>
      </c>
      <c r="AK21" s="37">
        <v>-0.17502604869337587</v>
      </c>
      <c r="AL21" s="37">
        <v>-0.45433616761029627</v>
      </c>
      <c r="AM21" s="37">
        <v>0.69500244890995722</v>
      </c>
      <c r="AN21" s="37">
        <v>0.172619970179482</v>
      </c>
      <c r="AO21" s="37">
        <v>8.1147121505742353E-2</v>
      </c>
      <c r="AP21" s="37">
        <v>6.0749972919129376E-2</v>
      </c>
      <c r="AQ21" s="90">
        <v>7.7052915012414472E-2</v>
      </c>
    </row>
    <row r="22" spans="1:43" ht="14.45" x14ac:dyDescent="0.35">
      <c r="A22">
        <v>19</v>
      </c>
      <c r="B22" s="36">
        <v>2</v>
      </c>
      <c r="C22" s="37">
        <v>8</v>
      </c>
      <c r="D22" s="37">
        <v>2</v>
      </c>
      <c r="E22" s="37">
        <v>3</v>
      </c>
      <c r="F22" s="37">
        <v>5</v>
      </c>
      <c r="G22" s="37">
        <v>4</v>
      </c>
      <c r="H22" s="37">
        <v>6</v>
      </c>
      <c r="I22" s="37">
        <v>4</v>
      </c>
      <c r="J22" s="90">
        <v>9</v>
      </c>
      <c r="L22" t="str">
        <v>Expert</v>
      </c>
      <c r="M22" s="123">
        <v>-0.21563850036801047</v>
      </c>
      <c r="N22" s="37">
        <v>0.13550085617976151</v>
      </c>
      <c r="O22" s="37">
        <v>-0.18288161073484543</v>
      </c>
      <c r="P22" s="37">
        <v>0.83964129576815227</v>
      </c>
      <c r="Q22" s="37">
        <v>2.8152588570770857E-2</v>
      </c>
      <c r="R22" s="37">
        <v>-8.2440903338581398E-3</v>
      </c>
      <c r="S22" s="37">
        <v>-0.22139125914539076</v>
      </c>
      <c r="T22" s="37">
        <v>0.37879413338631968</v>
      </c>
      <c r="U22" s="90">
        <v>5.7764588173452182E-2</v>
      </c>
      <c r="W22">
        <f t="shared" si="1"/>
        <v>19</v>
      </c>
      <c r="X22" s="123">
        <f t="shared" si="0"/>
        <v>-1.349169127354642</v>
      </c>
      <c r="Y22" s="37">
        <f t="shared" si="0"/>
        <v>-0.29238417492594532</v>
      </c>
      <c r="Z22" s="37">
        <f t="shared" si="0"/>
        <v>-0.87916447964390132</v>
      </c>
      <c r="AA22" s="37">
        <f t="shared" si="0"/>
        <v>-0.378023241178091</v>
      </c>
      <c r="AB22" s="37">
        <f t="shared" si="0"/>
        <v>-1.78668619025519</v>
      </c>
      <c r="AC22" s="37">
        <f t="shared" si="0"/>
        <v>-1.467117712880365</v>
      </c>
      <c r="AD22" s="37">
        <f t="shared" si="0"/>
        <v>0.44730922706080534</v>
      </c>
      <c r="AE22" s="37">
        <f t="shared" si="0"/>
        <v>-0.76129058458721444</v>
      </c>
      <c r="AF22" s="90">
        <f t="shared" si="0"/>
        <v>2.889174639423405</v>
      </c>
      <c r="AH22" t="str">
        <v>Expert</v>
      </c>
      <c r="AI22" s="123">
        <v>-9.3058441682048146E-2</v>
      </c>
      <c r="AJ22" s="37">
        <v>1.340408988231713E-2</v>
      </c>
      <c r="AK22" s="37">
        <v>-0.14604287313600461</v>
      </c>
      <c r="AL22" s="37">
        <v>0.79631201442959032</v>
      </c>
      <c r="AM22" s="37">
        <v>0.30054147563635619</v>
      </c>
      <c r="AN22" s="37">
        <v>0.39647756292808684</v>
      </c>
      <c r="AO22" s="37">
        <v>0.24099741539946495</v>
      </c>
      <c r="AP22" s="37">
        <v>9.1235601549318493E-2</v>
      </c>
      <c r="AQ22" s="90">
        <v>-0.14763395945731261</v>
      </c>
    </row>
    <row r="23" spans="1:43" ht="14.45" x14ac:dyDescent="0.35">
      <c r="A23">
        <v>20</v>
      </c>
      <c r="B23" s="36">
        <v>3</v>
      </c>
      <c r="C23" s="37">
        <v>8</v>
      </c>
      <c r="D23" s="37">
        <v>6</v>
      </c>
      <c r="E23" s="37">
        <v>4</v>
      </c>
      <c r="F23" s="37">
        <v>9</v>
      </c>
      <c r="G23" s="37">
        <v>9</v>
      </c>
      <c r="H23" s="37">
        <v>8</v>
      </c>
      <c r="I23" s="37">
        <v>5</v>
      </c>
      <c r="J23" s="90">
        <v>7</v>
      </c>
      <c r="L23" t="str">
        <v>Motivate</v>
      </c>
      <c r="M23" s="123">
        <v>-0.34065994702866276</v>
      </c>
      <c r="N23" s="37">
        <v>3.6795371300436405E-2</v>
      </c>
      <c r="O23" s="37">
        <v>0.41963143282396931</v>
      </c>
      <c r="P23" s="37">
        <v>0.15599965922517467</v>
      </c>
      <c r="Q23" s="37">
        <v>-0.42352341595274107</v>
      </c>
      <c r="R23" s="37">
        <v>-0.5599448078066922</v>
      </c>
      <c r="S23" s="37">
        <v>0.42454782656015899</v>
      </c>
      <c r="T23" s="37">
        <v>-8.8223691667977652E-2</v>
      </c>
      <c r="U23" s="90">
        <v>3.51556480609738E-2</v>
      </c>
      <c r="W23">
        <f t="shared" si="1"/>
        <v>20</v>
      </c>
      <c r="X23" s="123">
        <f t="shared" si="0"/>
        <v>-0.55941158939094915</v>
      </c>
      <c r="Y23" s="37">
        <f t="shared" si="0"/>
        <v>-0.29238417492594532</v>
      </c>
      <c r="Z23" s="37">
        <f t="shared" si="0"/>
        <v>1.5461168435116881</v>
      </c>
      <c r="AA23" s="37">
        <f t="shared" si="0"/>
        <v>0.60812434450388564</v>
      </c>
      <c r="AB23" s="37">
        <f t="shared" si="0"/>
        <v>2.3967741576594017</v>
      </c>
      <c r="AC23" s="37">
        <f t="shared" si="0"/>
        <v>2.1854575059089245</v>
      </c>
      <c r="AD23" s="37">
        <f t="shared" si="0"/>
        <v>1.2196417054391744</v>
      </c>
      <c r="AE23" s="37">
        <f t="shared" si="0"/>
        <v>0.2887653941537715</v>
      </c>
      <c r="AF23" s="90">
        <f t="shared" si="0"/>
        <v>-0.50985434813354169</v>
      </c>
      <c r="AH23" t="str">
        <v>Motivate</v>
      </c>
      <c r="AI23" s="123">
        <v>-0.1286406383132746</v>
      </c>
      <c r="AJ23" s="37">
        <v>-0.26388841660892293</v>
      </c>
      <c r="AK23" s="37">
        <v>-3.8431784113034148E-2</v>
      </c>
      <c r="AL23" s="37">
        <v>0.20437153246321837</v>
      </c>
      <c r="AM23" s="37">
        <v>0.24591537218939954</v>
      </c>
      <c r="AN23" s="37">
        <v>-0.81423042459266903</v>
      </c>
      <c r="AO23" s="37">
        <v>0.36721337185483088</v>
      </c>
      <c r="AP23" s="37">
        <v>-9.9047087549470322E-2</v>
      </c>
      <c r="AQ23" s="90">
        <v>4.9681221906015739E-2</v>
      </c>
    </row>
    <row r="24" spans="1:43" ht="14.45" x14ac:dyDescent="0.35">
      <c r="A24">
        <v>21</v>
      </c>
      <c r="B24" s="36">
        <v>5</v>
      </c>
      <c r="C24" s="37">
        <v>9</v>
      </c>
      <c r="D24" s="37">
        <v>3</v>
      </c>
      <c r="E24" s="37">
        <v>5</v>
      </c>
      <c r="F24" s="37">
        <v>6</v>
      </c>
      <c r="G24" s="37">
        <v>3</v>
      </c>
      <c r="H24" s="37">
        <v>3</v>
      </c>
      <c r="I24" s="37">
        <v>6</v>
      </c>
      <c r="J24" s="90">
        <v>8</v>
      </c>
      <c r="L24" t="str">
        <v>Caring</v>
      </c>
      <c r="M24" s="123">
        <v>-0.17656698530373344</v>
      </c>
      <c r="N24" s="37">
        <v>2.5335186999452402E-2</v>
      </c>
      <c r="O24" s="37">
        <v>0.71451302129716265</v>
      </c>
      <c r="P24" s="37">
        <v>6.2973921251602311E-2</v>
      </c>
      <c r="Q24" s="37">
        <v>0.63254379951984552</v>
      </c>
      <c r="R24" s="37">
        <v>2.9678127707358989E-2</v>
      </c>
      <c r="S24" s="37">
        <v>-0.21612676329486225</v>
      </c>
      <c r="T24" s="37">
        <v>-7.2965594974557554E-2</v>
      </c>
      <c r="U24" s="90">
        <v>-2.5699225706734535E-2</v>
      </c>
      <c r="W24">
        <f t="shared" si="1"/>
        <v>21</v>
      </c>
      <c r="X24" s="123">
        <f t="shared" si="0"/>
        <v>1.0201034865364365</v>
      </c>
      <c r="Y24" s="37">
        <f t="shared" si="0"/>
        <v>1.4619208746297327</v>
      </c>
      <c r="Z24" s="37">
        <f t="shared" si="0"/>
        <v>-0.27284414885500391</v>
      </c>
      <c r="AA24" s="37">
        <f t="shared" si="0"/>
        <v>1.5942719301858623</v>
      </c>
      <c r="AB24" s="37">
        <f t="shared" si="0"/>
        <v>-0.74082110327654205</v>
      </c>
      <c r="AC24" s="37">
        <f t="shared" si="0"/>
        <v>-2.1976327566382228</v>
      </c>
      <c r="AD24" s="37">
        <f t="shared" si="0"/>
        <v>-0.71118949050674818</v>
      </c>
      <c r="AE24" s="37">
        <f t="shared" si="0"/>
        <v>1.3388213728947576</v>
      </c>
      <c r="AF24" s="90">
        <f t="shared" si="0"/>
        <v>1.1896601456449316</v>
      </c>
      <c r="AH24" t="str">
        <v>Caring</v>
      </c>
      <c r="AI24" s="123">
        <v>-7.3398856216674815E-2</v>
      </c>
      <c r="AJ24" s="37">
        <v>-0.7773990021749535</v>
      </c>
      <c r="AK24" s="37">
        <v>-0.53825363496953493</v>
      </c>
      <c r="AL24" s="37">
        <v>-0.12710640977002743</v>
      </c>
      <c r="AM24" s="37">
        <v>-0.18811437909368137</v>
      </c>
      <c r="AN24" s="37">
        <v>0.21551399558040188</v>
      </c>
      <c r="AO24" s="37">
        <v>2.0197237085024664E-2</v>
      </c>
      <c r="AP24" s="37">
        <v>-3.6186216440274512E-2</v>
      </c>
      <c r="AQ24" s="90">
        <v>2.8977781177459434E-2</v>
      </c>
    </row>
    <row r="25" spans="1:43" ht="14.45" x14ac:dyDescent="0.35">
      <c r="A25">
        <v>22</v>
      </c>
      <c r="B25" s="36">
        <v>5</v>
      </c>
      <c r="C25" s="37">
        <v>8</v>
      </c>
      <c r="D25" s="37">
        <v>5</v>
      </c>
      <c r="E25" s="37">
        <v>3</v>
      </c>
      <c r="F25" s="37">
        <v>6</v>
      </c>
      <c r="G25" s="37">
        <v>4</v>
      </c>
      <c r="H25" s="37">
        <v>4</v>
      </c>
      <c r="I25" s="37">
        <v>3</v>
      </c>
      <c r="J25" s="90">
        <v>7</v>
      </c>
      <c r="L25" t="str">
        <v>Charisma</v>
      </c>
      <c r="M25" s="123">
        <v>-0.48149531050226674</v>
      </c>
      <c r="N25" s="37">
        <v>0.19955381608776179</v>
      </c>
      <c r="O25" s="37">
        <v>-0.18029716401458001</v>
      </c>
      <c r="P25" s="37">
        <v>-0.16443604112894591</v>
      </c>
      <c r="Q25" s="37">
        <v>-8.9073854886759812E-2</v>
      </c>
      <c r="R25" s="37">
        <v>-9.9157243599927641E-2</v>
      </c>
      <c r="S25" s="37">
        <v>-0.36144099298527216</v>
      </c>
      <c r="T25" s="37">
        <v>-0.1678417200000899</v>
      </c>
      <c r="U25" s="90">
        <v>-0.70158215235978194</v>
      </c>
      <c r="W25">
        <f t="shared" si="1"/>
        <v>22</v>
      </c>
      <c r="X25" s="123">
        <f t="shared" si="0"/>
        <v>1.0201034865364365</v>
      </c>
      <c r="Y25" s="37">
        <f t="shared" si="0"/>
        <v>-0.29238417492594532</v>
      </c>
      <c r="Z25" s="37">
        <f t="shared" si="0"/>
        <v>0.93979651272279086</v>
      </c>
      <c r="AA25" s="37">
        <f t="shared" si="0"/>
        <v>-0.378023241178091</v>
      </c>
      <c r="AB25" s="37">
        <f t="shared" si="0"/>
        <v>-0.74082110327654205</v>
      </c>
      <c r="AC25" s="37">
        <f t="shared" si="0"/>
        <v>-1.467117712880365</v>
      </c>
      <c r="AD25" s="37">
        <f t="shared" si="0"/>
        <v>-0.32502325131756366</v>
      </c>
      <c r="AE25" s="37">
        <f t="shared" si="0"/>
        <v>-1.8113465633282004</v>
      </c>
      <c r="AF25" s="90">
        <f t="shared" si="0"/>
        <v>-0.50985434813354169</v>
      </c>
      <c r="AH25" t="str">
        <v>Charisma</v>
      </c>
      <c r="AI25" s="123">
        <v>-0.84585271438332221</v>
      </c>
      <c r="AJ25" s="37">
        <v>8.3793620957780882E-2</v>
      </c>
      <c r="AK25" s="37">
        <v>0.14388778740085997</v>
      </c>
      <c r="AL25" s="37">
        <v>9.6308582751587282E-2</v>
      </c>
      <c r="AM25" s="37">
        <v>-0.49385510672206773</v>
      </c>
      <c r="AN25" s="37">
        <v>-2.9969690934645654E-3</v>
      </c>
      <c r="AO25" s="37">
        <v>5.4703982803091598E-2</v>
      </c>
      <c r="AP25" s="37">
        <v>2.3789747448111992E-2</v>
      </c>
      <c r="AQ25" s="90">
        <v>8.5117627455277671E-3</v>
      </c>
    </row>
    <row r="26" spans="1:43" ht="14.45" x14ac:dyDescent="0.35">
      <c r="A26">
        <v>23</v>
      </c>
      <c r="B26" s="36">
        <v>4</v>
      </c>
      <c r="C26" s="37">
        <v>9</v>
      </c>
      <c r="D26" s="37">
        <v>4</v>
      </c>
      <c r="E26" s="37">
        <v>3</v>
      </c>
      <c r="F26" s="37">
        <v>7</v>
      </c>
      <c r="G26" s="37">
        <v>7</v>
      </c>
      <c r="H26" s="37">
        <v>7</v>
      </c>
      <c r="I26" s="37">
        <v>5</v>
      </c>
      <c r="J26" s="90">
        <v>7</v>
      </c>
      <c r="L26" t="str">
        <v>Passion</v>
      </c>
      <c r="M26" s="123">
        <v>-0.40531393485510109</v>
      </c>
      <c r="N26" s="37">
        <v>2.9433741047434455E-2</v>
      </c>
      <c r="O26" s="37">
        <v>0.10755126341193333</v>
      </c>
      <c r="P26" s="37">
        <v>0.11621477933703687</v>
      </c>
      <c r="Q26" s="37">
        <v>-0.21504973397504623</v>
      </c>
      <c r="R26" s="37">
        <v>0.78275870493576327</v>
      </c>
      <c r="S26" s="37">
        <v>0.28183665148619119</v>
      </c>
      <c r="T26" s="37">
        <v>-0.25913253981977796</v>
      </c>
      <c r="U26" s="90">
        <v>6.513041035120351E-2</v>
      </c>
      <c r="W26">
        <f t="shared" si="1"/>
        <v>23</v>
      </c>
      <c r="X26" s="123">
        <f t="shared" si="0"/>
        <v>0.23034594857274363</v>
      </c>
      <c r="Y26" s="37">
        <f t="shared" si="0"/>
        <v>1.4619208746297327</v>
      </c>
      <c r="Z26" s="37">
        <f t="shared" si="0"/>
        <v>0.33347618193389345</v>
      </c>
      <c r="AA26" s="37">
        <f t="shared" si="0"/>
        <v>-0.378023241178091</v>
      </c>
      <c r="AB26" s="37">
        <f t="shared" si="0"/>
        <v>0.30504398370210595</v>
      </c>
      <c r="AC26" s="37">
        <f t="shared" si="0"/>
        <v>0.72442741839320879</v>
      </c>
      <c r="AD26" s="37">
        <f t="shared" si="0"/>
        <v>0.8334754662499898</v>
      </c>
      <c r="AE26" s="37">
        <f t="shared" si="0"/>
        <v>0.2887653941537715</v>
      </c>
      <c r="AF26" s="90">
        <f t="shared" si="0"/>
        <v>-0.50985434813354169</v>
      </c>
      <c r="AH26" t="str">
        <v>Passion</v>
      </c>
      <c r="AI26" s="123">
        <v>-0.15930097179519329</v>
      </c>
      <c r="AJ26" s="37">
        <v>-0.17423178091690023</v>
      </c>
      <c r="AK26" s="37">
        <v>1.9423413700897486E-2</v>
      </c>
      <c r="AL26" s="37">
        <v>0.26122203552482265</v>
      </c>
      <c r="AM26" s="37">
        <v>0.21719108265337125</v>
      </c>
      <c r="AN26" s="37">
        <v>-0.19272535634751112</v>
      </c>
      <c r="AO26" s="37">
        <v>-0.86008223861511723</v>
      </c>
      <c r="AP26" s="37">
        <v>0.19545646037829809</v>
      </c>
      <c r="AQ26" s="90">
        <v>0.11572619241937539</v>
      </c>
    </row>
    <row r="27" spans="1:43" ht="14.45" x14ac:dyDescent="0.35">
      <c r="A27">
        <v>24</v>
      </c>
      <c r="B27" s="36">
        <v>4</v>
      </c>
      <c r="C27" s="37">
        <v>8</v>
      </c>
      <c r="D27" s="37">
        <v>3</v>
      </c>
      <c r="E27" s="37">
        <v>4</v>
      </c>
      <c r="F27" s="37">
        <v>6</v>
      </c>
      <c r="G27" s="37">
        <v>5</v>
      </c>
      <c r="H27" s="37">
        <v>7</v>
      </c>
      <c r="I27" s="37">
        <v>4</v>
      </c>
      <c r="J27" s="90">
        <v>8</v>
      </c>
      <c r="L27" t="str">
        <v>Friendly</v>
      </c>
      <c r="M27" s="91">
        <v>-0.17762263035252251</v>
      </c>
      <c r="N27" s="92">
        <v>-0.61785233926642158</v>
      </c>
      <c r="O27" s="92">
        <v>-0.31904074111745484</v>
      </c>
      <c r="P27" s="92">
        <v>0.23116966886460935</v>
      </c>
      <c r="Q27" s="92">
        <v>0.2744287936360626</v>
      </c>
      <c r="R27" s="92">
        <v>-0.19028360917782811</v>
      </c>
      <c r="S27" s="92">
        <v>4.1652458384891254E-2</v>
      </c>
      <c r="T27" s="92">
        <v>-0.55866843595019611</v>
      </c>
      <c r="U27" s="93">
        <v>7.8217098124915563E-2</v>
      </c>
      <c r="W27">
        <f t="shared" si="1"/>
        <v>24</v>
      </c>
      <c r="X27" s="123">
        <f t="shared" si="0"/>
        <v>0.23034594857274363</v>
      </c>
      <c r="Y27" s="37">
        <f t="shared" si="0"/>
        <v>-0.29238417492594532</v>
      </c>
      <c r="Z27" s="37">
        <f t="shared" si="0"/>
        <v>-0.27284414885500391</v>
      </c>
      <c r="AA27" s="37">
        <f t="shared" si="0"/>
        <v>0.60812434450388564</v>
      </c>
      <c r="AB27" s="37">
        <f t="shared" si="0"/>
        <v>-0.74082110327654205</v>
      </c>
      <c r="AC27" s="37">
        <f t="shared" si="0"/>
        <v>-0.73660266912250705</v>
      </c>
      <c r="AD27" s="37">
        <f t="shared" si="0"/>
        <v>0.8334754662499898</v>
      </c>
      <c r="AE27" s="37">
        <f t="shared" si="0"/>
        <v>-0.76129058458721444</v>
      </c>
      <c r="AF27" s="90">
        <f t="shared" si="0"/>
        <v>1.1896601456449316</v>
      </c>
      <c r="AH27" t="str">
        <v>Friendly</v>
      </c>
      <c r="AI27" s="91">
        <v>-1.9446119175080656E-2</v>
      </c>
      <c r="AJ27" s="92">
        <v>-5.9846289807416471E-2</v>
      </c>
      <c r="AK27" s="92">
        <v>0.18479125991304035</v>
      </c>
      <c r="AL27" s="92">
        <v>0.12641930085613409</v>
      </c>
      <c r="AM27" s="92">
        <v>7.4710179992820286E-2</v>
      </c>
      <c r="AN27" s="92">
        <v>0.1775519508581154</v>
      </c>
      <c r="AO27" s="92">
        <v>-3.2772710739487294E-2</v>
      </c>
      <c r="AP27" s="92">
        <v>-0.69471264618137385</v>
      </c>
      <c r="AQ27" s="93">
        <v>0.65200046249561106</v>
      </c>
    </row>
    <row r="28" spans="1:43" ht="14.45" x14ac:dyDescent="0.35">
      <c r="A28">
        <v>25</v>
      </c>
      <c r="B28" s="36">
        <v>2</v>
      </c>
      <c r="C28" s="37">
        <v>8</v>
      </c>
      <c r="D28" s="37">
        <v>2</v>
      </c>
      <c r="E28" s="37">
        <v>5</v>
      </c>
      <c r="F28" s="37">
        <v>6</v>
      </c>
      <c r="G28" s="37">
        <v>8</v>
      </c>
      <c r="H28" s="37">
        <v>4</v>
      </c>
      <c r="I28" s="37">
        <v>5</v>
      </c>
      <c r="J28" s="90">
        <v>8</v>
      </c>
      <c r="W28">
        <f t="shared" si="1"/>
        <v>25</v>
      </c>
      <c r="X28" s="123">
        <f t="shared" si="0"/>
        <v>-1.349169127354642</v>
      </c>
      <c r="Y28" s="37">
        <f t="shared" si="0"/>
        <v>-0.29238417492594532</v>
      </c>
      <c r="Z28" s="37">
        <f t="shared" si="0"/>
        <v>-0.87916447964390132</v>
      </c>
      <c r="AA28" s="37">
        <f t="shared" si="0"/>
        <v>1.5942719301858623</v>
      </c>
      <c r="AB28" s="37">
        <f t="shared" si="0"/>
        <v>-0.74082110327654205</v>
      </c>
      <c r="AC28" s="37">
        <f t="shared" si="0"/>
        <v>1.4549424621510667</v>
      </c>
      <c r="AD28" s="37">
        <f t="shared" si="0"/>
        <v>-0.32502325131756366</v>
      </c>
      <c r="AE28" s="37">
        <f t="shared" si="0"/>
        <v>0.2887653941537715</v>
      </c>
      <c r="AF28" s="90">
        <f t="shared" si="0"/>
        <v>1.1896601456449316</v>
      </c>
    </row>
    <row r="29" spans="1:43" ht="14.45" x14ac:dyDescent="0.35">
      <c r="A29">
        <v>26</v>
      </c>
      <c r="B29" s="36">
        <v>4</v>
      </c>
      <c r="C29" s="37">
        <v>8</v>
      </c>
      <c r="D29" s="37">
        <v>6</v>
      </c>
      <c r="E29" s="37">
        <v>5</v>
      </c>
      <c r="F29" s="37">
        <v>8</v>
      </c>
      <c r="G29" s="37">
        <v>7</v>
      </c>
      <c r="H29" s="37">
        <v>9</v>
      </c>
      <c r="I29" s="37">
        <v>6</v>
      </c>
      <c r="J29" s="90">
        <v>7</v>
      </c>
      <c r="L29" s="42" t="s">
        <v>381</v>
      </c>
      <c r="W29">
        <f t="shared" si="1"/>
        <v>26</v>
      </c>
      <c r="X29" s="123">
        <f t="shared" si="0"/>
        <v>0.23034594857274363</v>
      </c>
      <c r="Y29" s="37">
        <f t="shared" si="0"/>
        <v>-0.29238417492594532</v>
      </c>
      <c r="Z29" s="37">
        <f t="shared" si="0"/>
        <v>1.5461168435116881</v>
      </c>
      <c r="AA29" s="37">
        <f t="shared" si="0"/>
        <v>1.5942719301858623</v>
      </c>
      <c r="AB29" s="37">
        <f t="shared" si="0"/>
        <v>1.3509090706807538</v>
      </c>
      <c r="AC29" s="37">
        <f t="shared" si="0"/>
        <v>0.72442741839320879</v>
      </c>
      <c r="AD29" s="37">
        <f t="shared" si="0"/>
        <v>1.6058079446283589</v>
      </c>
      <c r="AE29" s="37">
        <f t="shared" si="0"/>
        <v>1.3388213728947576</v>
      </c>
      <c r="AF29" s="90">
        <f t="shared" si="0"/>
        <v>-0.50985434813354169</v>
      </c>
      <c r="AH29" s="42" t="s">
        <v>381</v>
      </c>
    </row>
    <row r="30" spans="1:43" ht="14.45" x14ac:dyDescent="0.35">
      <c r="A30">
        <v>27</v>
      </c>
      <c r="B30" s="36">
        <v>2</v>
      </c>
      <c r="C30" s="37">
        <v>8</v>
      </c>
      <c r="D30" s="37">
        <v>3</v>
      </c>
      <c r="E30" s="37">
        <v>3</v>
      </c>
      <c r="F30" s="37">
        <v>7</v>
      </c>
      <c r="G30" s="37">
        <v>5</v>
      </c>
      <c r="H30" s="37">
        <v>5</v>
      </c>
      <c r="I30" s="37">
        <v>5</v>
      </c>
      <c r="J30" s="90">
        <v>7</v>
      </c>
      <c r="R30" s="47" t="s">
        <v>382</v>
      </c>
      <c r="S30" s="47" t="s">
        <v>383</v>
      </c>
      <c r="T30" s="47" t="s">
        <v>384</v>
      </c>
      <c r="U30" s="47" t="s">
        <v>385</v>
      </c>
      <c r="W30">
        <f t="shared" si="1"/>
        <v>27</v>
      </c>
      <c r="X30" s="123">
        <f t="shared" si="0"/>
        <v>-1.349169127354642</v>
      </c>
      <c r="Y30" s="37">
        <f t="shared" si="0"/>
        <v>-0.29238417492594532</v>
      </c>
      <c r="Z30" s="37">
        <f t="shared" si="0"/>
        <v>-0.27284414885500391</v>
      </c>
      <c r="AA30" s="37">
        <f t="shared" si="0"/>
        <v>-0.378023241178091</v>
      </c>
      <c r="AB30" s="37">
        <f t="shared" si="0"/>
        <v>0.30504398370210595</v>
      </c>
      <c r="AC30" s="37">
        <f t="shared" si="0"/>
        <v>-0.73660266912250705</v>
      </c>
      <c r="AD30" s="37">
        <f t="shared" si="0"/>
        <v>6.1142987871620834E-2</v>
      </c>
      <c r="AE30" s="37">
        <f t="shared" si="0"/>
        <v>0.2887653941537715</v>
      </c>
      <c r="AF30" s="90">
        <f t="shared" si="0"/>
        <v>-0.50985434813354169</v>
      </c>
    </row>
    <row r="31" spans="1:43" ht="14.45" x14ac:dyDescent="0.35">
      <c r="A31">
        <v>28</v>
      </c>
      <c r="B31" s="36">
        <v>2</v>
      </c>
      <c r="C31" s="37">
        <v>8</v>
      </c>
      <c r="D31" s="37">
        <v>1</v>
      </c>
      <c r="E31" s="37">
        <v>5</v>
      </c>
      <c r="F31" s="37">
        <v>6</v>
      </c>
      <c r="G31" s="37">
        <v>8</v>
      </c>
      <c r="H31" s="37">
        <v>7</v>
      </c>
      <c r="I31" s="37">
        <v>4</v>
      </c>
      <c r="J31" s="90">
        <v>8</v>
      </c>
      <c r="M31" s="47" t="s">
        <v>386</v>
      </c>
      <c r="N31" s="47" t="s">
        <v>387</v>
      </c>
      <c r="O31" s="47" t="s">
        <v>388</v>
      </c>
      <c r="R31" s="160">
        <f>M18</f>
        <v>2.8804369060025632</v>
      </c>
      <c r="S31" s="161">
        <f>N18</f>
        <v>1.4386543900717295</v>
      </c>
      <c r="T31" s="161">
        <f>O18</f>
        <v>1.1639296497396123</v>
      </c>
      <c r="U31" s="162">
        <f>P18</f>
        <v>1.0244527111999511</v>
      </c>
      <c r="W31">
        <f t="shared" si="1"/>
        <v>28</v>
      </c>
      <c r="X31" s="123">
        <f t="shared" si="0"/>
        <v>-1.349169127354642</v>
      </c>
      <c r="Y31" s="37">
        <f t="shared" si="0"/>
        <v>-0.29238417492594532</v>
      </c>
      <c r="Z31" s="37">
        <f t="shared" si="0"/>
        <v>-1.4854848104327987</v>
      </c>
      <c r="AA31" s="37">
        <f t="shared" si="0"/>
        <v>1.5942719301858623</v>
      </c>
      <c r="AB31" s="37">
        <f t="shared" si="0"/>
        <v>-0.74082110327654205</v>
      </c>
      <c r="AC31" s="37">
        <f t="shared" si="0"/>
        <v>1.4549424621510667</v>
      </c>
      <c r="AD31" s="37">
        <f t="shared" si="0"/>
        <v>0.8334754662499898</v>
      </c>
      <c r="AE31" s="37">
        <f t="shared" si="0"/>
        <v>-0.76129058458721444</v>
      </c>
      <c r="AF31" s="90">
        <f t="shared" si="0"/>
        <v>1.1896601456449316</v>
      </c>
      <c r="AH31" s="47" t="s">
        <v>386</v>
      </c>
      <c r="AI31" s="47" t="s">
        <v>387</v>
      </c>
      <c r="AJ31" s="47" t="s">
        <v>388</v>
      </c>
      <c r="AM31" s="160">
        <f t="shared" ref="AM31:AP40" si="2">AI18</f>
        <v>8.9908023424224055</v>
      </c>
      <c r="AN31" s="161">
        <f t="shared" si="2"/>
        <v>2.1024493719839947</v>
      </c>
      <c r="AO31" s="161">
        <f t="shared" si="2"/>
        <v>1.6266176243928223</v>
      </c>
      <c r="AP31" s="162">
        <f t="shared" si="2"/>
        <v>1.1172876147849138</v>
      </c>
      <c r="AQ31" s="163" t="s">
        <v>373</v>
      </c>
    </row>
    <row r="32" spans="1:43" x14ac:dyDescent="0.25">
      <c r="A32">
        <v>29</v>
      </c>
      <c r="B32" s="36">
        <v>5</v>
      </c>
      <c r="C32" s="37">
        <v>8</v>
      </c>
      <c r="D32" s="37">
        <v>3</v>
      </c>
      <c r="E32" s="37">
        <v>4</v>
      </c>
      <c r="F32" s="37">
        <v>7</v>
      </c>
      <c r="G32" s="37">
        <v>7</v>
      </c>
      <c r="H32" s="37">
        <v>1</v>
      </c>
      <c r="I32" s="37">
        <v>5</v>
      </c>
      <c r="J32" s="90">
        <v>7</v>
      </c>
      <c r="M32" s="156">
        <f t="array" ref="M32:M40">TRANSPOSE(M18:U18)</f>
        <v>2.8804369060025632</v>
      </c>
      <c r="N32" s="164">
        <f t="shared" ref="N32:N40" si="3">M32/M$41</f>
        <v>0.32004854511139624</v>
      </c>
      <c r="O32" s="165">
        <f>N32</f>
        <v>0.32004854511139624</v>
      </c>
      <c r="Q32" t="str">
        <f t="shared" ref="Q32:Q40" si="4">L4</f>
        <v>Expect</v>
      </c>
      <c r="R32" s="156">
        <f>-M19</f>
        <v>-0.10867282066236424</v>
      </c>
      <c r="S32" s="157">
        <f t="shared" ref="S32:U40" si="5">N19</f>
        <v>0.63924827717306298</v>
      </c>
      <c r="T32" s="157">
        <f t="shared" si="5"/>
        <v>-0.25729565212955918</v>
      </c>
      <c r="U32" s="158">
        <f t="shared" si="5"/>
        <v>0.11377557935722513</v>
      </c>
      <c r="W32">
        <f t="shared" si="1"/>
        <v>29</v>
      </c>
      <c r="X32" s="123">
        <f t="shared" si="0"/>
        <v>1.0201034865364365</v>
      </c>
      <c r="Y32" s="37">
        <f t="shared" si="0"/>
        <v>-0.29238417492594532</v>
      </c>
      <c r="Z32" s="37">
        <f t="shared" si="0"/>
        <v>-0.27284414885500391</v>
      </c>
      <c r="AA32" s="37">
        <f t="shared" ref="AA32:AF63" si="6">STANDARDIZE(E32,E$126,E$127)</f>
        <v>0.60812434450388564</v>
      </c>
      <c r="AB32" s="37">
        <f t="shared" si="6"/>
        <v>0.30504398370210595</v>
      </c>
      <c r="AC32" s="37">
        <f t="shared" si="6"/>
        <v>0.72442741839320879</v>
      </c>
      <c r="AD32" s="37">
        <f t="shared" si="6"/>
        <v>-1.4835219688851171</v>
      </c>
      <c r="AE32" s="37">
        <f t="shared" si="6"/>
        <v>0.2887653941537715</v>
      </c>
      <c r="AF32" s="90">
        <f t="shared" si="6"/>
        <v>-0.50985434813354169</v>
      </c>
      <c r="AH32" s="156">
        <f t="array" ref="AH32:AH40">TRANSPOSE(AI18:AQ18)</f>
        <v>8.9908023424224055</v>
      </c>
      <c r="AI32" s="164">
        <f t="shared" ref="AI32:AI40" si="7">AH32/AI$41</f>
        <v>0.54742723754979716</v>
      </c>
      <c r="AJ32" s="165">
        <f>AI32</f>
        <v>0.54742723754979716</v>
      </c>
      <c r="AL32" t="str">
        <f t="shared" ref="AL32:AL40" si="8">AH4</f>
        <v>Expect</v>
      </c>
      <c r="AM32" s="123">
        <f t="shared" si="2"/>
        <v>6.3541688004700664E-3</v>
      </c>
      <c r="AN32" s="37">
        <f t="shared" si="2"/>
        <v>0.51611937373230299</v>
      </c>
      <c r="AO32" s="37">
        <f t="shared" si="2"/>
        <v>-0.77244206343293431</v>
      </c>
      <c r="AP32" s="90">
        <f t="shared" si="2"/>
        <v>8.2292507345981813E-2</v>
      </c>
      <c r="AQ32" s="166">
        <f>SUMSQ(AM32:AP32)</f>
        <v>0.86985838152878725</v>
      </c>
    </row>
    <row r="33" spans="1:43" x14ac:dyDescent="0.25">
      <c r="A33">
        <v>30</v>
      </c>
      <c r="B33" s="36">
        <v>2</v>
      </c>
      <c r="C33" s="37">
        <v>8</v>
      </c>
      <c r="D33" s="37">
        <v>2</v>
      </c>
      <c r="E33" s="37">
        <v>4</v>
      </c>
      <c r="F33" s="37">
        <v>6</v>
      </c>
      <c r="G33" s="37">
        <v>5</v>
      </c>
      <c r="H33" s="37">
        <v>5</v>
      </c>
      <c r="I33" s="37">
        <v>5</v>
      </c>
      <c r="J33" s="90">
        <v>8</v>
      </c>
      <c r="M33" s="123">
        <v>1.4386543900717295</v>
      </c>
      <c r="N33" s="167">
        <f t="shared" si="3"/>
        <v>0.15985048778574787</v>
      </c>
      <c r="O33" s="168">
        <f>O32+N33</f>
        <v>0.47989903289714408</v>
      </c>
      <c r="Q33" t="str">
        <f t="shared" si="4"/>
        <v>Entertain</v>
      </c>
      <c r="R33" s="123">
        <f>-M20</f>
        <v>0.41155512846221565</v>
      </c>
      <c r="S33" s="37">
        <f t="shared" si="5"/>
        <v>-0.25314343484567209</v>
      </c>
      <c r="T33" s="37">
        <f t="shared" si="5"/>
        <v>-0.18110398426320345</v>
      </c>
      <c r="U33" s="90">
        <f t="shared" si="5"/>
        <v>-0.26162000264296353</v>
      </c>
      <c r="W33">
        <f t="shared" si="1"/>
        <v>30</v>
      </c>
      <c r="X33" s="123">
        <f t="shared" ref="X33:X64" si="9">STANDARDIZE(B33,B$126,B$127)</f>
        <v>-1.349169127354642</v>
      </c>
      <c r="Y33" s="37">
        <f t="shared" ref="Y33:Y64" si="10">STANDARDIZE(C33,C$126,C$127)</f>
        <v>-0.29238417492594532</v>
      </c>
      <c r="Z33" s="37">
        <f t="shared" ref="Z33:Z64" si="11">STANDARDIZE(D33,D$126,D$127)</f>
        <v>-0.87916447964390132</v>
      </c>
      <c r="AA33" s="37">
        <f t="shared" si="6"/>
        <v>0.60812434450388564</v>
      </c>
      <c r="AB33" s="37">
        <f t="shared" si="6"/>
        <v>-0.74082110327654205</v>
      </c>
      <c r="AC33" s="37">
        <f t="shared" si="6"/>
        <v>-0.73660266912250705</v>
      </c>
      <c r="AD33" s="37">
        <f t="shared" si="6"/>
        <v>6.1142987871620834E-2</v>
      </c>
      <c r="AE33" s="37">
        <f t="shared" si="6"/>
        <v>0.2887653941537715</v>
      </c>
      <c r="AF33" s="90">
        <f t="shared" si="6"/>
        <v>1.1896601456449316</v>
      </c>
      <c r="AH33" s="123">
        <v>2.1024493719839947</v>
      </c>
      <c r="AI33" s="167">
        <f t="shared" si="7"/>
        <v>0.12801282999659463</v>
      </c>
      <c r="AJ33" s="168">
        <f>AJ32+AI33</f>
        <v>0.67544006754639185</v>
      </c>
      <c r="AL33" t="str">
        <f t="shared" si="8"/>
        <v>Entertain</v>
      </c>
      <c r="AM33" s="123">
        <f t="shared" si="2"/>
        <v>-9.4859006302239715E-2</v>
      </c>
      <c r="AN33" s="37">
        <f t="shared" si="2"/>
        <v>-6.1099904058583079E-2</v>
      </c>
      <c r="AO33" s="37">
        <f t="shared" si="2"/>
        <v>7.0341086380933365E-2</v>
      </c>
      <c r="AP33" s="90">
        <f t="shared" si="2"/>
        <v>-3.5719300674780873E-2</v>
      </c>
      <c r="AQ33" s="166">
        <f t="shared" ref="AQ33:AQ40" si="12">SUMSQ(AM33:AP33)</f>
        <v>1.8955166226561741E-2</v>
      </c>
    </row>
    <row r="34" spans="1:43" x14ac:dyDescent="0.25">
      <c r="A34">
        <v>31</v>
      </c>
      <c r="B34" s="36">
        <v>6</v>
      </c>
      <c r="C34" s="37">
        <v>8</v>
      </c>
      <c r="D34" s="37">
        <v>3</v>
      </c>
      <c r="E34" s="37">
        <v>1</v>
      </c>
      <c r="F34" s="37">
        <v>6</v>
      </c>
      <c r="G34" s="37">
        <v>8</v>
      </c>
      <c r="H34" s="37">
        <v>4</v>
      </c>
      <c r="I34" s="37">
        <v>4</v>
      </c>
      <c r="J34" s="90">
        <v>6</v>
      </c>
      <c r="M34" s="123">
        <v>1.1639296497396123</v>
      </c>
      <c r="N34" s="167">
        <f t="shared" si="3"/>
        <v>0.12932551663773484</v>
      </c>
      <c r="O34" s="168">
        <f t="shared" ref="O34:O40" si="13">O33+N34</f>
        <v>0.60922454953487892</v>
      </c>
      <c r="Q34" t="str">
        <f t="shared" si="4"/>
        <v>Comm</v>
      </c>
      <c r="R34" s="123">
        <f t="shared" ref="R34:R40" si="14">-M21</f>
        <v>0.44432039453439659</v>
      </c>
      <c r="S34" s="37">
        <f t="shared" si="5"/>
        <v>0.29067886866213077</v>
      </c>
      <c r="T34" s="37">
        <f t="shared" si="5"/>
        <v>-0.187280211477794</v>
      </c>
      <c r="U34" s="90">
        <f t="shared" si="5"/>
        <v>-0.30220270581537695</v>
      </c>
      <c r="W34">
        <f t="shared" si="1"/>
        <v>31</v>
      </c>
      <c r="X34" s="123">
        <f t="shared" si="9"/>
        <v>1.8098610245001292</v>
      </c>
      <c r="Y34" s="37">
        <f t="shared" si="10"/>
        <v>-0.29238417492594532</v>
      </c>
      <c r="Z34" s="37">
        <f t="shared" si="11"/>
        <v>-0.27284414885500391</v>
      </c>
      <c r="AA34" s="37">
        <f t="shared" si="6"/>
        <v>-2.3503184125420442</v>
      </c>
      <c r="AB34" s="37">
        <f t="shared" si="6"/>
        <v>-0.74082110327654205</v>
      </c>
      <c r="AC34" s="37">
        <f t="shared" si="6"/>
        <v>1.4549424621510667</v>
      </c>
      <c r="AD34" s="37">
        <f t="shared" si="6"/>
        <v>-0.32502325131756366</v>
      </c>
      <c r="AE34" s="37">
        <f t="shared" si="6"/>
        <v>-0.76129058458721444</v>
      </c>
      <c r="AF34" s="90">
        <f t="shared" si="6"/>
        <v>-2.2093688419120152</v>
      </c>
      <c r="AH34" s="123">
        <v>1.6266176243928223</v>
      </c>
      <c r="AI34" s="167">
        <f t="shared" si="7"/>
        <v>9.9040637170904555E-2</v>
      </c>
      <c r="AJ34" s="168">
        <f t="shared" ref="AJ34:AJ40" si="15">AJ33+AI34</f>
        <v>0.77448070471729635</v>
      </c>
      <c r="AL34" t="str">
        <f t="shared" si="8"/>
        <v>Comm</v>
      </c>
      <c r="AM34" s="123">
        <f t="shared" si="2"/>
        <v>-0.46812813243689488</v>
      </c>
      <c r="AN34" s="37">
        <f t="shared" si="2"/>
        <v>0.12149879157942245</v>
      </c>
      <c r="AO34" s="37">
        <f t="shared" si="2"/>
        <v>-0.17502604869337587</v>
      </c>
      <c r="AP34" s="90">
        <f t="shared" si="2"/>
        <v>-0.45433616761029627</v>
      </c>
      <c r="AQ34" s="166">
        <f t="shared" si="12"/>
        <v>0.47096137565414214</v>
      </c>
    </row>
    <row r="35" spans="1:43" x14ac:dyDescent="0.25">
      <c r="A35">
        <v>32</v>
      </c>
      <c r="B35" s="36">
        <v>2</v>
      </c>
      <c r="C35" s="37">
        <v>8</v>
      </c>
      <c r="D35" s="37">
        <v>1</v>
      </c>
      <c r="E35" s="37">
        <v>3</v>
      </c>
      <c r="F35" s="37">
        <v>7</v>
      </c>
      <c r="G35" s="37">
        <v>7</v>
      </c>
      <c r="H35" s="37">
        <v>4</v>
      </c>
      <c r="I35" s="37">
        <v>6</v>
      </c>
      <c r="J35" s="90">
        <v>7</v>
      </c>
      <c r="M35" s="123">
        <v>1.0244527111999511</v>
      </c>
      <c r="N35" s="167">
        <f t="shared" si="3"/>
        <v>0.11382807902221689</v>
      </c>
      <c r="O35" s="168">
        <f t="shared" si="13"/>
        <v>0.72305262855709584</v>
      </c>
      <c r="Q35" t="str">
        <f t="shared" si="4"/>
        <v>Expert</v>
      </c>
      <c r="R35" s="123">
        <f t="shared" si="14"/>
        <v>0.21563850036801047</v>
      </c>
      <c r="S35" s="37">
        <f t="shared" si="5"/>
        <v>0.13550085617976151</v>
      </c>
      <c r="T35" s="37">
        <f t="shared" si="5"/>
        <v>-0.18288161073484543</v>
      </c>
      <c r="U35" s="90">
        <f t="shared" si="5"/>
        <v>0.83964129576815227</v>
      </c>
      <c r="W35">
        <f t="shared" si="1"/>
        <v>32</v>
      </c>
      <c r="X35" s="123">
        <f t="shared" si="9"/>
        <v>-1.349169127354642</v>
      </c>
      <c r="Y35" s="37">
        <f t="shared" si="10"/>
        <v>-0.29238417492594532</v>
      </c>
      <c r="Z35" s="37">
        <f t="shared" si="11"/>
        <v>-1.4854848104327987</v>
      </c>
      <c r="AA35" s="37">
        <f t="shared" si="6"/>
        <v>-0.378023241178091</v>
      </c>
      <c r="AB35" s="37">
        <f t="shared" si="6"/>
        <v>0.30504398370210595</v>
      </c>
      <c r="AC35" s="37">
        <f t="shared" si="6"/>
        <v>0.72442741839320879</v>
      </c>
      <c r="AD35" s="37">
        <f t="shared" si="6"/>
        <v>-0.32502325131756366</v>
      </c>
      <c r="AE35" s="37">
        <f t="shared" si="6"/>
        <v>1.3388213728947576</v>
      </c>
      <c r="AF35" s="90">
        <f t="shared" si="6"/>
        <v>-0.50985434813354169</v>
      </c>
      <c r="AH35" s="123">
        <v>1.1172876147849138</v>
      </c>
      <c r="AI35" s="167">
        <f t="shared" si="7"/>
        <v>6.802881981114868E-2</v>
      </c>
      <c r="AJ35" s="168">
        <f t="shared" si="15"/>
        <v>0.84250952452844508</v>
      </c>
      <c r="AL35" t="str">
        <f t="shared" si="8"/>
        <v>Expert</v>
      </c>
      <c r="AM35" s="123">
        <f t="shared" si="2"/>
        <v>-9.3058441682048146E-2</v>
      </c>
      <c r="AN35" s="37">
        <f t="shared" si="2"/>
        <v>1.340408988231713E-2</v>
      </c>
      <c r="AO35" s="37">
        <f t="shared" si="2"/>
        <v>-0.14604287313600461</v>
      </c>
      <c r="AP35" s="90">
        <f t="shared" si="2"/>
        <v>0.79631201442959032</v>
      </c>
      <c r="AQ35" s="166">
        <f t="shared" si="12"/>
        <v>0.66428088831259569</v>
      </c>
    </row>
    <row r="36" spans="1:43" x14ac:dyDescent="0.25">
      <c r="A36">
        <v>33</v>
      </c>
      <c r="B36" s="36">
        <v>4</v>
      </c>
      <c r="C36" s="37">
        <v>8</v>
      </c>
      <c r="D36" s="37">
        <v>2</v>
      </c>
      <c r="E36" s="37">
        <v>4</v>
      </c>
      <c r="F36" s="37">
        <v>6</v>
      </c>
      <c r="G36" s="37">
        <v>6</v>
      </c>
      <c r="H36" s="37">
        <v>1</v>
      </c>
      <c r="I36" s="37">
        <v>4</v>
      </c>
      <c r="J36" s="90">
        <v>6</v>
      </c>
      <c r="M36" s="123">
        <v>0.70520866438791441</v>
      </c>
      <c r="N36" s="167">
        <f t="shared" si="3"/>
        <v>7.8356518265323902E-2</v>
      </c>
      <c r="O36" s="168">
        <f t="shared" si="13"/>
        <v>0.8014091468224197</v>
      </c>
      <c r="Q36" t="str">
        <f t="shared" si="4"/>
        <v>Motivate</v>
      </c>
      <c r="R36" s="123">
        <f t="shared" si="14"/>
        <v>0.34065994702866276</v>
      </c>
      <c r="S36" s="37">
        <f t="shared" si="5"/>
        <v>3.6795371300436405E-2</v>
      </c>
      <c r="T36" s="37">
        <f t="shared" si="5"/>
        <v>0.41963143282396931</v>
      </c>
      <c r="U36" s="90">
        <f t="shared" si="5"/>
        <v>0.15599965922517467</v>
      </c>
      <c r="W36">
        <f t="shared" si="1"/>
        <v>33</v>
      </c>
      <c r="X36" s="123">
        <f t="shared" si="9"/>
        <v>0.23034594857274363</v>
      </c>
      <c r="Y36" s="37">
        <f t="shared" si="10"/>
        <v>-0.29238417492594532</v>
      </c>
      <c r="Z36" s="37">
        <f t="shared" si="11"/>
        <v>-0.87916447964390132</v>
      </c>
      <c r="AA36" s="37">
        <f t="shared" si="6"/>
        <v>0.60812434450388564</v>
      </c>
      <c r="AB36" s="37">
        <f t="shared" si="6"/>
        <v>-0.74082110327654205</v>
      </c>
      <c r="AC36" s="37">
        <f t="shared" si="6"/>
        <v>-6.0876253646491192E-3</v>
      </c>
      <c r="AD36" s="37">
        <f t="shared" si="6"/>
        <v>-1.4835219688851171</v>
      </c>
      <c r="AE36" s="37">
        <f t="shared" si="6"/>
        <v>-0.76129058458721444</v>
      </c>
      <c r="AF36" s="90">
        <f t="shared" si="6"/>
        <v>-2.2093688419120152</v>
      </c>
      <c r="AH36" s="123">
        <v>0.86136303551723969</v>
      </c>
      <c r="AI36" s="167">
        <f t="shared" si="7"/>
        <v>5.2446218824744435E-2</v>
      </c>
      <c r="AJ36" s="168">
        <f t="shared" si="15"/>
        <v>0.8949557433531895</v>
      </c>
      <c r="AL36" t="str">
        <f t="shared" si="8"/>
        <v>Motivate</v>
      </c>
      <c r="AM36" s="123">
        <f t="shared" si="2"/>
        <v>-0.1286406383132746</v>
      </c>
      <c r="AN36" s="37">
        <f t="shared" si="2"/>
        <v>-0.26388841660892293</v>
      </c>
      <c r="AO36" s="37">
        <f t="shared" si="2"/>
        <v>-3.8431784113034148E-2</v>
      </c>
      <c r="AP36" s="90">
        <f t="shared" si="2"/>
        <v>0.20437153246321837</v>
      </c>
      <c r="AQ36" s="166">
        <f t="shared" si="12"/>
        <v>0.12943023555748639</v>
      </c>
    </row>
    <row r="37" spans="1:43" x14ac:dyDescent="0.25">
      <c r="A37">
        <v>34</v>
      </c>
      <c r="B37" s="36">
        <v>3</v>
      </c>
      <c r="C37" s="37">
        <v>9</v>
      </c>
      <c r="D37" s="37">
        <v>6</v>
      </c>
      <c r="E37" s="37">
        <v>3</v>
      </c>
      <c r="F37" s="37">
        <v>6</v>
      </c>
      <c r="G37" s="37">
        <v>5</v>
      </c>
      <c r="H37" s="37">
        <v>9</v>
      </c>
      <c r="I37" s="37">
        <v>5</v>
      </c>
      <c r="J37" s="90">
        <v>8</v>
      </c>
      <c r="M37" s="123">
        <v>0.64762340983248512</v>
      </c>
      <c r="N37" s="167">
        <f t="shared" si="3"/>
        <v>7.1958156648053967E-2</v>
      </c>
      <c r="O37" s="168">
        <f t="shared" si="13"/>
        <v>0.87336730347047364</v>
      </c>
      <c r="Q37" t="str">
        <f t="shared" si="4"/>
        <v>Caring</v>
      </c>
      <c r="R37" s="123">
        <f t="shared" si="14"/>
        <v>0.17656698530373344</v>
      </c>
      <c r="S37" s="37">
        <f t="shared" si="5"/>
        <v>2.5335186999452402E-2</v>
      </c>
      <c r="T37" s="37">
        <f t="shared" si="5"/>
        <v>0.71451302129716265</v>
      </c>
      <c r="U37" s="90">
        <f t="shared" si="5"/>
        <v>6.2973921251602311E-2</v>
      </c>
      <c r="W37">
        <f t="shared" si="1"/>
        <v>34</v>
      </c>
      <c r="X37" s="123">
        <f t="shared" si="9"/>
        <v>-0.55941158939094915</v>
      </c>
      <c r="Y37" s="37">
        <f t="shared" si="10"/>
        <v>1.4619208746297327</v>
      </c>
      <c r="Z37" s="37">
        <f t="shared" si="11"/>
        <v>1.5461168435116881</v>
      </c>
      <c r="AA37" s="37">
        <f t="shared" si="6"/>
        <v>-0.378023241178091</v>
      </c>
      <c r="AB37" s="37">
        <f t="shared" si="6"/>
        <v>-0.74082110327654205</v>
      </c>
      <c r="AC37" s="37">
        <f t="shared" si="6"/>
        <v>-0.73660266912250705</v>
      </c>
      <c r="AD37" s="37">
        <f t="shared" si="6"/>
        <v>1.6058079446283589</v>
      </c>
      <c r="AE37" s="37">
        <f t="shared" si="6"/>
        <v>0.2887653941537715</v>
      </c>
      <c r="AF37" s="90">
        <f t="shared" si="6"/>
        <v>1.1896601456449316</v>
      </c>
      <c r="AH37" s="123">
        <v>0.65203002613531513</v>
      </c>
      <c r="AI37" s="167">
        <f t="shared" si="7"/>
        <v>3.9700460805660087E-2</v>
      </c>
      <c r="AJ37" s="168">
        <f t="shared" si="15"/>
        <v>0.93465620415884954</v>
      </c>
      <c r="AL37" t="str">
        <f t="shared" si="8"/>
        <v>Caring</v>
      </c>
      <c r="AM37" s="123">
        <f t="shared" si="2"/>
        <v>-7.3398856216674815E-2</v>
      </c>
      <c r="AN37" s="37">
        <f t="shared" si="2"/>
        <v>-0.7773990021749535</v>
      </c>
      <c r="AO37" s="37">
        <f t="shared" si="2"/>
        <v>-0.53825363496953493</v>
      </c>
      <c r="AP37" s="90">
        <f t="shared" si="2"/>
        <v>-0.12710640977002743</v>
      </c>
      <c r="AQ37" s="166">
        <f t="shared" si="12"/>
        <v>0.91560961563907306</v>
      </c>
    </row>
    <row r="38" spans="1:43" x14ac:dyDescent="0.25">
      <c r="A38">
        <v>35</v>
      </c>
      <c r="B38" s="36">
        <v>2</v>
      </c>
      <c r="C38" s="37">
        <v>8</v>
      </c>
      <c r="D38" s="37">
        <v>2</v>
      </c>
      <c r="E38" s="37">
        <v>3</v>
      </c>
      <c r="F38" s="37">
        <v>8</v>
      </c>
      <c r="G38" s="37">
        <v>9</v>
      </c>
      <c r="H38" s="37">
        <v>3</v>
      </c>
      <c r="I38" s="37">
        <v>5</v>
      </c>
      <c r="J38" s="90">
        <v>7</v>
      </c>
      <c r="M38" s="123">
        <v>0.5623932488275537</v>
      </c>
      <c r="N38" s="167">
        <f t="shared" si="3"/>
        <v>6.248813875861714E-2</v>
      </c>
      <c r="O38" s="168">
        <f t="shared" si="13"/>
        <v>0.93585544222909078</v>
      </c>
      <c r="Q38" t="str">
        <f t="shared" si="4"/>
        <v>Charisma</v>
      </c>
      <c r="R38" s="123">
        <f t="shared" si="14"/>
        <v>0.48149531050226674</v>
      </c>
      <c r="S38" s="37">
        <f t="shared" si="5"/>
        <v>0.19955381608776179</v>
      </c>
      <c r="T38" s="37">
        <f t="shared" si="5"/>
        <v>-0.18029716401458001</v>
      </c>
      <c r="U38" s="90">
        <f t="shared" si="5"/>
        <v>-0.16443604112894591</v>
      </c>
      <c r="W38">
        <f t="shared" si="1"/>
        <v>35</v>
      </c>
      <c r="X38" s="123">
        <f t="shared" si="9"/>
        <v>-1.349169127354642</v>
      </c>
      <c r="Y38" s="37">
        <f t="shared" si="10"/>
        <v>-0.29238417492594532</v>
      </c>
      <c r="Z38" s="37">
        <f t="shared" si="11"/>
        <v>-0.87916447964390132</v>
      </c>
      <c r="AA38" s="37">
        <f t="shared" si="6"/>
        <v>-0.378023241178091</v>
      </c>
      <c r="AB38" s="37">
        <f t="shared" si="6"/>
        <v>1.3509090706807538</v>
      </c>
      <c r="AC38" s="37">
        <f t="shared" si="6"/>
        <v>2.1854575059089245</v>
      </c>
      <c r="AD38" s="37">
        <f t="shared" si="6"/>
        <v>-0.71118949050674818</v>
      </c>
      <c r="AE38" s="37">
        <f t="shared" si="6"/>
        <v>0.2887653941537715</v>
      </c>
      <c r="AF38" s="90">
        <f t="shared" si="6"/>
        <v>-0.50985434813354169</v>
      </c>
      <c r="AH38" s="123">
        <v>0.59139671860743537</v>
      </c>
      <c r="AI38" s="167">
        <f t="shared" si="7"/>
        <v>3.6008651912600664E-2</v>
      </c>
      <c r="AJ38" s="168">
        <f t="shared" si="15"/>
        <v>0.97066485607145014</v>
      </c>
      <c r="AL38" t="str">
        <f t="shared" si="8"/>
        <v>Charisma</v>
      </c>
      <c r="AM38" s="123">
        <f t="shared" si="2"/>
        <v>-0.84585271438332221</v>
      </c>
      <c r="AN38" s="37">
        <f t="shared" si="2"/>
        <v>8.3793620957780882E-2</v>
      </c>
      <c r="AO38" s="37">
        <f t="shared" si="2"/>
        <v>0.14388778740085997</v>
      </c>
      <c r="AP38" s="90">
        <f t="shared" si="2"/>
        <v>9.6308582751587282E-2</v>
      </c>
      <c r="AQ38" s="166">
        <f t="shared" si="12"/>
        <v>0.75246722381758491</v>
      </c>
    </row>
    <row r="39" spans="1:43" x14ac:dyDescent="0.25">
      <c r="A39">
        <v>36</v>
      </c>
      <c r="B39" s="36">
        <v>2</v>
      </c>
      <c r="C39" s="37">
        <v>8</v>
      </c>
      <c r="D39" s="37">
        <v>2</v>
      </c>
      <c r="E39" s="37">
        <v>3</v>
      </c>
      <c r="F39" s="37">
        <v>6</v>
      </c>
      <c r="G39" s="37">
        <v>5</v>
      </c>
      <c r="H39" s="37">
        <v>3</v>
      </c>
      <c r="I39" s="37">
        <v>5</v>
      </c>
      <c r="J39" s="90">
        <v>7</v>
      </c>
      <c r="M39" s="123">
        <v>0.34524839907614585</v>
      </c>
      <c r="N39" s="167">
        <f t="shared" si="3"/>
        <v>3.836093323068291E-2</v>
      </c>
      <c r="O39" s="168">
        <f t="shared" si="13"/>
        <v>0.97421637545977369</v>
      </c>
      <c r="Q39" t="str">
        <f t="shared" si="4"/>
        <v>Passion</v>
      </c>
      <c r="R39" s="123">
        <f t="shared" si="14"/>
        <v>0.40531393485510109</v>
      </c>
      <c r="S39" s="37">
        <f t="shared" si="5"/>
        <v>2.9433741047434455E-2</v>
      </c>
      <c r="T39" s="37">
        <f t="shared" si="5"/>
        <v>0.10755126341193333</v>
      </c>
      <c r="U39" s="90">
        <f t="shared" si="5"/>
        <v>0.11621477933703687</v>
      </c>
      <c r="W39">
        <f t="shared" si="1"/>
        <v>36</v>
      </c>
      <c r="X39" s="123">
        <f t="shared" si="9"/>
        <v>-1.349169127354642</v>
      </c>
      <c r="Y39" s="37">
        <f t="shared" si="10"/>
        <v>-0.29238417492594532</v>
      </c>
      <c r="Z39" s="37">
        <f t="shared" si="11"/>
        <v>-0.87916447964390132</v>
      </c>
      <c r="AA39" s="37">
        <f t="shared" si="6"/>
        <v>-0.378023241178091</v>
      </c>
      <c r="AB39" s="37">
        <f t="shared" si="6"/>
        <v>-0.74082110327654205</v>
      </c>
      <c r="AC39" s="37">
        <f t="shared" si="6"/>
        <v>-0.73660266912250705</v>
      </c>
      <c r="AD39" s="37">
        <f t="shared" si="6"/>
        <v>-0.71118949050674818</v>
      </c>
      <c r="AE39" s="37">
        <f t="shared" si="6"/>
        <v>0.2887653941537715</v>
      </c>
      <c r="AF39" s="90">
        <f t="shared" si="6"/>
        <v>-0.50985434813354169</v>
      </c>
      <c r="AH39" s="123">
        <v>0.34453589889904368</v>
      </c>
      <c r="AI39" s="167">
        <f t="shared" si="7"/>
        <v>2.0977920344339665E-2</v>
      </c>
      <c r="AJ39" s="168">
        <f t="shared" si="15"/>
        <v>0.9916427764157898</v>
      </c>
      <c r="AL39" t="str">
        <f t="shared" si="8"/>
        <v>Passion</v>
      </c>
      <c r="AM39" s="123">
        <f t="shared" si="2"/>
        <v>-0.15930097179519329</v>
      </c>
      <c r="AN39" s="37">
        <f t="shared" si="2"/>
        <v>-0.17423178091690023</v>
      </c>
      <c r="AO39" s="37">
        <f t="shared" si="2"/>
        <v>1.9423413700897486E-2</v>
      </c>
      <c r="AP39" s="90">
        <f t="shared" si="2"/>
        <v>0.26122203552482265</v>
      </c>
      <c r="AQ39" s="166">
        <f t="shared" si="12"/>
        <v>0.12434773393989559</v>
      </c>
    </row>
    <row r="40" spans="1:43" x14ac:dyDescent="0.25">
      <c r="A40">
        <v>37</v>
      </c>
      <c r="B40" s="36">
        <v>2</v>
      </c>
      <c r="C40" s="37">
        <v>8</v>
      </c>
      <c r="D40" s="37">
        <v>4</v>
      </c>
      <c r="E40" s="37">
        <v>2</v>
      </c>
      <c r="F40" s="37">
        <v>7</v>
      </c>
      <c r="G40" s="37">
        <v>7</v>
      </c>
      <c r="H40" s="37">
        <v>5</v>
      </c>
      <c r="I40" s="37">
        <v>5</v>
      </c>
      <c r="J40" s="90">
        <v>7</v>
      </c>
      <c r="M40" s="91">
        <v>0.2320526208620349</v>
      </c>
      <c r="N40" s="169">
        <f t="shared" si="3"/>
        <v>2.5783624540226126E-2</v>
      </c>
      <c r="O40" s="170">
        <f t="shared" si="13"/>
        <v>0.99999999999999978</v>
      </c>
      <c r="Q40" t="str">
        <f t="shared" si="4"/>
        <v>Friendly</v>
      </c>
      <c r="R40" s="91">
        <f t="shared" si="14"/>
        <v>0.17762263035252251</v>
      </c>
      <c r="S40" s="92">
        <f t="shared" si="5"/>
        <v>-0.61785233926642158</v>
      </c>
      <c r="T40" s="92">
        <f t="shared" si="5"/>
        <v>-0.31904074111745484</v>
      </c>
      <c r="U40" s="93">
        <f t="shared" si="5"/>
        <v>0.23116966886460935</v>
      </c>
      <c r="W40">
        <f t="shared" si="1"/>
        <v>37</v>
      </c>
      <c r="X40" s="123">
        <f t="shared" si="9"/>
        <v>-1.349169127354642</v>
      </c>
      <c r="Y40" s="37">
        <f t="shared" si="10"/>
        <v>-0.29238417492594532</v>
      </c>
      <c r="Z40" s="37">
        <f t="shared" si="11"/>
        <v>0.33347618193389345</v>
      </c>
      <c r="AA40" s="37">
        <f t="shared" si="6"/>
        <v>-1.3641708268600676</v>
      </c>
      <c r="AB40" s="37">
        <f t="shared" si="6"/>
        <v>0.30504398370210595</v>
      </c>
      <c r="AC40" s="37">
        <f t="shared" si="6"/>
        <v>0.72442741839320879</v>
      </c>
      <c r="AD40" s="37">
        <f t="shared" si="6"/>
        <v>6.1142987871620834E-2</v>
      </c>
      <c r="AE40" s="37">
        <f t="shared" si="6"/>
        <v>0.2887653941537715</v>
      </c>
      <c r="AF40" s="90">
        <f t="shared" si="6"/>
        <v>-0.50985434813354169</v>
      </c>
      <c r="AH40" s="91">
        <v>0.13725686305521556</v>
      </c>
      <c r="AI40" s="169">
        <f t="shared" si="7"/>
        <v>8.3572235842104929E-3</v>
      </c>
      <c r="AJ40" s="170">
        <f t="shared" si="15"/>
        <v>1.0000000000000002</v>
      </c>
      <c r="AL40" t="str">
        <f t="shared" si="8"/>
        <v>Friendly</v>
      </c>
      <c r="AM40" s="91">
        <f t="shared" si="2"/>
        <v>-1.9446119175080656E-2</v>
      </c>
      <c r="AN40" s="92">
        <f t="shared" si="2"/>
        <v>-5.9846289807416471E-2</v>
      </c>
      <c r="AO40" s="92">
        <f t="shared" si="2"/>
        <v>0.18479125991304035</v>
      </c>
      <c r="AP40" s="93">
        <f t="shared" si="2"/>
        <v>0.12641930085613409</v>
      </c>
      <c r="AQ40" s="171">
        <f t="shared" si="12"/>
        <v>5.4089379323887299E-2</v>
      </c>
    </row>
    <row r="41" spans="1:43" x14ac:dyDescent="0.25">
      <c r="A41">
        <v>38</v>
      </c>
      <c r="B41" s="36">
        <v>5</v>
      </c>
      <c r="C41" s="37">
        <v>8</v>
      </c>
      <c r="D41" s="37">
        <v>5</v>
      </c>
      <c r="E41" s="37">
        <v>4</v>
      </c>
      <c r="F41" s="37">
        <v>7</v>
      </c>
      <c r="G41" s="37">
        <v>7</v>
      </c>
      <c r="H41" s="37">
        <v>7</v>
      </c>
      <c r="I41" s="37">
        <v>4</v>
      </c>
      <c r="J41" s="90">
        <v>7</v>
      </c>
      <c r="M41">
        <f>SUM(M32:M40)</f>
        <v>8.9999999999999911</v>
      </c>
      <c r="W41">
        <f t="shared" si="1"/>
        <v>38</v>
      </c>
      <c r="X41" s="123">
        <f t="shared" si="9"/>
        <v>1.0201034865364365</v>
      </c>
      <c r="Y41" s="37">
        <f t="shared" si="10"/>
        <v>-0.29238417492594532</v>
      </c>
      <c r="Z41" s="37">
        <f t="shared" si="11"/>
        <v>0.93979651272279086</v>
      </c>
      <c r="AA41" s="37">
        <f t="shared" si="6"/>
        <v>0.60812434450388564</v>
      </c>
      <c r="AB41" s="37">
        <f t="shared" si="6"/>
        <v>0.30504398370210595</v>
      </c>
      <c r="AC41" s="37">
        <f t="shared" si="6"/>
        <v>0.72442741839320879</v>
      </c>
      <c r="AD41" s="37">
        <f t="shared" si="6"/>
        <v>0.8334754662499898</v>
      </c>
      <c r="AE41" s="37">
        <f t="shared" si="6"/>
        <v>-0.76129058458721444</v>
      </c>
      <c r="AF41" s="90">
        <f t="shared" si="6"/>
        <v>-0.50985434813354169</v>
      </c>
      <c r="AI41">
        <f>SUM(AH32:AH40)</f>
        <v>16.42373949579838</v>
      </c>
    </row>
    <row r="42" spans="1:43" x14ac:dyDescent="0.25">
      <c r="A42">
        <v>39</v>
      </c>
      <c r="B42" s="36">
        <v>1</v>
      </c>
      <c r="C42" s="37">
        <v>8</v>
      </c>
      <c r="D42" s="37">
        <v>3</v>
      </c>
      <c r="E42" s="37">
        <v>2</v>
      </c>
      <c r="F42" s="37">
        <v>7</v>
      </c>
      <c r="G42" s="37">
        <v>8</v>
      </c>
      <c r="H42" s="37">
        <v>4</v>
      </c>
      <c r="I42" s="37">
        <v>5</v>
      </c>
      <c r="J42" s="90">
        <v>8</v>
      </c>
      <c r="W42">
        <f t="shared" si="1"/>
        <v>39</v>
      </c>
      <c r="X42" s="123">
        <f t="shared" si="9"/>
        <v>-2.1389266653183348</v>
      </c>
      <c r="Y42" s="37">
        <f t="shared" si="10"/>
        <v>-0.29238417492594532</v>
      </c>
      <c r="Z42" s="37">
        <f t="shared" si="11"/>
        <v>-0.27284414885500391</v>
      </c>
      <c r="AA42" s="37">
        <f t="shared" si="6"/>
        <v>-1.3641708268600676</v>
      </c>
      <c r="AB42" s="37">
        <f t="shared" si="6"/>
        <v>0.30504398370210595</v>
      </c>
      <c r="AC42" s="37">
        <f t="shared" si="6"/>
        <v>1.4549424621510667</v>
      </c>
      <c r="AD42" s="37">
        <f t="shared" si="6"/>
        <v>-0.32502325131756366</v>
      </c>
      <c r="AE42" s="37">
        <f t="shared" si="6"/>
        <v>0.2887653941537715</v>
      </c>
      <c r="AF42" s="90">
        <f t="shared" si="6"/>
        <v>1.1896601456449316</v>
      </c>
    </row>
    <row r="43" spans="1:43" x14ac:dyDescent="0.25">
      <c r="A43">
        <v>40</v>
      </c>
      <c r="B43" s="36">
        <v>6</v>
      </c>
      <c r="C43" s="37">
        <v>8</v>
      </c>
      <c r="D43" s="37">
        <v>3</v>
      </c>
      <c r="E43" s="37">
        <v>3</v>
      </c>
      <c r="F43" s="37">
        <v>4</v>
      </c>
      <c r="G43" s="37">
        <v>6</v>
      </c>
      <c r="H43" s="37">
        <v>5</v>
      </c>
      <c r="I43" s="37">
        <v>5</v>
      </c>
      <c r="J43" s="90">
        <v>7</v>
      </c>
      <c r="W43">
        <f t="shared" si="1"/>
        <v>40</v>
      </c>
      <c r="X43" s="123">
        <f t="shared" si="9"/>
        <v>1.8098610245001292</v>
      </c>
      <c r="Y43" s="37">
        <f t="shared" si="10"/>
        <v>-0.29238417492594532</v>
      </c>
      <c r="Z43" s="37">
        <f t="shared" si="11"/>
        <v>-0.27284414885500391</v>
      </c>
      <c r="AA43" s="37">
        <f t="shared" si="6"/>
        <v>-0.378023241178091</v>
      </c>
      <c r="AB43" s="37">
        <f t="shared" si="6"/>
        <v>-2.8325512772338381</v>
      </c>
      <c r="AC43" s="37">
        <f t="shared" si="6"/>
        <v>-6.0876253646491192E-3</v>
      </c>
      <c r="AD43" s="37">
        <f t="shared" si="6"/>
        <v>6.1142987871620834E-2</v>
      </c>
      <c r="AE43" s="37">
        <f t="shared" si="6"/>
        <v>0.2887653941537715</v>
      </c>
      <c r="AF43" s="90">
        <f t="shared" si="6"/>
        <v>-0.50985434813354169</v>
      </c>
    </row>
    <row r="44" spans="1:43" x14ac:dyDescent="0.25">
      <c r="A44">
        <v>41</v>
      </c>
      <c r="B44" s="36">
        <v>4</v>
      </c>
      <c r="C44" s="37">
        <v>8</v>
      </c>
      <c r="D44" s="37">
        <v>3</v>
      </c>
      <c r="E44" s="37">
        <v>3</v>
      </c>
      <c r="F44" s="37">
        <v>9</v>
      </c>
      <c r="G44" s="37">
        <v>6</v>
      </c>
      <c r="H44" s="37">
        <v>4</v>
      </c>
      <c r="I44" s="37">
        <v>4</v>
      </c>
      <c r="J44" s="90">
        <v>7</v>
      </c>
      <c r="W44">
        <f t="shared" si="1"/>
        <v>41</v>
      </c>
      <c r="X44" s="123">
        <f t="shared" si="9"/>
        <v>0.23034594857274363</v>
      </c>
      <c r="Y44" s="37">
        <f t="shared" si="10"/>
        <v>-0.29238417492594532</v>
      </c>
      <c r="Z44" s="37">
        <f t="shared" si="11"/>
        <v>-0.27284414885500391</v>
      </c>
      <c r="AA44" s="37">
        <f t="shared" si="6"/>
        <v>-0.378023241178091</v>
      </c>
      <c r="AB44" s="37">
        <f t="shared" si="6"/>
        <v>2.3967741576594017</v>
      </c>
      <c r="AC44" s="37">
        <f t="shared" si="6"/>
        <v>-6.0876253646491192E-3</v>
      </c>
      <c r="AD44" s="37">
        <f t="shared" si="6"/>
        <v>-0.32502325131756366</v>
      </c>
      <c r="AE44" s="37">
        <f t="shared" si="6"/>
        <v>-0.76129058458721444</v>
      </c>
      <c r="AF44" s="90">
        <f t="shared" si="6"/>
        <v>-0.50985434813354169</v>
      </c>
    </row>
    <row r="45" spans="1:43" x14ac:dyDescent="0.25">
      <c r="A45">
        <v>42</v>
      </c>
      <c r="B45" s="36">
        <v>4</v>
      </c>
      <c r="C45" s="37">
        <v>8</v>
      </c>
      <c r="D45" s="37">
        <v>2</v>
      </c>
      <c r="E45" s="37">
        <v>3</v>
      </c>
      <c r="F45" s="37">
        <v>8</v>
      </c>
      <c r="G45" s="37">
        <v>5</v>
      </c>
      <c r="H45" s="37">
        <v>5</v>
      </c>
      <c r="I45" s="37">
        <v>5</v>
      </c>
      <c r="J45" s="90">
        <v>7</v>
      </c>
      <c r="W45">
        <f t="shared" si="1"/>
        <v>42</v>
      </c>
      <c r="X45" s="123">
        <f t="shared" si="9"/>
        <v>0.23034594857274363</v>
      </c>
      <c r="Y45" s="37">
        <f t="shared" si="10"/>
        <v>-0.29238417492594532</v>
      </c>
      <c r="Z45" s="37">
        <f t="shared" si="11"/>
        <v>-0.87916447964390132</v>
      </c>
      <c r="AA45" s="37">
        <f t="shared" si="6"/>
        <v>-0.378023241178091</v>
      </c>
      <c r="AB45" s="37">
        <f t="shared" si="6"/>
        <v>1.3509090706807538</v>
      </c>
      <c r="AC45" s="37">
        <f t="shared" si="6"/>
        <v>-0.73660266912250705</v>
      </c>
      <c r="AD45" s="37">
        <f t="shared" si="6"/>
        <v>6.1142987871620834E-2</v>
      </c>
      <c r="AE45" s="37">
        <f t="shared" si="6"/>
        <v>0.2887653941537715</v>
      </c>
      <c r="AF45" s="90">
        <f t="shared" si="6"/>
        <v>-0.50985434813354169</v>
      </c>
    </row>
    <row r="46" spans="1:43" x14ac:dyDescent="0.25">
      <c r="A46">
        <v>43</v>
      </c>
      <c r="B46" s="36">
        <v>3</v>
      </c>
      <c r="C46" s="37">
        <v>9</v>
      </c>
      <c r="D46" s="37">
        <v>7</v>
      </c>
      <c r="E46" s="37">
        <v>4</v>
      </c>
      <c r="F46" s="37">
        <v>8</v>
      </c>
      <c r="G46" s="37">
        <v>6</v>
      </c>
      <c r="H46" s="37">
        <v>10</v>
      </c>
      <c r="I46" s="37">
        <v>6</v>
      </c>
      <c r="J46" s="90">
        <v>8</v>
      </c>
      <c r="W46">
        <f t="shared" si="1"/>
        <v>43</v>
      </c>
      <c r="X46" s="123">
        <f t="shared" si="9"/>
        <v>-0.55941158939094915</v>
      </c>
      <c r="Y46" s="37">
        <f t="shared" si="10"/>
        <v>1.4619208746297327</v>
      </c>
      <c r="Z46" s="37">
        <f t="shared" si="11"/>
        <v>2.1524371743005855</v>
      </c>
      <c r="AA46" s="37">
        <f t="shared" si="6"/>
        <v>0.60812434450388564</v>
      </c>
      <c r="AB46" s="37">
        <f t="shared" si="6"/>
        <v>1.3509090706807538</v>
      </c>
      <c r="AC46" s="37">
        <f t="shared" si="6"/>
        <v>-6.0876253646491192E-3</v>
      </c>
      <c r="AD46" s="37">
        <f t="shared" si="6"/>
        <v>1.9919741838175433</v>
      </c>
      <c r="AE46" s="37">
        <f t="shared" si="6"/>
        <v>1.3388213728947576</v>
      </c>
      <c r="AF46" s="90">
        <f t="shared" si="6"/>
        <v>1.1896601456449316</v>
      </c>
    </row>
    <row r="47" spans="1:43" x14ac:dyDescent="0.25">
      <c r="A47">
        <v>44</v>
      </c>
      <c r="B47" s="36">
        <v>2</v>
      </c>
      <c r="C47" s="37">
        <v>9</v>
      </c>
      <c r="D47" s="37">
        <v>3</v>
      </c>
      <c r="E47" s="37">
        <v>4</v>
      </c>
      <c r="F47" s="37">
        <v>8</v>
      </c>
      <c r="G47" s="37">
        <v>8</v>
      </c>
      <c r="H47" s="37">
        <v>6</v>
      </c>
      <c r="I47" s="37">
        <v>7</v>
      </c>
      <c r="J47" s="90">
        <v>8</v>
      </c>
      <c r="W47">
        <f t="shared" si="1"/>
        <v>44</v>
      </c>
      <c r="X47" s="123">
        <f t="shared" si="9"/>
        <v>-1.349169127354642</v>
      </c>
      <c r="Y47" s="37">
        <f t="shared" si="10"/>
        <v>1.4619208746297327</v>
      </c>
      <c r="Z47" s="37">
        <f t="shared" si="11"/>
        <v>-0.27284414885500391</v>
      </c>
      <c r="AA47" s="37">
        <f t="shared" si="6"/>
        <v>0.60812434450388564</v>
      </c>
      <c r="AB47" s="37">
        <f t="shared" si="6"/>
        <v>1.3509090706807538</v>
      </c>
      <c r="AC47" s="37">
        <f t="shared" si="6"/>
        <v>1.4549424621510667</v>
      </c>
      <c r="AD47" s="37">
        <f t="shared" si="6"/>
        <v>0.44730922706080534</v>
      </c>
      <c r="AE47" s="37">
        <f t="shared" si="6"/>
        <v>2.3888773516357436</v>
      </c>
      <c r="AF47" s="90">
        <f t="shared" si="6"/>
        <v>1.1896601456449316</v>
      </c>
    </row>
    <row r="48" spans="1:43" x14ac:dyDescent="0.25">
      <c r="A48">
        <v>45</v>
      </c>
      <c r="B48" s="36">
        <v>5</v>
      </c>
      <c r="C48" s="37">
        <v>8</v>
      </c>
      <c r="D48" s="37">
        <v>1</v>
      </c>
      <c r="E48" s="37">
        <v>4</v>
      </c>
      <c r="F48" s="37">
        <v>7</v>
      </c>
      <c r="G48" s="37">
        <v>7</v>
      </c>
      <c r="H48" s="37">
        <v>1</v>
      </c>
      <c r="I48" s="37">
        <v>4</v>
      </c>
      <c r="J48" s="90">
        <v>8</v>
      </c>
      <c r="W48">
        <f t="shared" si="1"/>
        <v>45</v>
      </c>
      <c r="X48" s="123">
        <f t="shared" si="9"/>
        <v>1.0201034865364365</v>
      </c>
      <c r="Y48" s="37">
        <f t="shared" si="10"/>
        <v>-0.29238417492594532</v>
      </c>
      <c r="Z48" s="37">
        <f t="shared" si="11"/>
        <v>-1.4854848104327987</v>
      </c>
      <c r="AA48" s="37">
        <f t="shared" si="6"/>
        <v>0.60812434450388564</v>
      </c>
      <c r="AB48" s="37">
        <f t="shared" si="6"/>
        <v>0.30504398370210595</v>
      </c>
      <c r="AC48" s="37">
        <f t="shared" si="6"/>
        <v>0.72442741839320879</v>
      </c>
      <c r="AD48" s="37">
        <f t="shared" si="6"/>
        <v>-1.4835219688851171</v>
      </c>
      <c r="AE48" s="37">
        <f t="shared" si="6"/>
        <v>-0.76129058458721444</v>
      </c>
      <c r="AF48" s="90">
        <f t="shared" si="6"/>
        <v>1.1896601456449316</v>
      </c>
    </row>
    <row r="49" spans="1:49" x14ac:dyDescent="0.25">
      <c r="A49">
        <v>46</v>
      </c>
      <c r="B49" s="36">
        <v>5</v>
      </c>
      <c r="C49" s="37">
        <v>8</v>
      </c>
      <c r="D49" s="37">
        <v>2</v>
      </c>
      <c r="E49" s="37">
        <v>3</v>
      </c>
      <c r="F49" s="37">
        <v>6</v>
      </c>
      <c r="G49" s="37">
        <v>7</v>
      </c>
      <c r="H49" s="37">
        <v>4</v>
      </c>
      <c r="I49" s="37">
        <v>4</v>
      </c>
      <c r="J49" s="90">
        <v>8</v>
      </c>
      <c r="W49">
        <f t="shared" si="1"/>
        <v>46</v>
      </c>
      <c r="X49" s="123">
        <f t="shared" si="9"/>
        <v>1.0201034865364365</v>
      </c>
      <c r="Y49" s="37">
        <f t="shared" si="10"/>
        <v>-0.29238417492594532</v>
      </c>
      <c r="Z49" s="37">
        <f t="shared" si="11"/>
        <v>-0.87916447964390132</v>
      </c>
      <c r="AA49" s="37">
        <f t="shared" si="6"/>
        <v>-0.378023241178091</v>
      </c>
      <c r="AB49" s="37">
        <f t="shared" si="6"/>
        <v>-0.74082110327654205</v>
      </c>
      <c r="AC49" s="37">
        <f t="shared" si="6"/>
        <v>0.72442741839320879</v>
      </c>
      <c r="AD49" s="37">
        <f t="shared" si="6"/>
        <v>-0.32502325131756366</v>
      </c>
      <c r="AE49" s="37">
        <f t="shared" si="6"/>
        <v>-0.76129058458721444</v>
      </c>
      <c r="AF49" s="90">
        <f t="shared" si="6"/>
        <v>1.1896601456449316</v>
      </c>
    </row>
    <row r="50" spans="1:49" x14ac:dyDescent="0.25">
      <c r="A50">
        <v>47</v>
      </c>
      <c r="B50" s="36">
        <v>3</v>
      </c>
      <c r="C50" s="37">
        <v>8</v>
      </c>
      <c r="D50" s="37">
        <v>1</v>
      </c>
      <c r="E50" s="37">
        <v>3</v>
      </c>
      <c r="F50" s="37">
        <v>5</v>
      </c>
      <c r="G50" s="37">
        <v>5</v>
      </c>
      <c r="H50" s="37">
        <v>1</v>
      </c>
      <c r="I50" s="37">
        <v>5</v>
      </c>
      <c r="J50" s="90">
        <v>7</v>
      </c>
      <c r="W50">
        <f t="shared" si="1"/>
        <v>47</v>
      </c>
      <c r="X50" s="123">
        <f t="shared" si="9"/>
        <v>-0.55941158939094915</v>
      </c>
      <c r="Y50" s="37">
        <f t="shared" si="10"/>
        <v>-0.29238417492594532</v>
      </c>
      <c r="Z50" s="37">
        <f t="shared" si="11"/>
        <v>-1.4854848104327987</v>
      </c>
      <c r="AA50" s="37">
        <f t="shared" si="6"/>
        <v>-0.378023241178091</v>
      </c>
      <c r="AB50" s="37">
        <f t="shared" si="6"/>
        <v>-1.78668619025519</v>
      </c>
      <c r="AC50" s="37">
        <f t="shared" si="6"/>
        <v>-0.73660266912250705</v>
      </c>
      <c r="AD50" s="37">
        <f t="shared" si="6"/>
        <v>-1.4835219688851171</v>
      </c>
      <c r="AE50" s="37">
        <f t="shared" si="6"/>
        <v>0.2887653941537715</v>
      </c>
      <c r="AF50" s="90">
        <f t="shared" si="6"/>
        <v>-0.50985434813354169</v>
      </c>
    </row>
    <row r="51" spans="1:49" x14ac:dyDescent="0.25">
      <c r="A51">
        <v>48</v>
      </c>
      <c r="B51" s="36">
        <v>4</v>
      </c>
      <c r="C51" s="37">
        <v>9</v>
      </c>
      <c r="D51" s="37">
        <v>6</v>
      </c>
      <c r="E51" s="37">
        <v>3</v>
      </c>
      <c r="F51" s="37">
        <v>6</v>
      </c>
      <c r="G51" s="37">
        <v>4</v>
      </c>
      <c r="H51" s="37">
        <v>8</v>
      </c>
      <c r="I51" s="37">
        <v>5</v>
      </c>
      <c r="J51" s="90">
        <v>8</v>
      </c>
      <c r="W51">
        <f t="shared" si="1"/>
        <v>48</v>
      </c>
      <c r="X51" s="123">
        <f t="shared" si="9"/>
        <v>0.23034594857274363</v>
      </c>
      <c r="Y51" s="37">
        <f t="shared" si="10"/>
        <v>1.4619208746297327</v>
      </c>
      <c r="Z51" s="37">
        <f t="shared" si="11"/>
        <v>1.5461168435116881</v>
      </c>
      <c r="AA51" s="37">
        <f t="shared" si="6"/>
        <v>-0.378023241178091</v>
      </c>
      <c r="AB51" s="37">
        <f t="shared" si="6"/>
        <v>-0.74082110327654205</v>
      </c>
      <c r="AC51" s="37">
        <f t="shared" si="6"/>
        <v>-1.467117712880365</v>
      </c>
      <c r="AD51" s="37">
        <f t="shared" si="6"/>
        <v>1.2196417054391744</v>
      </c>
      <c r="AE51" s="37">
        <f t="shared" si="6"/>
        <v>0.2887653941537715</v>
      </c>
      <c r="AF51" s="90">
        <f t="shared" si="6"/>
        <v>1.1896601456449316</v>
      </c>
    </row>
    <row r="52" spans="1:49" x14ac:dyDescent="0.25">
      <c r="A52">
        <v>49</v>
      </c>
      <c r="B52" s="36">
        <v>3</v>
      </c>
      <c r="C52" s="37">
        <v>9</v>
      </c>
      <c r="D52" s="37">
        <v>4</v>
      </c>
      <c r="E52" s="37">
        <v>2</v>
      </c>
      <c r="F52" s="37">
        <v>7</v>
      </c>
      <c r="G52" s="37">
        <v>7</v>
      </c>
      <c r="H52" s="37">
        <v>2</v>
      </c>
      <c r="I52" s="37">
        <v>3</v>
      </c>
      <c r="J52" s="90">
        <v>8</v>
      </c>
      <c r="W52">
        <f t="shared" si="1"/>
        <v>49</v>
      </c>
      <c r="X52" s="123">
        <f t="shared" si="9"/>
        <v>-0.55941158939094915</v>
      </c>
      <c r="Y52" s="37">
        <f t="shared" si="10"/>
        <v>1.4619208746297327</v>
      </c>
      <c r="Z52" s="37">
        <f t="shared" si="11"/>
        <v>0.33347618193389345</v>
      </c>
      <c r="AA52" s="37">
        <f t="shared" si="6"/>
        <v>-1.3641708268600676</v>
      </c>
      <c r="AB52" s="37">
        <f t="shared" si="6"/>
        <v>0.30504398370210595</v>
      </c>
      <c r="AC52" s="37">
        <f t="shared" si="6"/>
        <v>0.72442741839320879</v>
      </c>
      <c r="AD52" s="37">
        <f t="shared" si="6"/>
        <v>-1.0973557296959326</v>
      </c>
      <c r="AE52" s="37">
        <f t="shared" si="6"/>
        <v>-1.8113465633282004</v>
      </c>
      <c r="AF52" s="90">
        <f t="shared" si="6"/>
        <v>1.1896601456449316</v>
      </c>
    </row>
    <row r="53" spans="1:49" x14ac:dyDescent="0.25">
      <c r="A53">
        <v>50</v>
      </c>
      <c r="B53" s="36">
        <v>3</v>
      </c>
      <c r="C53" s="37">
        <v>8</v>
      </c>
      <c r="D53" s="37">
        <v>3</v>
      </c>
      <c r="E53" s="37">
        <v>4</v>
      </c>
      <c r="F53" s="37">
        <v>7</v>
      </c>
      <c r="G53" s="37">
        <v>7</v>
      </c>
      <c r="H53" s="37">
        <v>5</v>
      </c>
      <c r="I53" s="37">
        <v>4</v>
      </c>
      <c r="J53" s="90">
        <v>8</v>
      </c>
      <c r="W53">
        <f t="shared" si="1"/>
        <v>50</v>
      </c>
      <c r="X53" s="123">
        <f t="shared" si="9"/>
        <v>-0.55941158939094915</v>
      </c>
      <c r="Y53" s="37">
        <f t="shared" si="10"/>
        <v>-0.29238417492594532</v>
      </c>
      <c r="Z53" s="37">
        <f t="shared" si="11"/>
        <v>-0.27284414885500391</v>
      </c>
      <c r="AA53" s="37">
        <f t="shared" si="6"/>
        <v>0.60812434450388564</v>
      </c>
      <c r="AB53" s="37">
        <f t="shared" si="6"/>
        <v>0.30504398370210595</v>
      </c>
      <c r="AC53" s="37">
        <f t="shared" si="6"/>
        <v>0.72442741839320879</v>
      </c>
      <c r="AD53" s="37">
        <f t="shared" si="6"/>
        <v>6.1142987871620834E-2</v>
      </c>
      <c r="AE53" s="37">
        <f t="shared" si="6"/>
        <v>-0.76129058458721444</v>
      </c>
      <c r="AF53" s="90">
        <f t="shared" si="6"/>
        <v>1.1896601456449316</v>
      </c>
    </row>
    <row r="54" spans="1:49" x14ac:dyDescent="0.25">
      <c r="A54">
        <v>51</v>
      </c>
      <c r="B54" s="36">
        <v>3</v>
      </c>
      <c r="C54" s="37">
        <v>7</v>
      </c>
      <c r="D54" s="37">
        <v>1</v>
      </c>
      <c r="E54" s="37">
        <v>4</v>
      </c>
      <c r="F54" s="37">
        <v>6</v>
      </c>
      <c r="G54" s="37">
        <v>4</v>
      </c>
      <c r="H54" s="37">
        <v>1</v>
      </c>
      <c r="I54" s="37">
        <v>6</v>
      </c>
      <c r="J54" s="90">
        <v>7</v>
      </c>
      <c r="W54">
        <f t="shared" si="1"/>
        <v>51</v>
      </c>
      <c r="X54" s="123">
        <f t="shared" si="9"/>
        <v>-0.55941158939094915</v>
      </c>
      <c r="Y54" s="37">
        <f t="shared" si="10"/>
        <v>-2.0466892244816233</v>
      </c>
      <c r="Z54" s="37">
        <f t="shared" si="11"/>
        <v>-1.4854848104327987</v>
      </c>
      <c r="AA54" s="37">
        <f t="shared" si="6"/>
        <v>0.60812434450388564</v>
      </c>
      <c r="AB54" s="37">
        <f t="shared" si="6"/>
        <v>-0.74082110327654205</v>
      </c>
      <c r="AC54" s="37">
        <f t="shared" si="6"/>
        <v>-1.467117712880365</v>
      </c>
      <c r="AD54" s="37">
        <f t="shared" si="6"/>
        <v>-1.4835219688851171</v>
      </c>
      <c r="AE54" s="37">
        <f t="shared" si="6"/>
        <v>1.3388213728947576</v>
      </c>
      <c r="AF54" s="90">
        <f t="shared" si="6"/>
        <v>-0.50985434813354169</v>
      </c>
    </row>
    <row r="55" spans="1:49" x14ac:dyDescent="0.25">
      <c r="A55">
        <v>52</v>
      </c>
      <c r="B55" s="36">
        <v>1</v>
      </c>
      <c r="C55" s="37">
        <v>8</v>
      </c>
      <c r="D55" s="37">
        <v>3</v>
      </c>
      <c r="E55" s="37">
        <v>4</v>
      </c>
      <c r="F55" s="37">
        <v>6</v>
      </c>
      <c r="G55" s="37">
        <v>3</v>
      </c>
      <c r="H55" s="37">
        <v>5</v>
      </c>
      <c r="I55" s="37">
        <v>4</v>
      </c>
      <c r="J55" s="90">
        <v>8</v>
      </c>
      <c r="W55">
        <f t="shared" si="1"/>
        <v>52</v>
      </c>
      <c r="X55" s="123">
        <f t="shared" si="9"/>
        <v>-2.1389266653183348</v>
      </c>
      <c r="Y55" s="37">
        <f t="shared" si="10"/>
        <v>-0.29238417492594532</v>
      </c>
      <c r="Z55" s="37">
        <f t="shared" si="11"/>
        <v>-0.27284414885500391</v>
      </c>
      <c r="AA55" s="37">
        <f t="shared" si="6"/>
        <v>0.60812434450388564</v>
      </c>
      <c r="AB55" s="37">
        <f t="shared" si="6"/>
        <v>-0.74082110327654205</v>
      </c>
      <c r="AC55" s="37">
        <f t="shared" si="6"/>
        <v>-2.1976327566382228</v>
      </c>
      <c r="AD55" s="37">
        <f t="shared" si="6"/>
        <v>6.1142987871620834E-2</v>
      </c>
      <c r="AE55" s="37">
        <f t="shared" si="6"/>
        <v>-0.76129058458721444</v>
      </c>
      <c r="AF55" s="90">
        <f t="shared" si="6"/>
        <v>1.1896601456449316</v>
      </c>
    </row>
    <row r="56" spans="1:49" x14ac:dyDescent="0.25">
      <c r="A56">
        <v>53</v>
      </c>
      <c r="B56" s="36">
        <v>4</v>
      </c>
      <c r="C56" s="37">
        <v>8</v>
      </c>
      <c r="D56" s="37">
        <v>6</v>
      </c>
      <c r="E56" s="37">
        <v>3</v>
      </c>
      <c r="F56" s="37">
        <v>7</v>
      </c>
      <c r="G56" s="37">
        <v>7</v>
      </c>
      <c r="H56" s="37">
        <v>8</v>
      </c>
      <c r="I56" s="37">
        <v>6</v>
      </c>
      <c r="J56" s="90">
        <v>7</v>
      </c>
      <c r="W56">
        <f t="shared" si="1"/>
        <v>53</v>
      </c>
      <c r="X56" s="123">
        <f t="shared" si="9"/>
        <v>0.23034594857274363</v>
      </c>
      <c r="Y56" s="37">
        <f t="shared" si="10"/>
        <v>-0.29238417492594532</v>
      </c>
      <c r="Z56" s="37">
        <f t="shared" si="11"/>
        <v>1.5461168435116881</v>
      </c>
      <c r="AA56" s="37">
        <f t="shared" si="6"/>
        <v>-0.378023241178091</v>
      </c>
      <c r="AB56" s="37">
        <f t="shared" si="6"/>
        <v>0.30504398370210595</v>
      </c>
      <c r="AC56" s="37">
        <f t="shared" si="6"/>
        <v>0.72442741839320879</v>
      </c>
      <c r="AD56" s="37">
        <f t="shared" si="6"/>
        <v>1.2196417054391744</v>
      </c>
      <c r="AE56" s="37">
        <f t="shared" si="6"/>
        <v>1.3388213728947576</v>
      </c>
      <c r="AF56" s="90">
        <f t="shared" si="6"/>
        <v>-0.50985434813354169</v>
      </c>
    </row>
    <row r="57" spans="1:49" x14ac:dyDescent="0.25">
      <c r="A57">
        <v>54</v>
      </c>
      <c r="B57" s="36">
        <v>3</v>
      </c>
      <c r="C57" s="37">
        <v>8</v>
      </c>
      <c r="D57" s="37">
        <v>4</v>
      </c>
      <c r="E57" s="37">
        <v>3</v>
      </c>
      <c r="F57" s="37">
        <v>5</v>
      </c>
      <c r="G57" s="37">
        <v>8</v>
      </c>
      <c r="H57" s="37">
        <v>1</v>
      </c>
      <c r="I57" s="37">
        <v>3</v>
      </c>
      <c r="J57" s="90">
        <v>7</v>
      </c>
      <c r="W57">
        <f t="shared" si="1"/>
        <v>54</v>
      </c>
      <c r="X57" s="123">
        <f t="shared" si="9"/>
        <v>-0.55941158939094915</v>
      </c>
      <c r="Y57" s="37">
        <f t="shared" si="10"/>
        <v>-0.29238417492594532</v>
      </c>
      <c r="Z57" s="37">
        <f t="shared" si="11"/>
        <v>0.33347618193389345</v>
      </c>
      <c r="AA57" s="37">
        <f t="shared" si="6"/>
        <v>-0.378023241178091</v>
      </c>
      <c r="AB57" s="37">
        <f t="shared" si="6"/>
        <v>-1.78668619025519</v>
      </c>
      <c r="AC57" s="37">
        <f t="shared" si="6"/>
        <v>1.4549424621510667</v>
      </c>
      <c r="AD57" s="37">
        <f t="shared" si="6"/>
        <v>-1.4835219688851171</v>
      </c>
      <c r="AE57" s="37">
        <f t="shared" si="6"/>
        <v>-1.8113465633282004</v>
      </c>
      <c r="AF57" s="90">
        <f t="shared" si="6"/>
        <v>-0.50985434813354169</v>
      </c>
    </row>
    <row r="58" spans="1:49" x14ac:dyDescent="0.25">
      <c r="A58">
        <v>55</v>
      </c>
      <c r="B58" s="36">
        <v>2</v>
      </c>
      <c r="C58" s="37">
        <v>9</v>
      </c>
      <c r="D58" s="37">
        <v>5</v>
      </c>
      <c r="E58" s="37">
        <v>2</v>
      </c>
      <c r="F58" s="37">
        <v>8</v>
      </c>
      <c r="G58" s="37">
        <v>4</v>
      </c>
      <c r="H58" s="37">
        <v>5</v>
      </c>
      <c r="I58" s="37">
        <v>6</v>
      </c>
      <c r="J58" s="90">
        <v>8</v>
      </c>
      <c r="M58" s="60">
        <v>1</v>
      </c>
      <c r="N58" s="60">
        <v>2</v>
      </c>
      <c r="O58" s="60">
        <v>3</v>
      </c>
      <c r="P58" s="60">
        <v>4</v>
      </c>
      <c r="W58">
        <f t="shared" si="1"/>
        <v>55</v>
      </c>
      <c r="X58" s="123">
        <f t="shared" si="9"/>
        <v>-1.349169127354642</v>
      </c>
      <c r="Y58" s="37">
        <f t="shared" si="10"/>
        <v>1.4619208746297327</v>
      </c>
      <c r="Z58" s="37">
        <f t="shared" si="11"/>
        <v>0.93979651272279086</v>
      </c>
      <c r="AA58" s="37">
        <f t="shared" si="6"/>
        <v>-1.3641708268600676</v>
      </c>
      <c r="AB58" s="37">
        <f t="shared" si="6"/>
        <v>1.3509090706807538</v>
      </c>
      <c r="AC58" s="37">
        <f t="shared" si="6"/>
        <v>-1.467117712880365</v>
      </c>
      <c r="AD58" s="37">
        <f t="shared" si="6"/>
        <v>6.1142987871620834E-2</v>
      </c>
      <c r="AE58" s="37">
        <f t="shared" si="6"/>
        <v>1.3388213728947576</v>
      </c>
      <c r="AF58" s="90">
        <f t="shared" si="6"/>
        <v>1.1896601456449316</v>
      </c>
    </row>
    <row r="59" spans="1:49" x14ac:dyDescent="0.25">
      <c r="A59">
        <v>56</v>
      </c>
      <c r="B59" s="36">
        <v>4</v>
      </c>
      <c r="C59" s="37">
        <v>8</v>
      </c>
      <c r="D59" s="37">
        <v>2</v>
      </c>
      <c r="E59" s="37">
        <v>3</v>
      </c>
      <c r="F59" s="37">
        <v>7</v>
      </c>
      <c r="G59" s="37">
        <v>4</v>
      </c>
      <c r="H59" s="37">
        <v>4</v>
      </c>
      <c r="I59" s="37">
        <v>4</v>
      </c>
      <c r="J59" s="90">
        <v>7</v>
      </c>
      <c r="L59" t="str">
        <f t="array" ref="L59:L67">L4:L12</f>
        <v>Expect</v>
      </c>
      <c r="M59" s="156">
        <f t="shared" ref="M59:P67" si="16">M19</f>
        <v>0.10867282066236424</v>
      </c>
      <c r="N59" s="157">
        <f t="shared" si="16"/>
        <v>0.63924827717306298</v>
      </c>
      <c r="O59" s="157">
        <f t="shared" si="16"/>
        <v>-0.25729565212955918</v>
      </c>
      <c r="P59" s="158">
        <f t="shared" si="16"/>
        <v>0.11377557935722513</v>
      </c>
      <c r="W59">
        <f t="shared" si="1"/>
        <v>56</v>
      </c>
      <c r="X59" s="123">
        <f t="shared" si="9"/>
        <v>0.23034594857274363</v>
      </c>
      <c r="Y59" s="37">
        <f t="shared" si="10"/>
        <v>-0.29238417492594532</v>
      </c>
      <c r="Z59" s="37">
        <f t="shared" si="11"/>
        <v>-0.87916447964390132</v>
      </c>
      <c r="AA59" s="37">
        <f t="shared" si="6"/>
        <v>-0.378023241178091</v>
      </c>
      <c r="AB59" s="37">
        <f t="shared" si="6"/>
        <v>0.30504398370210595</v>
      </c>
      <c r="AC59" s="37">
        <f t="shared" si="6"/>
        <v>-1.467117712880365</v>
      </c>
      <c r="AD59" s="37">
        <f t="shared" si="6"/>
        <v>-0.32502325131756366</v>
      </c>
      <c r="AE59" s="37">
        <f t="shared" si="6"/>
        <v>-0.76129058458721444</v>
      </c>
      <c r="AF59" s="90">
        <f t="shared" si="6"/>
        <v>-0.50985434813354169</v>
      </c>
    </row>
    <row r="60" spans="1:49" x14ac:dyDescent="0.25">
      <c r="A60">
        <v>57</v>
      </c>
      <c r="B60" s="36">
        <v>4</v>
      </c>
      <c r="C60" s="37">
        <v>9</v>
      </c>
      <c r="D60" s="37">
        <v>1</v>
      </c>
      <c r="E60" s="37">
        <v>4</v>
      </c>
      <c r="F60" s="37">
        <v>7</v>
      </c>
      <c r="G60" s="37">
        <v>7</v>
      </c>
      <c r="H60" s="37">
        <v>1</v>
      </c>
      <c r="I60" s="37">
        <v>4</v>
      </c>
      <c r="J60" s="90">
        <v>8</v>
      </c>
      <c r="L60" t="str">
        <v>Entertain</v>
      </c>
      <c r="M60" s="123">
        <f t="shared" si="16"/>
        <v>-0.41155512846221565</v>
      </c>
      <c r="N60" s="37">
        <f t="shared" si="16"/>
        <v>-0.25314343484567209</v>
      </c>
      <c r="O60" s="37">
        <f t="shared" si="16"/>
        <v>-0.18110398426320345</v>
      </c>
      <c r="P60" s="90">
        <f t="shared" si="16"/>
        <v>-0.26162000264296353</v>
      </c>
      <c r="W60">
        <f t="shared" si="1"/>
        <v>57</v>
      </c>
      <c r="X60" s="123">
        <f t="shared" si="9"/>
        <v>0.23034594857274363</v>
      </c>
      <c r="Y60" s="37">
        <f t="shared" si="10"/>
        <v>1.4619208746297327</v>
      </c>
      <c r="Z60" s="37">
        <f t="shared" si="11"/>
        <v>-1.4854848104327987</v>
      </c>
      <c r="AA60" s="37">
        <f t="shared" si="6"/>
        <v>0.60812434450388564</v>
      </c>
      <c r="AB60" s="37">
        <f t="shared" si="6"/>
        <v>0.30504398370210595</v>
      </c>
      <c r="AC60" s="37">
        <f t="shared" si="6"/>
        <v>0.72442741839320879</v>
      </c>
      <c r="AD60" s="37">
        <f t="shared" si="6"/>
        <v>-1.4835219688851171</v>
      </c>
      <c r="AE60" s="37">
        <f t="shared" si="6"/>
        <v>-0.76129058458721444</v>
      </c>
      <c r="AF60" s="90">
        <f t="shared" si="6"/>
        <v>1.1896601456449316</v>
      </c>
      <c r="AI60" t="s">
        <v>389</v>
      </c>
      <c r="AS60" s="47" t="s">
        <v>390</v>
      </c>
      <c r="AU60" s="47" t="s">
        <v>391</v>
      </c>
      <c r="AW60" s="47" t="s">
        <v>392</v>
      </c>
    </row>
    <row r="61" spans="1:49" x14ac:dyDescent="0.25">
      <c r="A61">
        <v>58</v>
      </c>
      <c r="B61" s="36">
        <v>4</v>
      </c>
      <c r="C61" s="37">
        <v>8</v>
      </c>
      <c r="D61" s="37">
        <v>3</v>
      </c>
      <c r="E61" s="37">
        <v>3</v>
      </c>
      <c r="F61" s="37">
        <v>7</v>
      </c>
      <c r="G61" s="37">
        <v>6</v>
      </c>
      <c r="H61" s="37">
        <v>3</v>
      </c>
      <c r="I61" s="37">
        <v>4</v>
      </c>
      <c r="J61" s="90">
        <v>7</v>
      </c>
      <c r="L61" t="str">
        <v>Comm</v>
      </c>
      <c r="M61" s="123">
        <f t="shared" si="16"/>
        <v>-0.44432039453439659</v>
      </c>
      <c r="N61" s="37">
        <f t="shared" si="16"/>
        <v>0.29067886866213077</v>
      </c>
      <c r="O61" s="37">
        <f t="shared" si="16"/>
        <v>-0.187280211477794</v>
      </c>
      <c r="P61" s="90">
        <f t="shared" si="16"/>
        <v>-0.30220270581537695</v>
      </c>
      <c r="W61">
        <f t="shared" si="1"/>
        <v>58</v>
      </c>
      <c r="X61" s="123">
        <f t="shared" si="9"/>
        <v>0.23034594857274363</v>
      </c>
      <c r="Y61" s="37">
        <f t="shared" si="10"/>
        <v>-0.29238417492594532</v>
      </c>
      <c r="Z61" s="37">
        <f t="shared" si="11"/>
        <v>-0.27284414885500391</v>
      </c>
      <c r="AA61" s="37">
        <f t="shared" si="6"/>
        <v>-0.378023241178091</v>
      </c>
      <c r="AB61" s="37">
        <f t="shared" si="6"/>
        <v>0.30504398370210595</v>
      </c>
      <c r="AC61" s="37">
        <f t="shared" si="6"/>
        <v>-6.0876253646491192E-3</v>
      </c>
      <c r="AD61" s="37">
        <f t="shared" si="6"/>
        <v>-0.71118949050674818</v>
      </c>
      <c r="AE61" s="37">
        <f t="shared" si="6"/>
        <v>-0.76129058458721444</v>
      </c>
      <c r="AF61" s="90">
        <f t="shared" si="6"/>
        <v>-0.50985434813354169</v>
      </c>
      <c r="AI61" s="156">
        <f t="array" ref="AI61:AQ69">M19:U27</f>
        <v>0.10867282066236424</v>
      </c>
      <c r="AJ61" s="157">
        <v>0.63924827717306298</v>
      </c>
      <c r="AK61" s="157">
        <v>-0.25729565212955918</v>
      </c>
      <c r="AL61" s="157">
        <v>0.11377557935722513</v>
      </c>
      <c r="AM61" s="157">
        <v>0.41710079267245143</v>
      </c>
      <c r="AN61" s="157">
        <v>-9.591215740460142E-2</v>
      </c>
      <c r="AO61" s="157">
        <v>0.48082938909867129</v>
      </c>
      <c r="AP61" s="157">
        <v>-0.28424031931196581</v>
      </c>
      <c r="AQ61" s="158">
        <v>-7.2417189866390647E-2</v>
      </c>
      <c r="AS61" s="172">
        <f t="array" ref="AS61:AS69">TRANSPOSE(B4:AS69)</f>
        <v>2</v>
      </c>
      <c r="AU61" s="172">
        <f t="array" ref="AU61:AU69">STANDARDIZE(AS61:AS69,TRANSPOSE(B126:J126),TRANSPOSE(B127:J127))</f>
        <v>-1.349169127354642</v>
      </c>
      <c r="AW61" s="172">
        <f t="array" ref="AW61:AW69">MMULT(TRANSPOSE(AI61:AQ69),AU61:AU69)</f>
        <v>0.78250210216205973</v>
      </c>
    </row>
    <row r="62" spans="1:49" x14ac:dyDescent="0.25">
      <c r="A62">
        <v>59</v>
      </c>
      <c r="B62" s="36">
        <v>5</v>
      </c>
      <c r="C62" s="37">
        <v>8</v>
      </c>
      <c r="D62" s="37">
        <v>3</v>
      </c>
      <c r="E62" s="37">
        <v>4</v>
      </c>
      <c r="F62" s="37">
        <v>8</v>
      </c>
      <c r="G62" s="37">
        <v>6</v>
      </c>
      <c r="H62" s="37">
        <v>5</v>
      </c>
      <c r="I62" s="37">
        <v>5</v>
      </c>
      <c r="J62" s="90">
        <v>7</v>
      </c>
      <c r="L62" t="str">
        <v>Expert</v>
      </c>
      <c r="M62" s="123">
        <f t="shared" si="16"/>
        <v>-0.21563850036801047</v>
      </c>
      <c r="N62" s="37">
        <f t="shared" si="16"/>
        <v>0.13550085617976151</v>
      </c>
      <c r="O62" s="37">
        <f t="shared" si="16"/>
        <v>-0.18288161073484543</v>
      </c>
      <c r="P62" s="90">
        <f t="shared" si="16"/>
        <v>0.83964129576815227</v>
      </c>
      <c r="W62">
        <f t="shared" si="1"/>
        <v>59</v>
      </c>
      <c r="X62" s="123">
        <f t="shared" si="9"/>
        <v>1.0201034865364365</v>
      </c>
      <c r="Y62" s="37">
        <f t="shared" si="10"/>
        <v>-0.29238417492594532</v>
      </c>
      <c r="Z62" s="37">
        <f t="shared" si="11"/>
        <v>-0.27284414885500391</v>
      </c>
      <c r="AA62" s="37">
        <f t="shared" si="6"/>
        <v>0.60812434450388564</v>
      </c>
      <c r="AB62" s="37">
        <f t="shared" si="6"/>
        <v>1.3509090706807538</v>
      </c>
      <c r="AC62" s="37">
        <f t="shared" si="6"/>
        <v>-6.0876253646491192E-3</v>
      </c>
      <c r="AD62" s="37">
        <f t="shared" si="6"/>
        <v>6.1142987871620834E-2</v>
      </c>
      <c r="AE62" s="37">
        <f t="shared" si="6"/>
        <v>0.2887653941537715</v>
      </c>
      <c r="AF62" s="90">
        <f t="shared" si="6"/>
        <v>-0.50985434813354169</v>
      </c>
      <c r="AI62" s="123">
        <v>-0.41155512846221565</v>
      </c>
      <c r="AJ62" s="37">
        <v>-0.25314343484567209</v>
      </c>
      <c r="AK62" s="37">
        <v>-0.18110398426320345</v>
      </c>
      <c r="AL62" s="37">
        <v>-0.26162000264296353</v>
      </c>
      <c r="AM62" s="37">
        <v>0.33963616583182932</v>
      </c>
      <c r="AN62" s="37">
        <v>6.7990131664195271E-5</v>
      </c>
      <c r="AO62" s="37">
        <v>0.43645311465032116</v>
      </c>
      <c r="AP62" s="37">
        <v>0.59253174817325882</v>
      </c>
      <c r="AQ62" s="90">
        <v>-9.1428524472632819E-2</v>
      </c>
      <c r="AS62" s="173">
        <v>8</v>
      </c>
      <c r="AU62" s="173">
        <v>-0.29238417492594532</v>
      </c>
      <c r="AW62" s="173">
        <v>-1.9675759043968666</v>
      </c>
    </row>
    <row r="63" spans="1:49" x14ac:dyDescent="0.25">
      <c r="A63">
        <v>60</v>
      </c>
      <c r="B63" s="36">
        <v>7</v>
      </c>
      <c r="C63" s="37">
        <v>8</v>
      </c>
      <c r="D63" s="37">
        <v>4</v>
      </c>
      <c r="E63" s="37">
        <v>4</v>
      </c>
      <c r="F63" s="37">
        <v>7</v>
      </c>
      <c r="G63" s="37">
        <v>7</v>
      </c>
      <c r="H63" s="37">
        <v>6</v>
      </c>
      <c r="I63" s="37">
        <v>6</v>
      </c>
      <c r="J63" s="90">
        <v>7</v>
      </c>
      <c r="L63" t="str">
        <v>Motivate</v>
      </c>
      <c r="M63" s="123">
        <f t="shared" si="16"/>
        <v>-0.34065994702866276</v>
      </c>
      <c r="N63" s="37">
        <f t="shared" si="16"/>
        <v>3.6795371300436405E-2</v>
      </c>
      <c r="O63" s="37">
        <f t="shared" si="16"/>
        <v>0.41963143282396931</v>
      </c>
      <c r="P63" s="90">
        <f t="shared" si="16"/>
        <v>0.15599965922517467</v>
      </c>
      <c r="W63">
        <f t="shared" si="1"/>
        <v>60</v>
      </c>
      <c r="X63" s="123">
        <f t="shared" si="9"/>
        <v>2.5996185624638222</v>
      </c>
      <c r="Y63" s="37">
        <f t="shared" si="10"/>
        <v>-0.29238417492594532</v>
      </c>
      <c r="Z63" s="37">
        <f t="shared" si="11"/>
        <v>0.33347618193389345</v>
      </c>
      <c r="AA63" s="37">
        <f t="shared" si="6"/>
        <v>0.60812434450388564</v>
      </c>
      <c r="AB63" s="37">
        <f t="shared" si="6"/>
        <v>0.30504398370210595</v>
      </c>
      <c r="AC63" s="37">
        <f t="shared" si="6"/>
        <v>0.72442741839320879</v>
      </c>
      <c r="AD63" s="37">
        <f t="shared" si="6"/>
        <v>0.44730922706080534</v>
      </c>
      <c r="AE63" s="37">
        <f t="shared" si="6"/>
        <v>1.3388213728947576</v>
      </c>
      <c r="AF63" s="90">
        <f t="shared" si="6"/>
        <v>-0.50985434813354169</v>
      </c>
      <c r="AI63" s="123">
        <v>-0.44432039453439659</v>
      </c>
      <c r="AJ63" s="37">
        <v>0.29067886866213077</v>
      </c>
      <c r="AK63" s="37">
        <v>-0.187280211477794</v>
      </c>
      <c r="AL63" s="37">
        <v>-0.30220270581537695</v>
      </c>
      <c r="AM63" s="37">
        <v>3.010300172535367E-2</v>
      </c>
      <c r="AN63" s="37">
        <v>-0.13252436880522347</v>
      </c>
      <c r="AO63" s="37">
        <v>-0.30089804917138796</v>
      </c>
      <c r="AP63" s="37">
        <v>-6.3954964480358992E-2</v>
      </c>
      <c r="AQ63" s="90">
        <v>0.69179914482736116</v>
      </c>
      <c r="AS63" s="173">
        <v>1</v>
      </c>
      <c r="AU63" s="173">
        <v>-1.4854848104327987</v>
      </c>
      <c r="AW63" s="173">
        <v>-0.23405876367875647</v>
      </c>
    </row>
    <row r="64" spans="1:49" x14ac:dyDescent="0.25">
      <c r="A64">
        <v>61</v>
      </c>
      <c r="B64" s="36">
        <v>4</v>
      </c>
      <c r="C64" s="37">
        <v>8</v>
      </c>
      <c r="D64" s="37">
        <v>3</v>
      </c>
      <c r="E64" s="37">
        <v>3</v>
      </c>
      <c r="F64" s="37">
        <v>7</v>
      </c>
      <c r="G64" s="37">
        <v>5</v>
      </c>
      <c r="H64" s="37">
        <v>6</v>
      </c>
      <c r="I64" s="37">
        <v>3</v>
      </c>
      <c r="J64" s="90">
        <v>7</v>
      </c>
      <c r="L64" t="str">
        <v>Caring</v>
      </c>
      <c r="M64" s="123">
        <f t="shared" si="16"/>
        <v>-0.17656698530373344</v>
      </c>
      <c r="N64" s="37">
        <f t="shared" si="16"/>
        <v>2.5335186999452402E-2</v>
      </c>
      <c r="O64" s="37">
        <f t="shared" si="16"/>
        <v>0.71451302129716265</v>
      </c>
      <c r="P64" s="90">
        <f t="shared" si="16"/>
        <v>6.2973921251602311E-2</v>
      </c>
      <c r="W64">
        <f t="shared" si="1"/>
        <v>61</v>
      </c>
      <c r="X64" s="123">
        <f t="shared" si="9"/>
        <v>0.23034594857274363</v>
      </c>
      <c r="Y64" s="37">
        <f t="shared" si="10"/>
        <v>-0.29238417492594532</v>
      </c>
      <c r="Z64" s="37">
        <f t="shared" si="11"/>
        <v>-0.27284414885500391</v>
      </c>
      <c r="AA64" s="37">
        <f t="shared" ref="AA64:AF64" si="17">STANDARDIZE(E64,E$126,E$127)</f>
        <v>-0.378023241178091</v>
      </c>
      <c r="AB64" s="37">
        <f t="shared" si="17"/>
        <v>0.30504398370210595</v>
      </c>
      <c r="AC64" s="37">
        <f t="shared" si="17"/>
        <v>-0.73660266912250705</v>
      </c>
      <c r="AD64" s="37">
        <f t="shared" si="17"/>
        <v>0.44730922706080534</v>
      </c>
      <c r="AE64" s="37">
        <f t="shared" si="17"/>
        <v>-1.8113465633282004</v>
      </c>
      <c r="AF64" s="90">
        <f t="shared" si="17"/>
        <v>-0.50985434813354169</v>
      </c>
      <c r="AI64" s="123">
        <v>-0.21563850036801047</v>
      </c>
      <c r="AJ64" s="37">
        <v>0.13550085617976151</v>
      </c>
      <c r="AK64" s="37">
        <v>-0.18288161073484543</v>
      </c>
      <c r="AL64" s="37">
        <v>0.83964129576815227</v>
      </c>
      <c r="AM64" s="37">
        <v>2.8152588570770857E-2</v>
      </c>
      <c r="AN64" s="37">
        <v>-8.2440903338581398E-3</v>
      </c>
      <c r="AO64" s="37">
        <v>-0.22139125914539076</v>
      </c>
      <c r="AP64" s="37">
        <v>0.37879413338631968</v>
      </c>
      <c r="AQ64" s="90">
        <v>5.7764588173452182E-2</v>
      </c>
      <c r="AS64" s="173">
        <v>4</v>
      </c>
      <c r="AU64" s="173">
        <v>0.60812434450388564</v>
      </c>
      <c r="AW64" s="173">
        <v>1.1237005516487559</v>
      </c>
    </row>
    <row r="65" spans="1:49" x14ac:dyDescent="0.25">
      <c r="A65">
        <v>62</v>
      </c>
      <c r="B65" s="36">
        <v>4</v>
      </c>
      <c r="C65" s="37">
        <v>8</v>
      </c>
      <c r="D65" s="37">
        <v>4</v>
      </c>
      <c r="E65" s="37">
        <v>4</v>
      </c>
      <c r="F65" s="37">
        <v>8</v>
      </c>
      <c r="G65" s="37">
        <v>5</v>
      </c>
      <c r="H65" s="37">
        <v>7</v>
      </c>
      <c r="I65" s="37">
        <v>4</v>
      </c>
      <c r="J65" s="90">
        <v>7</v>
      </c>
      <c r="L65" t="str">
        <v>Charisma</v>
      </c>
      <c r="M65" s="123">
        <f t="shared" si="16"/>
        <v>-0.48149531050226674</v>
      </c>
      <c r="N65" s="37">
        <f t="shared" si="16"/>
        <v>0.19955381608776179</v>
      </c>
      <c r="O65" s="37">
        <f t="shared" si="16"/>
        <v>-0.18029716401458001</v>
      </c>
      <c r="P65" s="90">
        <f t="shared" si="16"/>
        <v>-0.16443604112894591</v>
      </c>
      <c r="W65">
        <f t="shared" si="1"/>
        <v>62</v>
      </c>
      <c r="X65" s="123">
        <f t="shared" ref="X65:AF93" si="18">STANDARDIZE(B65,B$126,B$127)</f>
        <v>0.23034594857274363</v>
      </c>
      <c r="Y65" s="37">
        <f t="shared" si="18"/>
        <v>-0.29238417492594532</v>
      </c>
      <c r="Z65" s="37">
        <f t="shared" si="18"/>
        <v>0.33347618193389345</v>
      </c>
      <c r="AA65" s="37">
        <f t="shared" si="18"/>
        <v>0.60812434450388564</v>
      </c>
      <c r="AB65" s="37">
        <f t="shared" si="18"/>
        <v>1.3509090706807538</v>
      </c>
      <c r="AC65" s="37">
        <f t="shared" si="18"/>
        <v>-0.73660266912250705</v>
      </c>
      <c r="AD65" s="37">
        <f t="shared" si="18"/>
        <v>0.8334754662499898</v>
      </c>
      <c r="AE65" s="37">
        <f t="shared" si="18"/>
        <v>-0.76129058458721444</v>
      </c>
      <c r="AF65" s="90">
        <f t="shared" si="18"/>
        <v>-0.50985434813354169</v>
      </c>
      <c r="AI65" s="123">
        <v>-0.34065994702866276</v>
      </c>
      <c r="AJ65" s="37">
        <v>3.6795371300436405E-2</v>
      </c>
      <c r="AK65" s="37">
        <v>0.41963143282396931</v>
      </c>
      <c r="AL65" s="37">
        <v>0.15599965922517467</v>
      </c>
      <c r="AM65" s="37">
        <v>-0.42352341595274107</v>
      </c>
      <c r="AN65" s="37">
        <v>-0.5599448078066922</v>
      </c>
      <c r="AO65" s="37">
        <v>0.42454782656015899</v>
      </c>
      <c r="AP65" s="37">
        <v>-8.8223691667977652E-2</v>
      </c>
      <c r="AQ65" s="90">
        <v>3.51556480609738E-2</v>
      </c>
      <c r="AS65" s="173">
        <v>7</v>
      </c>
      <c r="AU65" s="173">
        <v>0.30504398370210595</v>
      </c>
      <c r="AW65" s="173">
        <v>-0.76562434076577512</v>
      </c>
    </row>
    <row r="66" spans="1:49" x14ac:dyDescent="0.25">
      <c r="A66">
        <v>63</v>
      </c>
      <c r="B66" s="36">
        <v>3</v>
      </c>
      <c r="C66" s="37">
        <v>9</v>
      </c>
      <c r="D66" s="37">
        <v>4</v>
      </c>
      <c r="E66" s="37">
        <v>3</v>
      </c>
      <c r="F66" s="37">
        <v>8</v>
      </c>
      <c r="G66" s="37">
        <v>6</v>
      </c>
      <c r="H66" s="37">
        <v>4</v>
      </c>
      <c r="I66" s="37">
        <v>5</v>
      </c>
      <c r="J66" s="90">
        <v>8</v>
      </c>
      <c r="L66" t="str">
        <v>Passion</v>
      </c>
      <c r="M66" s="123">
        <f t="shared" si="16"/>
        <v>-0.40531393485510109</v>
      </c>
      <c r="N66" s="37">
        <f t="shared" si="16"/>
        <v>2.9433741047434455E-2</v>
      </c>
      <c r="O66" s="37">
        <f t="shared" si="16"/>
        <v>0.10755126341193333</v>
      </c>
      <c r="P66" s="90">
        <f t="shared" si="16"/>
        <v>0.11621477933703687</v>
      </c>
      <c r="W66">
        <f t="shared" si="1"/>
        <v>63</v>
      </c>
      <c r="X66" s="123">
        <f t="shared" si="18"/>
        <v>-0.55941158939094915</v>
      </c>
      <c r="Y66" s="37">
        <f t="shared" si="18"/>
        <v>1.4619208746297327</v>
      </c>
      <c r="Z66" s="37">
        <f t="shared" si="18"/>
        <v>0.33347618193389345</v>
      </c>
      <c r="AA66" s="37">
        <f t="shared" si="18"/>
        <v>-0.378023241178091</v>
      </c>
      <c r="AB66" s="37">
        <f t="shared" si="18"/>
        <v>1.3509090706807538</v>
      </c>
      <c r="AC66" s="37">
        <f t="shared" si="18"/>
        <v>-6.0876253646491192E-3</v>
      </c>
      <c r="AD66" s="37">
        <f t="shared" si="18"/>
        <v>-0.32502325131756366</v>
      </c>
      <c r="AE66" s="37">
        <f t="shared" si="18"/>
        <v>0.2887653941537715</v>
      </c>
      <c r="AF66" s="90">
        <f t="shared" si="18"/>
        <v>1.1896601456449316</v>
      </c>
      <c r="AI66" s="123">
        <v>-0.17656698530373344</v>
      </c>
      <c r="AJ66" s="37">
        <v>2.5335186999452402E-2</v>
      </c>
      <c r="AK66" s="37">
        <v>0.71451302129716265</v>
      </c>
      <c r="AL66" s="37">
        <v>6.2973921251602311E-2</v>
      </c>
      <c r="AM66" s="37">
        <v>0.63254379951984552</v>
      </c>
      <c r="AN66" s="37">
        <v>2.9678127707358989E-2</v>
      </c>
      <c r="AO66" s="37">
        <v>-0.21612676329486225</v>
      </c>
      <c r="AP66" s="37">
        <v>-7.2965594974557554E-2</v>
      </c>
      <c r="AQ66" s="90">
        <v>-2.5699225706734535E-2</v>
      </c>
      <c r="AS66" s="173">
        <v>5</v>
      </c>
      <c r="AU66" s="173">
        <v>-0.73660266912250705</v>
      </c>
      <c r="AW66" s="173">
        <v>-0.66148868417178019</v>
      </c>
    </row>
    <row r="67" spans="1:49" x14ac:dyDescent="0.25">
      <c r="A67">
        <v>64</v>
      </c>
      <c r="B67" s="36">
        <v>5</v>
      </c>
      <c r="C67" s="37">
        <v>8</v>
      </c>
      <c r="D67" s="37">
        <v>2</v>
      </c>
      <c r="E67" s="37">
        <v>3</v>
      </c>
      <c r="F67" s="37">
        <v>6</v>
      </c>
      <c r="G67" s="37">
        <v>4</v>
      </c>
      <c r="H67" s="37">
        <v>6</v>
      </c>
      <c r="I67" s="37">
        <v>4</v>
      </c>
      <c r="J67" s="90">
        <v>7</v>
      </c>
      <c r="L67" t="str">
        <v>Friendly</v>
      </c>
      <c r="M67" s="91">
        <f t="shared" si="16"/>
        <v>-0.17762263035252251</v>
      </c>
      <c r="N67" s="92">
        <f t="shared" si="16"/>
        <v>-0.61785233926642158</v>
      </c>
      <c r="O67" s="92">
        <f t="shared" si="16"/>
        <v>-0.31904074111745484</v>
      </c>
      <c r="P67" s="93">
        <f t="shared" si="16"/>
        <v>0.23116966886460935</v>
      </c>
      <c r="Q67" s="37"/>
      <c r="W67">
        <f t="shared" si="1"/>
        <v>64</v>
      </c>
      <c r="X67" s="123">
        <f t="shared" si="18"/>
        <v>1.0201034865364365</v>
      </c>
      <c r="Y67" s="37">
        <f t="shared" si="18"/>
        <v>-0.29238417492594532</v>
      </c>
      <c r="Z67" s="37">
        <f t="shared" si="18"/>
        <v>-0.87916447964390132</v>
      </c>
      <c r="AA67" s="37">
        <f t="shared" si="18"/>
        <v>-0.378023241178091</v>
      </c>
      <c r="AB67" s="37">
        <f t="shared" si="18"/>
        <v>-0.74082110327654205</v>
      </c>
      <c r="AC67" s="37">
        <f t="shared" si="18"/>
        <v>-1.467117712880365</v>
      </c>
      <c r="AD67" s="37">
        <f t="shared" si="18"/>
        <v>0.44730922706080534</v>
      </c>
      <c r="AE67" s="37">
        <f t="shared" si="18"/>
        <v>-0.76129058458721444</v>
      </c>
      <c r="AF67" s="90">
        <f t="shared" si="18"/>
        <v>-0.50985434813354169</v>
      </c>
      <c r="AI67" s="123">
        <v>-0.48149531050226674</v>
      </c>
      <c r="AJ67" s="37">
        <v>0.19955381608776179</v>
      </c>
      <c r="AK67" s="37">
        <v>-0.18029716401458001</v>
      </c>
      <c r="AL67" s="37">
        <v>-0.16443604112894591</v>
      </c>
      <c r="AM67" s="37">
        <v>-8.9073854886759812E-2</v>
      </c>
      <c r="AN67" s="37">
        <v>-9.9157243599927641E-2</v>
      </c>
      <c r="AO67" s="37">
        <v>-0.36144099298527216</v>
      </c>
      <c r="AP67" s="37">
        <v>-0.1678417200000899</v>
      </c>
      <c r="AQ67" s="90">
        <v>-0.70158215235978194</v>
      </c>
      <c r="AS67" s="173">
        <v>4</v>
      </c>
      <c r="AU67" s="173">
        <v>-0.32502325131756366</v>
      </c>
      <c r="AW67" s="173">
        <v>-0.22281136569341453</v>
      </c>
    </row>
    <row r="68" spans="1:49" x14ac:dyDescent="0.25">
      <c r="A68">
        <v>65</v>
      </c>
      <c r="B68" s="36">
        <v>7</v>
      </c>
      <c r="C68" s="37">
        <v>9</v>
      </c>
      <c r="D68" s="37">
        <v>7</v>
      </c>
      <c r="E68" s="37">
        <v>4</v>
      </c>
      <c r="F68" s="37">
        <v>8</v>
      </c>
      <c r="G68" s="37">
        <v>6</v>
      </c>
      <c r="H68" s="37">
        <v>10</v>
      </c>
      <c r="I68" s="37">
        <v>6</v>
      </c>
      <c r="J68" s="90">
        <v>7</v>
      </c>
      <c r="Q68" s="60"/>
      <c r="W68">
        <f t="shared" si="1"/>
        <v>65</v>
      </c>
      <c r="X68" s="123">
        <f t="shared" si="18"/>
        <v>2.5996185624638222</v>
      </c>
      <c r="Y68" s="37">
        <f t="shared" si="18"/>
        <v>1.4619208746297327</v>
      </c>
      <c r="Z68" s="37">
        <f t="shared" si="18"/>
        <v>2.1524371743005855</v>
      </c>
      <c r="AA68" s="37">
        <f t="shared" si="18"/>
        <v>0.60812434450388564</v>
      </c>
      <c r="AB68" s="37">
        <f t="shared" si="18"/>
        <v>1.3509090706807538</v>
      </c>
      <c r="AC68" s="37">
        <f t="shared" si="18"/>
        <v>-6.0876253646491192E-3</v>
      </c>
      <c r="AD68" s="37">
        <f t="shared" si="18"/>
        <v>1.9919741838175433</v>
      </c>
      <c r="AE68" s="37">
        <f t="shared" si="18"/>
        <v>1.3388213728947576</v>
      </c>
      <c r="AF68" s="90">
        <f t="shared" si="18"/>
        <v>-0.50985434813354169</v>
      </c>
      <c r="AI68" s="123">
        <v>-0.40531393485510109</v>
      </c>
      <c r="AJ68" s="37">
        <v>2.9433741047434455E-2</v>
      </c>
      <c r="AK68" s="37">
        <v>0.10755126341193333</v>
      </c>
      <c r="AL68" s="37">
        <v>0.11621477933703687</v>
      </c>
      <c r="AM68" s="37">
        <v>-0.21504973397504623</v>
      </c>
      <c r="AN68" s="37">
        <v>0.78275870493576327</v>
      </c>
      <c r="AO68" s="37">
        <v>0.28183665148619119</v>
      </c>
      <c r="AP68" s="37">
        <v>-0.25913253981977796</v>
      </c>
      <c r="AQ68" s="90">
        <v>6.513041035120351E-2</v>
      </c>
      <c r="AS68" s="173">
        <v>4</v>
      </c>
      <c r="AU68" s="173">
        <v>-0.76129058458721444</v>
      </c>
      <c r="AW68" s="173">
        <v>0.14963601664833681</v>
      </c>
    </row>
    <row r="69" spans="1:49" x14ac:dyDescent="0.25">
      <c r="A69">
        <v>66</v>
      </c>
      <c r="B69" s="36">
        <v>3</v>
      </c>
      <c r="C69" s="37">
        <v>8</v>
      </c>
      <c r="D69" s="37">
        <v>1</v>
      </c>
      <c r="E69" s="37">
        <v>3</v>
      </c>
      <c r="F69" s="37">
        <v>7</v>
      </c>
      <c r="G69" s="37">
        <v>6</v>
      </c>
      <c r="H69" s="37">
        <v>5</v>
      </c>
      <c r="I69" s="37">
        <v>5</v>
      </c>
      <c r="J69" s="90">
        <v>7</v>
      </c>
      <c r="W69">
        <f t="shared" si="1"/>
        <v>66</v>
      </c>
      <c r="X69" s="123">
        <f t="shared" si="18"/>
        <v>-0.55941158939094915</v>
      </c>
      <c r="Y69" s="37">
        <f t="shared" si="18"/>
        <v>-0.29238417492594532</v>
      </c>
      <c r="Z69" s="37">
        <f t="shared" si="18"/>
        <v>-1.4854848104327987</v>
      </c>
      <c r="AA69" s="37">
        <f t="shared" si="18"/>
        <v>-0.378023241178091</v>
      </c>
      <c r="AB69" s="37">
        <f t="shared" si="18"/>
        <v>0.30504398370210595</v>
      </c>
      <c r="AC69" s="37">
        <f t="shared" si="18"/>
        <v>-6.0876253646491192E-3</v>
      </c>
      <c r="AD69" s="37">
        <f t="shared" si="18"/>
        <v>6.1142987871620834E-2</v>
      </c>
      <c r="AE69" s="37">
        <f t="shared" si="18"/>
        <v>0.2887653941537715</v>
      </c>
      <c r="AF69" s="90">
        <f t="shared" si="18"/>
        <v>-0.50985434813354169</v>
      </c>
      <c r="AI69" s="91">
        <v>-0.17762263035252251</v>
      </c>
      <c r="AJ69" s="92">
        <v>-0.61785233926642158</v>
      </c>
      <c r="AK69" s="92">
        <v>-0.31904074111745484</v>
      </c>
      <c r="AL69" s="92">
        <v>0.23116966886460935</v>
      </c>
      <c r="AM69" s="92">
        <v>0.2744287936360626</v>
      </c>
      <c r="AN69" s="92">
        <v>-0.19028360917782811</v>
      </c>
      <c r="AO69" s="92">
        <v>4.1652458384891254E-2</v>
      </c>
      <c r="AP69" s="92">
        <v>-0.55866843595019611</v>
      </c>
      <c r="AQ69" s="93">
        <v>7.8217098124915563E-2</v>
      </c>
      <c r="AS69" s="174">
        <v>8</v>
      </c>
      <c r="AU69" s="174">
        <v>1.1896601456449316</v>
      </c>
      <c r="AW69" s="174">
        <v>-0.56694053305578651</v>
      </c>
    </row>
    <row r="70" spans="1:49" x14ac:dyDescent="0.25">
      <c r="A70">
        <v>67</v>
      </c>
      <c r="B70" s="36">
        <v>4</v>
      </c>
      <c r="C70" s="37">
        <v>8</v>
      </c>
      <c r="D70" s="37">
        <v>5</v>
      </c>
      <c r="E70" s="37">
        <v>4</v>
      </c>
      <c r="F70" s="37">
        <v>7</v>
      </c>
      <c r="G70" s="37">
        <v>6</v>
      </c>
      <c r="H70" s="37">
        <v>9</v>
      </c>
      <c r="I70" s="37">
        <v>6</v>
      </c>
      <c r="J70" s="90">
        <v>7</v>
      </c>
      <c r="W70">
        <f t="shared" ref="W70:W123" si="19">W69+1</f>
        <v>67</v>
      </c>
      <c r="X70" s="123">
        <f t="shared" si="18"/>
        <v>0.23034594857274363</v>
      </c>
      <c r="Y70" s="37">
        <f t="shared" si="18"/>
        <v>-0.29238417492594532</v>
      </c>
      <c r="Z70" s="37">
        <f t="shared" si="18"/>
        <v>0.93979651272279086</v>
      </c>
      <c r="AA70" s="37">
        <f t="shared" si="18"/>
        <v>0.60812434450388564</v>
      </c>
      <c r="AB70" s="37">
        <f t="shared" si="18"/>
        <v>0.30504398370210595</v>
      </c>
      <c r="AC70" s="37">
        <f t="shared" si="18"/>
        <v>-6.0876253646491192E-3</v>
      </c>
      <c r="AD70" s="37">
        <f t="shared" si="18"/>
        <v>1.6058079446283589</v>
      </c>
      <c r="AE70" s="37">
        <f t="shared" si="18"/>
        <v>1.3388213728947576</v>
      </c>
      <c r="AF70" s="90">
        <f t="shared" si="18"/>
        <v>-0.50985434813354169</v>
      </c>
    </row>
    <row r="71" spans="1:49" x14ac:dyDescent="0.25">
      <c r="A71">
        <v>68</v>
      </c>
      <c r="B71" s="36">
        <v>5</v>
      </c>
      <c r="C71" s="37">
        <v>8</v>
      </c>
      <c r="D71" s="37">
        <v>2</v>
      </c>
      <c r="E71" s="37">
        <v>3</v>
      </c>
      <c r="F71" s="37">
        <v>5</v>
      </c>
      <c r="G71" s="37">
        <v>7</v>
      </c>
      <c r="H71" s="37">
        <v>1</v>
      </c>
      <c r="I71" s="37">
        <v>5</v>
      </c>
      <c r="J71" s="90">
        <v>7</v>
      </c>
      <c r="W71">
        <f t="shared" si="19"/>
        <v>68</v>
      </c>
      <c r="X71" s="123">
        <f t="shared" si="18"/>
        <v>1.0201034865364365</v>
      </c>
      <c r="Y71" s="37">
        <f t="shared" si="18"/>
        <v>-0.29238417492594532</v>
      </c>
      <c r="Z71" s="37">
        <f t="shared" si="18"/>
        <v>-0.87916447964390132</v>
      </c>
      <c r="AA71" s="37">
        <f t="shared" si="18"/>
        <v>-0.378023241178091</v>
      </c>
      <c r="AB71" s="37">
        <f t="shared" si="18"/>
        <v>-1.78668619025519</v>
      </c>
      <c r="AC71" s="37">
        <f t="shared" si="18"/>
        <v>0.72442741839320879</v>
      </c>
      <c r="AD71" s="37">
        <f t="shared" si="18"/>
        <v>-1.4835219688851171</v>
      </c>
      <c r="AE71" s="37">
        <f t="shared" si="18"/>
        <v>0.2887653941537715</v>
      </c>
      <c r="AF71" s="90">
        <f t="shared" si="18"/>
        <v>-0.50985434813354169</v>
      </c>
      <c r="AN71" t="s">
        <v>381</v>
      </c>
    </row>
    <row r="72" spans="1:49" x14ac:dyDescent="0.25">
      <c r="A72">
        <v>69</v>
      </c>
      <c r="B72" s="36">
        <v>4</v>
      </c>
      <c r="C72" s="37">
        <v>8</v>
      </c>
      <c r="D72" s="37">
        <v>6</v>
      </c>
      <c r="E72" s="37">
        <v>4</v>
      </c>
      <c r="F72" s="37">
        <v>8</v>
      </c>
      <c r="G72" s="37">
        <v>8</v>
      </c>
      <c r="H72" s="37">
        <v>9</v>
      </c>
      <c r="I72" s="37">
        <v>6</v>
      </c>
      <c r="J72" s="90">
        <v>7</v>
      </c>
      <c r="W72">
        <f t="shared" si="19"/>
        <v>69</v>
      </c>
      <c r="X72" s="123">
        <f t="shared" si="18"/>
        <v>0.23034594857274363</v>
      </c>
      <c r="Y72" s="37">
        <f t="shared" si="18"/>
        <v>-0.29238417492594532</v>
      </c>
      <c r="Z72" s="37">
        <f t="shared" si="18"/>
        <v>1.5461168435116881</v>
      </c>
      <c r="AA72" s="37">
        <f t="shared" si="18"/>
        <v>0.60812434450388564</v>
      </c>
      <c r="AB72" s="37">
        <f t="shared" si="18"/>
        <v>1.3509090706807538</v>
      </c>
      <c r="AC72" s="37">
        <f t="shared" si="18"/>
        <v>1.4549424621510667</v>
      </c>
      <c r="AD72" s="37">
        <f t="shared" si="18"/>
        <v>1.6058079446283589</v>
      </c>
      <c r="AE72" s="37">
        <f t="shared" si="18"/>
        <v>1.3388213728947576</v>
      </c>
      <c r="AF72" s="90">
        <f t="shared" si="18"/>
        <v>-0.50985434813354169</v>
      </c>
    </row>
    <row r="73" spans="1:49" x14ac:dyDescent="0.25">
      <c r="A73">
        <v>70</v>
      </c>
      <c r="B73" s="36">
        <v>3</v>
      </c>
      <c r="C73" s="37">
        <v>8</v>
      </c>
      <c r="D73" s="37">
        <v>3</v>
      </c>
      <c r="E73" s="37">
        <v>4</v>
      </c>
      <c r="F73" s="37">
        <v>6</v>
      </c>
      <c r="G73" s="37">
        <v>4</v>
      </c>
      <c r="H73" s="37">
        <v>5</v>
      </c>
      <c r="I73" s="37">
        <v>5</v>
      </c>
      <c r="J73" s="90">
        <v>8</v>
      </c>
      <c r="W73">
        <f t="shared" si="19"/>
        <v>70</v>
      </c>
      <c r="X73" s="123">
        <f t="shared" si="18"/>
        <v>-0.55941158939094915</v>
      </c>
      <c r="Y73" s="37">
        <f t="shared" si="18"/>
        <v>-0.29238417492594532</v>
      </c>
      <c r="Z73" s="37">
        <f t="shared" si="18"/>
        <v>-0.27284414885500391</v>
      </c>
      <c r="AA73" s="37">
        <f t="shared" si="18"/>
        <v>0.60812434450388564</v>
      </c>
      <c r="AB73" s="37">
        <f t="shared" si="18"/>
        <v>-0.74082110327654205</v>
      </c>
      <c r="AC73" s="37">
        <f t="shared" si="18"/>
        <v>-1.467117712880365</v>
      </c>
      <c r="AD73" s="37">
        <f t="shared" si="18"/>
        <v>6.1142987871620834E-2</v>
      </c>
      <c r="AE73" s="37">
        <f t="shared" si="18"/>
        <v>0.2887653941537715</v>
      </c>
      <c r="AF73" s="90">
        <f t="shared" si="18"/>
        <v>1.1896601456449316</v>
      </c>
      <c r="AN73" t="s">
        <v>389</v>
      </c>
      <c r="AS73" s="47" t="s">
        <v>392</v>
      </c>
      <c r="AT73" s="47"/>
      <c r="AU73" s="47" t="s">
        <v>391</v>
      </c>
      <c r="AV73" s="47"/>
      <c r="AW73" s="47" t="s">
        <v>390</v>
      </c>
    </row>
    <row r="74" spans="1:49" x14ac:dyDescent="0.25">
      <c r="A74">
        <v>71</v>
      </c>
      <c r="B74" s="36">
        <v>6</v>
      </c>
      <c r="C74" s="37">
        <v>8</v>
      </c>
      <c r="D74" s="37">
        <v>5</v>
      </c>
      <c r="E74" s="37">
        <v>4</v>
      </c>
      <c r="F74" s="37">
        <v>7</v>
      </c>
      <c r="G74" s="37">
        <v>5</v>
      </c>
      <c r="H74" s="37">
        <v>6</v>
      </c>
      <c r="I74" s="37">
        <v>4</v>
      </c>
      <c r="J74" s="90">
        <v>7</v>
      </c>
      <c r="W74">
        <f t="shared" si="19"/>
        <v>71</v>
      </c>
      <c r="X74" s="123">
        <f t="shared" si="18"/>
        <v>1.8098610245001292</v>
      </c>
      <c r="Y74" s="37">
        <f t="shared" si="18"/>
        <v>-0.29238417492594532</v>
      </c>
      <c r="Z74" s="37">
        <f t="shared" si="18"/>
        <v>0.93979651272279086</v>
      </c>
      <c r="AA74" s="37">
        <f t="shared" si="18"/>
        <v>0.60812434450388564</v>
      </c>
      <c r="AB74" s="37">
        <f t="shared" si="18"/>
        <v>0.30504398370210595</v>
      </c>
      <c r="AC74" s="37">
        <f t="shared" si="18"/>
        <v>-0.73660266912250705</v>
      </c>
      <c r="AD74" s="37">
        <f t="shared" si="18"/>
        <v>0.44730922706080534</v>
      </c>
      <c r="AE74" s="37">
        <f t="shared" si="18"/>
        <v>-0.76129058458721444</v>
      </c>
      <c r="AF74" s="90">
        <f t="shared" si="18"/>
        <v>-0.50985434813354169</v>
      </c>
      <c r="AN74" s="156">
        <f t="array" ref="AN74:AQ82">AI61:AL69</f>
        <v>0.10867282066236424</v>
      </c>
      <c r="AO74" s="157">
        <v>0.63924827717306298</v>
      </c>
      <c r="AP74" s="157">
        <v>-0.25729565212955918</v>
      </c>
      <c r="AQ74" s="158">
        <v>0.11377557935722513</v>
      </c>
      <c r="AS74" s="172">
        <f t="array" ref="AS74:AS77">AW61:AW64</f>
        <v>0.78250210216205973</v>
      </c>
      <c r="AU74" s="172">
        <f t="array" ref="AU74:AU82">MMULT(AN74:AQ82,AS74:AS77)</f>
        <v>-0.98466081295151309</v>
      </c>
      <c r="AW74" s="172">
        <f t="array" ref="AW74:AW82">AU74:AU82*TRANSPOSE(B127:J127)+TRANSPOSE(B126:J126)</f>
        <v>2.4615445841048578</v>
      </c>
    </row>
    <row r="75" spans="1:49" x14ac:dyDescent="0.25">
      <c r="A75">
        <v>72</v>
      </c>
      <c r="B75" s="36">
        <v>4</v>
      </c>
      <c r="C75" s="37">
        <v>8</v>
      </c>
      <c r="D75" s="37">
        <v>4</v>
      </c>
      <c r="E75" s="37">
        <v>4</v>
      </c>
      <c r="F75" s="37">
        <v>7</v>
      </c>
      <c r="G75" s="37">
        <v>7</v>
      </c>
      <c r="H75" s="37">
        <v>6</v>
      </c>
      <c r="I75" s="37">
        <v>4</v>
      </c>
      <c r="J75" s="90">
        <v>7</v>
      </c>
      <c r="W75">
        <f t="shared" si="19"/>
        <v>72</v>
      </c>
      <c r="X75" s="123">
        <f t="shared" si="18"/>
        <v>0.23034594857274363</v>
      </c>
      <c r="Y75" s="37">
        <f t="shared" si="18"/>
        <v>-0.29238417492594532</v>
      </c>
      <c r="Z75" s="37">
        <f t="shared" si="18"/>
        <v>0.33347618193389345</v>
      </c>
      <c r="AA75" s="37">
        <f t="shared" si="18"/>
        <v>0.60812434450388564</v>
      </c>
      <c r="AB75" s="37">
        <f t="shared" si="18"/>
        <v>0.30504398370210595</v>
      </c>
      <c r="AC75" s="37">
        <f t="shared" si="18"/>
        <v>0.72442741839320879</v>
      </c>
      <c r="AD75" s="37">
        <f t="shared" si="18"/>
        <v>0.44730922706080534</v>
      </c>
      <c r="AE75" s="37">
        <f t="shared" si="18"/>
        <v>-0.76129058458721444</v>
      </c>
      <c r="AF75" s="90">
        <f t="shared" si="18"/>
        <v>-0.50985434813354169</v>
      </c>
      <c r="AN75" s="123">
        <v>-0.41155512846221565</v>
      </c>
      <c r="AO75" s="37">
        <v>-0.25314343484567209</v>
      </c>
      <c r="AP75" s="37">
        <v>-0.18110398426320345</v>
      </c>
      <c r="AQ75" s="90">
        <v>-0.26162000264296353</v>
      </c>
      <c r="AS75" s="173">
        <v>-1.9675759043968666</v>
      </c>
      <c r="AU75" s="173">
        <v>-7.5557397056962461E-2</v>
      </c>
      <c r="AW75" s="173">
        <v>8.1235969638939931</v>
      </c>
    </row>
    <row r="76" spans="1:49" x14ac:dyDescent="0.25">
      <c r="A76">
        <v>73</v>
      </c>
      <c r="B76" s="36">
        <v>4</v>
      </c>
      <c r="C76" s="37">
        <v>7</v>
      </c>
      <c r="D76" s="37">
        <v>3</v>
      </c>
      <c r="E76" s="37">
        <v>3</v>
      </c>
      <c r="F76" s="37">
        <v>6</v>
      </c>
      <c r="G76" s="37">
        <v>5</v>
      </c>
      <c r="H76" s="37">
        <v>5</v>
      </c>
      <c r="I76" s="37">
        <v>4</v>
      </c>
      <c r="J76" s="90">
        <v>7</v>
      </c>
      <c r="W76">
        <f t="shared" si="19"/>
        <v>73</v>
      </c>
      <c r="X76" s="123">
        <f t="shared" si="18"/>
        <v>0.23034594857274363</v>
      </c>
      <c r="Y76" s="37">
        <f t="shared" si="18"/>
        <v>-2.0466892244816233</v>
      </c>
      <c r="Z76" s="37">
        <f t="shared" si="18"/>
        <v>-0.27284414885500391</v>
      </c>
      <c r="AA76" s="37">
        <f t="shared" si="18"/>
        <v>-0.378023241178091</v>
      </c>
      <c r="AB76" s="37">
        <f t="shared" si="18"/>
        <v>-0.74082110327654205</v>
      </c>
      <c r="AC76" s="37">
        <f t="shared" si="18"/>
        <v>-0.73660266912250705</v>
      </c>
      <c r="AD76" s="37">
        <f t="shared" si="18"/>
        <v>6.1142987871620834E-2</v>
      </c>
      <c r="AE76" s="37">
        <f t="shared" si="18"/>
        <v>-0.76129058458721444</v>
      </c>
      <c r="AF76" s="90">
        <f t="shared" si="18"/>
        <v>-0.50985434813354169</v>
      </c>
      <c r="AN76" s="123">
        <v>-0.44432039453439659</v>
      </c>
      <c r="AO76" s="37">
        <v>0.29067886866213077</v>
      </c>
      <c r="AP76" s="37">
        <v>-0.187280211477794</v>
      </c>
      <c r="AQ76" s="90">
        <v>-0.30220270581537695</v>
      </c>
      <c r="AS76" s="173">
        <v>-0.23405876367875647</v>
      </c>
      <c r="AU76" s="173">
        <v>-1.2153651531280882</v>
      </c>
      <c r="AW76" s="173">
        <v>1.4455065146063162</v>
      </c>
    </row>
    <row r="77" spans="1:49" x14ac:dyDescent="0.25">
      <c r="A77">
        <v>74</v>
      </c>
      <c r="B77" s="36">
        <v>4</v>
      </c>
      <c r="C77" s="37">
        <v>8</v>
      </c>
      <c r="D77" s="37">
        <v>5</v>
      </c>
      <c r="E77" s="37">
        <v>4</v>
      </c>
      <c r="F77" s="37">
        <v>7</v>
      </c>
      <c r="G77" s="37">
        <v>8</v>
      </c>
      <c r="H77" s="37">
        <v>8</v>
      </c>
      <c r="I77" s="37">
        <v>5</v>
      </c>
      <c r="J77" s="90">
        <v>7</v>
      </c>
      <c r="W77">
        <f t="shared" si="19"/>
        <v>74</v>
      </c>
      <c r="X77" s="123">
        <f t="shared" si="18"/>
        <v>0.23034594857274363</v>
      </c>
      <c r="Y77" s="37">
        <f t="shared" si="18"/>
        <v>-0.29238417492594532</v>
      </c>
      <c r="Z77" s="37">
        <f t="shared" si="18"/>
        <v>0.93979651272279086</v>
      </c>
      <c r="AA77" s="37">
        <f t="shared" si="18"/>
        <v>0.60812434450388564</v>
      </c>
      <c r="AB77" s="37">
        <f t="shared" si="18"/>
        <v>0.30504398370210595</v>
      </c>
      <c r="AC77" s="37">
        <f t="shared" si="18"/>
        <v>1.4549424621510667</v>
      </c>
      <c r="AD77" s="37">
        <f t="shared" si="18"/>
        <v>1.2196417054391744</v>
      </c>
      <c r="AE77" s="37">
        <f t="shared" si="18"/>
        <v>0.2887653941537715</v>
      </c>
      <c r="AF77" s="90">
        <f t="shared" si="18"/>
        <v>-0.50985434813354169</v>
      </c>
      <c r="AN77" s="123">
        <v>-0.21563850036801047</v>
      </c>
      <c r="AO77" s="37">
        <v>0.13550085617976151</v>
      </c>
      <c r="AP77" s="37">
        <v>-0.18288161073484543</v>
      </c>
      <c r="AQ77" s="90">
        <v>0.83964129576815227</v>
      </c>
      <c r="AS77" s="174">
        <v>1.1237005516487559</v>
      </c>
      <c r="AU77" s="173">
        <v>0.55096463146044017</v>
      </c>
      <c r="AW77" s="173">
        <v>3.9420373645148494</v>
      </c>
    </row>
    <row r="78" spans="1:49" x14ac:dyDescent="0.25">
      <c r="A78">
        <v>75</v>
      </c>
      <c r="B78" s="36">
        <v>3</v>
      </c>
      <c r="C78" s="37">
        <v>8</v>
      </c>
      <c r="D78" s="37">
        <v>2</v>
      </c>
      <c r="E78" s="37">
        <v>4</v>
      </c>
      <c r="F78" s="37">
        <v>6</v>
      </c>
      <c r="G78" s="37">
        <v>5</v>
      </c>
      <c r="H78" s="37">
        <v>5</v>
      </c>
      <c r="I78" s="37">
        <v>5</v>
      </c>
      <c r="J78" s="90">
        <v>8</v>
      </c>
      <c r="W78">
        <f t="shared" si="19"/>
        <v>75</v>
      </c>
      <c r="X78" s="123">
        <f t="shared" si="18"/>
        <v>-0.55941158939094915</v>
      </c>
      <c r="Y78" s="37">
        <f t="shared" si="18"/>
        <v>-0.29238417492594532</v>
      </c>
      <c r="Z78" s="37">
        <f t="shared" si="18"/>
        <v>-0.87916447964390132</v>
      </c>
      <c r="AA78" s="37">
        <f t="shared" si="18"/>
        <v>0.60812434450388564</v>
      </c>
      <c r="AB78" s="37">
        <f t="shared" si="18"/>
        <v>-0.74082110327654205</v>
      </c>
      <c r="AC78" s="37">
        <f t="shared" si="18"/>
        <v>-0.73660266912250705</v>
      </c>
      <c r="AD78" s="37">
        <f t="shared" si="18"/>
        <v>6.1142987871620834E-2</v>
      </c>
      <c r="AE78" s="37">
        <f t="shared" si="18"/>
        <v>0.2887653941537715</v>
      </c>
      <c r="AF78" s="90">
        <f t="shared" si="18"/>
        <v>1.1896601456449316</v>
      </c>
      <c r="AN78" s="123">
        <v>-0.34065994702866276</v>
      </c>
      <c r="AO78" s="37">
        <v>3.6795371300436405E-2</v>
      </c>
      <c r="AP78" s="37">
        <v>0.41963143282396931</v>
      </c>
      <c r="AQ78" s="90">
        <v>0.15599965922517467</v>
      </c>
      <c r="AU78" s="173">
        <v>-0.26188632187559585</v>
      </c>
      <c r="AW78" s="173">
        <v>6.4579317039681658</v>
      </c>
    </row>
    <row r="79" spans="1:49" x14ac:dyDescent="0.25">
      <c r="A79">
        <v>76</v>
      </c>
      <c r="B79" s="36">
        <v>4</v>
      </c>
      <c r="C79" s="37">
        <v>8</v>
      </c>
      <c r="D79" s="37">
        <v>3</v>
      </c>
      <c r="E79" s="37">
        <v>1</v>
      </c>
      <c r="F79" s="37">
        <v>6</v>
      </c>
      <c r="G79" s="37">
        <v>4</v>
      </c>
      <c r="H79" s="37">
        <v>1</v>
      </c>
      <c r="I79" s="37">
        <v>4</v>
      </c>
      <c r="J79" s="90">
        <v>7</v>
      </c>
      <c r="W79">
        <f t="shared" si="19"/>
        <v>76</v>
      </c>
      <c r="X79" s="123">
        <f t="shared" si="18"/>
        <v>0.23034594857274363</v>
      </c>
      <c r="Y79" s="37">
        <f t="shared" si="18"/>
        <v>-0.29238417492594532</v>
      </c>
      <c r="Z79" s="37">
        <f t="shared" si="18"/>
        <v>-0.27284414885500391</v>
      </c>
      <c r="AA79" s="37">
        <f t="shared" si="18"/>
        <v>-2.3503184125420442</v>
      </c>
      <c r="AB79" s="37">
        <f t="shared" si="18"/>
        <v>-0.74082110327654205</v>
      </c>
      <c r="AC79" s="37">
        <f t="shared" si="18"/>
        <v>-1.467117712880365</v>
      </c>
      <c r="AD79" s="37">
        <f t="shared" si="18"/>
        <v>-1.4835219688851171</v>
      </c>
      <c r="AE79" s="37">
        <f t="shared" si="18"/>
        <v>-0.76129058458721444</v>
      </c>
      <c r="AF79" s="90">
        <f t="shared" si="18"/>
        <v>-0.50985434813354169</v>
      </c>
      <c r="AN79" s="123">
        <v>-0.17656698530373344</v>
      </c>
      <c r="AO79" s="37">
        <v>2.5335186999452402E-2</v>
      </c>
      <c r="AP79" s="37">
        <v>0.71451302129716265</v>
      </c>
      <c r="AQ79" s="90">
        <v>6.2973921251602311E-2</v>
      </c>
      <c r="AU79" s="173">
        <v>-0.2844871449933763</v>
      </c>
      <c r="AW79" s="173">
        <v>5.6188996763206873</v>
      </c>
    </row>
    <row r="80" spans="1:49" x14ac:dyDescent="0.25">
      <c r="A80">
        <v>77</v>
      </c>
      <c r="B80" s="36">
        <v>4</v>
      </c>
      <c r="C80" s="37">
        <v>9</v>
      </c>
      <c r="D80" s="37">
        <v>6</v>
      </c>
      <c r="E80" s="37">
        <v>5</v>
      </c>
      <c r="F80" s="37">
        <v>8</v>
      </c>
      <c r="G80" s="37">
        <v>5</v>
      </c>
      <c r="H80" s="37">
        <v>9</v>
      </c>
      <c r="I80" s="37">
        <v>5</v>
      </c>
      <c r="J80" s="90">
        <v>8</v>
      </c>
      <c r="W80">
        <f t="shared" si="19"/>
        <v>77</v>
      </c>
      <c r="X80" s="123">
        <f t="shared" si="18"/>
        <v>0.23034594857274363</v>
      </c>
      <c r="Y80" s="37">
        <f t="shared" si="18"/>
        <v>1.4619208746297327</v>
      </c>
      <c r="Z80" s="37">
        <f t="shared" si="18"/>
        <v>1.5461168435116881</v>
      </c>
      <c r="AA80" s="37">
        <f t="shared" si="18"/>
        <v>1.5942719301858623</v>
      </c>
      <c r="AB80" s="37">
        <f t="shared" si="18"/>
        <v>1.3509090706807538</v>
      </c>
      <c r="AC80" s="37">
        <f t="shared" si="18"/>
        <v>-0.73660266912250705</v>
      </c>
      <c r="AD80" s="37">
        <f t="shared" si="18"/>
        <v>1.6058079446283589</v>
      </c>
      <c r="AE80" s="37">
        <f t="shared" si="18"/>
        <v>0.2887653941537715</v>
      </c>
      <c r="AF80" s="90">
        <f t="shared" si="18"/>
        <v>1.1896601456449316</v>
      </c>
      <c r="AN80" s="123">
        <v>-0.48149531050226674</v>
      </c>
      <c r="AO80" s="37">
        <v>0.19955381608776179</v>
      </c>
      <c r="AP80" s="37">
        <v>-0.18029716401458001</v>
      </c>
      <c r="AQ80" s="90">
        <v>-0.16443604112894591</v>
      </c>
      <c r="AU80" s="173">
        <v>-0.9119851116374168</v>
      </c>
      <c r="AW80" s="173">
        <v>2.4800280274312172</v>
      </c>
    </row>
    <row r="81" spans="1:49" x14ac:dyDescent="0.25">
      <c r="A81">
        <v>78</v>
      </c>
      <c r="B81" s="36">
        <v>2</v>
      </c>
      <c r="C81" s="37">
        <v>9</v>
      </c>
      <c r="D81" s="37">
        <v>5</v>
      </c>
      <c r="E81" s="37">
        <v>2</v>
      </c>
      <c r="F81" s="37">
        <v>6</v>
      </c>
      <c r="G81" s="37">
        <v>7</v>
      </c>
      <c r="H81" s="37">
        <v>8</v>
      </c>
      <c r="I81" s="37">
        <v>5</v>
      </c>
      <c r="J81" s="90">
        <v>8</v>
      </c>
      <c r="W81">
        <f t="shared" si="19"/>
        <v>78</v>
      </c>
      <c r="X81" s="123">
        <f t="shared" si="18"/>
        <v>-1.349169127354642</v>
      </c>
      <c r="Y81" s="37">
        <f t="shared" si="18"/>
        <v>1.4619208746297327</v>
      </c>
      <c r="Z81" s="37">
        <f t="shared" si="18"/>
        <v>0.93979651272279086</v>
      </c>
      <c r="AA81" s="37">
        <f t="shared" si="18"/>
        <v>-1.3641708268600676</v>
      </c>
      <c r="AB81" s="37">
        <f t="shared" si="18"/>
        <v>-0.74082110327654205</v>
      </c>
      <c r="AC81" s="37">
        <f t="shared" si="18"/>
        <v>0.72442741839320879</v>
      </c>
      <c r="AD81" s="37">
        <f t="shared" si="18"/>
        <v>1.2196417054391744</v>
      </c>
      <c r="AE81" s="37">
        <f t="shared" si="18"/>
        <v>0.2887653941537715</v>
      </c>
      <c r="AF81" s="90">
        <f t="shared" si="18"/>
        <v>1.1896601456449316</v>
      </c>
      <c r="AN81" s="123">
        <v>-0.40531393485510109</v>
      </c>
      <c r="AO81" s="37">
        <v>2.9433741047434455E-2</v>
      </c>
      <c r="AP81" s="37">
        <v>0.10755126341193333</v>
      </c>
      <c r="AQ81" s="90">
        <v>0.11621477933703687</v>
      </c>
      <c r="AU81" s="173">
        <v>-0.26965482981640032</v>
      </c>
      <c r="AW81" s="173">
        <v>4.4681995671890595</v>
      </c>
    </row>
    <row r="82" spans="1:49" x14ac:dyDescent="0.25">
      <c r="A82">
        <v>79</v>
      </c>
      <c r="B82" s="36">
        <v>4</v>
      </c>
      <c r="C82" s="37">
        <v>7</v>
      </c>
      <c r="D82" s="37">
        <v>2</v>
      </c>
      <c r="E82" s="37">
        <v>1</v>
      </c>
      <c r="F82" s="37">
        <v>6</v>
      </c>
      <c r="G82" s="37">
        <v>3</v>
      </c>
      <c r="H82" s="37">
        <v>1</v>
      </c>
      <c r="I82" s="37">
        <v>2</v>
      </c>
      <c r="J82" s="90">
        <v>7</v>
      </c>
      <c r="W82">
        <f t="shared" si="19"/>
        <v>79</v>
      </c>
      <c r="X82" s="123">
        <f t="shared" si="18"/>
        <v>0.23034594857274363</v>
      </c>
      <c r="Y82" s="37">
        <f t="shared" si="18"/>
        <v>-2.0466892244816233</v>
      </c>
      <c r="Z82" s="37">
        <f t="shared" si="18"/>
        <v>-0.87916447964390132</v>
      </c>
      <c r="AA82" s="37">
        <f t="shared" si="18"/>
        <v>-2.3503184125420442</v>
      </c>
      <c r="AB82" s="37">
        <f t="shared" si="18"/>
        <v>-0.74082110327654205</v>
      </c>
      <c r="AC82" s="37">
        <f t="shared" si="18"/>
        <v>-2.1976327566382228</v>
      </c>
      <c r="AD82" s="37">
        <f t="shared" si="18"/>
        <v>-1.4835219688851171</v>
      </c>
      <c r="AE82" s="37">
        <f t="shared" si="18"/>
        <v>-2.8614025420691864</v>
      </c>
      <c r="AF82" s="90">
        <f t="shared" si="18"/>
        <v>-0.50985434813354169</v>
      </c>
      <c r="AN82" s="91">
        <v>-0.17762263035252251</v>
      </c>
      <c r="AO82" s="92">
        <v>-0.61785233926642158</v>
      </c>
      <c r="AP82" s="92">
        <v>-0.31904074111745484</v>
      </c>
      <c r="AQ82" s="93">
        <v>0.23116966886460935</v>
      </c>
      <c r="AU82" s="174">
        <v>1.4111210594301733</v>
      </c>
      <c r="AW82" s="174">
        <v>8.1303083407619994</v>
      </c>
    </row>
    <row r="83" spans="1:49" x14ac:dyDescent="0.25">
      <c r="A83">
        <v>80</v>
      </c>
      <c r="B83" s="36">
        <v>5</v>
      </c>
      <c r="C83" s="37">
        <v>8</v>
      </c>
      <c r="D83" s="37">
        <v>4</v>
      </c>
      <c r="E83" s="37">
        <v>3</v>
      </c>
      <c r="F83" s="37">
        <v>7</v>
      </c>
      <c r="G83" s="37">
        <v>5</v>
      </c>
      <c r="H83" s="37">
        <v>4</v>
      </c>
      <c r="I83" s="37">
        <v>5</v>
      </c>
      <c r="J83" s="90">
        <v>7</v>
      </c>
      <c r="W83">
        <f t="shared" si="19"/>
        <v>80</v>
      </c>
      <c r="X83" s="123">
        <f t="shared" si="18"/>
        <v>1.0201034865364365</v>
      </c>
      <c r="Y83" s="37">
        <f t="shared" si="18"/>
        <v>-0.29238417492594532</v>
      </c>
      <c r="Z83" s="37">
        <f t="shared" si="18"/>
        <v>0.33347618193389345</v>
      </c>
      <c r="AA83" s="37">
        <f t="shared" si="18"/>
        <v>-0.378023241178091</v>
      </c>
      <c r="AB83" s="37">
        <f t="shared" si="18"/>
        <v>0.30504398370210595</v>
      </c>
      <c r="AC83" s="37">
        <f t="shared" si="18"/>
        <v>-0.73660266912250705</v>
      </c>
      <c r="AD83" s="37">
        <f t="shared" si="18"/>
        <v>-0.32502325131756366</v>
      </c>
      <c r="AE83" s="37">
        <f t="shared" si="18"/>
        <v>0.2887653941537715</v>
      </c>
      <c r="AF83" s="90">
        <f t="shared" si="18"/>
        <v>-0.50985434813354169</v>
      </c>
    </row>
    <row r="84" spans="1:49" x14ac:dyDescent="0.25">
      <c r="A84">
        <v>81</v>
      </c>
      <c r="B84" s="36">
        <v>4</v>
      </c>
      <c r="C84" s="37">
        <v>8</v>
      </c>
      <c r="D84" s="37">
        <v>5</v>
      </c>
      <c r="E84" s="37">
        <v>4</v>
      </c>
      <c r="F84" s="37">
        <v>7</v>
      </c>
      <c r="G84" s="37">
        <v>6</v>
      </c>
      <c r="H84" s="37">
        <v>8</v>
      </c>
      <c r="I84" s="37">
        <v>4</v>
      </c>
      <c r="J84" s="90">
        <v>7</v>
      </c>
      <c r="W84">
        <f t="shared" si="19"/>
        <v>81</v>
      </c>
      <c r="X84" s="123">
        <f t="shared" si="18"/>
        <v>0.23034594857274363</v>
      </c>
      <c r="Y84" s="37">
        <f t="shared" si="18"/>
        <v>-0.29238417492594532</v>
      </c>
      <c r="Z84" s="37">
        <f t="shared" si="18"/>
        <v>0.93979651272279086</v>
      </c>
      <c r="AA84" s="37">
        <f t="shared" si="18"/>
        <v>0.60812434450388564</v>
      </c>
      <c r="AB84" s="37">
        <f t="shared" si="18"/>
        <v>0.30504398370210595</v>
      </c>
      <c r="AC84" s="37">
        <f t="shared" si="18"/>
        <v>-6.0876253646491192E-3</v>
      </c>
      <c r="AD84" s="37">
        <f t="shared" si="18"/>
        <v>1.2196417054391744</v>
      </c>
      <c r="AE84" s="37">
        <f t="shared" si="18"/>
        <v>-0.76129058458721444</v>
      </c>
      <c r="AF84" s="90">
        <f t="shared" si="18"/>
        <v>-0.50985434813354169</v>
      </c>
      <c r="AI84" t="s">
        <v>393</v>
      </c>
    </row>
    <row r="85" spans="1:49" x14ac:dyDescent="0.25">
      <c r="A85">
        <v>82</v>
      </c>
      <c r="B85" s="36">
        <v>4</v>
      </c>
      <c r="C85" s="37">
        <v>8</v>
      </c>
      <c r="D85" s="37">
        <v>3</v>
      </c>
      <c r="E85" s="37">
        <v>4</v>
      </c>
      <c r="F85" s="37">
        <v>7</v>
      </c>
      <c r="G85" s="37">
        <v>6</v>
      </c>
      <c r="H85" s="37">
        <v>3</v>
      </c>
      <c r="I85" s="37">
        <v>7</v>
      </c>
      <c r="J85" s="90">
        <v>8</v>
      </c>
      <c r="W85">
        <f t="shared" si="19"/>
        <v>82</v>
      </c>
      <c r="X85" s="123">
        <f t="shared" si="18"/>
        <v>0.23034594857274363</v>
      </c>
      <c r="Y85" s="37">
        <f t="shared" si="18"/>
        <v>-0.29238417492594532</v>
      </c>
      <c r="Z85" s="37">
        <f t="shared" si="18"/>
        <v>-0.27284414885500391</v>
      </c>
      <c r="AA85" s="37">
        <f t="shared" si="18"/>
        <v>0.60812434450388564</v>
      </c>
      <c r="AB85" s="37">
        <f t="shared" si="18"/>
        <v>0.30504398370210595</v>
      </c>
      <c r="AC85" s="37">
        <f t="shared" si="18"/>
        <v>-6.0876253646491192E-3</v>
      </c>
      <c r="AD85" s="37">
        <f t="shared" si="18"/>
        <v>-0.71118949050674818</v>
      </c>
      <c r="AE85" s="37">
        <f t="shared" si="18"/>
        <v>2.3888773516357436</v>
      </c>
      <c r="AF85" s="90">
        <f t="shared" si="18"/>
        <v>1.1896601456449316</v>
      </c>
    </row>
    <row r="86" spans="1:49" x14ac:dyDescent="0.25">
      <c r="A86">
        <v>83</v>
      </c>
      <c r="B86" s="36">
        <v>5</v>
      </c>
      <c r="C86" s="37">
        <v>8</v>
      </c>
      <c r="D86" s="37">
        <v>3</v>
      </c>
      <c r="E86" s="37">
        <v>3</v>
      </c>
      <c r="F86" s="37">
        <v>7</v>
      </c>
      <c r="G86" s="37">
        <v>6</v>
      </c>
      <c r="H86" s="37">
        <v>1</v>
      </c>
      <c r="I86" s="37">
        <v>4</v>
      </c>
      <c r="J86" s="90">
        <v>7</v>
      </c>
      <c r="W86">
        <f t="shared" si="19"/>
        <v>83</v>
      </c>
      <c r="X86" s="123">
        <f t="shared" si="18"/>
        <v>1.0201034865364365</v>
      </c>
      <c r="Y86" s="37">
        <f t="shared" si="18"/>
        <v>-0.29238417492594532</v>
      </c>
      <c r="Z86" s="37">
        <f t="shared" si="18"/>
        <v>-0.27284414885500391</v>
      </c>
      <c r="AA86" s="37">
        <f t="shared" si="18"/>
        <v>-0.378023241178091</v>
      </c>
      <c r="AB86" s="37">
        <f t="shared" si="18"/>
        <v>0.30504398370210595</v>
      </c>
      <c r="AC86" s="37">
        <f t="shared" si="18"/>
        <v>-6.0876253646491192E-3</v>
      </c>
      <c r="AD86" s="37">
        <f t="shared" si="18"/>
        <v>-1.4835219688851171</v>
      </c>
      <c r="AE86" s="37">
        <f t="shared" si="18"/>
        <v>-0.76129058458721444</v>
      </c>
      <c r="AF86" s="90">
        <f t="shared" si="18"/>
        <v>-0.50985434813354169</v>
      </c>
      <c r="AI86" t="s">
        <v>389</v>
      </c>
      <c r="AS86" s="47" t="s">
        <v>392</v>
      </c>
      <c r="AT86" s="47"/>
      <c r="AU86" s="47" t="s">
        <v>391</v>
      </c>
      <c r="AV86" s="47"/>
      <c r="AW86" s="47" t="s">
        <v>390</v>
      </c>
    </row>
    <row r="87" spans="1:49" x14ac:dyDescent="0.25">
      <c r="A87">
        <v>84</v>
      </c>
      <c r="B87" s="36">
        <v>2</v>
      </c>
      <c r="C87" s="37">
        <v>9</v>
      </c>
      <c r="D87" s="37">
        <v>6</v>
      </c>
      <c r="E87" s="37">
        <v>4</v>
      </c>
      <c r="F87" s="37">
        <v>8</v>
      </c>
      <c r="G87" s="37">
        <v>6</v>
      </c>
      <c r="H87" s="37">
        <v>8</v>
      </c>
      <c r="I87" s="37">
        <v>5</v>
      </c>
      <c r="J87" s="90">
        <v>8</v>
      </c>
      <c r="W87">
        <f t="shared" si="19"/>
        <v>84</v>
      </c>
      <c r="X87" s="123">
        <f t="shared" si="18"/>
        <v>-1.349169127354642</v>
      </c>
      <c r="Y87" s="37">
        <f t="shared" si="18"/>
        <v>1.4619208746297327</v>
      </c>
      <c r="Z87" s="37">
        <f t="shared" si="18"/>
        <v>1.5461168435116881</v>
      </c>
      <c r="AA87" s="37">
        <f t="shared" si="18"/>
        <v>0.60812434450388564</v>
      </c>
      <c r="AB87" s="37">
        <f t="shared" si="18"/>
        <v>1.3509090706807538</v>
      </c>
      <c r="AC87" s="37">
        <f t="shared" si="18"/>
        <v>-6.0876253646491192E-3</v>
      </c>
      <c r="AD87" s="37">
        <f t="shared" si="18"/>
        <v>1.2196417054391744</v>
      </c>
      <c r="AE87" s="37">
        <f t="shared" si="18"/>
        <v>0.2887653941537715</v>
      </c>
      <c r="AF87" s="90">
        <f t="shared" si="18"/>
        <v>1.1896601456449316</v>
      </c>
      <c r="AI87" s="156">
        <f t="array" ref="AI87:AQ95">AI61:AQ69</f>
        <v>0.10867282066236424</v>
      </c>
      <c r="AJ87" s="157">
        <v>0.63924827717306298</v>
      </c>
      <c r="AK87" s="157">
        <v>-0.25729565212955918</v>
      </c>
      <c r="AL87" s="157">
        <v>0.11377557935722513</v>
      </c>
      <c r="AM87" s="157">
        <v>0.41710079267245143</v>
      </c>
      <c r="AN87" s="157">
        <v>-9.591215740460142E-2</v>
      </c>
      <c r="AO87" s="157">
        <v>0.48082938909867129</v>
      </c>
      <c r="AP87" s="157">
        <v>-0.28424031931196581</v>
      </c>
      <c r="AQ87" s="158">
        <v>-7.2417189866390647E-2</v>
      </c>
      <c r="AS87" s="172">
        <f t="array" ref="AS87:AS95">AW61:AW69</f>
        <v>0.78250210216205973</v>
      </c>
      <c r="AU87" s="172">
        <f t="array" ref="AU87:AU95">MMULT(AI87:AQ95,AS87:AS95)</f>
        <v>-1.3491691273546398</v>
      </c>
      <c r="AW87" s="172">
        <f t="array" ref="AW87:AW95">AU87:AU95*TRANSPOSE(B127:J127)+TRANSPOSE(B126:J126)</f>
        <v>2.0000000000000027</v>
      </c>
    </row>
    <row r="88" spans="1:49" x14ac:dyDescent="0.25">
      <c r="A88">
        <v>85</v>
      </c>
      <c r="B88" s="36">
        <v>5</v>
      </c>
      <c r="C88" s="37">
        <v>8</v>
      </c>
      <c r="D88" s="37">
        <v>4</v>
      </c>
      <c r="E88" s="37">
        <v>4</v>
      </c>
      <c r="F88" s="37">
        <v>7</v>
      </c>
      <c r="G88" s="37">
        <v>6</v>
      </c>
      <c r="H88" s="37">
        <v>5</v>
      </c>
      <c r="I88" s="37">
        <v>5</v>
      </c>
      <c r="J88" s="90">
        <v>7</v>
      </c>
      <c r="W88">
        <f t="shared" si="19"/>
        <v>85</v>
      </c>
      <c r="X88" s="123">
        <f t="shared" si="18"/>
        <v>1.0201034865364365</v>
      </c>
      <c r="Y88" s="37">
        <f t="shared" si="18"/>
        <v>-0.29238417492594532</v>
      </c>
      <c r="Z88" s="37">
        <f t="shared" si="18"/>
        <v>0.33347618193389345</v>
      </c>
      <c r="AA88" s="37">
        <f t="shared" si="18"/>
        <v>0.60812434450388564</v>
      </c>
      <c r="AB88" s="37">
        <f t="shared" si="18"/>
        <v>0.30504398370210595</v>
      </c>
      <c r="AC88" s="37">
        <f t="shared" si="18"/>
        <v>-6.0876253646491192E-3</v>
      </c>
      <c r="AD88" s="37">
        <f t="shared" si="18"/>
        <v>6.1142987871620834E-2</v>
      </c>
      <c r="AE88" s="37">
        <f t="shared" si="18"/>
        <v>0.2887653941537715</v>
      </c>
      <c r="AF88" s="90">
        <f t="shared" si="18"/>
        <v>-0.50985434813354169</v>
      </c>
      <c r="AI88" s="123">
        <v>-0.41155512846221565</v>
      </c>
      <c r="AJ88" s="37">
        <v>-0.25314343484567209</v>
      </c>
      <c r="AK88" s="37">
        <v>-0.18110398426320345</v>
      </c>
      <c r="AL88" s="37">
        <v>-0.26162000264296353</v>
      </c>
      <c r="AM88" s="37">
        <v>0.33963616583182932</v>
      </c>
      <c r="AN88" s="37">
        <v>6.7990131664195271E-5</v>
      </c>
      <c r="AO88" s="37">
        <v>0.43645311465032116</v>
      </c>
      <c r="AP88" s="37">
        <v>0.59253174817325882</v>
      </c>
      <c r="AQ88" s="90">
        <v>-9.1428524472632819E-2</v>
      </c>
      <c r="AS88" s="173">
        <v>-1.9675759043968666</v>
      </c>
      <c r="AU88" s="173">
        <v>-0.29238417492594565</v>
      </c>
      <c r="AW88" s="173">
        <v>8</v>
      </c>
    </row>
    <row r="89" spans="1:49" x14ac:dyDescent="0.25">
      <c r="A89">
        <v>86</v>
      </c>
      <c r="B89" s="36">
        <v>4</v>
      </c>
      <c r="C89" s="37">
        <v>8</v>
      </c>
      <c r="D89" s="37">
        <v>7</v>
      </c>
      <c r="E89" s="37">
        <v>5</v>
      </c>
      <c r="F89" s="37">
        <v>7</v>
      </c>
      <c r="G89" s="37">
        <v>6</v>
      </c>
      <c r="H89" s="37">
        <v>9</v>
      </c>
      <c r="I89" s="37">
        <v>6</v>
      </c>
      <c r="J89" s="90">
        <v>7</v>
      </c>
      <c r="W89">
        <f t="shared" si="19"/>
        <v>86</v>
      </c>
      <c r="X89" s="123">
        <f t="shared" si="18"/>
        <v>0.23034594857274363</v>
      </c>
      <c r="Y89" s="37">
        <f t="shared" si="18"/>
        <v>-0.29238417492594532</v>
      </c>
      <c r="Z89" s="37">
        <f t="shared" si="18"/>
        <v>2.1524371743005855</v>
      </c>
      <c r="AA89" s="37">
        <f t="shared" si="18"/>
        <v>1.5942719301858623</v>
      </c>
      <c r="AB89" s="37">
        <f t="shared" si="18"/>
        <v>0.30504398370210595</v>
      </c>
      <c r="AC89" s="37">
        <f t="shared" si="18"/>
        <v>-6.0876253646491192E-3</v>
      </c>
      <c r="AD89" s="37">
        <f t="shared" si="18"/>
        <v>1.6058079446283589</v>
      </c>
      <c r="AE89" s="37">
        <f t="shared" si="18"/>
        <v>1.3388213728947576</v>
      </c>
      <c r="AF89" s="90">
        <f t="shared" si="18"/>
        <v>-0.50985434813354169</v>
      </c>
      <c r="AI89" s="123">
        <v>-0.44432039453439659</v>
      </c>
      <c r="AJ89" s="37">
        <v>0.29067886866213077</v>
      </c>
      <c r="AK89" s="37">
        <v>-0.187280211477794</v>
      </c>
      <c r="AL89" s="37">
        <v>-0.30220270581537695</v>
      </c>
      <c r="AM89" s="37">
        <v>3.010300172535367E-2</v>
      </c>
      <c r="AN89" s="37">
        <v>-0.13252436880522347</v>
      </c>
      <c r="AO89" s="37">
        <v>-0.30089804917138796</v>
      </c>
      <c r="AP89" s="37">
        <v>-6.3954964480358992E-2</v>
      </c>
      <c r="AQ89" s="90">
        <v>0.69179914482736116</v>
      </c>
      <c r="AS89" s="173">
        <v>-0.23405876367875647</v>
      </c>
      <c r="AU89" s="173">
        <v>-1.4854848104327973</v>
      </c>
      <c r="AW89" s="173">
        <v>1.0000000000000022</v>
      </c>
    </row>
    <row r="90" spans="1:49" x14ac:dyDescent="0.25">
      <c r="A90">
        <v>87</v>
      </c>
      <c r="B90" s="36">
        <v>5</v>
      </c>
      <c r="C90" s="37">
        <v>7</v>
      </c>
      <c r="D90" s="37">
        <v>2</v>
      </c>
      <c r="E90" s="37">
        <v>3</v>
      </c>
      <c r="F90" s="37">
        <v>5</v>
      </c>
      <c r="G90" s="37">
        <v>5</v>
      </c>
      <c r="H90" s="37">
        <v>1</v>
      </c>
      <c r="I90" s="37">
        <v>3</v>
      </c>
      <c r="J90" s="90">
        <v>7</v>
      </c>
      <c r="W90">
        <f t="shared" si="19"/>
        <v>87</v>
      </c>
      <c r="X90" s="123">
        <f t="shared" si="18"/>
        <v>1.0201034865364365</v>
      </c>
      <c r="Y90" s="37">
        <f t="shared" si="18"/>
        <v>-2.0466892244816233</v>
      </c>
      <c r="Z90" s="37">
        <f t="shared" si="18"/>
        <v>-0.87916447964390132</v>
      </c>
      <c r="AA90" s="37">
        <f t="shared" si="18"/>
        <v>-0.378023241178091</v>
      </c>
      <c r="AB90" s="37">
        <f t="shared" si="18"/>
        <v>-1.78668619025519</v>
      </c>
      <c r="AC90" s="37">
        <f t="shared" si="18"/>
        <v>-0.73660266912250705</v>
      </c>
      <c r="AD90" s="37">
        <f t="shared" si="18"/>
        <v>-1.4835219688851171</v>
      </c>
      <c r="AE90" s="37">
        <f t="shared" si="18"/>
        <v>-1.8113465633282004</v>
      </c>
      <c r="AF90" s="90">
        <f t="shared" si="18"/>
        <v>-0.50985434813354169</v>
      </c>
      <c r="AI90" s="123">
        <v>-0.21563850036801047</v>
      </c>
      <c r="AJ90" s="37">
        <v>0.13550085617976151</v>
      </c>
      <c r="AK90" s="37">
        <v>-0.18288161073484543</v>
      </c>
      <c r="AL90" s="37">
        <v>0.83964129576815227</v>
      </c>
      <c r="AM90" s="37">
        <v>2.8152588570770857E-2</v>
      </c>
      <c r="AN90" s="37">
        <v>-8.2440903338581398E-3</v>
      </c>
      <c r="AO90" s="37">
        <v>-0.22139125914539076</v>
      </c>
      <c r="AP90" s="37">
        <v>0.37879413338631968</v>
      </c>
      <c r="AQ90" s="90">
        <v>5.7764588173452182E-2</v>
      </c>
      <c r="AS90" s="173">
        <v>1.1237005516487559</v>
      </c>
      <c r="AU90" s="173">
        <v>0.60812434450388253</v>
      </c>
      <c r="AW90" s="173">
        <v>3.9999999999999969</v>
      </c>
    </row>
    <row r="91" spans="1:49" x14ac:dyDescent="0.25">
      <c r="A91">
        <v>88</v>
      </c>
      <c r="B91" s="36">
        <v>3</v>
      </c>
      <c r="C91" s="37">
        <v>8</v>
      </c>
      <c r="D91" s="37">
        <v>3</v>
      </c>
      <c r="E91" s="37">
        <v>2</v>
      </c>
      <c r="F91" s="37">
        <v>6</v>
      </c>
      <c r="G91" s="37">
        <v>6</v>
      </c>
      <c r="H91" s="37">
        <v>1</v>
      </c>
      <c r="I91" s="37">
        <v>5</v>
      </c>
      <c r="J91" s="90">
        <v>7</v>
      </c>
      <c r="W91">
        <f t="shared" si="19"/>
        <v>88</v>
      </c>
      <c r="X91" s="123">
        <f t="shared" si="18"/>
        <v>-0.55941158939094915</v>
      </c>
      <c r="Y91" s="37">
        <f t="shared" si="18"/>
        <v>-0.29238417492594532</v>
      </c>
      <c r="Z91" s="37">
        <f t="shared" si="18"/>
        <v>-0.27284414885500391</v>
      </c>
      <c r="AA91" s="37">
        <f t="shared" si="18"/>
        <v>-1.3641708268600676</v>
      </c>
      <c r="AB91" s="37">
        <f t="shared" si="18"/>
        <v>-0.74082110327654205</v>
      </c>
      <c r="AC91" s="37">
        <f t="shared" si="18"/>
        <v>-6.0876253646491192E-3</v>
      </c>
      <c r="AD91" s="37">
        <f t="shared" si="18"/>
        <v>-1.4835219688851171</v>
      </c>
      <c r="AE91" s="37">
        <f t="shared" si="18"/>
        <v>0.2887653941537715</v>
      </c>
      <c r="AF91" s="90">
        <f t="shared" si="18"/>
        <v>-0.50985434813354169</v>
      </c>
      <c r="AI91" s="123">
        <v>-0.34065994702866276</v>
      </c>
      <c r="AJ91" s="37">
        <v>3.6795371300436405E-2</v>
      </c>
      <c r="AK91" s="37">
        <v>0.41963143282396931</v>
      </c>
      <c r="AL91" s="37">
        <v>0.15599965922517467</v>
      </c>
      <c r="AM91" s="37">
        <v>-0.42352341595274107</v>
      </c>
      <c r="AN91" s="37">
        <v>-0.5599448078066922</v>
      </c>
      <c r="AO91" s="37">
        <v>0.42454782656015899</v>
      </c>
      <c r="AP91" s="37">
        <v>-8.8223691667977652E-2</v>
      </c>
      <c r="AQ91" s="90">
        <v>3.51556480609738E-2</v>
      </c>
      <c r="AS91" s="173">
        <v>-0.76562434076577512</v>
      </c>
      <c r="AU91" s="173">
        <v>0.30504398370210267</v>
      </c>
      <c r="AW91" s="173">
        <v>6.9999999999999964</v>
      </c>
    </row>
    <row r="92" spans="1:49" x14ac:dyDescent="0.25">
      <c r="A92">
        <v>89</v>
      </c>
      <c r="B92" s="36">
        <v>2</v>
      </c>
      <c r="C92" s="37">
        <v>8</v>
      </c>
      <c r="D92" s="37">
        <v>4</v>
      </c>
      <c r="E92" s="37">
        <v>2</v>
      </c>
      <c r="F92" s="37">
        <v>7</v>
      </c>
      <c r="G92" s="37">
        <v>6</v>
      </c>
      <c r="H92" s="37">
        <v>5</v>
      </c>
      <c r="I92" s="37">
        <v>6</v>
      </c>
      <c r="J92" s="90">
        <v>7</v>
      </c>
      <c r="W92">
        <f t="shared" si="19"/>
        <v>89</v>
      </c>
      <c r="X92" s="123">
        <f t="shared" si="18"/>
        <v>-1.349169127354642</v>
      </c>
      <c r="Y92" s="37">
        <f t="shared" si="18"/>
        <v>-0.29238417492594532</v>
      </c>
      <c r="Z92" s="37">
        <f t="shared" si="18"/>
        <v>0.33347618193389345</v>
      </c>
      <c r="AA92" s="37">
        <f t="shared" si="18"/>
        <v>-1.3641708268600676</v>
      </c>
      <c r="AB92" s="37">
        <f t="shared" si="18"/>
        <v>0.30504398370210595</v>
      </c>
      <c r="AC92" s="37">
        <f t="shared" si="18"/>
        <v>-6.0876253646491192E-3</v>
      </c>
      <c r="AD92" s="37">
        <f t="shared" si="18"/>
        <v>6.1142987871620834E-2</v>
      </c>
      <c r="AE92" s="37">
        <f t="shared" si="18"/>
        <v>1.3388213728947576</v>
      </c>
      <c r="AF92" s="90">
        <f t="shared" si="18"/>
        <v>-0.50985434813354169</v>
      </c>
      <c r="AI92" s="123">
        <v>-0.17656698530373344</v>
      </c>
      <c r="AJ92" s="37">
        <v>2.5335186999452402E-2</v>
      </c>
      <c r="AK92" s="37">
        <v>0.71451302129716265</v>
      </c>
      <c r="AL92" s="37">
        <v>6.2973921251602311E-2</v>
      </c>
      <c r="AM92" s="37">
        <v>0.63254379951984552</v>
      </c>
      <c r="AN92" s="37">
        <v>2.9678127707358989E-2</v>
      </c>
      <c r="AO92" s="37">
        <v>-0.21612676329486225</v>
      </c>
      <c r="AP92" s="37">
        <v>-7.2965594974557554E-2</v>
      </c>
      <c r="AQ92" s="90">
        <v>-2.5699225706734535E-2</v>
      </c>
      <c r="AS92" s="173">
        <v>-0.66148868417178019</v>
      </c>
      <c r="AU92" s="173">
        <v>-0.7366026691225056</v>
      </c>
      <c r="AW92" s="173">
        <v>5.0000000000000018</v>
      </c>
    </row>
    <row r="93" spans="1:49" x14ac:dyDescent="0.25">
      <c r="A93">
        <v>90</v>
      </c>
      <c r="B93" s="66">
        <v>3</v>
      </c>
      <c r="C93" s="56">
        <v>8</v>
      </c>
      <c r="D93" s="56">
        <v>2</v>
      </c>
      <c r="E93" s="56">
        <v>4</v>
      </c>
      <c r="F93" s="56">
        <v>8</v>
      </c>
      <c r="G93" s="56">
        <v>7</v>
      </c>
      <c r="H93" s="56">
        <v>3</v>
      </c>
      <c r="I93" s="56">
        <v>5</v>
      </c>
      <c r="J93" s="224">
        <v>8</v>
      </c>
      <c r="W93">
        <f t="shared" si="19"/>
        <v>90</v>
      </c>
      <c r="X93" s="123">
        <f t="shared" si="18"/>
        <v>-0.55941158939094915</v>
      </c>
      <c r="Y93" s="37">
        <f t="shared" si="18"/>
        <v>-0.29238417492594532</v>
      </c>
      <c r="Z93" s="37">
        <f t="shared" si="18"/>
        <v>-0.87916447964390132</v>
      </c>
      <c r="AA93" s="37">
        <f t="shared" ref="AA93:AF123" si="20">STANDARDIZE(E93,E$126,E$127)</f>
        <v>0.60812434450388564</v>
      </c>
      <c r="AB93" s="37">
        <f t="shared" si="20"/>
        <v>1.3509090706807538</v>
      </c>
      <c r="AC93" s="37">
        <f t="shared" si="20"/>
        <v>0.72442741839320879</v>
      </c>
      <c r="AD93" s="37">
        <f t="shared" si="20"/>
        <v>-0.71118949050674818</v>
      </c>
      <c r="AE93" s="37">
        <f t="shared" si="20"/>
        <v>0.2887653941537715</v>
      </c>
      <c r="AF93" s="90">
        <f t="shared" si="20"/>
        <v>1.1896601456449316</v>
      </c>
      <c r="AI93" s="123">
        <v>-0.48149531050226674</v>
      </c>
      <c r="AJ93" s="37">
        <v>0.19955381608776179</v>
      </c>
      <c r="AK93" s="37">
        <v>-0.18029716401458001</v>
      </c>
      <c r="AL93" s="37">
        <v>-0.16443604112894591</v>
      </c>
      <c r="AM93" s="37">
        <v>-8.9073854886759812E-2</v>
      </c>
      <c r="AN93" s="37">
        <v>-9.9157243599927641E-2</v>
      </c>
      <c r="AO93" s="37">
        <v>-0.36144099298527216</v>
      </c>
      <c r="AP93" s="37">
        <v>-0.1678417200000899</v>
      </c>
      <c r="AQ93" s="90">
        <v>-0.70158215235978194</v>
      </c>
      <c r="AS93" s="173">
        <v>-0.22281136569341453</v>
      </c>
      <c r="AU93" s="173">
        <v>-0.32502325131756393</v>
      </c>
      <c r="AW93" s="173">
        <v>3.9999999999999991</v>
      </c>
    </row>
    <row r="94" spans="1:49" x14ac:dyDescent="0.25">
      <c r="A94">
        <v>91</v>
      </c>
      <c r="B94" s="36">
        <v>5</v>
      </c>
      <c r="C94" s="37">
        <v>8</v>
      </c>
      <c r="D94" s="37">
        <v>3</v>
      </c>
      <c r="E94" s="37">
        <v>2</v>
      </c>
      <c r="F94" s="37">
        <v>5</v>
      </c>
      <c r="G94" s="37">
        <v>5</v>
      </c>
      <c r="H94" s="37">
        <v>5</v>
      </c>
      <c r="I94" s="37">
        <v>4</v>
      </c>
      <c r="J94" s="90">
        <v>7</v>
      </c>
      <c r="W94">
        <f t="shared" si="19"/>
        <v>91</v>
      </c>
      <c r="X94" s="123">
        <f t="shared" ref="X94:Z123" si="21">STANDARDIZE(B94,B$126,B$127)</f>
        <v>1.0201034865364365</v>
      </c>
      <c r="Y94" s="37">
        <f t="shared" si="21"/>
        <v>-0.29238417492594532</v>
      </c>
      <c r="Z94" s="37">
        <f t="shared" si="21"/>
        <v>-0.27284414885500391</v>
      </c>
      <c r="AA94" s="37">
        <f t="shared" si="20"/>
        <v>-1.3641708268600676</v>
      </c>
      <c r="AB94" s="37">
        <f t="shared" si="20"/>
        <v>-1.78668619025519</v>
      </c>
      <c r="AC94" s="37">
        <f t="shared" si="20"/>
        <v>-0.73660266912250705</v>
      </c>
      <c r="AD94" s="37">
        <f t="shared" si="20"/>
        <v>6.1142987871620834E-2</v>
      </c>
      <c r="AE94" s="37">
        <f t="shared" si="20"/>
        <v>-0.76129058458721444</v>
      </c>
      <c r="AF94" s="90">
        <f t="shared" si="20"/>
        <v>-0.50985434813354169</v>
      </c>
      <c r="AI94" s="123">
        <v>-0.40531393485510109</v>
      </c>
      <c r="AJ94" s="37">
        <v>2.9433741047434455E-2</v>
      </c>
      <c r="AK94" s="37">
        <v>0.10755126341193333</v>
      </c>
      <c r="AL94" s="37">
        <v>0.11621477933703687</v>
      </c>
      <c r="AM94" s="37">
        <v>-0.21504973397504623</v>
      </c>
      <c r="AN94" s="37">
        <v>0.78275870493576327</v>
      </c>
      <c r="AO94" s="37">
        <v>0.28183665148619119</v>
      </c>
      <c r="AP94" s="37">
        <v>-0.25913253981977796</v>
      </c>
      <c r="AQ94" s="90">
        <v>6.513041035120351E-2</v>
      </c>
      <c r="AS94" s="173">
        <v>0.14963601664833681</v>
      </c>
      <c r="AU94" s="173">
        <v>-0.76129058458721366</v>
      </c>
      <c r="AW94" s="173">
        <v>4.0000000000000009</v>
      </c>
    </row>
    <row r="95" spans="1:49" x14ac:dyDescent="0.25">
      <c r="A95">
        <v>92</v>
      </c>
      <c r="B95" s="36">
        <v>3</v>
      </c>
      <c r="C95" s="37">
        <v>8</v>
      </c>
      <c r="D95" s="37">
        <v>2</v>
      </c>
      <c r="E95" s="37">
        <v>4</v>
      </c>
      <c r="F95" s="37">
        <v>6</v>
      </c>
      <c r="G95" s="37">
        <v>6</v>
      </c>
      <c r="H95" s="37">
        <v>7</v>
      </c>
      <c r="I95" s="37">
        <v>4</v>
      </c>
      <c r="J95" s="90">
        <v>7</v>
      </c>
      <c r="W95">
        <f t="shared" si="19"/>
        <v>92</v>
      </c>
      <c r="X95" s="123">
        <f t="shared" si="21"/>
        <v>-0.55941158939094915</v>
      </c>
      <c r="Y95" s="37">
        <f t="shared" si="21"/>
        <v>-0.29238417492594532</v>
      </c>
      <c r="Z95" s="37">
        <f t="shared" si="21"/>
        <v>-0.87916447964390132</v>
      </c>
      <c r="AA95" s="37">
        <f t="shared" si="20"/>
        <v>0.60812434450388564</v>
      </c>
      <c r="AB95" s="37">
        <f t="shared" si="20"/>
        <v>-0.74082110327654205</v>
      </c>
      <c r="AC95" s="37">
        <f t="shared" si="20"/>
        <v>-6.0876253646491192E-3</v>
      </c>
      <c r="AD95" s="37">
        <f t="shared" si="20"/>
        <v>0.8334754662499898</v>
      </c>
      <c r="AE95" s="37">
        <f t="shared" si="20"/>
        <v>-0.76129058458721444</v>
      </c>
      <c r="AF95" s="90">
        <f t="shared" si="20"/>
        <v>-0.50985434813354169</v>
      </c>
      <c r="AI95" s="91">
        <v>-0.17762263035252251</v>
      </c>
      <c r="AJ95" s="92">
        <v>-0.61785233926642158</v>
      </c>
      <c r="AK95" s="92">
        <v>-0.31904074111745484</v>
      </c>
      <c r="AL95" s="92">
        <v>0.23116966886460935</v>
      </c>
      <c r="AM95" s="92">
        <v>0.2744287936360626</v>
      </c>
      <c r="AN95" s="92">
        <v>-0.19028360917782811</v>
      </c>
      <c r="AO95" s="92">
        <v>4.1652458384891254E-2</v>
      </c>
      <c r="AP95" s="92">
        <v>-0.55866843595019611</v>
      </c>
      <c r="AQ95" s="93">
        <v>7.8217098124915563E-2</v>
      </c>
      <c r="AS95" s="174">
        <v>-0.56694053305578651</v>
      </c>
      <c r="AU95" s="174">
        <v>1.1896601456449289</v>
      </c>
      <c r="AW95" s="174">
        <v>7.9999999999999982</v>
      </c>
    </row>
    <row r="96" spans="1:49" x14ac:dyDescent="0.25">
      <c r="A96">
        <v>93</v>
      </c>
      <c r="B96" s="36">
        <v>3</v>
      </c>
      <c r="C96" s="37">
        <v>8</v>
      </c>
      <c r="D96" s="37">
        <v>2</v>
      </c>
      <c r="E96" s="37">
        <v>2</v>
      </c>
      <c r="F96" s="37">
        <v>7</v>
      </c>
      <c r="G96" s="37">
        <v>8</v>
      </c>
      <c r="H96" s="37">
        <v>1</v>
      </c>
      <c r="I96" s="37">
        <v>4</v>
      </c>
      <c r="J96" s="90">
        <v>7</v>
      </c>
      <c r="W96">
        <f t="shared" si="19"/>
        <v>93</v>
      </c>
      <c r="X96" s="123">
        <f t="shared" si="21"/>
        <v>-0.55941158939094915</v>
      </c>
      <c r="Y96" s="37">
        <f t="shared" si="21"/>
        <v>-0.29238417492594532</v>
      </c>
      <c r="Z96" s="37">
        <f t="shared" si="21"/>
        <v>-0.87916447964390132</v>
      </c>
      <c r="AA96" s="37">
        <f t="shared" si="20"/>
        <v>-1.3641708268600676</v>
      </c>
      <c r="AB96" s="37">
        <f t="shared" si="20"/>
        <v>0.30504398370210595</v>
      </c>
      <c r="AC96" s="37">
        <f t="shared" si="20"/>
        <v>1.4549424621510667</v>
      </c>
      <c r="AD96" s="37">
        <f t="shared" si="20"/>
        <v>-1.4835219688851171</v>
      </c>
      <c r="AE96" s="37">
        <f t="shared" si="20"/>
        <v>-0.76129058458721444</v>
      </c>
      <c r="AF96" s="90">
        <f t="shared" si="20"/>
        <v>-0.50985434813354169</v>
      </c>
    </row>
    <row r="97" spans="1:32" x14ac:dyDescent="0.25">
      <c r="A97">
        <v>94</v>
      </c>
      <c r="B97" s="36">
        <v>3</v>
      </c>
      <c r="C97" s="37">
        <v>8</v>
      </c>
      <c r="D97" s="37">
        <v>2</v>
      </c>
      <c r="E97" s="37">
        <v>2</v>
      </c>
      <c r="F97" s="37">
        <v>6</v>
      </c>
      <c r="G97" s="37">
        <v>4</v>
      </c>
      <c r="H97" s="37">
        <v>4</v>
      </c>
      <c r="I97" s="37">
        <v>5</v>
      </c>
      <c r="J97" s="90">
        <v>7</v>
      </c>
      <c r="W97">
        <f t="shared" si="19"/>
        <v>94</v>
      </c>
      <c r="X97" s="123">
        <f t="shared" si="21"/>
        <v>-0.55941158939094915</v>
      </c>
      <c r="Y97" s="37">
        <f t="shared" si="21"/>
        <v>-0.29238417492594532</v>
      </c>
      <c r="Z97" s="37">
        <f t="shared" si="21"/>
        <v>-0.87916447964390132</v>
      </c>
      <c r="AA97" s="37">
        <f t="shared" si="20"/>
        <v>-1.3641708268600676</v>
      </c>
      <c r="AB97" s="37">
        <f t="shared" si="20"/>
        <v>-0.74082110327654205</v>
      </c>
      <c r="AC97" s="37">
        <f t="shared" si="20"/>
        <v>-1.467117712880365</v>
      </c>
      <c r="AD97" s="37">
        <f t="shared" si="20"/>
        <v>-0.32502325131756366</v>
      </c>
      <c r="AE97" s="37">
        <f t="shared" si="20"/>
        <v>0.2887653941537715</v>
      </c>
      <c r="AF97" s="90">
        <f t="shared" si="20"/>
        <v>-0.50985434813354169</v>
      </c>
    </row>
    <row r="98" spans="1:32" x14ac:dyDescent="0.25">
      <c r="A98">
        <v>95</v>
      </c>
      <c r="B98" s="36">
        <v>4</v>
      </c>
      <c r="C98" s="37">
        <v>8</v>
      </c>
      <c r="D98" s="37">
        <v>3</v>
      </c>
      <c r="E98" s="37">
        <v>3</v>
      </c>
      <c r="F98" s="37">
        <v>5</v>
      </c>
      <c r="G98" s="37">
        <v>5</v>
      </c>
      <c r="H98" s="37">
        <v>1</v>
      </c>
      <c r="I98" s="37">
        <v>4</v>
      </c>
      <c r="J98" s="90">
        <v>8</v>
      </c>
      <c r="W98">
        <f t="shared" si="19"/>
        <v>95</v>
      </c>
      <c r="X98" s="123">
        <f t="shared" si="21"/>
        <v>0.23034594857274363</v>
      </c>
      <c r="Y98" s="37">
        <f t="shared" si="21"/>
        <v>-0.29238417492594532</v>
      </c>
      <c r="Z98" s="37">
        <f t="shared" si="21"/>
        <v>-0.27284414885500391</v>
      </c>
      <c r="AA98" s="37">
        <f t="shared" si="20"/>
        <v>-0.378023241178091</v>
      </c>
      <c r="AB98" s="37">
        <f t="shared" si="20"/>
        <v>-1.78668619025519</v>
      </c>
      <c r="AC98" s="37">
        <f t="shared" si="20"/>
        <v>-0.73660266912250705</v>
      </c>
      <c r="AD98" s="37">
        <f t="shared" si="20"/>
        <v>-1.4835219688851171</v>
      </c>
      <c r="AE98" s="37">
        <f t="shared" si="20"/>
        <v>-0.76129058458721444</v>
      </c>
      <c r="AF98" s="90">
        <f t="shared" si="20"/>
        <v>1.1896601456449316</v>
      </c>
    </row>
    <row r="99" spans="1:32" x14ac:dyDescent="0.25">
      <c r="A99">
        <v>96</v>
      </c>
      <c r="B99" s="36">
        <v>5</v>
      </c>
      <c r="C99" s="37">
        <v>8</v>
      </c>
      <c r="D99" s="37">
        <v>2</v>
      </c>
      <c r="E99" s="37">
        <v>3</v>
      </c>
      <c r="F99" s="37">
        <v>7</v>
      </c>
      <c r="G99" s="37">
        <v>6</v>
      </c>
      <c r="H99" s="37">
        <v>5</v>
      </c>
      <c r="I99" s="37">
        <v>4</v>
      </c>
      <c r="J99" s="90">
        <v>7</v>
      </c>
      <c r="W99">
        <f t="shared" si="19"/>
        <v>96</v>
      </c>
      <c r="X99" s="123">
        <f t="shared" si="21"/>
        <v>1.0201034865364365</v>
      </c>
      <c r="Y99" s="37">
        <f t="shared" si="21"/>
        <v>-0.29238417492594532</v>
      </c>
      <c r="Z99" s="37">
        <f t="shared" si="21"/>
        <v>-0.87916447964390132</v>
      </c>
      <c r="AA99" s="37">
        <f t="shared" si="20"/>
        <v>-0.378023241178091</v>
      </c>
      <c r="AB99" s="37">
        <f t="shared" si="20"/>
        <v>0.30504398370210595</v>
      </c>
      <c r="AC99" s="37">
        <f t="shared" si="20"/>
        <v>-6.0876253646491192E-3</v>
      </c>
      <c r="AD99" s="37">
        <f t="shared" si="20"/>
        <v>6.1142987871620834E-2</v>
      </c>
      <c r="AE99" s="37">
        <f t="shared" si="20"/>
        <v>-0.76129058458721444</v>
      </c>
      <c r="AF99" s="90">
        <f t="shared" si="20"/>
        <v>-0.50985434813354169</v>
      </c>
    </row>
    <row r="100" spans="1:32" x14ac:dyDescent="0.25">
      <c r="A100">
        <v>97</v>
      </c>
      <c r="B100" s="36">
        <v>4</v>
      </c>
      <c r="C100" s="37">
        <v>9</v>
      </c>
      <c r="D100" s="37">
        <v>2</v>
      </c>
      <c r="E100" s="37">
        <v>3</v>
      </c>
      <c r="F100" s="37">
        <v>7</v>
      </c>
      <c r="G100" s="37">
        <v>7</v>
      </c>
      <c r="H100" s="37">
        <v>6</v>
      </c>
      <c r="I100" s="37">
        <v>6</v>
      </c>
      <c r="J100" s="90">
        <v>6</v>
      </c>
      <c r="W100">
        <f t="shared" si="19"/>
        <v>97</v>
      </c>
      <c r="X100" s="123">
        <f t="shared" si="21"/>
        <v>0.23034594857274363</v>
      </c>
      <c r="Y100" s="37">
        <f t="shared" si="21"/>
        <v>1.4619208746297327</v>
      </c>
      <c r="Z100" s="37">
        <f t="shared" si="21"/>
        <v>-0.87916447964390132</v>
      </c>
      <c r="AA100" s="37">
        <f t="shared" si="20"/>
        <v>-0.378023241178091</v>
      </c>
      <c r="AB100" s="37">
        <f t="shared" si="20"/>
        <v>0.30504398370210595</v>
      </c>
      <c r="AC100" s="37">
        <f t="shared" si="20"/>
        <v>0.72442741839320879</v>
      </c>
      <c r="AD100" s="37">
        <f t="shared" si="20"/>
        <v>0.44730922706080534</v>
      </c>
      <c r="AE100" s="37">
        <f t="shared" si="20"/>
        <v>1.3388213728947576</v>
      </c>
      <c r="AF100" s="90">
        <f t="shared" si="20"/>
        <v>-2.2093688419120152</v>
      </c>
    </row>
    <row r="101" spans="1:32" x14ac:dyDescent="0.25">
      <c r="A101">
        <v>98</v>
      </c>
      <c r="B101" s="36">
        <v>4</v>
      </c>
      <c r="C101" s="37">
        <v>8</v>
      </c>
      <c r="D101" s="37">
        <v>3</v>
      </c>
      <c r="E101" s="37">
        <v>3</v>
      </c>
      <c r="F101" s="37">
        <v>6</v>
      </c>
      <c r="G101" s="37">
        <v>6</v>
      </c>
      <c r="H101" s="37">
        <v>5</v>
      </c>
      <c r="I101" s="37">
        <v>5</v>
      </c>
      <c r="J101" s="90">
        <v>7</v>
      </c>
      <c r="W101">
        <f t="shared" si="19"/>
        <v>98</v>
      </c>
      <c r="X101" s="123">
        <f t="shared" si="21"/>
        <v>0.23034594857274363</v>
      </c>
      <c r="Y101" s="37">
        <f t="shared" si="21"/>
        <v>-0.29238417492594532</v>
      </c>
      <c r="Z101" s="37">
        <f t="shared" si="21"/>
        <v>-0.27284414885500391</v>
      </c>
      <c r="AA101" s="37">
        <f t="shared" si="20"/>
        <v>-0.378023241178091</v>
      </c>
      <c r="AB101" s="37">
        <f t="shared" si="20"/>
        <v>-0.74082110327654205</v>
      </c>
      <c r="AC101" s="37">
        <f t="shared" si="20"/>
        <v>-6.0876253646491192E-3</v>
      </c>
      <c r="AD101" s="37">
        <f t="shared" si="20"/>
        <v>6.1142987871620834E-2</v>
      </c>
      <c r="AE101" s="37">
        <f t="shared" si="20"/>
        <v>0.2887653941537715</v>
      </c>
      <c r="AF101" s="90">
        <f t="shared" si="20"/>
        <v>-0.50985434813354169</v>
      </c>
    </row>
    <row r="102" spans="1:32" x14ac:dyDescent="0.25">
      <c r="A102">
        <v>99</v>
      </c>
      <c r="B102" s="36">
        <v>3</v>
      </c>
      <c r="C102" s="37">
        <v>8</v>
      </c>
      <c r="D102" s="37">
        <v>3</v>
      </c>
      <c r="E102" s="37">
        <v>3</v>
      </c>
      <c r="F102" s="37">
        <v>7</v>
      </c>
      <c r="G102" s="37">
        <v>5</v>
      </c>
      <c r="H102" s="37">
        <v>3</v>
      </c>
      <c r="I102" s="37">
        <v>5</v>
      </c>
      <c r="J102" s="90">
        <v>7</v>
      </c>
      <c r="W102">
        <f t="shared" si="19"/>
        <v>99</v>
      </c>
      <c r="X102" s="123">
        <f t="shared" si="21"/>
        <v>-0.55941158939094915</v>
      </c>
      <c r="Y102" s="37">
        <f t="shared" si="21"/>
        <v>-0.29238417492594532</v>
      </c>
      <c r="Z102" s="37">
        <f t="shared" si="21"/>
        <v>-0.27284414885500391</v>
      </c>
      <c r="AA102" s="37">
        <f t="shared" si="20"/>
        <v>-0.378023241178091</v>
      </c>
      <c r="AB102" s="37">
        <f t="shared" si="20"/>
        <v>0.30504398370210595</v>
      </c>
      <c r="AC102" s="37">
        <f t="shared" si="20"/>
        <v>-0.73660266912250705</v>
      </c>
      <c r="AD102" s="37">
        <f t="shared" si="20"/>
        <v>-0.71118949050674818</v>
      </c>
      <c r="AE102" s="37">
        <f t="shared" si="20"/>
        <v>0.2887653941537715</v>
      </c>
      <c r="AF102" s="90">
        <f t="shared" si="20"/>
        <v>-0.50985434813354169</v>
      </c>
    </row>
    <row r="103" spans="1:32" x14ac:dyDescent="0.25">
      <c r="A103">
        <v>100</v>
      </c>
      <c r="B103" s="36">
        <v>2</v>
      </c>
      <c r="C103" s="37">
        <v>8</v>
      </c>
      <c r="D103" s="37">
        <v>3</v>
      </c>
      <c r="E103" s="37">
        <v>2</v>
      </c>
      <c r="F103" s="37">
        <v>8</v>
      </c>
      <c r="G103" s="37">
        <v>8</v>
      </c>
      <c r="H103" s="37">
        <v>5</v>
      </c>
      <c r="I103" s="37">
        <v>4</v>
      </c>
      <c r="J103" s="90">
        <v>7</v>
      </c>
      <c r="W103">
        <f t="shared" si="19"/>
        <v>100</v>
      </c>
      <c r="X103" s="123">
        <f t="shared" si="21"/>
        <v>-1.349169127354642</v>
      </c>
      <c r="Y103" s="37">
        <f t="shared" si="21"/>
        <v>-0.29238417492594532</v>
      </c>
      <c r="Z103" s="37">
        <f t="shared" si="21"/>
        <v>-0.27284414885500391</v>
      </c>
      <c r="AA103" s="37">
        <f t="shared" si="20"/>
        <v>-1.3641708268600676</v>
      </c>
      <c r="AB103" s="37">
        <f t="shared" si="20"/>
        <v>1.3509090706807538</v>
      </c>
      <c r="AC103" s="37">
        <f t="shared" si="20"/>
        <v>1.4549424621510667</v>
      </c>
      <c r="AD103" s="37">
        <f t="shared" si="20"/>
        <v>6.1142987871620834E-2</v>
      </c>
      <c r="AE103" s="37">
        <f t="shared" si="20"/>
        <v>-0.76129058458721444</v>
      </c>
      <c r="AF103" s="90">
        <f t="shared" si="20"/>
        <v>-0.50985434813354169</v>
      </c>
    </row>
    <row r="104" spans="1:32" x14ac:dyDescent="0.25">
      <c r="A104">
        <f>A103+1</f>
        <v>101</v>
      </c>
      <c r="B104" s="36">
        <v>5</v>
      </c>
      <c r="C104" s="37">
        <v>8</v>
      </c>
      <c r="D104" s="37">
        <v>1</v>
      </c>
      <c r="E104" s="37">
        <v>3</v>
      </c>
      <c r="F104" s="37">
        <v>6</v>
      </c>
      <c r="G104" s="37">
        <v>6</v>
      </c>
      <c r="H104" s="37">
        <v>4</v>
      </c>
      <c r="I104" s="37">
        <v>5</v>
      </c>
      <c r="J104" s="90">
        <v>7</v>
      </c>
      <c r="W104">
        <f t="shared" si="19"/>
        <v>101</v>
      </c>
      <c r="X104" s="123">
        <f t="shared" si="21"/>
        <v>1.0201034865364365</v>
      </c>
      <c r="Y104" s="37">
        <f t="shared" si="21"/>
        <v>-0.29238417492594532</v>
      </c>
      <c r="Z104" s="37">
        <f t="shared" si="21"/>
        <v>-1.4854848104327987</v>
      </c>
      <c r="AA104" s="37">
        <f t="shared" si="20"/>
        <v>-0.378023241178091</v>
      </c>
      <c r="AB104" s="37">
        <f t="shared" si="20"/>
        <v>-0.74082110327654205</v>
      </c>
      <c r="AC104" s="37">
        <f t="shared" si="20"/>
        <v>-6.0876253646491192E-3</v>
      </c>
      <c r="AD104" s="37">
        <f t="shared" si="20"/>
        <v>-0.32502325131756366</v>
      </c>
      <c r="AE104" s="37">
        <f t="shared" si="20"/>
        <v>0.2887653941537715</v>
      </c>
      <c r="AF104" s="90">
        <f t="shared" si="20"/>
        <v>-0.50985434813354169</v>
      </c>
    </row>
    <row r="105" spans="1:32" x14ac:dyDescent="0.25">
      <c r="A105">
        <f t="shared" ref="A105:A123" si="22">A104+1</f>
        <v>102</v>
      </c>
      <c r="B105" s="36">
        <v>6</v>
      </c>
      <c r="C105" s="37">
        <v>8</v>
      </c>
      <c r="D105" s="37">
        <v>3</v>
      </c>
      <c r="E105" s="37">
        <v>3</v>
      </c>
      <c r="F105" s="37">
        <v>6</v>
      </c>
      <c r="G105" s="37">
        <v>5</v>
      </c>
      <c r="H105" s="37">
        <v>4</v>
      </c>
      <c r="I105" s="37">
        <v>4</v>
      </c>
      <c r="J105" s="90">
        <v>7</v>
      </c>
      <c r="W105">
        <f t="shared" si="19"/>
        <v>102</v>
      </c>
      <c r="X105" s="123">
        <f t="shared" si="21"/>
        <v>1.8098610245001292</v>
      </c>
      <c r="Y105" s="37">
        <f t="shared" si="21"/>
        <v>-0.29238417492594532</v>
      </c>
      <c r="Z105" s="37">
        <f t="shared" si="21"/>
        <v>-0.27284414885500391</v>
      </c>
      <c r="AA105" s="37">
        <f t="shared" si="20"/>
        <v>-0.378023241178091</v>
      </c>
      <c r="AB105" s="37">
        <f t="shared" si="20"/>
        <v>-0.74082110327654205</v>
      </c>
      <c r="AC105" s="37">
        <f t="shared" si="20"/>
        <v>-0.73660266912250705</v>
      </c>
      <c r="AD105" s="37">
        <f t="shared" si="20"/>
        <v>-0.32502325131756366</v>
      </c>
      <c r="AE105" s="37">
        <f t="shared" si="20"/>
        <v>-0.76129058458721444</v>
      </c>
      <c r="AF105" s="90">
        <f t="shared" si="20"/>
        <v>-0.50985434813354169</v>
      </c>
    </row>
    <row r="106" spans="1:32" x14ac:dyDescent="0.25">
      <c r="A106">
        <f t="shared" si="22"/>
        <v>103</v>
      </c>
      <c r="B106" s="36">
        <v>5</v>
      </c>
      <c r="C106" s="37">
        <v>7</v>
      </c>
      <c r="D106" s="37">
        <v>3</v>
      </c>
      <c r="E106" s="37">
        <v>3</v>
      </c>
      <c r="F106" s="37">
        <v>7</v>
      </c>
      <c r="G106" s="37">
        <v>6</v>
      </c>
      <c r="H106" s="37">
        <v>6</v>
      </c>
      <c r="I106" s="37">
        <v>4</v>
      </c>
      <c r="J106" s="90">
        <v>7</v>
      </c>
      <c r="W106">
        <f t="shared" si="19"/>
        <v>103</v>
      </c>
      <c r="X106" s="123">
        <f t="shared" si="21"/>
        <v>1.0201034865364365</v>
      </c>
      <c r="Y106" s="37">
        <f t="shared" si="21"/>
        <v>-2.0466892244816233</v>
      </c>
      <c r="Z106" s="37">
        <f t="shared" si="21"/>
        <v>-0.27284414885500391</v>
      </c>
      <c r="AA106" s="37">
        <f t="shared" si="20"/>
        <v>-0.378023241178091</v>
      </c>
      <c r="AB106" s="37">
        <f t="shared" si="20"/>
        <v>0.30504398370210595</v>
      </c>
      <c r="AC106" s="37">
        <f t="shared" si="20"/>
        <v>-6.0876253646491192E-3</v>
      </c>
      <c r="AD106" s="37">
        <f t="shared" si="20"/>
        <v>0.44730922706080534</v>
      </c>
      <c r="AE106" s="37">
        <f t="shared" si="20"/>
        <v>-0.76129058458721444</v>
      </c>
      <c r="AF106" s="90">
        <f t="shared" si="20"/>
        <v>-0.50985434813354169</v>
      </c>
    </row>
    <row r="107" spans="1:32" x14ac:dyDescent="0.25">
      <c r="A107">
        <f t="shared" si="22"/>
        <v>104</v>
      </c>
      <c r="B107" s="36">
        <v>4</v>
      </c>
      <c r="C107" s="37">
        <v>8</v>
      </c>
      <c r="D107" s="37">
        <v>3</v>
      </c>
      <c r="E107" s="37">
        <v>5</v>
      </c>
      <c r="F107" s="37">
        <v>6</v>
      </c>
      <c r="G107" s="37">
        <v>7</v>
      </c>
      <c r="H107" s="37">
        <v>2</v>
      </c>
      <c r="I107" s="37">
        <v>6</v>
      </c>
      <c r="J107" s="90">
        <v>6</v>
      </c>
      <c r="W107">
        <f t="shared" si="19"/>
        <v>104</v>
      </c>
      <c r="X107" s="123">
        <f t="shared" si="21"/>
        <v>0.23034594857274363</v>
      </c>
      <c r="Y107" s="37">
        <f t="shared" si="21"/>
        <v>-0.29238417492594532</v>
      </c>
      <c r="Z107" s="37">
        <f t="shared" si="21"/>
        <v>-0.27284414885500391</v>
      </c>
      <c r="AA107" s="37">
        <f t="shared" si="20"/>
        <v>1.5942719301858623</v>
      </c>
      <c r="AB107" s="37">
        <f t="shared" si="20"/>
        <v>-0.74082110327654205</v>
      </c>
      <c r="AC107" s="37">
        <f t="shared" si="20"/>
        <v>0.72442741839320879</v>
      </c>
      <c r="AD107" s="37">
        <f t="shared" si="20"/>
        <v>-1.0973557296959326</v>
      </c>
      <c r="AE107" s="37">
        <f t="shared" si="20"/>
        <v>1.3388213728947576</v>
      </c>
      <c r="AF107" s="90">
        <f t="shared" si="20"/>
        <v>-2.2093688419120152</v>
      </c>
    </row>
    <row r="108" spans="1:32" x14ac:dyDescent="0.25">
      <c r="A108">
        <f t="shared" si="22"/>
        <v>105</v>
      </c>
      <c r="B108" s="36">
        <v>3</v>
      </c>
      <c r="C108" s="37">
        <v>9</v>
      </c>
      <c r="D108" s="37">
        <v>3</v>
      </c>
      <c r="E108" s="37">
        <v>2</v>
      </c>
      <c r="F108" s="37">
        <v>6</v>
      </c>
      <c r="G108" s="37">
        <v>6</v>
      </c>
      <c r="H108" s="37">
        <v>5</v>
      </c>
      <c r="I108" s="37">
        <v>4</v>
      </c>
      <c r="J108" s="90">
        <v>8</v>
      </c>
      <c r="W108">
        <f t="shared" si="19"/>
        <v>105</v>
      </c>
      <c r="X108" s="123">
        <f t="shared" si="21"/>
        <v>-0.55941158939094915</v>
      </c>
      <c r="Y108" s="37">
        <f t="shared" si="21"/>
        <v>1.4619208746297327</v>
      </c>
      <c r="Z108" s="37">
        <f t="shared" si="21"/>
        <v>-0.27284414885500391</v>
      </c>
      <c r="AA108" s="37">
        <f t="shared" si="20"/>
        <v>-1.3641708268600676</v>
      </c>
      <c r="AB108" s="37">
        <f t="shared" si="20"/>
        <v>-0.74082110327654205</v>
      </c>
      <c r="AC108" s="37">
        <f t="shared" si="20"/>
        <v>-6.0876253646491192E-3</v>
      </c>
      <c r="AD108" s="37">
        <f t="shared" si="20"/>
        <v>6.1142987871620834E-2</v>
      </c>
      <c r="AE108" s="37">
        <f t="shared" si="20"/>
        <v>-0.76129058458721444</v>
      </c>
      <c r="AF108" s="90">
        <f t="shared" si="20"/>
        <v>1.1896601456449316</v>
      </c>
    </row>
    <row r="109" spans="1:32" x14ac:dyDescent="0.25">
      <c r="A109">
        <f t="shared" si="22"/>
        <v>106</v>
      </c>
      <c r="B109" s="36">
        <v>4</v>
      </c>
      <c r="C109" s="37">
        <v>8</v>
      </c>
      <c r="D109" s="37">
        <v>5</v>
      </c>
      <c r="E109" s="37">
        <v>4</v>
      </c>
      <c r="F109" s="37">
        <v>7</v>
      </c>
      <c r="G109" s="37">
        <v>6</v>
      </c>
      <c r="H109" s="37">
        <v>7</v>
      </c>
      <c r="I109" s="37">
        <v>5</v>
      </c>
      <c r="J109" s="90">
        <v>8</v>
      </c>
      <c r="W109">
        <f t="shared" si="19"/>
        <v>106</v>
      </c>
      <c r="X109" s="123">
        <f t="shared" si="21"/>
        <v>0.23034594857274363</v>
      </c>
      <c r="Y109" s="37">
        <f t="shared" si="21"/>
        <v>-0.29238417492594532</v>
      </c>
      <c r="Z109" s="37">
        <f t="shared" si="21"/>
        <v>0.93979651272279086</v>
      </c>
      <c r="AA109" s="37">
        <f t="shared" si="20"/>
        <v>0.60812434450388564</v>
      </c>
      <c r="AB109" s="37">
        <f t="shared" si="20"/>
        <v>0.30504398370210595</v>
      </c>
      <c r="AC109" s="37">
        <f t="shared" si="20"/>
        <v>-6.0876253646491192E-3</v>
      </c>
      <c r="AD109" s="37">
        <f t="shared" si="20"/>
        <v>0.8334754662499898</v>
      </c>
      <c r="AE109" s="37">
        <f t="shared" si="20"/>
        <v>0.2887653941537715</v>
      </c>
      <c r="AF109" s="90">
        <f t="shared" si="20"/>
        <v>1.1896601456449316</v>
      </c>
    </row>
    <row r="110" spans="1:32" x14ac:dyDescent="0.25">
      <c r="A110">
        <f t="shared" si="22"/>
        <v>107</v>
      </c>
      <c r="B110" s="36">
        <v>5</v>
      </c>
      <c r="C110" s="37">
        <v>9</v>
      </c>
      <c r="D110" s="37">
        <v>7</v>
      </c>
      <c r="E110" s="37">
        <v>2</v>
      </c>
      <c r="F110" s="37">
        <v>5</v>
      </c>
      <c r="G110" s="37">
        <v>6</v>
      </c>
      <c r="H110" s="37">
        <v>8</v>
      </c>
      <c r="I110" s="37">
        <v>6</v>
      </c>
      <c r="J110" s="90">
        <v>8</v>
      </c>
      <c r="W110">
        <f t="shared" si="19"/>
        <v>107</v>
      </c>
      <c r="X110" s="123">
        <f t="shared" si="21"/>
        <v>1.0201034865364365</v>
      </c>
      <c r="Y110" s="37">
        <f t="shared" si="21"/>
        <v>1.4619208746297327</v>
      </c>
      <c r="Z110" s="37">
        <f t="shared" si="21"/>
        <v>2.1524371743005855</v>
      </c>
      <c r="AA110" s="37">
        <f t="shared" si="20"/>
        <v>-1.3641708268600676</v>
      </c>
      <c r="AB110" s="37">
        <f t="shared" si="20"/>
        <v>-1.78668619025519</v>
      </c>
      <c r="AC110" s="37">
        <f t="shared" si="20"/>
        <v>-6.0876253646491192E-3</v>
      </c>
      <c r="AD110" s="37">
        <f t="shared" si="20"/>
        <v>1.2196417054391744</v>
      </c>
      <c r="AE110" s="37">
        <f t="shared" si="20"/>
        <v>1.3388213728947576</v>
      </c>
      <c r="AF110" s="90">
        <f t="shared" si="20"/>
        <v>1.1896601456449316</v>
      </c>
    </row>
    <row r="111" spans="1:32" x14ac:dyDescent="0.25">
      <c r="A111">
        <f t="shared" si="22"/>
        <v>108</v>
      </c>
      <c r="B111" s="36">
        <v>5</v>
      </c>
      <c r="C111" s="37">
        <v>8</v>
      </c>
      <c r="D111" s="37">
        <v>2</v>
      </c>
      <c r="E111" s="37">
        <v>4</v>
      </c>
      <c r="F111" s="37">
        <v>6</v>
      </c>
      <c r="G111" s="37">
        <v>7</v>
      </c>
      <c r="H111" s="37">
        <v>3</v>
      </c>
      <c r="I111" s="37">
        <v>4</v>
      </c>
      <c r="J111" s="90">
        <v>7</v>
      </c>
      <c r="W111">
        <f t="shared" si="19"/>
        <v>108</v>
      </c>
      <c r="X111" s="123">
        <f t="shared" si="21"/>
        <v>1.0201034865364365</v>
      </c>
      <c r="Y111" s="37">
        <f t="shared" si="21"/>
        <v>-0.29238417492594532</v>
      </c>
      <c r="Z111" s="37">
        <f t="shared" si="21"/>
        <v>-0.87916447964390132</v>
      </c>
      <c r="AA111" s="37">
        <f t="shared" si="20"/>
        <v>0.60812434450388564</v>
      </c>
      <c r="AB111" s="37">
        <f t="shared" si="20"/>
        <v>-0.74082110327654205</v>
      </c>
      <c r="AC111" s="37">
        <f t="shared" si="20"/>
        <v>0.72442741839320879</v>
      </c>
      <c r="AD111" s="37">
        <f t="shared" si="20"/>
        <v>-0.71118949050674818</v>
      </c>
      <c r="AE111" s="37">
        <f t="shared" si="20"/>
        <v>-0.76129058458721444</v>
      </c>
      <c r="AF111" s="90">
        <f t="shared" si="20"/>
        <v>-0.50985434813354169</v>
      </c>
    </row>
    <row r="112" spans="1:32" x14ac:dyDescent="0.25">
      <c r="A112">
        <f t="shared" si="22"/>
        <v>109</v>
      </c>
      <c r="B112" s="36">
        <v>4</v>
      </c>
      <c r="C112" s="37">
        <v>9</v>
      </c>
      <c r="D112" s="37">
        <v>4</v>
      </c>
      <c r="E112" s="37">
        <v>3</v>
      </c>
      <c r="F112" s="37">
        <v>7</v>
      </c>
      <c r="G112" s="37">
        <v>6</v>
      </c>
      <c r="H112" s="37">
        <v>4</v>
      </c>
      <c r="I112" s="37">
        <v>4</v>
      </c>
      <c r="J112" s="90">
        <v>8</v>
      </c>
      <c r="W112">
        <f t="shared" si="19"/>
        <v>109</v>
      </c>
      <c r="X112" s="123">
        <f t="shared" si="21"/>
        <v>0.23034594857274363</v>
      </c>
      <c r="Y112" s="37">
        <f t="shared" si="21"/>
        <v>1.4619208746297327</v>
      </c>
      <c r="Z112" s="37">
        <f t="shared" si="21"/>
        <v>0.33347618193389345</v>
      </c>
      <c r="AA112" s="37">
        <f t="shared" si="20"/>
        <v>-0.378023241178091</v>
      </c>
      <c r="AB112" s="37">
        <f t="shared" si="20"/>
        <v>0.30504398370210595</v>
      </c>
      <c r="AC112" s="37">
        <f t="shared" si="20"/>
        <v>-6.0876253646491192E-3</v>
      </c>
      <c r="AD112" s="37">
        <f t="shared" si="20"/>
        <v>-0.32502325131756366</v>
      </c>
      <c r="AE112" s="37">
        <f t="shared" si="20"/>
        <v>-0.76129058458721444</v>
      </c>
      <c r="AF112" s="90">
        <f t="shared" si="20"/>
        <v>1.1896601456449316</v>
      </c>
    </row>
    <row r="113" spans="1:32" x14ac:dyDescent="0.25">
      <c r="A113">
        <f t="shared" si="22"/>
        <v>110</v>
      </c>
      <c r="B113" s="36">
        <v>4</v>
      </c>
      <c r="C113" s="37">
        <v>9</v>
      </c>
      <c r="D113" s="37">
        <v>5</v>
      </c>
      <c r="E113" s="37">
        <v>3</v>
      </c>
      <c r="F113" s="37">
        <v>8</v>
      </c>
      <c r="G113" s="37">
        <v>6</v>
      </c>
      <c r="H113" s="37">
        <v>8</v>
      </c>
      <c r="I113" s="37">
        <v>5</v>
      </c>
      <c r="J113" s="90">
        <v>7</v>
      </c>
      <c r="W113">
        <f t="shared" si="19"/>
        <v>110</v>
      </c>
      <c r="X113" s="123">
        <f t="shared" si="21"/>
        <v>0.23034594857274363</v>
      </c>
      <c r="Y113" s="37">
        <f t="shared" si="21"/>
        <v>1.4619208746297327</v>
      </c>
      <c r="Z113" s="37">
        <f t="shared" si="21"/>
        <v>0.93979651272279086</v>
      </c>
      <c r="AA113" s="37">
        <f t="shared" si="20"/>
        <v>-0.378023241178091</v>
      </c>
      <c r="AB113" s="37">
        <f t="shared" si="20"/>
        <v>1.3509090706807538</v>
      </c>
      <c r="AC113" s="37">
        <f t="shared" si="20"/>
        <v>-6.0876253646491192E-3</v>
      </c>
      <c r="AD113" s="37">
        <f t="shared" si="20"/>
        <v>1.2196417054391744</v>
      </c>
      <c r="AE113" s="37">
        <f t="shared" si="20"/>
        <v>0.2887653941537715</v>
      </c>
      <c r="AF113" s="90">
        <f t="shared" si="20"/>
        <v>-0.50985434813354169</v>
      </c>
    </row>
    <row r="114" spans="1:32" x14ac:dyDescent="0.25">
      <c r="A114">
        <f t="shared" si="22"/>
        <v>111</v>
      </c>
      <c r="B114" s="36">
        <v>4</v>
      </c>
      <c r="C114" s="37">
        <v>9</v>
      </c>
      <c r="D114" s="37">
        <v>2</v>
      </c>
      <c r="E114" s="37">
        <v>3</v>
      </c>
      <c r="F114" s="37">
        <v>7</v>
      </c>
      <c r="G114" s="37">
        <v>6</v>
      </c>
      <c r="H114" s="37">
        <v>4</v>
      </c>
      <c r="I114" s="37">
        <v>5</v>
      </c>
      <c r="J114" s="90">
        <v>8</v>
      </c>
      <c r="W114">
        <f t="shared" si="19"/>
        <v>111</v>
      </c>
      <c r="X114" s="123">
        <f t="shared" si="21"/>
        <v>0.23034594857274363</v>
      </c>
      <c r="Y114" s="37">
        <f t="shared" si="21"/>
        <v>1.4619208746297327</v>
      </c>
      <c r="Z114" s="37">
        <f t="shared" si="21"/>
        <v>-0.87916447964390132</v>
      </c>
      <c r="AA114" s="37">
        <f t="shared" si="20"/>
        <v>-0.378023241178091</v>
      </c>
      <c r="AB114" s="37">
        <f t="shared" si="20"/>
        <v>0.30504398370210595</v>
      </c>
      <c r="AC114" s="37">
        <f t="shared" si="20"/>
        <v>-6.0876253646491192E-3</v>
      </c>
      <c r="AD114" s="37">
        <f t="shared" si="20"/>
        <v>-0.32502325131756366</v>
      </c>
      <c r="AE114" s="37">
        <f t="shared" si="20"/>
        <v>0.2887653941537715</v>
      </c>
      <c r="AF114" s="90">
        <f t="shared" si="20"/>
        <v>1.1896601456449316</v>
      </c>
    </row>
    <row r="115" spans="1:32" x14ac:dyDescent="0.25">
      <c r="A115">
        <f t="shared" si="22"/>
        <v>112</v>
      </c>
      <c r="B115" s="36">
        <v>4</v>
      </c>
      <c r="C115" s="37">
        <v>8</v>
      </c>
      <c r="D115" s="37">
        <v>6</v>
      </c>
      <c r="E115" s="37">
        <v>5</v>
      </c>
      <c r="F115" s="37">
        <v>7</v>
      </c>
      <c r="G115" s="37">
        <v>7</v>
      </c>
      <c r="H115" s="37">
        <v>8</v>
      </c>
      <c r="I115" s="37">
        <v>6</v>
      </c>
      <c r="J115" s="90">
        <v>8</v>
      </c>
      <c r="W115">
        <f t="shared" si="19"/>
        <v>112</v>
      </c>
      <c r="X115" s="123">
        <f t="shared" si="21"/>
        <v>0.23034594857274363</v>
      </c>
      <c r="Y115" s="37">
        <f t="shared" si="21"/>
        <v>-0.29238417492594532</v>
      </c>
      <c r="Z115" s="37">
        <f t="shared" si="21"/>
        <v>1.5461168435116881</v>
      </c>
      <c r="AA115" s="37">
        <f t="shared" si="20"/>
        <v>1.5942719301858623</v>
      </c>
      <c r="AB115" s="37">
        <f t="shared" si="20"/>
        <v>0.30504398370210595</v>
      </c>
      <c r="AC115" s="37">
        <f t="shared" si="20"/>
        <v>0.72442741839320879</v>
      </c>
      <c r="AD115" s="37">
        <f t="shared" si="20"/>
        <v>1.2196417054391744</v>
      </c>
      <c r="AE115" s="37">
        <f t="shared" si="20"/>
        <v>1.3388213728947576</v>
      </c>
      <c r="AF115" s="90">
        <f t="shared" si="20"/>
        <v>1.1896601456449316</v>
      </c>
    </row>
    <row r="116" spans="1:32" x14ac:dyDescent="0.25">
      <c r="A116">
        <f t="shared" si="22"/>
        <v>113</v>
      </c>
      <c r="B116" s="36">
        <v>3</v>
      </c>
      <c r="C116" s="37">
        <v>9</v>
      </c>
      <c r="D116" s="37">
        <v>8</v>
      </c>
      <c r="E116" s="37">
        <v>6</v>
      </c>
      <c r="F116" s="37">
        <v>8</v>
      </c>
      <c r="G116" s="37">
        <v>7</v>
      </c>
      <c r="H116" s="37">
        <v>10</v>
      </c>
      <c r="I116" s="37">
        <v>6</v>
      </c>
      <c r="J116" s="90">
        <v>7</v>
      </c>
      <c r="W116">
        <f t="shared" si="19"/>
        <v>113</v>
      </c>
      <c r="X116" s="123">
        <f t="shared" si="21"/>
        <v>-0.55941158939094915</v>
      </c>
      <c r="Y116" s="37">
        <f t="shared" si="21"/>
        <v>1.4619208746297327</v>
      </c>
      <c r="Z116" s="37">
        <f t="shared" si="21"/>
        <v>2.7587575050894828</v>
      </c>
      <c r="AA116" s="37">
        <f t="shared" si="20"/>
        <v>2.5804195158678387</v>
      </c>
      <c r="AB116" s="37">
        <f t="shared" si="20"/>
        <v>1.3509090706807538</v>
      </c>
      <c r="AC116" s="37">
        <f t="shared" si="20"/>
        <v>0.72442741839320879</v>
      </c>
      <c r="AD116" s="37">
        <f t="shared" si="20"/>
        <v>1.9919741838175433</v>
      </c>
      <c r="AE116" s="37">
        <f t="shared" si="20"/>
        <v>1.3388213728947576</v>
      </c>
      <c r="AF116" s="90">
        <f t="shared" si="20"/>
        <v>-0.50985434813354169</v>
      </c>
    </row>
    <row r="117" spans="1:32" x14ac:dyDescent="0.25">
      <c r="A117">
        <f t="shared" si="22"/>
        <v>114</v>
      </c>
      <c r="B117" s="36">
        <v>2</v>
      </c>
      <c r="C117" s="37">
        <v>9</v>
      </c>
      <c r="D117" s="37">
        <v>7</v>
      </c>
      <c r="E117" s="37">
        <v>4</v>
      </c>
      <c r="F117" s="37">
        <v>6</v>
      </c>
      <c r="G117" s="37">
        <v>6</v>
      </c>
      <c r="H117" s="37">
        <v>9</v>
      </c>
      <c r="I117" s="37">
        <v>5</v>
      </c>
      <c r="J117" s="90">
        <v>7</v>
      </c>
      <c r="W117">
        <f t="shared" si="19"/>
        <v>114</v>
      </c>
      <c r="X117" s="123">
        <f t="shared" si="21"/>
        <v>-1.349169127354642</v>
      </c>
      <c r="Y117" s="37">
        <f t="shared" si="21"/>
        <v>1.4619208746297327</v>
      </c>
      <c r="Z117" s="37">
        <f t="shared" si="21"/>
        <v>2.1524371743005855</v>
      </c>
      <c r="AA117" s="37">
        <f t="shared" si="20"/>
        <v>0.60812434450388564</v>
      </c>
      <c r="AB117" s="37">
        <f t="shared" si="20"/>
        <v>-0.74082110327654205</v>
      </c>
      <c r="AC117" s="37">
        <f t="shared" si="20"/>
        <v>-6.0876253646491192E-3</v>
      </c>
      <c r="AD117" s="37">
        <f t="shared" si="20"/>
        <v>1.6058079446283589</v>
      </c>
      <c r="AE117" s="37">
        <f t="shared" si="20"/>
        <v>0.2887653941537715</v>
      </c>
      <c r="AF117" s="90">
        <f t="shared" si="20"/>
        <v>-0.50985434813354169</v>
      </c>
    </row>
    <row r="118" spans="1:32" x14ac:dyDescent="0.25">
      <c r="A118">
        <f t="shared" si="22"/>
        <v>115</v>
      </c>
      <c r="B118" s="36">
        <v>4</v>
      </c>
      <c r="C118" s="37">
        <v>8</v>
      </c>
      <c r="D118" s="37">
        <v>2</v>
      </c>
      <c r="E118" s="37">
        <v>3</v>
      </c>
      <c r="F118" s="37">
        <v>7</v>
      </c>
      <c r="G118" s="37">
        <v>6</v>
      </c>
      <c r="H118" s="37">
        <v>3</v>
      </c>
      <c r="I118" s="37">
        <v>5</v>
      </c>
      <c r="J118" s="90">
        <v>7</v>
      </c>
      <c r="W118">
        <f t="shared" si="19"/>
        <v>115</v>
      </c>
      <c r="X118" s="123">
        <f t="shared" si="21"/>
        <v>0.23034594857274363</v>
      </c>
      <c r="Y118" s="37">
        <f t="shared" si="21"/>
        <v>-0.29238417492594532</v>
      </c>
      <c r="Z118" s="37">
        <f t="shared" si="21"/>
        <v>-0.87916447964390132</v>
      </c>
      <c r="AA118" s="37">
        <f t="shared" si="20"/>
        <v>-0.378023241178091</v>
      </c>
      <c r="AB118" s="37">
        <f t="shared" si="20"/>
        <v>0.30504398370210595</v>
      </c>
      <c r="AC118" s="37">
        <f t="shared" si="20"/>
        <v>-6.0876253646491192E-3</v>
      </c>
      <c r="AD118" s="37">
        <f t="shared" si="20"/>
        <v>-0.71118949050674818</v>
      </c>
      <c r="AE118" s="37">
        <f t="shared" si="20"/>
        <v>0.2887653941537715</v>
      </c>
      <c r="AF118" s="90">
        <f t="shared" si="20"/>
        <v>-0.50985434813354169</v>
      </c>
    </row>
    <row r="119" spans="1:32" x14ac:dyDescent="0.25">
      <c r="A119">
        <f t="shared" si="22"/>
        <v>116</v>
      </c>
      <c r="B119" s="36">
        <v>5</v>
      </c>
      <c r="C119" s="37">
        <v>8</v>
      </c>
      <c r="D119" s="37">
        <v>5</v>
      </c>
      <c r="E119" s="37">
        <v>4</v>
      </c>
      <c r="F119" s="37">
        <v>6</v>
      </c>
      <c r="G119" s="37">
        <v>7</v>
      </c>
      <c r="H119" s="37">
        <v>8</v>
      </c>
      <c r="I119" s="37">
        <v>6</v>
      </c>
      <c r="J119" s="90">
        <v>7</v>
      </c>
      <c r="W119">
        <f t="shared" si="19"/>
        <v>116</v>
      </c>
      <c r="X119" s="123">
        <f t="shared" si="21"/>
        <v>1.0201034865364365</v>
      </c>
      <c r="Y119" s="37">
        <f t="shared" si="21"/>
        <v>-0.29238417492594532</v>
      </c>
      <c r="Z119" s="37">
        <f t="shared" si="21"/>
        <v>0.93979651272279086</v>
      </c>
      <c r="AA119" s="37">
        <f t="shared" si="20"/>
        <v>0.60812434450388564</v>
      </c>
      <c r="AB119" s="37">
        <f t="shared" si="20"/>
        <v>-0.74082110327654205</v>
      </c>
      <c r="AC119" s="37">
        <f t="shared" si="20"/>
        <v>0.72442741839320879</v>
      </c>
      <c r="AD119" s="37">
        <f t="shared" si="20"/>
        <v>1.2196417054391744</v>
      </c>
      <c r="AE119" s="37">
        <f t="shared" si="20"/>
        <v>1.3388213728947576</v>
      </c>
      <c r="AF119" s="90">
        <f t="shared" si="20"/>
        <v>-0.50985434813354169</v>
      </c>
    </row>
    <row r="120" spans="1:32" x14ac:dyDescent="0.25">
      <c r="A120">
        <f t="shared" si="22"/>
        <v>117</v>
      </c>
      <c r="B120" s="36">
        <v>4</v>
      </c>
      <c r="C120" s="37">
        <v>10</v>
      </c>
      <c r="D120" s="37">
        <v>6</v>
      </c>
      <c r="E120" s="37">
        <v>3</v>
      </c>
      <c r="F120" s="37">
        <v>6</v>
      </c>
      <c r="G120" s="37">
        <v>8</v>
      </c>
      <c r="H120" s="37">
        <v>8</v>
      </c>
      <c r="I120" s="37">
        <v>5</v>
      </c>
      <c r="J120" s="90">
        <v>8</v>
      </c>
      <c r="W120">
        <f t="shared" si="19"/>
        <v>117</v>
      </c>
      <c r="X120" s="123">
        <f t="shared" si="21"/>
        <v>0.23034594857274363</v>
      </c>
      <c r="Y120" s="37">
        <f t="shared" si="21"/>
        <v>3.2162259241854105</v>
      </c>
      <c r="Z120" s="37">
        <f t="shared" si="21"/>
        <v>1.5461168435116881</v>
      </c>
      <c r="AA120" s="37">
        <f t="shared" si="20"/>
        <v>-0.378023241178091</v>
      </c>
      <c r="AB120" s="37">
        <f t="shared" si="20"/>
        <v>-0.74082110327654205</v>
      </c>
      <c r="AC120" s="37">
        <f t="shared" si="20"/>
        <v>1.4549424621510667</v>
      </c>
      <c r="AD120" s="37">
        <f t="shared" si="20"/>
        <v>1.2196417054391744</v>
      </c>
      <c r="AE120" s="37">
        <f t="shared" si="20"/>
        <v>0.2887653941537715</v>
      </c>
      <c r="AF120" s="90">
        <f t="shared" si="20"/>
        <v>1.1896601456449316</v>
      </c>
    </row>
    <row r="121" spans="1:32" x14ac:dyDescent="0.25">
      <c r="A121">
        <f t="shared" si="22"/>
        <v>118</v>
      </c>
      <c r="B121" s="36">
        <v>5</v>
      </c>
      <c r="C121" s="37">
        <v>9</v>
      </c>
      <c r="D121" s="37">
        <v>5</v>
      </c>
      <c r="E121" s="37">
        <v>5</v>
      </c>
      <c r="F121" s="37">
        <v>8</v>
      </c>
      <c r="G121" s="37">
        <v>3</v>
      </c>
      <c r="H121" s="37">
        <v>8</v>
      </c>
      <c r="I121" s="37">
        <v>5</v>
      </c>
      <c r="J121" s="90">
        <v>7</v>
      </c>
      <c r="W121">
        <f t="shared" si="19"/>
        <v>118</v>
      </c>
      <c r="X121" s="123">
        <f t="shared" si="21"/>
        <v>1.0201034865364365</v>
      </c>
      <c r="Y121" s="37">
        <f t="shared" si="21"/>
        <v>1.4619208746297327</v>
      </c>
      <c r="Z121" s="37">
        <f t="shared" si="21"/>
        <v>0.93979651272279086</v>
      </c>
      <c r="AA121" s="37">
        <f t="shared" si="20"/>
        <v>1.5942719301858623</v>
      </c>
      <c r="AB121" s="37">
        <f t="shared" si="20"/>
        <v>1.3509090706807538</v>
      </c>
      <c r="AC121" s="37">
        <f t="shared" si="20"/>
        <v>-2.1976327566382228</v>
      </c>
      <c r="AD121" s="37">
        <f t="shared" si="20"/>
        <v>1.2196417054391744</v>
      </c>
      <c r="AE121" s="37">
        <f t="shared" si="20"/>
        <v>0.2887653941537715</v>
      </c>
      <c r="AF121" s="90">
        <f t="shared" si="20"/>
        <v>-0.50985434813354169</v>
      </c>
    </row>
    <row r="122" spans="1:32" x14ac:dyDescent="0.25">
      <c r="A122">
        <f t="shared" si="22"/>
        <v>119</v>
      </c>
      <c r="B122" s="36">
        <v>3</v>
      </c>
      <c r="C122" s="37">
        <v>8</v>
      </c>
      <c r="D122" s="37">
        <v>2</v>
      </c>
      <c r="E122" s="37">
        <v>4</v>
      </c>
      <c r="F122" s="37">
        <v>7</v>
      </c>
      <c r="G122" s="37">
        <v>4</v>
      </c>
      <c r="H122" s="37">
        <v>1</v>
      </c>
      <c r="I122" s="37">
        <v>6</v>
      </c>
      <c r="J122" s="90">
        <v>8</v>
      </c>
      <c r="W122">
        <f t="shared" si="19"/>
        <v>119</v>
      </c>
      <c r="X122" s="123">
        <f t="shared" si="21"/>
        <v>-0.55941158939094915</v>
      </c>
      <c r="Y122" s="37">
        <f t="shared" si="21"/>
        <v>-0.29238417492594532</v>
      </c>
      <c r="Z122" s="37">
        <f t="shared" si="21"/>
        <v>-0.87916447964390132</v>
      </c>
      <c r="AA122" s="37">
        <f t="shared" si="20"/>
        <v>0.60812434450388564</v>
      </c>
      <c r="AB122" s="37">
        <f t="shared" si="20"/>
        <v>0.30504398370210595</v>
      </c>
      <c r="AC122" s="37">
        <f t="shared" si="20"/>
        <v>-1.467117712880365</v>
      </c>
      <c r="AD122" s="37">
        <f t="shared" si="20"/>
        <v>-1.4835219688851171</v>
      </c>
      <c r="AE122" s="37">
        <f t="shared" si="20"/>
        <v>1.3388213728947576</v>
      </c>
      <c r="AF122" s="90">
        <f t="shared" si="20"/>
        <v>1.1896601456449316</v>
      </c>
    </row>
    <row r="123" spans="1:32" x14ac:dyDescent="0.25">
      <c r="A123">
        <f t="shared" si="22"/>
        <v>120</v>
      </c>
      <c r="B123" s="91">
        <v>5</v>
      </c>
      <c r="C123" s="92">
        <v>8</v>
      </c>
      <c r="D123" s="92">
        <v>1</v>
      </c>
      <c r="E123" s="92">
        <v>5</v>
      </c>
      <c r="F123" s="92">
        <v>5</v>
      </c>
      <c r="G123" s="92">
        <v>6</v>
      </c>
      <c r="H123" s="92">
        <v>1</v>
      </c>
      <c r="I123" s="92">
        <v>3</v>
      </c>
      <c r="J123" s="93">
        <v>8</v>
      </c>
      <c r="W123">
        <f t="shared" si="19"/>
        <v>120</v>
      </c>
      <c r="X123" s="91">
        <f t="shared" si="21"/>
        <v>1.0201034865364365</v>
      </c>
      <c r="Y123" s="92">
        <f t="shared" si="21"/>
        <v>-0.29238417492594532</v>
      </c>
      <c r="Z123" s="92">
        <f t="shared" si="21"/>
        <v>-1.4854848104327987</v>
      </c>
      <c r="AA123" s="92">
        <f t="shared" si="20"/>
        <v>1.5942719301858623</v>
      </c>
      <c r="AB123" s="92">
        <f t="shared" si="20"/>
        <v>-1.78668619025519</v>
      </c>
      <c r="AC123" s="92">
        <f t="shared" si="20"/>
        <v>-6.0876253646491192E-3</v>
      </c>
      <c r="AD123" s="92">
        <f t="shared" si="20"/>
        <v>-1.4835219688851171</v>
      </c>
      <c r="AE123" s="92">
        <f t="shared" si="20"/>
        <v>-1.8113465633282004</v>
      </c>
      <c r="AF123" s="93">
        <f t="shared" si="20"/>
        <v>1.1896601456449316</v>
      </c>
    </row>
    <row r="124" spans="1:32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X124" s="37"/>
      <c r="Y124" s="37"/>
      <c r="Z124" s="37"/>
      <c r="AA124" s="37"/>
      <c r="AB124" s="37"/>
      <c r="AC124" s="37"/>
      <c r="AD124" s="37"/>
      <c r="AE124" s="37"/>
      <c r="AF124" s="37"/>
    </row>
    <row r="125" spans="1:32" x14ac:dyDescent="0.25">
      <c r="B125" s="47" t="str">
        <f>B3</f>
        <v>Expect</v>
      </c>
      <c r="C125" s="47" t="str">
        <f t="shared" ref="C125:J125" si="23">C3</f>
        <v>Entertain</v>
      </c>
      <c r="D125" s="47" t="str">
        <f t="shared" si="23"/>
        <v>Comm</v>
      </c>
      <c r="E125" s="47" t="str">
        <f t="shared" si="23"/>
        <v>Expert</v>
      </c>
      <c r="F125" s="47" t="str">
        <f t="shared" si="23"/>
        <v>Motivate</v>
      </c>
      <c r="G125" s="47" t="str">
        <f t="shared" si="23"/>
        <v>Caring</v>
      </c>
      <c r="H125" s="47" t="str">
        <f t="shared" si="23"/>
        <v>Charisma</v>
      </c>
      <c r="I125" s="47" t="str">
        <f t="shared" si="23"/>
        <v>Passion</v>
      </c>
      <c r="J125" s="47" t="str">
        <f t="shared" si="23"/>
        <v>Friendly</v>
      </c>
    </row>
    <row r="126" spans="1:32" x14ac:dyDescent="0.25">
      <c r="A126" t="s">
        <v>48</v>
      </c>
      <c r="B126" s="156">
        <f>AVERAGE(B4:B123)</f>
        <v>3.7083333333333335</v>
      </c>
      <c r="C126" s="157">
        <f t="shared" ref="C126:J126" si="24">AVERAGE(C4:C123)</f>
        <v>8.1666666666666661</v>
      </c>
      <c r="D126" s="157">
        <f t="shared" si="24"/>
        <v>3.45</v>
      </c>
      <c r="E126" s="157">
        <f t="shared" si="24"/>
        <v>3.3833333333333333</v>
      </c>
      <c r="F126" s="157">
        <f t="shared" si="24"/>
        <v>6.708333333333333</v>
      </c>
      <c r="G126" s="157">
        <f t="shared" si="24"/>
        <v>6.0083333333333337</v>
      </c>
      <c r="H126" s="157">
        <f t="shared" si="24"/>
        <v>4.8416666666666668</v>
      </c>
      <c r="I126" s="157">
        <f t="shared" si="24"/>
        <v>4.7249999999999996</v>
      </c>
      <c r="J126" s="158">
        <f t="shared" si="24"/>
        <v>7.3</v>
      </c>
    </row>
    <row r="127" spans="1:32" x14ac:dyDescent="0.25">
      <c r="A127" t="s">
        <v>49</v>
      </c>
      <c r="B127" s="123">
        <f>STDEV(B4:B123)</f>
        <v>1.2662114027786242</v>
      </c>
      <c r="C127" s="37">
        <f t="shared" ref="C127:J127" si="25">STDEV(C4:C123)</f>
        <v>0.57002629061192933</v>
      </c>
      <c r="D127" s="37">
        <f t="shared" si="25"/>
        <v>1.6492932023224043</v>
      </c>
      <c r="E127" s="37">
        <f t="shared" si="25"/>
        <v>1.0140469991704575</v>
      </c>
      <c r="F127" s="37">
        <f t="shared" si="25"/>
        <v>0.95614626824273719</v>
      </c>
      <c r="G127" s="37">
        <f t="shared" si="25"/>
        <v>1.3688972027952755</v>
      </c>
      <c r="H127" s="37">
        <f t="shared" si="25"/>
        <v>2.5895583262266895</v>
      </c>
      <c r="I127" s="37">
        <f t="shared" si="25"/>
        <v>0.95233018071950515</v>
      </c>
      <c r="J127" s="90">
        <f t="shared" si="25"/>
        <v>0.58840333734179207</v>
      </c>
    </row>
    <row r="128" spans="1:32" x14ac:dyDescent="0.25">
      <c r="A128" t="s">
        <v>394</v>
      </c>
      <c r="B128" s="123">
        <f>SKEW(B4:B123)</f>
        <v>0.13857831473517168</v>
      </c>
      <c r="C128" s="37">
        <f t="shared" ref="C128:J128" si="26">SKEW(C4:C123)</f>
        <v>0.55879383518869019</v>
      </c>
      <c r="D128" s="37">
        <f t="shared" si="26"/>
        <v>0.60968237468969244</v>
      </c>
      <c r="E128" s="37">
        <f t="shared" si="26"/>
        <v>0.25011903407769448</v>
      </c>
      <c r="F128" s="37">
        <f t="shared" si="26"/>
        <v>3.0992568092345463E-2</v>
      </c>
      <c r="G128" s="37">
        <f t="shared" si="26"/>
        <v>-0.23512012357640227</v>
      </c>
      <c r="H128" s="37">
        <f t="shared" si="26"/>
        <v>4.7501040439116834E-2</v>
      </c>
      <c r="I128" s="37">
        <f t="shared" si="26"/>
        <v>-7.3874092896665661E-2</v>
      </c>
      <c r="J128" s="90">
        <f t="shared" si="26"/>
        <v>0.32217223907072601</v>
      </c>
    </row>
    <row r="129" spans="1:10" x14ac:dyDescent="0.25">
      <c r="A129" s="60" t="s">
        <v>395</v>
      </c>
      <c r="B129" s="91">
        <f>KURT(B4:B123)</f>
        <v>-7.5087531931202989E-2</v>
      </c>
      <c r="C129" s="92">
        <f t="shared" ref="C129:J129" si="27">KURT(C4:C123)</f>
        <v>1.2245729768528379</v>
      </c>
      <c r="D129" s="92">
        <f t="shared" si="27"/>
        <v>-0.37097323594953835</v>
      </c>
      <c r="E129" s="92">
        <f t="shared" si="27"/>
        <v>0.79048099823017459</v>
      </c>
      <c r="F129" s="92">
        <f t="shared" si="27"/>
        <v>-9.1985537444213339E-2</v>
      </c>
      <c r="G129" s="92">
        <f t="shared" si="27"/>
        <v>-0.42617618904263521</v>
      </c>
      <c r="H129" s="92">
        <f t="shared" si="27"/>
        <v>-0.92188768731537785</v>
      </c>
      <c r="I129" s="92">
        <f t="shared" si="27"/>
        <v>-0.24984145123189316</v>
      </c>
      <c r="J129" s="93">
        <f t="shared" si="27"/>
        <v>0.13488543363239947</v>
      </c>
    </row>
  </sheetData>
  <conditionalFormatting sqref="AM32:AP40">
    <cfRule type="cellIs" dxfId="13" priority="1" operator="lessThan">
      <formula>-0.4</formula>
    </cfRule>
    <cfRule type="cellIs" dxfId="12" priority="2" operator="greaterThan">
      <formula>0.4</formula>
    </cfRule>
  </conditionalFormatting>
  <conditionalFormatting sqref="R32:U40">
    <cfRule type="cellIs" dxfId="11" priority="3" operator="lessThan">
      <formula>-0.4</formula>
    </cfRule>
    <cfRule type="cellIs" dxfId="10" priority="4" operator="greaterThan">
      <formula>0.4</formula>
    </cfRule>
  </conditionalFormatting>
  <pageMargins left="0.7" right="0.7" top="0.75" bottom="0.75" header="0.3" footer="0.3"/>
  <drawing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/>
  <dimension ref="A1:EN148"/>
  <sheetViews>
    <sheetView workbookViewId="0"/>
  </sheetViews>
  <sheetFormatPr defaultRowHeight="15" x14ac:dyDescent="0.25"/>
  <cols>
    <col min="1" max="4" width="9.28515625" bestFit="1" customWidth="1"/>
    <col min="5" max="8" width="9.28515625" customWidth="1"/>
    <col min="14" max="22" width="9.140625" customWidth="1"/>
    <col min="25" max="25" width="9.140625" customWidth="1"/>
    <col min="26" max="26" width="3.42578125" customWidth="1"/>
    <col min="27" max="27" width="26" customWidth="1"/>
    <col min="52" max="61" width="9" customWidth="1"/>
    <col min="63" max="63" width="9.140625" customWidth="1"/>
    <col min="64" max="72" width="9" customWidth="1"/>
    <col min="78" max="78" width="5.28515625" customWidth="1"/>
    <col min="80" max="80" width="3.5703125" customWidth="1"/>
    <col min="82" max="82" width="3.5703125" customWidth="1"/>
    <col min="86" max="86" width="9.140625" customWidth="1"/>
    <col min="91" max="91" width="9.140625" customWidth="1"/>
    <col min="92" max="92" width="9.28515625" bestFit="1" customWidth="1"/>
    <col min="93" max="93" width="9.140625" customWidth="1"/>
    <col min="94" max="94" width="9.28515625" bestFit="1" customWidth="1"/>
    <col min="96" max="96" width="5.28515625" customWidth="1"/>
    <col min="98" max="98" width="3.5703125" customWidth="1"/>
    <col min="100" max="100" width="3.5703125" customWidth="1"/>
    <col min="104" max="104" width="9.140625" customWidth="1"/>
    <col min="109" max="109" width="9.140625" customWidth="1"/>
    <col min="110" max="110" width="9.28515625" bestFit="1" customWidth="1"/>
    <col min="111" max="111" width="9.140625" customWidth="1"/>
    <col min="112" max="112" width="9.28515625" bestFit="1" customWidth="1"/>
    <col min="114" max="114" width="5.28515625" customWidth="1"/>
    <col min="116" max="116" width="3.5703125" customWidth="1"/>
    <col min="118" max="118" width="3.5703125" customWidth="1"/>
    <col min="122" max="122" width="9.140625" customWidth="1"/>
  </cols>
  <sheetData>
    <row r="1" spans="1:130" ht="14.45" x14ac:dyDescent="0.35">
      <c r="A1" s="42" t="s">
        <v>368</v>
      </c>
    </row>
    <row r="2" spans="1:130" ht="14.45" x14ac:dyDescent="0.35">
      <c r="A2" s="42"/>
    </row>
    <row r="3" spans="1:130" ht="16.5" x14ac:dyDescent="0.35">
      <c r="A3" s="46" t="s">
        <v>39</v>
      </c>
      <c r="M3" t="s">
        <v>396</v>
      </c>
      <c r="X3" t="s">
        <v>397</v>
      </c>
      <c r="AC3" t="s">
        <v>398</v>
      </c>
      <c r="AN3" t="s">
        <v>399</v>
      </c>
      <c r="AY3" t="s">
        <v>400</v>
      </c>
      <c r="BK3" t="s">
        <v>401</v>
      </c>
      <c r="BU3" t="s">
        <v>402</v>
      </c>
      <c r="DF3" t="s">
        <v>403</v>
      </c>
      <c r="DR3" t="s">
        <v>404</v>
      </c>
    </row>
    <row r="4" spans="1:130" ht="14.45" x14ac:dyDescent="0.35">
      <c r="A4" s="42"/>
    </row>
    <row r="5" spans="1:130" ht="14.45" x14ac:dyDescent="0.35">
      <c r="A5" s="46"/>
      <c r="B5" s="175" t="str">
        <f>PCA!M3</f>
        <v>Expect</v>
      </c>
      <c r="C5" s="175" t="str">
        <f>PCA!N3</f>
        <v>Entertain</v>
      </c>
      <c r="D5" s="175" t="str">
        <f>PCA!O3</f>
        <v>Comm</v>
      </c>
      <c r="E5" s="175" t="str">
        <f>PCA!P3</f>
        <v>Expert</v>
      </c>
      <c r="F5" s="175" t="str">
        <f>PCA!Q3</f>
        <v>Motivate</v>
      </c>
      <c r="G5" s="175" t="str">
        <f>PCA!R3</f>
        <v>Caring</v>
      </c>
      <c r="H5" s="175" t="str">
        <f>PCA!S3</f>
        <v>Charisma</v>
      </c>
      <c r="I5" s="175" t="str">
        <f>PCA!T3</f>
        <v>Passion</v>
      </c>
      <c r="J5" s="175" t="str">
        <f>PCA!U3</f>
        <v>Friendly</v>
      </c>
      <c r="M5" s="47" t="s">
        <v>386</v>
      </c>
      <c r="N5" s="47" t="s">
        <v>387</v>
      </c>
      <c r="O5" s="47" t="s">
        <v>388</v>
      </c>
      <c r="X5" t="s">
        <v>109</v>
      </c>
      <c r="Y5" s="172">
        <f>MDETERM(B6:J14)</f>
        <v>0.10167915255824189</v>
      </c>
      <c r="AA5" s="62" t="s">
        <v>405</v>
      </c>
      <c r="AC5" s="46"/>
      <c r="AD5" s="175" t="str">
        <f t="array" ref="AD5:AL5">B5:J5</f>
        <v>Expect</v>
      </c>
      <c r="AE5" s="175" t="str">
        <v>Entertain</v>
      </c>
      <c r="AF5" s="175" t="str">
        <v>Comm</v>
      </c>
      <c r="AG5" s="175" t="str">
        <v>Expert</v>
      </c>
      <c r="AH5" s="175" t="str">
        <v>Motivate</v>
      </c>
      <c r="AI5" s="175" t="str">
        <v>Caring</v>
      </c>
      <c r="AJ5" s="175" t="str">
        <v>Charisma</v>
      </c>
      <c r="AK5" s="175" t="str">
        <v>Passion</v>
      </c>
      <c r="AL5" s="175" t="str">
        <v>Friendly</v>
      </c>
      <c r="AO5" t="str">
        <f t="array" ref="AO5:AW5">B5:J5</f>
        <v>Expect</v>
      </c>
      <c r="AP5" t="str">
        <v>Entertain</v>
      </c>
      <c r="AQ5" t="str">
        <v>Comm</v>
      </c>
      <c r="AR5" t="str">
        <v>Expert</v>
      </c>
      <c r="AS5" t="str">
        <v>Motivate</v>
      </c>
      <c r="AT5" t="str">
        <v>Caring</v>
      </c>
      <c r="AU5" t="str">
        <v>Charisma</v>
      </c>
      <c r="AV5" t="str">
        <v>Passion</v>
      </c>
      <c r="AW5" t="str">
        <v>Friendly</v>
      </c>
      <c r="AZ5" t="str">
        <f t="array" ref="AZ5:BH5">AO5:AW5</f>
        <v>Expect</v>
      </c>
      <c r="BA5" t="str">
        <v>Entertain</v>
      </c>
      <c r="BB5" t="str">
        <v>Comm</v>
      </c>
      <c r="BC5" t="str">
        <v>Expert</v>
      </c>
      <c r="BD5" t="str">
        <v>Motivate</v>
      </c>
      <c r="BE5" t="str">
        <v>Caring</v>
      </c>
      <c r="BF5" t="str">
        <v>Charisma</v>
      </c>
      <c r="BG5" t="str">
        <v>Passion</v>
      </c>
      <c r="BH5" t="str">
        <v>Friendly</v>
      </c>
      <c r="BK5" s="156">
        <f t="array" ref="BK5:BN8">MMULT(TRANSPOSE(B44:E52),B44:E52)</f>
        <v>2.8804369060025623</v>
      </c>
      <c r="BL5" s="157">
        <v>1.7763568394002505E-15</v>
      </c>
      <c r="BM5" s="157">
        <v>-3.6082248300317588E-16</v>
      </c>
      <c r="BN5" s="158">
        <v>5.134781488891349E-16</v>
      </c>
      <c r="BV5">
        <v>1</v>
      </c>
      <c r="BW5">
        <f>BV5+1</f>
        <v>2</v>
      </c>
      <c r="BX5">
        <f>BW5+1</f>
        <v>3</v>
      </c>
      <c r="BY5">
        <f>BX5+1</f>
        <v>4</v>
      </c>
      <c r="CA5" s="47" t="s">
        <v>390</v>
      </c>
      <c r="CB5" s="47"/>
      <c r="CC5" s="47" t="s">
        <v>391</v>
      </c>
      <c r="CE5" s="47" t="s">
        <v>392</v>
      </c>
      <c r="CF5" s="47"/>
      <c r="DF5" s="156">
        <f t="array" ref="DF5:DI13">MMULT(MINVERSE([1]!DIAGONAL(Q44:Q52)),B44:E52)</f>
        <v>-0.6409021904747525</v>
      </c>
      <c r="DG5" s="157">
        <v>2.6643387232541382</v>
      </c>
      <c r="DH5" s="157">
        <v>-0.96457795707012528</v>
      </c>
      <c r="DI5" s="158">
        <v>0.4001632734334834</v>
      </c>
      <c r="DR5" s="156">
        <f t="array" ref="DR5:DZ8">MMULT(TRANSPOSE(B44:E52),MINVERSE([1]!DIAGONAL(Q44:Q52)))</f>
        <v>-0.6409021904747525</v>
      </c>
      <c r="DS5" s="157">
        <v>2.2413700315115226</v>
      </c>
      <c r="DT5" s="157">
        <v>4.2992509332645374</v>
      </c>
      <c r="DU5" s="157">
        <v>4.663309942597663</v>
      </c>
      <c r="DV5" s="157">
        <v>1.3325048213410959</v>
      </c>
      <c r="DW5" s="157">
        <v>0.96357759931466835</v>
      </c>
      <c r="DX5" s="157">
        <v>3.9028877166168403</v>
      </c>
      <c r="DY5" s="157">
        <v>1.3805965660568289</v>
      </c>
      <c r="DZ5" s="158">
        <v>1.6145842789546332</v>
      </c>
    </row>
    <row r="6" spans="1:130" ht="14.45" x14ac:dyDescent="0.35">
      <c r="A6" s="46" t="str">
        <f>PCA!L4</f>
        <v>Expect</v>
      </c>
      <c r="B6" s="176">
        <f>PCA!M4</f>
        <v>0.99999999999999833</v>
      </c>
      <c r="C6" s="177">
        <f>PCA!N4</f>
        <v>-0.17658022821634106</v>
      </c>
      <c r="D6" s="177">
        <f>PCA!O4</f>
        <v>7.9472348910152368E-2</v>
      </c>
      <c r="E6" s="177">
        <f>PCA!P4</f>
        <v>0.12053127811168438</v>
      </c>
      <c r="F6" s="177">
        <f>PCA!Q4</f>
        <v>-0.1472071906836242</v>
      </c>
      <c r="G6" s="177">
        <f>PCA!R4</f>
        <v>-0.1052452402704131</v>
      </c>
      <c r="H6" s="177">
        <f>PCA!S4</f>
        <v>-2.189090621599556E-2</v>
      </c>
      <c r="I6" s="177">
        <f>PCA!T4</f>
        <v>-0.12979427946395597</v>
      </c>
      <c r="J6" s="178">
        <f>PCA!U4</f>
        <v>-0.34401036690229408</v>
      </c>
      <c r="M6" s="156">
        <f t="array" ref="M6:M14">TRANSPOSE(B18:J18)</f>
        <v>2.8804369060025632</v>
      </c>
      <c r="N6" s="164">
        <f>M6/M$15</f>
        <v>0.3200485451113963</v>
      </c>
      <c r="O6" s="165">
        <f>N6</f>
        <v>0.3200485451113963</v>
      </c>
      <c r="X6" t="s">
        <v>53</v>
      </c>
      <c r="Y6" s="173">
        <f>COUNT(B6:B14)</f>
        <v>9</v>
      </c>
      <c r="AA6" s="62" t="s">
        <v>406</v>
      </c>
      <c r="AC6" s="46" t="str">
        <f t="array" ref="AC6:AC14">A6:A14</f>
        <v>Expect</v>
      </c>
      <c r="AD6" s="176">
        <f t="array" ref="AD6:AL14">B6:J14-MMULT(B31:J39,TRANSPOSE(B31:J39))</f>
        <v>-7.6263551029853716E-11</v>
      </c>
      <c r="AE6" s="177">
        <v>-3.1022157065407896E-11</v>
      </c>
      <c r="AF6" s="177">
        <v>-5.5396243148209123E-11</v>
      </c>
      <c r="AG6" s="177">
        <v>-5.9017929432414462E-12</v>
      </c>
      <c r="AH6" s="177">
        <v>-1.8379472943585995E-10</v>
      </c>
      <c r="AI6" s="177">
        <v>-4.6018217014776042E-11</v>
      </c>
      <c r="AJ6" s="177">
        <v>-3.1249069304406518E-11</v>
      </c>
      <c r="AK6" s="177">
        <v>3.3070243765642715E-10</v>
      </c>
      <c r="AL6" s="178">
        <v>-1.0072892520085475E-10</v>
      </c>
      <c r="AN6" t="str">
        <f t="array" ref="AN6:AN14">A31:A39</f>
        <v>Expect</v>
      </c>
      <c r="AO6" s="156">
        <f t="array" ref="AO6:AW14">MMULT(B31:J39,TRANSPOSE(B31:J39))</f>
        <v>1.0000000000762619</v>
      </c>
      <c r="AP6" s="157">
        <v>-0.1765802281853189</v>
      </c>
      <c r="AQ6" s="157">
        <v>7.9472348965548611E-2</v>
      </c>
      <c r="AR6" s="157">
        <v>0.12053127811758617</v>
      </c>
      <c r="AS6" s="157">
        <v>-0.14720719049982947</v>
      </c>
      <c r="AT6" s="157">
        <v>-0.10524524022439488</v>
      </c>
      <c r="AU6" s="157">
        <v>-2.1890906184746491E-2</v>
      </c>
      <c r="AV6" s="157">
        <v>-0.12979427979465841</v>
      </c>
      <c r="AW6" s="158">
        <v>-0.34401036680156516</v>
      </c>
      <c r="AY6" t="str">
        <f t="array" ref="AY6:AY14">AN6:AN14</f>
        <v>Expect</v>
      </c>
      <c r="AZ6" s="156">
        <f t="array" ref="AZ6:BH14">MMULT(TRANSPOSE(B31:J39),B31:J39)</f>
        <v>2.8804369060025623</v>
      </c>
      <c r="BA6" s="157">
        <v>-1.7763568394002505E-15</v>
      </c>
      <c r="BB6" s="157">
        <v>3.6082248300317588E-16</v>
      </c>
      <c r="BC6" s="157">
        <v>-5.134781488891349E-16</v>
      </c>
      <c r="BD6" s="157">
        <v>-6.2450045135165055E-16</v>
      </c>
      <c r="BE6" s="157">
        <v>-1.3877787807814457E-15</v>
      </c>
      <c r="BF6" s="157">
        <v>-1.5439038936193583E-16</v>
      </c>
      <c r="BG6" s="157">
        <v>1.6653345369377348E-16</v>
      </c>
      <c r="BH6" s="158">
        <v>2.7408630920433552E-16</v>
      </c>
      <c r="BI6" s="37"/>
      <c r="BK6" s="123">
        <v>1.7763568394002505E-15</v>
      </c>
      <c r="BL6" s="37">
        <v>1.4386543900717266</v>
      </c>
      <c r="BM6" s="37">
        <v>9.4368957093138306E-16</v>
      </c>
      <c r="BN6" s="90">
        <v>3.3306690738754696E-16</v>
      </c>
      <c r="BU6" t="str">
        <f t="array" ref="BU6:BU14">AY6:AY14</f>
        <v>Expect</v>
      </c>
      <c r="BV6" s="156">
        <f t="array" ref="BV6:BY14">B19:E27/SQRT(B18:E18)</f>
        <v>6.4031216989374362E-2</v>
      </c>
      <c r="BW6" s="157">
        <v>0.5329559664801643</v>
      </c>
      <c r="BX6" s="157">
        <v>-0.238489338273252</v>
      </c>
      <c r="BY6" s="158">
        <v>0.11240967130611704</v>
      </c>
      <c r="CA6" s="172">
        <f t="array" ref="CA6:CA14">PCA!AS61:AS69</f>
        <v>2</v>
      </c>
      <c r="CC6" s="172">
        <f t="array" ref="CC6:CC14">CA6:CA14-TRANSPOSE(BK27:BS27)</f>
        <v>-1.7083333333333335</v>
      </c>
      <c r="CE6" s="172">
        <f t="array" ref="CE6:CE9">MMULT(TRANSPOSE(BV6:BY14),CC6:CC14)</f>
        <v>0.87910602303681806</v>
      </c>
      <c r="CF6" s="37"/>
      <c r="DF6" s="123">
        <v>2.2413700315115226</v>
      </c>
      <c r="DG6" s="37">
        <v>-0.9743192115220437</v>
      </c>
      <c r="DH6" s="37">
        <v>-0.62697193447399946</v>
      </c>
      <c r="DI6" s="90">
        <v>-0.84971461032071061</v>
      </c>
      <c r="DR6" s="123">
        <v>2.6643387232541382</v>
      </c>
      <c r="DS6" s="37">
        <v>-0.9743192115220437</v>
      </c>
      <c r="DT6" s="37">
        <v>1.9877376397465185</v>
      </c>
      <c r="DU6" s="37">
        <v>2.070899732107748</v>
      </c>
      <c r="DV6" s="37">
        <v>0.1017161609191243</v>
      </c>
      <c r="DW6" s="37">
        <v>9.7712554188254322E-2</v>
      </c>
      <c r="DX6" s="37">
        <v>1.1431496476508558</v>
      </c>
      <c r="DY6" s="37">
        <v>7.085488102745495E-2</v>
      </c>
      <c r="DZ6" s="90">
        <v>-3.9691377553271296</v>
      </c>
    </row>
    <row r="7" spans="1:130" ht="14.45" x14ac:dyDescent="0.35">
      <c r="A7" s="46" t="str">
        <f>PCA!L5</f>
        <v>Entertain</v>
      </c>
      <c r="B7" s="124">
        <f>PCA!M5</f>
        <v>-0.17658022821634106</v>
      </c>
      <c r="C7" s="3">
        <f>PCA!N5</f>
        <v>1.0000000000000011</v>
      </c>
      <c r="D7" s="3">
        <f>PCA!O5</f>
        <v>0.44692051174421527</v>
      </c>
      <c r="E7" s="3">
        <f>PCA!P5</f>
        <v>4.8459487091569518E-2</v>
      </c>
      <c r="F7" s="3">
        <f>PCA!Q5</f>
        <v>0.24412158026310946</v>
      </c>
      <c r="G7" s="3">
        <f>PCA!R5</f>
        <v>0.11666737388326598</v>
      </c>
      <c r="H7" s="3">
        <f>PCA!S5</f>
        <v>0.45068677465590851</v>
      </c>
      <c r="I7" s="3">
        <f>PCA!T5</f>
        <v>0.37925969237500351</v>
      </c>
      <c r="J7" s="179">
        <f>PCA!U5</f>
        <v>0.40086949354334672</v>
      </c>
      <c r="M7" s="123">
        <v>1.4386543900717295</v>
      </c>
      <c r="N7" s="167">
        <f t="shared" ref="N7:N14" si="0">M7/M$15</f>
        <v>0.1598504877857479</v>
      </c>
      <c r="O7" s="168">
        <f>O6+N7</f>
        <v>0.4798990328971442</v>
      </c>
      <c r="X7" t="s">
        <v>52</v>
      </c>
      <c r="Y7" s="173">
        <v>120</v>
      </c>
      <c r="AC7" s="46" t="str">
        <v>Entertain</v>
      </c>
      <c r="AD7" s="124">
        <v>-3.1022157065407896E-11</v>
      </c>
      <c r="AE7" s="3">
        <v>5.1070259132757201E-14</v>
      </c>
      <c r="AF7" s="3">
        <v>-4.2859604754141856E-11</v>
      </c>
      <c r="AG7" s="3">
        <v>-2.6932137076052243E-12</v>
      </c>
      <c r="AH7" s="3">
        <v>-1.8123300082883986E-10</v>
      </c>
      <c r="AI7" s="3">
        <v>9.5657648468971956E-12</v>
      </c>
      <c r="AJ7" s="3">
        <v>-3.2071789668464135E-11</v>
      </c>
      <c r="AK7" s="3">
        <v>2.5328289465775811E-10</v>
      </c>
      <c r="AL7" s="179">
        <v>-6.1560923025893999E-11</v>
      </c>
      <c r="AN7" t="str">
        <v>Entertain</v>
      </c>
      <c r="AO7" s="123">
        <v>-0.1765802281853189</v>
      </c>
      <c r="AP7" s="37">
        <v>0.99999999999995004</v>
      </c>
      <c r="AQ7" s="37">
        <v>0.44692051178707487</v>
      </c>
      <c r="AR7" s="37">
        <v>4.8459487094262732E-2</v>
      </c>
      <c r="AS7" s="37">
        <v>0.24412158044434246</v>
      </c>
      <c r="AT7" s="37">
        <v>0.11666737387370021</v>
      </c>
      <c r="AU7" s="37">
        <v>0.4506867746879803</v>
      </c>
      <c r="AV7" s="37">
        <v>0.37925969212172062</v>
      </c>
      <c r="AW7" s="90">
        <v>0.40086949360490765</v>
      </c>
      <c r="AY7" t="str">
        <v>Entertain</v>
      </c>
      <c r="AZ7" s="123">
        <v>-1.7763568394002505E-15</v>
      </c>
      <c r="BA7" s="37">
        <v>1.4386543900717266</v>
      </c>
      <c r="BB7" s="37">
        <v>9.4368957093138306E-16</v>
      </c>
      <c r="BC7" s="37">
        <v>3.3306690738754696E-16</v>
      </c>
      <c r="BD7" s="37">
        <v>2.7755575615628914E-16</v>
      </c>
      <c r="BE7" s="37">
        <v>-1.2490009027033011E-16</v>
      </c>
      <c r="BF7" s="37">
        <v>5.4817261840867104E-16</v>
      </c>
      <c r="BG7" s="37">
        <v>5.5511151231257827E-17</v>
      </c>
      <c r="BH7" s="90">
        <v>-6.9388939039072284E-18</v>
      </c>
      <c r="BI7" s="37"/>
      <c r="BK7" s="123">
        <v>-3.6082248300317588E-16</v>
      </c>
      <c r="BL7" s="37">
        <v>9.4368957093138306E-16</v>
      </c>
      <c r="BM7" s="37">
        <v>1.1639296497396596</v>
      </c>
      <c r="BN7" s="90">
        <v>4.3021142204224816E-16</v>
      </c>
      <c r="BU7" t="str">
        <v>Entertain</v>
      </c>
      <c r="BV7" s="123">
        <v>-0.24249279233791318</v>
      </c>
      <c r="BW7" s="37">
        <v>-0.21105149414448585</v>
      </c>
      <c r="BX7" s="37">
        <v>-0.16786687650806892</v>
      </c>
      <c r="BY7" s="90">
        <v>-0.25847872930602306</v>
      </c>
      <c r="CA7" s="173">
        <v>8</v>
      </c>
      <c r="CC7" s="173">
        <v>-0.16666666666666607</v>
      </c>
      <c r="CE7" s="173">
        <v>-1.930127982610657</v>
      </c>
      <c r="CF7" s="37"/>
      <c r="DF7" s="123">
        <v>4.2992509332645374</v>
      </c>
      <c r="DG7" s="37">
        <v>1.9877376397465185</v>
      </c>
      <c r="DH7" s="37">
        <v>-1.1519218971062148</v>
      </c>
      <c r="DI7" s="90">
        <v>-1.7438595754568906</v>
      </c>
      <c r="DR7" s="123">
        <v>-0.96457795707012528</v>
      </c>
      <c r="DS7" s="37">
        <v>-0.62697193447399946</v>
      </c>
      <c r="DT7" s="37">
        <v>-1.1519218971062148</v>
      </c>
      <c r="DU7" s="37">
        <v>-2.5140332710874702</v>
      </c>
      <c r="DV7" s="37">
        <v>1.0433980102659055</v>
      </c>
      <c r="DW7" s="37">
        <v>2.4786861838528673</v>
      </c>
      <c r="DX7" s="37">
        <v>-0.92900340871907405</v>
      </c>
      <c r="DY7" s="37">
        <v>0.23287626641787776</v>
      </c>
      <c r="DZ7" s="90">
        <v>-1.8434975468249231</v>
      </c>
    </row>
    <row r="8" spans="1:130" ht="14.45" x14ac:dyDescent="0.35">
      <c r="A8" s="46" t="str">
        <f>PCA!L6</f>
        <v>Comm</v>
      </c>
      <c r="B8" s="124">
        <f>PCA!M6</f>
        <v>7.9472348910152368E-2</v>
      </c>
      <c r="C8" s="3">
        <f>PCA!N6</f>
        <v>0.44692051174421527</v>
      </c>
      <c r="D8" s="3">
        <f>PCA!O6</f>
        <v>1.0000000000000007</v>
      </c>
      <c r="E8" s="3">
        <f>PCA!P6</f>
        <v>0.15224383453637197</v>
      </c>
      <c r="F8" s="3">
        <f>PCA!Q6</f>
        <v>0.28642393294527835</v>
      </c>
      <c r="G8" s="3">
        <f>PCA!R6</f>
        <v>0.10626504883200415</v>
      </c>
      <c r="H8" s="3">
        <f>PCA!S6</f>
        <v>0.74875752234637871</v>
      </c>
      <c r="I8" s="3">
        <f>PCA!T6</f>
        <v>0.3683592382753193</v>
      </c>
      <c r="J8" s="179">
        <f>PCA!U6</f>
        <v>6.9273962356187456E-3</v>
      </c>
      <c r="M8" s="123">
        <v>1.1639296497396623</v>
      </c>
      <c r="N8" s="167">
        <f t="shared" si="0"/>
        <v>0.12932551663774042</v>
      </c>
      <c r="O8" s="168">
        <f t="shared" ref="O8:O14" si="1">O7+N8</f>
        <v>0.60922454953488459</v>
      </c>
      <c r="X8" t="s">
        <v>407</v>
      </c>
      <c r="Y8" s="173">
        <f>Y6*(Y6-1)/2</f>
        <v>36</v>
      </c>
      <c r="AA8" s="62" t="s">
        <v>408</v>
      </c>
      <c r="AC8" s="46" t="str">
        <v>Comm</v>
      </c>
      <c r="AD8" s="124">
        <v>-5.5396243148209123E-11</v>
      </c>
      <c r="AE8" s="3">
        <v>-4.2859604754141856E-11</v>
      </c>
      <c r="AF8" s="3">
        <v>-7.5563999502037404E-12</v>
      </c>
      <c r="AG8" s="3">
        <v>-3.8102576649379216E-12</v>
      </c>
      <c r="AH8" s="3">
        <v>3.7404634944948612E-11</v>
      </c>
      <c r="AI8" s="3">
        <v>-7.9054818247215053E-11</v>
      </c>
      <c r="AJ8" s="3">
        <v>8.4378060094536522E-12</v>
      </c>
      <c r="AK8" s="3">
        <v>4.9519111033902163E-11</v>
      </c>
      <c r="AL8" s="179">
        <v>-4.0076837681812805E-11</v>
      </c>
      <c r="AN8" t="str">
        <v>Comm</v>
      </c>
      <c r="AO8" s="123">
        <v>7.9472348965548611E-2</v>
      </c>
      <c r="AP8" s="37">
        <v>0.44692051178707487</v>
      </c>
      <c r="AQ8" s="37">
        <v>1.0000000000075571</v>
      </c>
      <c r="AR8" s="37">
        <v>0.15224383454018223</v>
      </c>
      <c r="AS8" s="37">
        <v>0.28642393290787371</v>
      </c>
      <c r="AT8" s="37">
        <v>0.10626504891105897</v>
      </c>
      <c r="AU8" s="37">
        <v>0.74875752233794091</v>
      </c>
      <c r="AV8" s="37">
        <v>0.36835923822580019</v>
      </c>
      <c r="AW8" s="90">
        <v>6.9273962756955833E-3</v>
      </c>
      <c r="AY8" t="str">
        <v>Comm</v>
      </c>
      <c r="AZ8" s="123">
        <v>3.6082248300317588E-16</v>
      </c>
      <c r="BA8" s="37">
        <v>9.4368957093138306E-16</v>
      </c>
      <c r="BB8" s="37">
        <v>1.1639296497396596</v>
      </c>
      <c r="BC8" s="37">
        <v>4.3021142204224816E-16</v>
      </c>
      <c r="BD8" s="37">
        <v>-1.0824674490095276E-15</v>
      </c>
      <c r="BE8" s="37">
        <v>-6.9388939039072284E-17</v>
      </c>
      <c r="BF8" s="37">
        <v>5.2041704279304213E-17</v>
      </c>
      <c r="BG8" s="37">
        <v>-4.163336342344337E-17</v>
      </c>
      <c r="BH8" s="90">
        <v>-2.7755575615628914E-17</v>
      </c>
      <c r="BI8" s="37"/>
      <c r="BK8" s="91">
        <v>5.134781488891349E-16</v>
      </c>
      <c r="BL8" s="92">
        <v>3.3306690738754696E-16</v>
      </c>
      <c r="BM8" s="92">
        <v>4.3021142204224816E-16</v>
      </c>
      <c r="BN8" s="93">
        <v>1.0244527111998996</v>
      </c>
      <c r="BU8" t="str">
        <v>Comm</v>
      </c>
      <c r="BV8" s="123">
        <v>-0.26179844621525827</v>
      </c>
      <c r="BW8" s="37">
        <v>0.24234564707122941</v>
      </c>
      <c r="BX8" s="37">
        <v>-0.17359169336788666</v>
      </c>
      <c r="BY8" s="90">
        <v>-0.29857416845131918</v>
      </c>
      <c r="CA8" s="173">
        <v>1</v>
      </c>
      <c r="CC8" s="173">
        <v>-2.4500000000000002</v>
      </c>
      <c r="CE8" s="173">
        <v>6.3180984804663221E-2</v>
      </c>
      <c r="CF8" s="37"/>
      <c r="DF8" s="123">
        <v>4.663309942597663</v>
      </c>
      <c r="DG8" s="37">
        <v>2.070899732107748</v>
      </c>
      <c r="DH8" s="37">
        <v>-2.5140332710874702</v>
      </c>
      <c r="DI8" s="90">
        <v>10.828756778174585</v>
      </c>
      <c r="DR8" s="91">
        <v>0.4001632734334834</v>
      </c>
      <c r="DS8" s="92">
        <v>-0.84971461032071061</v>
      </c>
      <c r="DT8" s="92">
        <v>-1.7438595754568906</v>
      </c>
      <c r="DU8" s="92">
        <v>10.828756778174585</v>
      </c>
      <c r="DV8" s="92">
        <v>0.36390451889798348</v>
      </c>
      <c r="DW8" s="92">
        <v>0.2049518265171649</v>
      </c>
      <c r="DX8" s="92">
        <v>-0.79489085604479115</v>
      </c>
      <c r="DY8" s="92">
        <v>0.2360767146864105</v>
      </c>
      <c r="DZ8" s="93">
        <v>1.2531711903539184</v>
      </c>
    </row>
    <row r="9" spans="1:130" ht="14.45" x14ac:dyDescent="0.35">
      <c r="A9" s="46" t="str">
        <f>PCA!L7</f>
        <v>Expert</v>
      </c>
      <c r="B9" s="124">
        <f>PCA!M7</f>
        <v>0.12053127811168438</v>
      </c>
      <c r="C9" s="3">
        <f>PCA!N7</f>
        <v>4.8459487091569518E-2</v>
      </c>
      <c r="D9" s="3">
        <f>PCA!O7</f>
        <v>0.15224383453637197</v>
      </c>
      <c r="E9" s="3">
        <f>PCA!P7</f>
        <v>1.0000000000000009</v>
      </c>
      <c r="F9" s="3">
        <f>PCA!Q7</f>
        <v>0.19428606575437976</v>
      </c>
      <c r="G9" s="3">
        <f>PCA!R7</f>
        <v>4.610935721914871E-2</v>
      </c>
      <c r="H9" s="3">
        <f>PCA!S7</f>
        <v>0.24731764508778434</v>
      </c>
      <c r="I9" s="3">
        <f>PCA!T7</f>
        <v>0.25800736545459846</v>
      </c>
      <c r="J9" s="179">
        <f>PCA!U7</f>
        <v>0.18590615055713855</v>
      </c>
      <c r="M9" s="123">
        <v>1.0244527111999022</v>
      </c>
      <c r="N9" s="167">
        <f t="shared" si="0"/>
        <v>0.1138280790222115</v>
      </c>
      <c r="O9" s="168">
        <f t="shared" si="1"/>
        <v>0.72305262855709607</v>
      </c>
      <c r="X9" t="s">
        <v>155</v>
      </c>
      <c r="Y9" s="173">
        <f>(1+(2*Y6+5)/6-Y7)*LN(1-Y5)</f>
        <v>12.349089416430381</v>
      </c>
      <c r="AA9" s="62" t="s">
        <v>409</v>
      </c>
      <c r="AC9" s="46" t="str">
        <v>Expert</v>
      </c>
      <c r="AD9" s="124">
        <v>-5.9017929432414462E-12</v>
      </c>
      <c r="AE9" s="3">
        <v>-2.6932137076052243E-12</v>
      </c>
      <c r="AF9" s="3">
        <v>-3.8102576649379216E-12</v>
      </c>
      <c r="AG9" s="3">
        <v>-5.0937032369802182E-13</v>
      </c>
      <c r="AH9" s="3">
        <v>-1.1590672865935403E-11</v>
      </c>
      <c r="AI9" s="3">
        <v>-4.0368958176273395E-12</v>
      </c>
      <c r="AJ9" s="3">
        <v>-1.984246100761311E-12</v>
      </c>
      <c r="AK9" s="3">
        <v>2.2667701049527977E-11</v>
      </c>
      <c r="AL9" s="179">
        <v>-7.324640893813239E-12</v>
      </c>
      <c r="AN9" t="str">
        <v>Expert</v>
      </c>
      <c r="AO9" s="123">
        <v>0.12053127811758617</v>
      </c>
      <c r="AP9" s="37">
        <v>4.8459487094262732E-2</v>
      </c>
      <c r="AQ9" s="37">
        <v>0.15224383454018223</v>
      </c>
      <c r="AR9" s="37">
        <v>1.0000000000005103</v>
      </c>
      <c r="AS9" s="37">
        <v>0.19428606576597043</v>
      </c>
      <c r="AT9" s="37">
        <v>4.6109357223185606E-2</v>
      </c>
      <c r="AU9" s="37">
        <v>0.24731764508976858</v>
      </c>
      <c r="AV9" s="37">
        <v>0.25800736543193076</v>
      </c>
      <c r="AW9" s="90">
        <v>0.18590615056446319</v>
      </c>
      <c r="AY9" t="str">
        <v>Expert</v>
      </c>
      <c r="AZ9" s="123">
        <v>-5.134781488891349E-16</v>
      </c>
      <c r="BA9" s="37">
        <v>3.3306690738754696E-16</v>
      </c>
      <c r="BB9" s="37">
        <v>4.3021142204224816E-16</v>
      </c>
      <c r="BC9" s="37">
        <v>1.0244527111998996</v>
      </c>
      <c r="BD9" s="37">
        <v>-5.6898930012039273E-16</v>
      </c>
      <c r="BE9" s="37">
        <v>-2.0122792321330962E-16</v>
      </c>
      <c r="BF9" s="37">
        <v>-1.1102230246251565E-16</v>
      </c>
      <c r="BG9" s="37">
        <v>1.3877787807814457E-16</v>
      </c>
      <c r="BH9" s="90">
        <v>-1.3877787807814457E-17</v>
      </c>
      <c r="BI9" s="37"/>
      <c r="BU9" t="str">
        <v>Expert</v>
      </c>
      <c r="BV9" s="123">
        <v>-0.12705656781676997</v>
      </c>
      <c r="BW9" s="37">
        <v>0.11297017500099632</v>
      </c>
      <c r="BX9" s="37">
        <v>-0.16951396968764687</v>
      </c>
      <c r="BY9" s="90">
        <v>0.82956016250318809</v>
      </c>
      <c r="CA9" s="173">
        <v>4</v>
      </c>
      <c r="CC9" s="173">
        <v>0.6166666666666667</v>
      </c>
      <c r="CE9" s="174">
        <v>1.2897035513377495</v>
      </c>
      <c r="CF9" s="37"/>
      <c r="DF9" s="123">
        <v>1.3325048213410959</v>
      </c>
      <c r="DG9" s="37">
        <v>0.1017161609191243</v>
      </c>
      <c r="DH9" s="37">
        <v>1.0433980102659055</v>
      </c>
      <c r="DI9" s="90">
        <v>0.36390451889798348</v>
      </c>
    </row>
    <row r="10" spans="1:130" ht="17.25" x14ac:dyDescent="0.25">
      <c r="A10" s="46" t="str">
        <f>PCA!L8</f>
        <v>Motivate</v>
      </c>
      <c r="B10" s="124">
        <f>PCA!M8</f>
        <v>-0.1472071906836242</v>
      </c>
      <c r="C10" s="3">
        <f>PCA!N8</f>
        <v>0.24412158026310946</v>
      </c>
      <c r="D10" s="3">
        <f>PCA!O8</f>
        <v>0.28642393294527835</v>
      </c>
      <c r="E10" s="3">
        <f>PCA!P8</f>
        <v>0.19428606575437976</v>
      </c>
      <c r="F10" s="3">
        <f>PCA!Q8</f>
        <v>1.0000000000000009</v>
      </c>
      <c r="G10" s="3">
        <f>PCA!R8</f>
        <v>0.28436745486873366</v>
      </c>
      <c r="H10" s="3">
        <f>PCA!S8</f>
        <v>0.34434258129116857</v>
      </c>
      <c r="I10" s="3">
        <f>PCA!T8</f>
        <v>0.32646573442580362</v>
      </c>
      <c r="J10" s="179">
        <f>PCA!U8</f>
        <v>3.7341657013804541E-2</v>
      </c>
      <c r="M10" s="123">
        <v>0.7052086647828173</v>
      </c>
      <c r="N10" s="167">
        <f t="shared" si="0"/>
        <v>7.8356518309202011E-2</v>
      </c>
      <c r="O10" s="168">
        <f t="shared" si="1"/>
        <v>0.80140914686629805</v>
      </c>
      <c r="X10" s="71" t="s">
        <v>57</v>
      </c>
      <c r="Y10" s="173">
        <v>0.05</v>
      </c>
      <c r="AC10" s="46" t="str">
        <v>Motivate</v>
      </c>
      <c r="AD10" s="124">
        <v>-1.8379472943585995E-10</v>
      </c>
      <c r="AE10" s="3">
        <v>-1.8123300082883986E-10</v>
      </c>
      <c r="AF10" s="3">
        <v>3.7404634944948612E-11</v>
      </c>
      <c r="AG10" s="3">
        <v>-1.1590672865935403E-11</v>
      </c>
      <c r="AH10" s="3">
        <v>4.517763940725672E-10</v>
      </c>
      <c r="AI10" s="3">
        <v>-3.492659494952477E-10</v>
      </c>
      <c r="AJ10" s="3">
        <v>8.7521045966099109E-11</v>
      </c>
      <c r="AK10" s="3">
        <v>-2.0112578269504411E-10</v>
      </c>
      <c r="AL10" s="179">
        <v>-6.9578426353800182E-11</v>
      </c>
      <c r="AN10" t="str">
        <v>Motivate</v>
      </c>
      <c r="AO10" s="123">
        <v>-0.14720719049982947</v>
      </c>
      <c r="AP10" s="37">
        <v>0.24412158044434246</v>
      </c>
      <c r="AQ10" s="37">
        <v>0.28642393290787371</v>
      </c>
      <c r="AR10" s="37">
        <v>0.19428606576597043</v>
      </c>
      <c r="AS10" s="37">
        <v>0.99999999954822449</v>
      </c>
      <c r="AT10" s="37">
        <v>0.28436745521799961</v>
      </c>
      <c r="AU10" s="37">
        <v>0.34434258120364752</v>
      </c>
      <c r="AV10" s="37">
        <v>0.3264657346269294</v>
      </c>
      <c r="AW10" s="90">
        <v>3.7341657083382968E-2</v>
      </c>
      <c r="AY10" t="str">
        <v>Motivate</v>
      </c>
      <c r="AZ10" s="123">
        <v>-6.2450045135165055E-16</v>
      </c>
      <c r="BA10" s="37">
        <v>2.7755575615628914E-16</v>
      </c>
      <c r="BB10" s="37">
        <v>-1.0824674490095276E-15</v>
      </c>
      <c r="BC10" s="37">
        <v>-5.6898930012039273E-16</v>
      </c>
      <c r="BD10" s="37">
        <v>0.70520866478281252</v>
      </c>
      <c r="BE10" s="37">
        <v>-3.8857805861880479E-16</v>
      </c>
      <c r="BF10" s="37">
        <v>8.0491169285323849E-16</v>
      </c>
      <c r="BG10" s="37">
        <v>3.4694469519536142E-16</v>
      </c>
      <c r="BH10" s="90">
        <v>-4.3368086899420177E-17</v>
      </c>
      <c r="BI10" s="37"/>
      <c r="BK10" t="s">
        <v>410</v>
      </c>
      <c r="BP10" t="s">
        <v>411</v>
      </c>
      <c r="BU10" t="str">
        <v>Motivate</v>
      </c>
      <c r="BV10" s="123">
        <v>-0.20072057442542626</v>
      </c>
      <c r="BW10" s="37">
        <v>3.0677146033907511E-2</v>
      </c>
      <c r="BX10" s="37">
        <v>0.38895982093275422</v>
      </c>
      <c r="BY10" s="90">
        <v>0.15412638821248784</v>
      </c>
      <c r="CA10" s="173">
        <v>7</v>
      </c>
      <c r="CC10" s="173">
        <v>0.29166666666666696</v>
      </c>
      <c r="DF10" s="123">
        <v>0.96357759931466835</v>
      </c>
      <c r="DG10" s="37">
        <v>9.7712554188254322E-2</v>
      </c>
      <c r="DH10" s="37">
        <v>2.4786861838528673</v>
      </c>
      <c r="DI10" s="90">
        <v>0.2049518265171649</v>
      </c>
      <c r="DR10" t="s">
        <v>412</v>
      </c>
    </row>
    <row r="11" spans="1:130" ht="14.45" x14ac:dyDescent="0.35">
      <c r="A11" s="46" t="str">
        <f>PCA!L9</f>
        <v>Caring</v>
      </c>
      <c r="B11" s="124">
        <f>PCA!M9</f>
        <v>-0.1052452402704131</v>
      </c>
      <c r="C11" s="3">
        <f>PCA!N9</f>
        <v>0.11666737388326598</v>
      </c>
      <c r="D11" s="3">
        <f>PCA!O9</f>
        <v>0.10626504883200415</v>
      </c>
      <c r="E11" s="3">
        <f>PCA!P9</f>
        <v>4.610935721914871E-2</v>
      </c>
      <c r="F11" s="3">
        <f>PCA!Q9</f>
        <v>0.28436745486873366</v>
      </c>
      <c r="G11" s="3">
        <f>PCA!R9</f>
        <v>1.0000000000000018</v>
      </c>
      <c r="H11" s="3">
        <f>PCA!S9</f>
        <v>0.10231072687883692</v>
      </c>
      <c r="I11" s="3">
        <f>PCA!T9</f>
        <v>0.19515460623774106</v>
      </c>
      <c r="J11" s="179">
        <f>PCA!U9</f>
        <v>-5.5294628532650346E-2</v>
      </c>
      <c r="M11" s="123">
        <v>0.64762340943816155</v>
      </c>
      <c r="N11" s="167">
        <f t="shared" si="0"/>
        <v>7.195815660424025E-2</v>
      </c>
      <c r="O11" s="168">
        <f t="shared" si="1"/>
        <v>0.87336730347053826</v>
      </c>
      <c r="X11" t="s">
        <v>65</v>
      </c>
      <c r="Y11" s="173">
        <f>CHIDIST(Y9,Y8)</f>
        <v>0.9999188796649694</v>
      </c>
      <c r="AA11" s="62" t="s">
        <v>413</v>
      </c>
      <c r="AC11" s="46" t="str">
        <v>Caring</v>
      </c>
      <c r="AD11" s="124">
        <v>-4.6018217014776042E-11</v>
      </c>
      <c r="AE11" s="3">
        <v>9.5657648468971956E-12</v>
      </c>
      <c r="AF11" s="3">
        <v>-7.9054818247215053E-11</v>
      </c>
      <c r="AG11" s="3">
        <v>-4.0368958176273395E-12</v>
      </c>
      <c r="AH11" s="3">
        <v>-3.492659494952477E-10</v>
      </c>
      <c r="AI11" s="3">
        <v>3.57261997763203E-11</v>
      </c>
      <c r="AJ11" s="3">
        <v>-6.2285773760883956E-11</v>
      </c>
      <c r="AK11" s="3">
        <v>4.6557999122676108E-10</v>
      </c>
      <c r="AL11" s="179">
        <v>-1.0687986606860989E-10</v>
      </c>
      <c r="AN11" t="str">
        <v>Caring</v>
      </c>
      <c r="AO11" s="123">
        <v>-0.10524524022439488</v>
      </c>
      <c r="AP11" s="37">
        <v>0.11666737387370021</v>
      </c>
      <c r="AQ11" s="37">
        <v>0.10626504891105897</v>
      </c>
      <c r="AR11" s="37">
        <v>4.6109357223185606E-2</v>
      </c>
      <c r="AS11" s="37">
        <v>0.28436745521799961</v>
      </c>
      <c r="AT11" s="37">
        <v>0.99999999996427558</v>
      </c>
      <c r="AU11" s="37">
        <v>0.1023107269411227</v>
      </c>
      <c r="AV11" s="37">
        <v>0.19515460577216107</v>
      </c>
      <c r="AW11" s="90">
        <v>-5.529462842577048E-2</v>
      </c>
      <c r="AY11" t="str">
        <v>Caring</v>
      </c>
      <c r="AZ11" s="123">
        <v>-1.3877787807814457E-15</v>
      </c>
      <c r="BA11" s="37">
        <v>-1.2490009027033011E-16</v>
      </c>
      <c r="BB11" s="37">
        <v>-6.9388939039072284E-17</v>
      </c>
      <c r="BC11" s="37">
        <v>-2.0122792321330962E-16</v>
      </c>
      <c r="BD11" s="37">
        <v>-3.8857805861880479E-16</v>
      </c>
      <c r="BE11" s="37">
        <v>0.64762340943815977</v>
      </c>
      <c r="BF11" s="37">
        <v>-2.2638141361497333E-16</v>
      </c>
      <c r="BG11" s="37">
        <v>-1.9428902930940239E-16</v>
      </c>
      <c r="BH11" s="90">
        <v>-9.8879238130678004E-17</v>
      </c>
      <c r="BI11" s="37"/>
      <c r="BU11" t="str">
        <v>Caring</v>
      </c>
      <c r="BV11" s="123">
        <v>-0.10403520291673514</v>
      </c>
      <c r="BW11" s="37">
        <v>2.1122527325340885E-2</v>
      </c>
      <c r="BX11" s="37">
        <v>0.66228787576226489</v>
      </c>
      <c r="BY11" s="90">
        <v>6.2217401231936413E-2</v>
      </c>
      <c r="CA11" s="173">
        <v>5</v>
      </c>
      <c r="CC11" s="173">
        <v>-1.0083333333333337</v>
      </c>
      <c r="DF11" s="123">
        <v>3.9028877166168403</v>
      </c>
      <c r="DG11" s="37">
        <v>1.1431496476508558</v>
      </c>
      <c r="DH11" s="37">
        <v>-0.92900340871907405</v>
      </c>
      <c r="DI11" s="90">
        <v>-0.79489085604479115</v>
      </c>
    </row>
    <row r="12" spans="1:130" ht="14.45" x14ac:dyDescent="0.35">
      <c r="A12" s="46" t="str">
        <f>PCA!L10</f>
        <v>Charisma</v>
      </c>
      <c r="B12" s="124">
        <f>PCA!M10</f>
        <v>-2.189090621599556E-2</v>
      </c>
      <c r="C12" s="3">
        <f>PCA!N10</f>
        <v>0.45068677465590851</v>
      </c>
      <c r="D12" s="3">
        <f>PCA!O10</f>
        <v>0.74875752234637871</v>
      </c>
      <c r="E12" s="3">
        <f>PCA!P10</f>
        <v>0.24731764508778434</v>
      </c>
      <c r="F12" s="3">
        <f>PCA!Q10</f>
        <v>0.34434258129116857</v>
      </c>
      <c r="G12" s="3">
        <f>PCA!R10</f>
        <v>0.10231072687883692</v>
      </c>
      <c r="H12" s="3">
        <f>PCA!S10</f>
        <v>1.0000000000000009</v>
      </c>
      <c r="I12" s="3">
        <f>PCA!T10</f>
        <v>0.43880478206893986</v>
      </c>
      <c r="J12" s="179">
        <f>PCA!U10</f>
        <v>0.10313209036584842</v>
      </c>
      <c r="M12" s="123">
        <v>0.56239324882697206</v>
      </c>
      <c r="N12" s="167">
        <f t="shared" si="0"/>
        <v>6.2488138758552525E-2</v>
      </c>
      <c r="O12" s="168">
        <f t="shared" si="1"/>
        <v>0.93585544222909078</v>
      </c>
      <c r="X12" t="s">
        <v>414</v>
      </c>
      <c r="Y12" s="173">
        <f>CHIINV(Y10,Y8)</f>
        <v>50.998460165710647</v>
      </c>
      <c r="AA12" s="62" t="s">
        <v>415</v>
      </c>
      <c r="AC12" s="46" t="str">
        <v>Charisma</v>
      </c>
      <c r="AD12" s="124">
        <v>-3.1249069304406518E-11</v>
      </c>
      <c r="AE12" s="3">
        <v>-3.2071789668464135E-11</v>
      </c>
      <c r="AF12" s="3">
        <v>8.4378060094536522E-12</v>
      </c>
      <c r="AG12" s="3">
        <v>-1.984246100761311E-12</v>
      </c>
      <c r="AH12" s="3">
        <v>8.7521045966099109E-11</v>
      </c>
      <c r="AI12" s="3">
        <v>-6.2285773760883956E-11</v>
      </c>
      <c r="AJ12" s="3">
        <v>1.6853518580717264E-11</v>
      </c>
      <c r="AK12" s="3">
        <v>-4.6180725910005549E-11</v>
      </c>
      <c r="AL12" s="179">
        <v>-9.7556962508349443E-12</v>
      </c>
      <c r="AN12" t="str">
        <v>Charisma</v>
      </c>
      <c r="AO12" s="123">
        <v>-2.1890906184746491E-2</v>
      </c>
      <c r="AP12" s="37">
        <v>0.4506867746879803</v>
      </c>
      <c r="AQ12" s="37">
        <v>0.74875752233794091</v>
      </c>
      <c r="AR12" s="37">
        <v>0.24731764508976858</v>
      </c>
      <c r="AS12" s="37">
        <v>0.34434258120364752</v>
      </c>
      <c r="AT12" s="37">
        <v>0.1023107269411227</v>
      </c>
      <c r="AU12" s="37">
        <v>0.99999999998314737</v>
      </c>
      <c r="AV12" s="37">
        <v>0.43880478211512058</v>
      </c>
      <c r="AW12" s="90">
        <v>0.10313209037560411</v>
      </c>
      <c r="AY12" t="str">
        <v>Charisma</v>
      </c>
      <c r="AZ12" s="123">
        <v>-1.5439038936193583E-16</v>
      </c>
      <c r="BA12" s="37">
        <v>5.4817261840867104E-16</v>
      </c>
      <c r="BB12" s="37">
        <v>5.2041704279304213E-17</v>
      </c>
      <c r="BC12" s="37">
        <v>-1.1102230246251565E-16</v>
      </c>
      <c r="BD12" s="37">
        <v>8.0491169285323849E-16</v>
      </c>
      <c r="BE12" s="37">
        <v>-2.2638141361497333E-16</v>
      </c>
      <c r="BF12" s="37">
        <v>0.56239324882697106</v>
      </c>
      <c r="BG12" s="37">
        <v>-1.2663481374630692E-16</v>
      </c>
      <c r="BH12" s="90">
        <v>-3.9616747382620332E-16</v>
      </c>
      <c r="BI12" s="37"/>
      <c r="BK12" s="156">
        <f t="array" ref="BK12:BS15">MMULT(MINVERSE(BK5:BN8),TRANSPOSE(B44:E52))</f>
        <v>-6.4031216989374765E-2</v>
      </c>
      <c r="BL12" s="157">
        <v>0.2424927923379134</v>
      </c>
      <c r="BM12" s="157">
        <v>0.26179844621525827</v>
      </c>
      <c r="BN12" s="157">
        <v>0.12705656781676977</v>
      </c>
      <c r="BO12" s="157">
        <v>0.20072057442542632</v>
      </c>
      <c r="BP12" s="157">
        <v>0.10403520291673522</v>
      </c>
      <c r="BQ12" s="157">
        <v>0.28370231414094677</v>
      </c>
      <c r="BR12" s="157">
        <v>0.23881541266106224</v>
      </c>
      <c r="BS12" s="158">
        <v>0.10465720054936133</v>
      </c>
      <c r="BU12" t="str">
        <v>Charisma</v>
      </c>
      <c r="BV12" s="123">
        <v>-0.28370231414094671</v>
      </c>
      <c r="BW12" s="37">
        <v>0.16637259840634136</v>
      </c>
      <c r="BX12" s="37">
        <v>-0.16711897527181371</v>
      </c>
      <c r="BY12" s="90">
        <v>-0.16246161754486185</v>
      </c>
      <c r="CA12" s="173">
        <v>4</v>
      </c>
      <c r="CC12" s="173">
        <v>-0.84166666666666679</v>
      </c>
      <c r="DF12" s="123">
        <v>1.3805965660568289</v>
      </c>
      <c r="DG12" s="37">
        <v>7.085488102745495E-2</v>
      </c>
      <c r="DH12" s="37">
        <v>0.23287626641787776</v>
      </c>
      <c r="DI12" s="90">
        <v>0.2360767146864105</v>
      </c>
      <c r="DR12" s="156">
        <f t="array" ref="DR12:DU15">MINVERSE([1]!MSQRT(DF17:DI20))</f>
        <v>8.8506752524102311E-2</v>
      </c>
      <c r="DS12" s="157">
        <v>-1.1518832287806671E-2</v>
      </c>
      <c r="DT12" s="157">
        <v>3.3175847995773292E-2</v>
      </c>
      <c r="DU12" s="158">
        <v>-1.2628505848986116E-2</v>
      </c>
    </row>
    <row r="13" spans="1:130" ht="14.45" x14ac:dyDescent="0.35">
      <c r="A13" s="46" t="str">
        <f>PCA!L11</f>
        <v>Passion</v>
      </c>
      <c r="B13" s="124">
        <f>PCA!M11</f>
        <v>-0.12979427946395597</v>
      </c>
      <c r="C13" s="3">
        <f>PCA!N11</f>
        <v>0.37925969237500351</v>
      </c>
      <c r="D13" s="3">
        <f>PCA!O11</f>
        <v>0.3683592382753193</v>
      </c>
      <c r="E13" s="3">
        <f>PCA!P11</f>
        <v>0.25800736545459846</v>
      </c>
      <c r="F13" s="3">
        <f>PCA!Q11</f>
        <v>0.32646573442580362</v>
      </c>
      <c r="G13" s="3">
        <f>PCA!R11</f>
        <v>0.19515460623774106</v>
      </c>
      <c r="H13" s="3">
        <f>PCA!S11</f>
        <v>0.43880478206893986</v>
      </c>
      <c r="I13" s="3">
        <f>PCA!T11</f>
        <v>0.99999999999999967</v>
      </c>
      <c r="J13" s="179">
        <f>PCA!U11</f>
        <v>8.8479441977978163E-2</v>
      </c>
      <c r="M13" s="123">
        <v>0.34524839907614585</v>
      </c>
      <c r="N13" s="167">
        <f t="shared" si="0"/>
        <v>3.8360933230682917E-2</v>
      </c>
      <c r="O13" s="168">
        <f t="shared" si="1"/>
        <v>0.97421637545977369</v>
      </c>
      <c r="X13" t="s">
        <v>60</v>
      </c>
      <c r="Y13" s="183" t="str">
        <f>IF(Y9&gt;=Y12,"yes","no")</f>
        <v>no</v>
      </c>
      <c r="AA13" s="62" t="s">
        <v>618</v>
      </c>
      <c r="AC13" s="46" t="str">
        <v>Passion</v>
      </c>
      <c r="AD13" s="124">
        <v>3.3070243765642715E-10</v>
      </c>
      <c r="AE13" s="3">
        <v>2.5328289465775811E-10</v>
      </c>
      <c r="AF13" s="3">
        <v>4.9519111033902163E-11</v>
      </c>
      <c r="AG13" s="3">
        <v>2.2667701049527977E-11</v>
      </c>
      <c r="AH13" s="3">
        <v>-2.0112578269504411E-10</v>
      </c>
      <c r="AI13" s="3">
        <v>4.6557999122676108E-10</v>
      </c>
      <c r="AJ13" s="3">
        <v>-4.6180725910005549E-11</v>
      </c>
      <c r="AK13" s="3">
        <v>-3.2052127618698023E-10</v>
      </c>
      <c r="AL13" s="179">
        <v>2.4357899031102193E-10</v>
      </c>
      <c r="AN13" t="str">
        <v>Passion</v>
      </c>
      <c r="AO13" s="123">
        <v>-0.12979427979465841</v>
      </c>
      <c r="AP13" s="37">
        <v>0.37925969212172062</v>
      </c>
      <c r="AQ13" s="37">
        <v>0.36835923822580019</v>
      </c>
      <c r="AR13" s="37">
        <v>0.25800736543193076</v>
      </c>
      <c r="AS13" s="37">
        <v>0.3264657346269294</v>
      </c>
      <c r="AT13" s="37">
        <v>0.19515460577216107</v>
      </c>
      <c r="AU13" s="37">
        <v>0.43880478211512058</v>
      </c>
      <c r="AV13" s="37">
        <v>1.0000000003205209</v>
      </c>
      <c r="AW13" s="90">
        <v>8.8479441734399172E-2</v>
      </c>
      <c r="AY13" t="str">
        <v>Passion</v>
      </c>
      <c r="AZ13" s="123">
        <v>1.6653345369377348E-16</v>
      </c>
      <c r="BA13" s="37">
        <v>5.5511151231257827E-17</v>
      </c>
      <c r="BB13" s="37">
        <v>-4.163336342344337E-17</v>
      </c>
      <c r="BC13" s="37">
        <v>1.3877787807814457E-16</v>
      </c>
      <c r="BD13" s="37">
        <v>3.4694469519536142E-16</v>
      </c>
      <c r="BE13" s="37">
        <v>-1.9428902930940239E-16</v>
      </c>
      <c r="BF13" s="37">
        <v>-1.2663481374630692E-16</v>
      </c>
      <c r="BG13" s="37">
        <v>0.34524839907614469</v>
      </c>
      <c r="BH13" s="90">
        <v>-2.9490299091605721E-16</v>
      </c>
      <c r="BI13" s="37"/>
      <c r="BK13" s="123">
        <v>0.53295596648016574</v>
      </c>
      <c r="BL13" s="37">
        <v>-0.2110514941444864</v>
      </c>
      <c r="BM13" s="37">
        <v>0.24234564707122977</v>
      </c>
      <c r="BN13" s="37">
        <v>0.11297017500099633</v>
      </c>
      <c r="BO13" s="37">
        <v>3.0677146033907039E-2</v>
      </c>
      <c r="BP13" s="37">
        <v>2.1122527325340354E-2</v>
      </c>
      <c r="BQ13" s="37">
        <v>0.1663725984063415</v>
      </c>
      <c r="BR13" s="37">
        <v>2.4539585773605498E-2</v>
      </c>
      <c r="BS13" s="90">
        <v>-0.51511768193266105</v>
      </c>
      <c r="BU13" t="str">
        <v>Passion</v>
      </c>
      <c r="BV13" s="123">
        <v>-0.23881541266106221</v>
      </c>
      <c r="BW13" s="37">
        <v>2.4539585773605831E-2</v>
      </c>
      <c r="BX13" s="37">
        <v>9.969019097077525E-2</v>
      </c>
      <c r="BY13" s="90">
        <v>0.11481937178638525</v>
      </c>
      <c r="CA13" s="173">
        <v>4</v>
      </c>
      <c r="CC13" s="173">
        <v>-0.72499999999999964</v>
      </c>
      <c r="DF13" s="91">
        <v>1.6145842789546332</v>
      </c>
      <c r="DG13" s="92">
        <v>-3.9691377553271296</v>
      </c>
      <c r="DH13" s="92">
        <v>-1.8434975468249231</v>
      </c>
      <c r="DI13" s="93">
        <v>1.2531711903539184</v>
      </c>
      <c r="DR13" s="123">
        <v>-1.1518832287806667E-2</v>
      </c>
      <c r="DS13" s="37">
        <v>0.15290500464526818</v>
      </c>
      <c r="DT13" s="37">
        <v>-5.3794284298953792E-3</v>
      </c>
      <c r="DU13" s="90">
        <v>-8.6552313778562335E-3</v>
      </c>
    </row>
    <row r="14" spans="1:130" ht="14.45" x14ac:dyDescent="0.35">
      <c r="A14" s="46" t="str">
        <f>PCA!L12</f>
        <v>Friendly</v>
      </c>
      <c r="B14" s="180">
        <f>PCA!M12</f>
        <v>-0.34401036690229408</v>
      </c>
      <c r="C14" s="181">
        <f>PCA!N12</f>
        <v>0.40086949354334672</v>
      </c>
      <c r="D14" s="181">
        <f>PCA!O12</f>
        <v>6.9273962356187456E-3</v>
      </c>
      <c r="E14" s="181">
        <f>PCA!P12</f>
        <v>0.18590615055713855</v>
      </c>
      <c r="F14" s="181">
        <f>PCA!Q12</f>
        <v>3.7341657013804541E-2</v>
      </c>
      <c r="G14" s="181">
        <f>PCA!R12</f>
        <v>-5.5294628532650346E-2</v>
      </c>
      <c r="H14" s="181">
        <f>PCA!S12</f>
        <v>0.10313209036584842</v>
      </c>
      <c r="I14" s="181">
        <f>PCA!T12</f>
        <v>8.8479441977978163E-2</v>
      </c>
      <c r="J14" s="182">
        <f>PCA!U12</f>
        <v>1.0000000000000009</v>
      </c>
      <c r="M14" s="91">
        <v>0.2320526208620349</v>
      </c>
      <c r="N14" s="169">
        <f t="shared" si="0"/>
        <v>2.5783624540226129E-2</v>
      </c>
      <c r="O14" s="170">
        <f t="shared" si="1"/>
        <v>0.99999999999999978</v>
      </c>
      <c r="AC14" s="46" t="str">
        <v>Friendly</v>
      </c>
      <c r="AD14" s="180">
        <v>-1.0072892520085475E-10</v>
      </c>
      <c r="AE14" s="181">
        <v>-6.1560923025893999E-11</v>
      </c>
      <c r="AF14" s="181">
        <v>-4.0076837681812805E-11</v>
      </c>
      <c r="AG14" s="181">
        <v>-7.324640893813239E-12</v>
      </c>
      <c r="AH14" s="181">
        <v>-6.9578426353800182E-11</v>
      </c>
      <c r="AI14" s="181">
        <v>-1.0687986606860989E-10</v>
      </c>
      <c r="AJ14" s="181">
        <v>-9.7556962508349443E-12</v>
      </c>
      <c r="AK14" s="181">
        <v>2.4357899031102193E-10</v>
      </c>
      <c r="AL14" s="182">
        <v>-9.9523056462658133E-11</v>
      </c>
      <c r="AN14" t="str">
        <v>Friendly</v>
      </c>
      <c r="AO14" s="91">
        <v>-0.34401036680156516</v>
      </c>
      <c r="AP14" s="92">
        <v>0.40086949360490765</v>
      </c>
      <c r="AQ14" s="92">
        <v>6.9273962756955833E-3</v>
      </c>
      <c r="AR14" s="92">
        <v>0.18590615056446319</v>
      </c>
      <c r="AS14" s="92">
        <v>3.7341657083382968E-2</v>
      </c>
      <c r="AT14" s="92">
        <v>-5.529462842577048E-2</v>
      </c>
      <c r="AU14" s="92">
        <v>0.10313209037560411</v>
      </c>
      <c r="AV14" s="92">
        <v>8.8479441734399172E-2</v>
      </c>
      <c r="AW14" s="93">
        <v>1.0000000000995239</v>
      </c>
      <c r="AY14" t="str">
        <v>Friendly</v>
      </c>
      <c r="AZ14" s="91">
        <v>2.7408630920433552E-16</v>
      </c>
      <c r="BA14" s="92">
        <v>-6.9388939039072284E-18</v>
      </c>
      <c r="BB14" s="92">
        <v>-2.7755575615628914E-17</v>
      </c>
      <c r="BC14" s="92">
        <v>-1.3877787807814457E-17</v>
      </c>
      <c r="BD14" s="92">
        <v>-4.3368086899420177E-17</v>
      </c>
      <c r="BE14" s="92">
        <v>-9.8879238130678004E-17</v>
      </c>
      <c r="BF14" s="92">
        <v>-3.9616747382620332E-16</v>
      </c>
      <c r="BG14" s="92">
        <v>-2.9490299091605721E-16</v>
      </c>
      <c r="BH14" s="93">
        <v>0.23205262086203499</v>
      </c>
      <c r="BI14" s="37"/>
      <c r="BK14" s="123">
        <v>-0.23848933827325297</v>
      </c>
      <c r="BL14" s="37">
        <v>-0.16786687650806895</v>
      </c>
      <c r="BM14" s="37">
        <v>-0.17359169336788705</v>
      </c>
      <c r="BN14" s="37">
        <v>-0.16951396968764759</v>
      </c>
      <c r="BO14" s="37">
        <v>0.38895982093275511</v>
      </c>
      <c r="BP14" s="37">
        <v>0.66228787576226633</v>
      </c>
      <c r="BQ14" s="37">
        <v>-0.16711897527181407</v>
      </c>
      <c r="BR14" s="37">
        <v>9.9690190970775472E-2</v>
      </c>
      <c r="BS14" s="90">
        <v>-0.2957212910273731</v>
      </c>
      <c r="BU14" t="str">
        <v>Friendly</v>
      </c>
      <c r="BV14" s="91">
        <v>-0.10465720054936106</v>
      </c>
      <c r="BW14" s="92">
        <v>-0.51511768193266005</v>
      </c>
      <c r="BX14" s="92">
        <v>-0.29572129102737282</v>
      </c>
      <c r="BY14" s="93">
        <v>0.22839429258632657</v>
      </c>
      <c r="CA14" s="174">
        <v>8</v>
      </c>
      <c r="CC14" s="174">
        <v>0.70000000000000018</v>
      </c>
      <c r="DR14" s="123">
        <v>3.3175847995773299E-2</v>
      </c>
      <c r="DS14" s="37">
        <v>-5.3794284298953757E-3</v>
      </c>
      <c r="DT14" s="37">
        <v>0.25601724042040963</v>
      </c>
      <c r="DU14" s="90">
        <v>3.2903213242771692E-2</v>
      </c>
    </row>
    <row r="15" spans="1:130" ht="16.5" x14ac:dyDescent="0.35">
      <c r="A15" s="46"/>
      <c r="B15" s="46"/>
      <c r="C15" s="46"/>
      <c r="D15" s="46"/>
      <c r="E15" s="46"/>
      <c r="F15" s="46"/>
      <c r="G15" s="46"/>
      <c r="H15" s="46"/>
      <c r="I15" s="46"/>
      <c r="J15" s="46"/>
      <c r="M15">
        <f>SUM(M6:M14)</f>
        <v>8.9999999999999893</v>
      </c>
      <c r="BK15" s="91">
        <v>0.1124096713061173</v>
      </c>
      <c r="BL15" s="92">
        <v>-0.25847872930602378</v>
      </c>
      <c r="BM15" s="92">
        <v>-0.29857416845132012</v>
      </c>
      <c r="BN15" s="92">
        <v>0.82956016250319042</v>
      </c>
      <c r="BO15" s="92">
        <v>0.15412638821248797</v>
      </c>
      <c r="BP15" s="92">
        <v>6.2217401231936253E-2</v>
      </c>
      <c r="BQ15" s="92">
        <v>-0.16246161754486246</v>
      </c>
      <c r="BR15" s="92">
        <v>0.11481937178638542</v>
      </c>
      <c r="BS15" s="93">
        <v>0.22839429258632746</v>
      </c>
      <c r="DF15" t="s">
        <v>416</v>
      </c>
      <c r="DR15" s="91">
        <v>-1.2628505848986116E-2</v>
      </c>
      <c r="DS15" s="92">
        <v>-8.6552313778562318E-3</v>
      </c>
      <c r="DT15" s="92">
        <v>3.2903213242771678E-2</v>
      </c>
      <c r="DU15" s="93">
        <v>0.10162784087987699</v>
      </c>
    </row>
    <row r="16" spans="1:130" ht="16.5" x14ac:dyDescent="0.35">
      <c r="A16" s="46" t="s">
        <v>417</v>
      </c>
      <c r="AC16" t="s">
        <v>418</v>
      </c>
      <c r="AN16" t="s">
        <v>419</v>
      </c>
      <c r="AY16" t="s">
        <v>420</v>
      </c>
      <c r="BU16" t="s">
        <v>421</v>
      </c>
      <c r="CH16" t="s">
        <v>422</v>
      </c>
      <c r="CM16" t="s">
        <v>423</v>
      </c>
      <c r="CZ16" t="s">
        <v>424</v>
      </c>
    </row>
    <row r="17" spans="1:144" ht="16.5" x14ac:dyDescent="0.35">
      <c r="BK17" t="s">
        <v>425</v>
      </c>
      <c r="BP17" t="s">
        <v>426</v>
      </c>
      <c r="CZ17" t="s">
        <v>427</v>
      </c>
      <c r="DF17" s="156">
        <f t="array" ref="DF17:DI20">MMULT(DR5:DZ8,MMULT(B6:J14,DF5:DI13))</f>
        <v>164.6474095657598</v>
      </c>
      <c r="DG17" s="157">
        <v>20.846290881123352</v>
      </c>
      <c r="DH17" s="157">
        <v>-35.409975775938278</v>
      </c>
      <c r="DI17" s="158">
        <v>55.75531407291875</v>
      </c>
    </row>
    <row r="18" spans="1:144" ht="14.45" x14ac:dyDescent="0.35">
      <c r="B18" s="160">
        <f t="array" ref="B18:J27">[1]!eVECTORS(B6:J14,200)</f>
        <v>2.8804369060025632</v>
      </c>
      <c r="C18" s="161">
        <v>1.4386543900717295</v>
      </c>
      <c r="D18" s="161">
        <v>1.1639296497396623</v>
      </c>
      <c r="E18" s="161">
        <v>1.0244527111999022</v>
      </c>
      <c r="F18" s="161">
        <v>0.7052086647828173</v>
      </c>
      <c r="G18" s="161">
        <v>0.64762340943816155</v>
      </c>
      <c r="H18" s="161">
        <v>0.56239324882697206</v>
      </c>
      <c r="I18" s="161">
        <v>0.34524839907614585</v>
      </c>
      <c r="J18" s="162">
        <v>0.2320526208620349</v>
      </c>
      <c r="AC18" s="46"/>
      <c r="AD18" s="175" t="str">
        <f t="array" ref="AD18:AL18">AD5:AL5</f>
        <v>Expect</v>
      </c>
      <c r="AE18" s="175" t="str">
        <v>Entertain</v>
      </c>
      <c r="AF18" s="175" t="str">
        <v>Comm</v>
      </c>
      <c r="AG18" s="175" t="str">
        <v>Expert</v>
      </c>
      <c r="AH18" s="175" t="str">
        <v>Motivate</v>
      </c>
      <c r="AI18" s="175" t="str">
        <v>Caring</v>
      </c>
      <c r="AJ18" s="175" t="str">
        <v>Charisma</v>
      </c>
      <c r="AK18" s="175" t="str">
        <v>Passion</v>
      </c>
      <c r="AL18" s="175" t="str">
        <v>Friendly</v>
      </c>
      <c r="AO18" t="str">
        <f t="array" ref="AO18:AW18">AO5:AW5</f>
        <v>Expect</v>
      </c>
      <c r="AP18" t="str">
        <v>Entertain</v>
      </c>
      <c r="AQ18" t="str">
        <v>Comm</v>
      </c>
      <c r="AR18" t="str">
        <v>Expert</v>
      </c>
      <c r="AS18" t="str">
        <v>Motivate</v>
      </c>
      <c r="AT18" t="str">
        <v>Caring</v>
      </c>
      <c r="AU18" t="str">
        <v>Charisma</v>
      </c>
      <c r="AV18" t="str">
        <v>Passion</v>
      </c>
      <c r="AW18" t="str">
        <v>Friendly</v>
      </c>
      <c r="AZ18" t="str">
        <f t="array" ref="AZ18:BH18">AO18:AW18</f>
        <v>Expect</v>
      </c>
      <c r="BA18" t="str">
        <v>Entertain</v>
      </c>
      <c r="BB18" t="str">
        <v>Comm</v>
      </c>
      <c r="BC18" t="str">
        <v>Expert</v>
      </c>
      <c r="BD18" t="str">
        <v>Motivate</v>
      </c>
      <c r="BE18" t="str">
        <v>Caring</v>
      </c>
      <c r="BF18" t="str">
        <v>Charisma</v>
      </c>
      <c r="BG18" t="str">
        <v>Passion</v>
      </c>
      <c r="BH18" t="str">
        <v>Friendly</v>
      </c>
      <c r="BV18">
        <v>1</v>
      </c>
      <c r="BW18">
        <f>BV18+1</f>
        <v>2</v>
      </c>
      <c r="BX18">
        <f>BW18+1</f>
        <v>3</v>
      </c>
      <c r="BY18">
        <f>BX18+1</f>
        <v>4</v>
      </c>
      <c r="CA18" s="47" t="s">
        <v>390</v>
      </c>
      <c r="CB18" s="47"/>
      <c r="CC18" s="47" t="s">
        <v>391</v>
      </c>
      <c r="CE18" s="47" t="s">
        <v>392</v>
      </c>
      <c r="CF18" s="47"/>
      <c r="CH18">
        <v>1</v>
      </c>
      <c r="CI18">
        <f>CH18+1</f>
        <v>2</v>
      </c>
      <c r="CJ18">
        <f>CI18+1</f>
        <v>3</v>
      </c>
      <c r="CK18">
        <f>CJ18+1</f>
        <v>4</v>
      </c>
      <c r="CN18" s="156">
        <f t="array" ref="CN18:CQ21">MMULT(TRANSPOSE(B44:E52),MMULT(MINVERSE([1]!DIAGONAL(Q44:Q52)),B44:E52))</f>
        <v>12.317457389822916</v>
      </c>
      <c r="CO18" s="157">
        <v>0.95935965345549312</v>
      </c>
      <c r="CP18" s="157">
        <v>-1.8574441965504818</v>
      </c>
      <c r="CQ18" s="158">
        <v>2.1431528813298186</v>
      </c>
      <c r="CZ18">
        <v>1</v>
      </c>
      <c r="DA18">
        <f>CZ18+1</f>
        <v>2</v>
      </c>
      <c r="DB18">
        <f>DA18+1</f>
        <v>3</v>
      </c>
      <c r="DC18">
        <f>DB18+1</f>
        <v>4</v>
      </c>
      <c r="DF18" s="123">
        <v>20.846290881123352</v>
      </c>
      <c r="DG18" s="37">
        <v>45.780921919436729</v>
      </c>
      <c r="DH18" s="37">
        <v>-3.9650000517584996</v>
      </c>
      <c r="DI18" s="90">
        <v>14.830409595504886</v>
      </c>
    </row>
    <row r="19" spans="1:144" ht="14.45" x14ac:dyDescent="0.35">
      <c r="A19" s="37" t="str">
        <f>A6</f>
        <v>Expect</v>
      </c>
      <c r="B19" s="156">
        <v>0.10867282066236424</v>
      </c>
      <c r="C19" s="157">
        <v>0.63924827708711807</v>
      </c>
      <c r="D19" s="157">
        <v>-0.25729558511519024</v>
      </c>
      <c r="E19" s="157">
        <v>0.11377573138837584</v>
      </c>
      <c r="F19" s="157">
        <v>0.41709285009666042</v>
      </c>
      <c r="G19" s="157">
        <v>-9.5945434483222611E-2</v>
      </c>
      <c r="H19" s="157">
        <v>0.48082963990072808</v>
      </c>
      <c r="I19" s="157">
        <v>-0.28424031931196581</v>
      </c>
      <c r="J19" s="158">
        <v>-7.2417189866390647E-2</v>
      </c>
      <c r="AC19" s="46" t="str">
        <f t="array" ref="AC19:AC27">A19:A27</f>
        <v>Expect</v>
      </c>
      <c r="AD19" s="176">
        <f t="array" ref="AD19:AL27">B6:J14-MMULT(B44:E52,TRANSPOSE(B44:E52))</f>
        <v>0.28777851479482575</v>
      </c>
      <c r="AE19" s="177">
        <v>0.16130999816908775</v>
      </c>
      <c r="AF19" s="177">
        <v>-6.9630637793735572E-2</v>
      </c>
      <c r="AG19" s="177">
        <v>-8.9217727310116485E-2</v>
      </c>
      <c r="AH19" s="177">
        <v>3.3074582714387152E-2</v>
      </c>
      <c r="AI19" s="177">
        <v>0.13336298451675835</v>
      </c>
      <c r="AJ19" s="177">
        <v>-8.9519905203613415E-2</v>
      </c>
      <c r="AK19" s="177">
        <v>-1.1326673453394956E-2</v>
      </c>
      <c r="AL19" s="178">
        <v>0.15731341580654962</v>
      </c>
      <c r="AN19" t="str">
        <f t="array" ref="AN19:AN27">A44:A52</f>
        <v>Expect</v>
      </c>
      <c r="AO19" s="156">
        <f t="array" ref="AO19:AW27">MMULT(B44:E52,TRANSPOSE(B44:E52))</f>
        <v>0.71222148520517259</v>
      </c>
      <c r="AP19" s="157">
        <v>-0.33789022638542882</v>
      </c>
      <c r="AQ19" s="157">
        <v>0.14910298670388794</v>
      </c>
      <c r="AR19" s="157">
        <v>0.20974900542180086</v>
      </c>
      <c r="AS19" s="157">
        <v>-0.18028177339801135</v>
      </c>
      <c r="AT19" s="157">
        <v>-0.23860822478717145</v>
      </c>
      <c r="AU19" s="157">
        <v>6.7628998987617858E-2</v>
      </c>
      <c r="AV19" s="157">
        <v>-0.11846760601056101</v>
      </c>
      <c r="AW19" s="158">
        <v>-0.5013237827088437</v>
      </c>
      <c r="AY19" t="str">
        <f t="array" ref="AY19:AY27">AN19:AN27</f>
        <v>Expect</v>
      </c>
      <c r="AZ19" s="156">
        <f t="array" ref="AZ19:BH27">MMULT(MINVERSE(AZ6:BH14),TRANSPOSE(B31:J39))</f>
        <v>6.4031216989374889E-2</v>
      </c>
      <c r="BA19" s="157">
        <v>-0.24249279233791332</v>
      </c>
      <c r="BB19" s="157">
        <v>-0.26179844621525844</v>
      </c>
      <c r="BC19" s="157">
        <v>-0.12705656781676983</v>
      </c>
      <c r="BD19" s="157">
        <v>-0.20072057442542673</v>
      </c>
      <c r="BE19" s="157">
        <v>-0.10403520291673504</v>
      </c>
      <c r="BF19" s="157">
        <v>-0.28370231414094671</v>
      </c>
      <c r="BG19" s="157">
        <v>-0.23881541266106177</v>
      </c>
      <c r="BH19" s="158">
        <v>-0.10465720054936133</v>
      </c>
      <c r="BI19" s="37"/>
      <c r="BK19" s="156">
        <f t="array" ref="BK19:BS22">TRANSPOSE(B19:E27)/SQRT(TRANSPOSE(B18:E18))</f>
        <v>6.4031216989374362E-2</v>
      </c>
      <c r="BL19" s="157">
        <v>-0.24249279233791318</v>
      </c>
      <c r="BM19" s="157">
        <v>-0.26179844621525827</v>
      </c>
      <c r="BN19" s="157">
        <v>-0.12705656781676997</v>
      </c>
      <c r="BO19" s="157">
        <v>-0.20072057442542626</v>
      </c>
      <c r="BP19" s="157">
        <v>-0.10403520291673514</v>
      </c>
      <c r="BQ19" s="157">
        <v>-0.28370231414094671</v>
      </c>
      <c r="BR19" s="157">
        <v>-0.23881541266106221</v>
      </c>
      <c r="BS19" s="158">
        <v>-0.10465720054936106</v>
      </c>
      <c r="BU19" t="str">
        <f t="array" ref="BU19:BU27">AY19:AY27</f>
        <v>Expect</v>
      </c>
      <c r="BV19" s="156">
        <f t="array" ref="BV19:BV27">-BV6:BV14</f>
        <v>-6.4031216989374362E-2</v>
      </c>
      <c r="BW19" s="157">
        <f t="array" ref="BW19:BW27">BW6:BW14</f>
        <v>0.5329559664801643</v>
      </c>
      <c r="BX19" s="157">
        <f t="array" ref="BX19:BX27">BX6:BX14</f>
        <v>-0.238489338273252</v>
      </c>
      <c r="BY19" s="158">
        <f t="array" ref="BY19:BY27">BY6:BY14</f>
        <v>0.11240967130611704</v>
      </c>
      <c r="CA19" s="172">
        <f t="array" ref="CA19:CA27">CA6:CA14</f>
        <v>2</v>
      </c>
      <c r="CC19" s="172">
        <f t="array" ref="CC19:CC27">CC6:CC14</f>
        <v>-1.7083333333333335</v>
      </c>
      <c r="CE19" s="172">
        <f t="array" ref="CE19:CE22">MMULT(TRANSPOSE(BV19:BY27),CC19:CC27)</f>
        <v>-0.87910602303681806</v>
      </c>
      <c r="CF19" s="37"/>
      <c r="CG19">
        <v>1</v>
      </c>
      <c r="CH19" s="156">
        <f t="array" ref="CH19:CK138">MMULT(PCA!B4:J123-PCA!B126:J126,BV19:BY27)</f>
        <v>-0.87910602303681806</v>
      </c>
      <c r="CI19" s="157">
        <v>-1.930127982610657</v>
      </c>
      <c r="CJ19" s="157">
        <v>6.3180984804663221E-2</v>
      </c>
      <c r="CK19" s="158">
        <v>1.2897035513377495</v>
      </c>
      <c r="CN19" s="123">
        <v>0.95935965345549357</v>
      </c>
      <c r="CO19" s="37">
        <v>6.5932970749638615</v>
      </c>
      <c r="CP19" s="37">
        <v>-8.6019305536317647E-2</v>
      </c>
      <c r="CQ19" s="90">
        <v>0.62843285948243177</v>
      </c>
      <c r="CY19">
        <v>1</v>
      </c>
      <c r="CZ19" s="156">
        <f t="array" ref="CZ19:DC138">MMULT(PCA!B4:J123-PCA!B126:J126,CN26:CQ34)</f>
        <v>-0.95565450736798074</v>
      </c>
      <c r="DA19" s="157">
        <v>-1.7918777512972837</v>
      </c>
      <c r="DB19" s="157">
        <v>0.13678493722722362</v>
      </c>
      <c r="DC19" s="158">
        <v>1.4322828011347124</v>
      </c>
      <c r="DF19" s="123">
        <v>-35.409975775938278</v>
      </c>
      <c r="DG19" s="37">
        <v>-3.9650000517584996</v>
      </c>
      <c r="DH19" s="37">
        <v>25.287554242244116</v>
      </c>
      <c r="DI19" s="90">
        <v>-29.184350914284124</v>
      </c>
    </row>
    <row r="20" spans="1:144" ht="14.45" x14ac:dyDescent="0.35">
      <c r="A20" s="37" t="str">
        <f t="shared" ref="A20:A27" si="2">A7</f>
        <v>Entertain</v>
      </c>
      <c r="B20" s="123">
        <v>-0.41155512846221565</v>
      </c>
      <c r="C20" s="37">
        <v>-0.25314343490616653</v>
      </c>
      <c r="D20" s="37">
        <v>-0.18110413876496192</v>
      </c>
      <c r="E20" s="37">
        <v>-0.26161989563197352</v>
      </c>
      <c r="F20" s="37">
        <v>0.33963617020547054</v>
      </c>
      <c r="G20" s="37">
        <v>4.1010447452216252E-5</v>
      </c>
      <c r="H20" s="37">
        <v>0.43645311461584763</v>
      </c>
      <c r="I20" s="37">
        <v>0.59253174817325882</v>
      </c>
      <c r="J20" s="90">
        <v>-9.1428524472632805E-2</v>
      </c>
      <c r="AC20" s="46" t="str">
        <v>Entertain</v>
      </c>
      <c r="AD20" s="124">
        <v>0.16130999816908775</v>
      </c>
      <c r="AE20" s="3">
        <v>0.31163314342113091</v>
      </c>
      <c r="AF20" s="3">
        <v>-9.4414557309836333E-2</v>
      </c>
      <c r="AG20" s="3">
        <v>2.8664864088467489E-2</v>
      </c>
      <c r="AH20" s="3">
        <v>-1.6050625443846139E-2</v>
      </c>
      <c r="AI20" s="3">
        <v>8.4073203289834919E-2</v>
      </c>
      <c r="AJ20" s="3">
        <v>-0.12950825085879575</v>
      </c>
      <c r="AK20" s="3">
        <v>-3.668528003344379E-2</v>
      </c>
      <c r="AL20" s="179">
        <v>-4.0001755316549314E-2</v>
      </c>
      <c r="AN20" t="str">
        <v>Entertain</v>
      </c>
      <c r="AO20" s="123">
        <v>-0.33789022638542882</v>
      </c>
      <c r="AP20" s="37">
        <v>0.6883668565788702</v>
      </c>
      <c r="AQ20" s="37">
        <v>0.5413350690540516</v>
      </c>
      <c r="AR20" s="37">
        <v>1.979462300310203E-2</v>
      </c>
      <c r="AS20" s="37">
        <v>0.26017220570695559</v>
      </c>
      <c r="AT20" s="37">
        <v>3.259417059343106E-2</v>
      </c>
      <c r="AU20" s="37">
        <v>0.58019502551470425</v>
      </c>
      <c r="AV20" s="37">
        <v>0.4159449724084473</v>
      </c>
      <c r="AW20" s="90">
        <v>0.44087124885989604</v>
      </c>
      <c r="AY20" t="str">
        <v>Entertain</v>
      </c>
      <c r="AZ20" s="123">
        <v>0.53295596648016541</v>
      </c>
      <c r="BA20" s="37">
        <v>-0.21105149414448673</v>
      </c>
      <c r="BB20" s="37">
        <v>0.24234564707122991</v>
      </c>
      <c r="BC20" s="37">
        <v>0.11297017500099642</v>
      </c>
      <c r="BD20" s="37">
        <v>3.0677146033906869E-2</v>
      </c>
      <c r="BE20" s="37">
        <v>2.1122527325340326E-2</v>
      </c>
      <c r="BF20" s="37">
        <v>0.16637259840634172</v>
      </c>
      <c r="BG20" s="37">
        <v>2.4539585773605505E-2</v>
      </c>
      <c r="BH20" s="90">
        <v>-0.51511768193266116</v>
      </c>
      <c r="BI20" s="37"/>
      <c r="BK20" s="123">
        <v>0.5329559664801643</v>
      </c>
      <c r="BL20" s="37">
        <v>-0.21105149414448585</v>
      </c>
      <c r="BM20" s="37">
        <v>0.24234564707122941</v>
      </c>
      <c r="BN20" s="37">
        <v>0.11297017500099632</v>
      </c>
      <c r="BO20" s="37">
        <v>3.0677146033907511E-2</v>
      </c>
      <c r="BP20" s="37">
        <v>2.1122527325340885E-2</v>
      </c>
      <c r="BQ20" s="37">
        <v>0.16637259840634136</v>
      </c>
      <c r="BR20" s="37">
        <v>2.4539585773605831E-2</v>
      </c>
      <c r="BS20" s="90">
        <v>-0.51511768193266005</v>
      </c>
      <c r="BU20" t="str">
        <v>Entertain</v>
      </c>
      <c r="BV20" s="123">
        <v>0.24249279233791318</v>
      </c>
      <c r="BW20" s="37">
        <v>-0.21105149414448585</v>
      </c>
      <c r="BX20" s="37">
        <v>-0.16786687650806892</v>
      </c>
      <c r="BY20" s="90">
        <v>-0.25847872930602306</v>
      </c>
      <c r="CA20" s="173">
        <v>8</v>
      </c>
      <c r="CC20" s="173">
        <v>-0.16666666666666607</v>
      </c>
      <c r="CE20" s="173">
        <v>-1.930127982610657</v>
      </c>
      <c r="CF20" s="37"/>
      <c r="CG20">
        <f>CG19+1</f>
        <v>2</v>
      </c>
      <c r="CH20" s="123">
        <v>1.2404625325084089</v>
      </c>
      <c r="CI20" s="37">
        <v>1.6128737489158307</v>
      </c>
      <c r="CJ20" s="37">
        <v>0.67539129417964427</v>
      </c>
      <c r="CK20" s="90">
        <v>-1.0994338341290766</v>
      </c>
      <c r="CN20" s="123">
        <v>-1.8574441965504813</v>
      </c>
      <c r="CO20" s="37">
        <v>-8.6019305536317869E-2</v>
      </c>
      <c r="CP20" s="37">
        <v>4.3443580756997733</v>
      </c>
      <c r="CQ20" s="90">
        <v>-1.6558458073768632</v>
      </c>
      <c r="CY20">
        <f>CY19+1</f>
        <v>2</v>
      </c>
      <c r="CZ20" s="123">
        <v>1.2961233857415682</v>
      </c>
      <c r="DA20" s="37">
        <v>1.6078292391681486</v>
      </c>
      <c r="DB20" s="37">
        <v>0.71871967041682483</v>
      </c>
      <c r="DC20" s="90">
        <v>-1.1326655012957261</v>
      </c>
      <c r="DF20" s="91">
        <v>55.755314072918779</v>
      </c>
      <c r="DG20" s="92">
        <v>14.830409595504884</v>
      </c>
      <c r="DH20" s="92">
        <v>-29.184350914284142</v>
      </c>
      <c r="DI20" s="93">
        <v>123.0681804480656</v>
      </c>
    </row>
    <row r="21" spans="1:144" ht="14.45" x14ac:dyDescent="0.35">
      <c r="A21" s="37" t="str">
        <f t="shared" si="2"/>
        <v>Comm</v>
      </c>
      <c r="B21" s="123">
        <v>-0.44432039453439659</v>
      </c>
      <c r="C21" s="37">
        <v>0.29067886859957309</v>
      </c>
      <c r="D21" s="37">
        <v>-0.18728039014076323</v>
      </c>
      <c r="E21" s="37">
        <v>-0.30220259515496317</v>
      </c>
      <c r="F21" s="37">
        <v>3.0092029332481934E-2</v>
      </c>
      <c r="G21" s="37">
        <v>-0.13252764699834219</v>
      </c>
      <c r="H21" s="37">
        <v>-0.30089770286092654</v>
      </c>
      <c r="I21" s="37">
        <v>-6.3954964480359006E-2</v>
      </c>
      <c r="J21" s="90">
        <v>0.69179914482736116</v>
      </c>
      <c r="AC21" s="46" t="str">
        <v>Comm</v>
      </c>
      <c r="AD21" s="124">
        <v>-6.9630637793735572E-2</v>
      </c>
      <c r="AE21" s="3">
        <v>-9.4414557309836333E-2</v>
      </c>
      <c r="AF21" s="3">
        <v>0.17540123107154071</v>
      </c>
      <c r="AG21" s="3">
        <v>3.9678955290139428E-2</v>
      </c>
      <c r="AH21" s="3">
        <v>-2.5184555433812483E-2</v>
      </c>
      <c r="AI21" s="3">
        <v>4.4939802338469989E-2</v>
      </c>
      <c r="AJ21" s="3">
        <v>-4.1138130243911886E-2</v>
      </c>
      <c r="AK21" s="3">
        <v>-0.10326192182069238</v>
      </c>
      <c r="AL21" s="179">
        <v>4.0000417617508666E-2</v>
      </c>
      <c r="AN21" t="str">
        <v>Comm</v>
      </c>
      <c r="AO21" s="123">
        <v>0.14910298670388794</v>
      </c>
      <c r="AP21" s="37">
        <v>0.5413350690540516</v>
      </c>
      <c r="AQ21" s="37">
        <v>0.82459876892845996</v>
      </c>
      <c r="AR21" s="37">
        <v>0.11256487924623254</v>
      </c>
      <c r="AS21" s="37">
        <v>0.31160848837909083</v>
      </c>
      <c r="AT21" s="37">
        <v>6.1325246493534158E-2</v>
      </c>
      <c r="AU21" s="37">
        <v>0.7898956525902906</v>
      </c>
      <c r="AV21" s="37">
        <v>0.47162116009601168</v>
      </c>
      <c r="AW21" s="90">
        <v>-3.3073021381889917E-2</v>
      </c>
      <c r="AY21" t="str">
        <v>Comm</v>
      </c>
      <c r="AZ21" s="123">
        <v>-0.23848933827325255</v>
      </c>
      <c r="BA21" s="37">
        <v>-0.16786687650806856</v>
      </c>
      <c r="BB21" s="37">
        <v>-0.17359169336788696</v>
      </c>
      <c r="BC21" s="37">
        <v>-0.16951396968764754</v>
      </c>
      <c r="BD21" s="37">
        <v>0.38895982093275461</v>
      </c>
      <c r="BE21" s="37">
        <v>0.662287875762267</v>
      </c>
      <c r="BF21" s="37">
        <v>-0.16711897527181419</v>
      </c>
      <c r="BG21" s="37">
        <v>9.9690190970775264E-2</v>
      </c>
      <c r="BH21" s="90">
        <v>-0.29572129102737288</v>
      </c>
      <c r="BI21" s="37"/>
      <c r="BK21" s="123">
        <v>-0.238489338273252</v>
      </c>
      <c r="BL21" s="37">
        <v>-0.16786687650806892</v>
      </c>
      <c r="BM21" s="37">
        <v>-0.17359169336788666</v>
      </c>
      <c r="BN21" s="37">
        <v>-0.16951396968764687</v>
      </c>
      <c r="BO21" s="37">
        <v>0.38895982093275422</v>
      </c>
      <c r="BP21" s="37">
        <v>0.66228787576226489</v>
      </c>
      <c r="BQ21" s="37">
        <v>-0.16711897527181371</v>
      </c>
      <c r="BR21" s="37">
        <v>9.969019097077525E-2</v>
      </c>
      <c r="BS21" s="90">
        <v>-0.29572129102737282</v>
      </c>
      <c r="BU21" t="str">
        <v>Comm</v>
      </c>
      <c r="BV21" s="123">
        <v>0.26179844621525827</v>
      </c>
      <c r="BW21" s="37">
        <v>0.24234564707122941</v>
      </c>
      <c r="BX21" s="37">
        <v>-0.17359169336788666</v>
      </c>
      <c r="BY21" s="90">
        <v>-0.29857416845131918</v>
      </c>
      <c r="CA21" s="173">
        <v>1</v>
      </c>
      <c r="CC21" s="173">
        <v>-2.4500000000000002</v>
      </c>
      <c r="CE21" s="173">
        <v>6.3180984804663221E-2</v>
      </c>
      <c r="CF21" s="37"/>
      <c r="CG21">
        <f t="shared" ref="CG21:CG84" si="3">CG20+1</f>
        <v>3</v>
      </c>
      <c r="CH21" s="123">
        <v>-1.9315938688635494</v>
      </c>
      <c r="CI21" s="37">
        <v>-1.7977243009836195</v>
      </c>
      <c r="CJ21" s="37">
        <v>1.6921072175882377</v>
      </c>
      <c r="CK21" s="90">
        <v>0.27604882289650112</v>
      </c>
      <c r="CN21" s="91">
        <v>2.1431528813298182</v>
      </c>
      <c r="CO21" s="92">
        <v>0.62843285948243166</v>
      </c>
      <c r="CP21" s="92">
        <v>-1.6558458073768632</v>
      </c>
      <c r="CQ21" s="93">
        <v>10.531059846706967</v>
      </c>
      <c r="CY21">
        <f t="shared" ref="CY21:CY84" si="4">CY20+1</f>
        <v>3</v>
      </c>
      <c r="CZ21" s="123">
        <v>-1.7882423647831376</v>
      </c>
      <c r="DA21" s="37">
        <v>-1.5104262792385446</v>
      </c>
      <c r="DB21" s="37">
        <v>1.7468160326777042</v>
      </c>
      <c r="DC21" s="90">
        <v>0.73361241922004949</v>
      </c>
    </row>
    <row r="22" spans="1:144" ht="14.45" x14ac:dyDescent="0.35">
      <c r="A22" s="37" t="str">
        <f t="shared" si="2"/>
        <v>Expert</v>
      </c>
      <c r="B22" s="123">
        <v>-0.21563850036801047</v>
      </c>
      <c r="C22" s="37">
        <v>0.1355008561186731</v>
      </c>
      <c r="D22" s="37">
        <v>-0.18288111465179668</v>
      </c>
      <c r="E22" s="37">
        <v>0.8396414038293164</v>
      </c>
      <c r="F22" s="37">
        <v>2.8151905951375684E-2</v>
      </c>
      <c r="G22" s="37">
        <v>-8.2469997114449113E-3</v>
      </c>
      <c r="H22" s="37">
        <v>-0.22139123759018514</v>
      </c>
      <c r="I22" s="37">
        <v>0.37879413338631968</v>
      </c>
      <c r="J22" s="90">
        <v>5.7764588173452189E-2</v>
      </c>
      <c r="AC22" s="46" t="str">
        <v>Expert</v>
      </c>
      <c r="AD22" s="124">
        <v>-8.9217727310116485E-2</v>
      </c>
      <c r="AE22" s="3">
        <v>2.8664864088467489E-2</v>
      </c>
      <c r="AF22" s="3">
        <v>3.9678955290139428E-2</v>
      </c>
      <c r="AG22" s="3">
        <v>7.8480399457043326E-2</v>
      </c>
      <c r="AH22" s="3">
        <v>-6.9345336814312514E-2</v>
      </c>
      <c r="AI22" s="3">
        <v>2.9422634269992261E-2</v>
      </c>
      <c r="AJ22" s="3">
        <v>1.2409297280436521E-2</v>
      </c>
      <c r="AK22" s="3">
        <v>-7.6555607598769893E-2</v>
      </c>
      <c r="AL22" s="179">
        <v>-7.0734959597348879E-2</v>
      </c>
      <c r="AN22" t="str">
        <v>Expert</v>
      </c>
      <c r="AO22" s="123">
        <v>0.20974900542180086</v>
      </c>
      <c r="AP22" s="37">
        <v>1.979462300310203E-2</v>
      </c>
      <c r="AQ22" s="37">
        <v>0.11256487924623254</v>
      </c>
      <c r="AR22" s="37">
        <v>0.92151960054295756</v>
      </c>
      <c r="AS22" s="37">
        <v>0.26363140256869227</v>
      </c>
      <c r="AT22" s="37">
        <v>1.6686722949156449E-2</v>
      </c>
      <c r="AU22" s="37">
        <v>0.23490834780734782</v>
      </c>
      <c r="AV22" s="37">
        <v>0.33456297305336835</v>
      </c>
      <c r="AW22" s="90">
        <v>0.25664111015448743</v>
      </c>
      <c r="AY22" t="str">
        <v>Expert</v>
      </c>
      <c r="AZ22" s="123">
        <v>0.11240967130611769</v>
      </c>
      <c r="BA22" s="37">
        <v>-0.25847872930602361</v>
      </c>
      <c r="BB22" s="37">
        <v>-0.29857416845132023</v>
      </c>
      <c r="BC22" s="37">
        <v>0.82956016250319031</v>
      </c>
      <c r="BD22" s="37">
        <v>0.15412638821248764</v>
      </c>
      <c r="BE22" s="37">
        <v>6.2217401231936656E-2</v>
      </c>
      <c r="BF22" s="37">
        <v>-0.1624616175448626</v>
      </c>
      <c r="BG22" s="37">
        <v>0.11481937178638557</v>
      </c>
      <c r="BH22" s="90">
        <v>0.22839429258632774</v>
      </c>
      <c r="BI22" s="37"/>
      <c r="BK22" s="91">
        <v>0.11240967130611704</v>
      </c>
      <c r="BL22" s="92">
        <v>-0.25847872930602306</v>
      </c>
      <c r="BM22" s="92">
        <v>-0.29857416845131918</v>
      </c>
      <c r="BN22" s="92">
        <v>0.82956016250318809</v>
      </c>
      <c r="BO22" s="92">
        <v>0.15412638821248784</v>
      </c>
      <c r="BP22" s="92">
        <v>6.2217401231936413E-2</v>
      </c>
      <c r="BQ22" s="92">
        <v>-0.16246161754486185</v>
      </c>
      <c r="BR22" s="92">
        <v>0.11481937178638525</v>
      </c>
      <c r="BS22" s="93">
        <v>0.22839429258632657</v>
      </c>
      <c r="BU22" t="str">
        <v>Expert</v>
      </c>
      <c r="BV22" s="123">
        <v>0.12705656781676997</v>
      </c>
      <c r="BW22" s="37">
        <v>0.11297017500099632</v>
      </c>
      <c r="BX22" s="37">
        <v>-0.16951396968764687</v>
      </c>
      <c r="BY22" s="90">
        <v>0.82956016250318809</v>
      </c>
      <c r="CA22" s="173">
        <v>4</v>
      </c>
      <c r="CC22" s="173">
        <v>0.6166666666666667</v>
      </c>
      <c r="CE22" s="174">
        <v>1.2897035513377495</v>
      </c>
      <c r="CF22" s="37"/>
      <c r="CG22">
        <f t="shared" si="3"/>
        <v>4</v>
      </c>
      <c r="CH22" s="123">
        <v>0.91816988079010575</v>
      </c>
      <c r="CI22" s="37">
        <v>0.74857780517124639</v>
      </c>
      <c r="CJ22" s="37">
        <v>1.0120452961697841</v>
      </c>
      <c r="CK22" s="90">
        <v>-1.3627185191685161</v>
      </c>
      <c r="CY22">
        <f t="shared" si="4"/>
        <v>4</v>
      </c>
      <c r="CZ22" s="123">
        <v>0.90918789881568485</v>
      </c>
      <c r="DA22" s="37">
        <v>0.50680055413014835</v>
      </c>
      <c r="DB22" s="37">
        <v>0.92621779130342385</v>
      </c>
      <c r="DC22" s="90">
        <v>-1.6871328475111076</v>
      </c>
    </row>
    <row r="23" spans="1:144" ht="14.45" x14ac:dyDescent="0.35">
      <c r="A23" s="37" t="str">
        <f t="shared" si="2"/>
        <v>Motivate</v>
      </c>
      <c r="B23" s="123">
        <v>-0.34065994702866276</v>
      </c>
      <c r="C23" s="37">
        <v>3.6795371440606912E-2</v>
      </c>
      <c r="D23" s="37">
        <v>0.4196315249888759</v>
      </c>
      <c r="E23" s="37">
        <v>0.15599941127281186</v>
      </c>
      <c r="F23" s="37">
        <v>-0.42356977521057582</v>
      </c>
      <c r="G23" s="37">
        <v>-0.55990863089491949</v>
      </c>
      <c r="H23" s="37">
        <v>0.42454928955816817</v>
      </c>
      <c r="I23" s="37">
        <v>-8.8223691667977652E-2</v>
      </c>
      <c r="J23" s="90">
        <v>3.51556480609738E-2</v>
      </c>
      <c r="AC23" s="46" t="str">
        <v>Motivate</v>
      </c>
      <c r="AD23" s="124">
        <v>3.3074582714387152E-2</v>
      </c>
      <c r="AE23" s="3">
        <v>-1.6050625443846139E-2</v>
      </c>
      <c r="AF23" s="3">
        <v>-2.5184555433812483E-2</v>
      </c>
      <c r="AG23" s="3">
        <v>-6.9345336814312514E-2</v>
      </c>
      <c r="AH23" s="3">
        <v>0.43389182666456372</v>
      </c>
      <c r="AI23" s="3">
        <v>-0.24927758792961568</v>
      </c>
      <c r="AJ23" s="3">
        <v>-2.4347749198460888E-2</v>
      </c>
      <c r="AK23" s="3">
        <v>-0.14390958601112652</v>
      </c>
      <c r="AL23" s="179">
        <v>1.4638194460048021E-2</v>
      </c>
      <c r="AN23" t="str">
        <v>Motivate</v>
      </c>
      <c r="AO23" s="123">
        <v>-0.18028177339801135</v>
      </c>
      <c r="AP23" s="37">
        <v>0.26017220570695559</v>
      </c>
      <c r="AQ23" s="37">
        <v>0.31160848837909083</v>
      </c>
      <c r="AR23" s="37">
        <v>0.26363140256869227</v>
      </c>
      <c r="AS23" s="37">
        <v>0.56610817333543717</v>
      </c>
      <c r="AT23" s="37">
        <v>0.53364504279834934</v>
      </c>
      <c r="AU23" s="37">
        <v>0.36869033048962946</v>
      </c>
      <c r="AV23" s="37">
        <v>0.47037532043693014</v>
      </c>
      <c r="AW23" s="90">
        <v>2.270346255375652E-2</v>
      </c>
      <c r="AY23" t="str">
        <v>Motivate</v>
      </c>
      <c r="AZ23" s="123">
        <v>0.49667685818147028</v>
      </c>
      <c r="BA23" s="37">
        <v>0.40444094379308204</v>
      </c>
      <c r="BB23" s="37">
        <v>3.5833782769706946E-2</v>
      </c>
      <c r="BC23" s="37">
        <v>3.3523471324212968E-2</v>
      </c>
      <c r="BD23" s="37">
        <v>-0.50438962241492868</v>
      </c>
      <c r="BE23" s="37">
        <v>0.75324016298761454</v>
      </c>
      <c r="BF23" s="37">
        <v>-0.10607949709708289</v>
      </c>
      <c r="BG23" s="37">
        <v>-0.2560054361594522</v>
      </c>
      <c r="BH23" s="90">
        <v>0.32677281714393491</v>
      </c>
      <c r="BI23" s="37"/>
      <c r="BU23" t="str">
        <v>Motivate</v>
      </c>
      <c r="BV23" s="123">
        <v>0.20072057442542626</v>
      </c>
      <c r="BW23" s="37">
        <v>3.0677146033907511E-2</v>
      </c>
      <c r="BX23" s="37">
        <v>0.38895982093275422</v>
      </c>
      <c r="BY23" s="90">
        <v>0.15412638821248784</v>
      </c>
      <c r="CA23" s="173">
        <v>7</v>
      </c>
      <c r="CC23" s="173">
        <v>0.29166666666666696</v>
      </c>
      <c r="CG23">
        <f t="shared" si="3"/>
        <v>5</v>
      </c>
      <c r="CH23" s="123">
        <v>1.8409632952060759</v>
      </c>
      <c r="CI23" s="37">
        <v>0.72956994886325088</v>
      </c>
      <c r="CJ23" s="37">
        <v>1.4998930684328957</v>
      </c>
      <c r="CK23" s="90">
        <v>6.2454739098745424E-2</v>
      </c>
      <c r="CM23" t="s">
        <v>428</v>
      </c>
      <c r="CY23">
        <f t="shared" si="4"/>
        <v>5</v>
      </c>
      <c r="CZ23" s="123">
        <v>2.0221394644346247</v>
      </c>
      <c r="DA23" s="37">
        <v>0.73718218721584383</v>
      </c>
      <c r="DB23" s="37">
        <v>1.4950101872461086</v>
      </c>
      <c r="DC23" s="90">
        <v>5.6884115359535845E-2</v>
      </c>
      <c r="DE23" t="s">
        <v>429</v>
      </c>
      <c r="DR23" t="s">
        <v>430</v>
      </c>
      <c r="DX23" t="s">
        <v>431</v>
      </c>
      <c r="ED23" t="s">
        <v>430</v>
      </c>
      <c r="EJ23" t="s">
        <v>431</v>
      </c>
    </row>
    <row r="24" spans="1:144" ht="14.45" x14ac:dyDescent="0.35">
      <c r="A24" s="37" t="str">
        <f t="shared" si="2"/>
        <v>Caring</v>
      </c>
      <c r="B24" s="123">
        <v>-0.17656698530373344</v>
      </c>
      <c r="C24" s="37">
        <v>2.533518723812293E-2</v>
      </c>
      <c r="D24" s="37">
        <v>0.7145130584986833</v>
      </c>
      <c r="E24" s="37">
        <v>6.2973499059261015E-2</v>
      </c>
      <c r="F24" s="37">
        <v>0.63254625459716418</v>
      </c>
      <c r="G24" s="37">
        <v>2.9625191396581044E-2</v>
      </c>
      <c r="H24" s="37">
        <v>-0.21612684057595452</v>
      </c>
      <c r="I24" s="37">
        <v>-7.2965594974557554E-2</v>
      </c>
      <c r="J24" s="90">
        <v>-2.5699225706734535E-2</v>
      </c>
      <c r="AC24" s="46" t="str">
        <v>Caring</v>
      </c>
      <c r="AD24" s="124">
        <v>0.13336298451675835</v>
      </c>
      <c r="AE24" s="3">
        <v>8.4073203289834919E-2</v>
      </c>
      <c r="AF24" s="3">
        <v>4.4939802338469989E-2</v>
      </c>
      <c r="AG24" s="3">
        <v>2.9422634269992261E-2</v>
      </c>
      <c r="AH24" s="3">
        <v>-0.24927758792961568</v>
      </c>
      <c r="AI24" s="3">
        <v>0.3109939855932603</v>
      </c>
      <c r="AJ24" s="3">
        <v>1.0704804624128872E-2</v>
      </c>
      <c r="AK24" s="3">
        <v>-0.10899855909494222</v>
      </c>
      <c r="AL24" s="179">
        <v>0.12730242372740322</v>
      </c>
      <c r="AN24" t="str">
        <v>Caring</v>
      </c>
      <c r="AO24" s="123">
        <v>-0.23860822478717145</v>
      </c>
      <c r="AP24" s="37">
        <v>3.259417059343106E-2</v>
      </c>
      <c r="AQ24" s="37">
        <v>6.1325246493534158E-2</v>
      </c>
      <c r="AR24" s="37">
        <v>1.6686722949156449E-2</v>
      </c>
      <c r="AS24" s="37">
        <v>0.53364504279834934</v>
      </c>
      <c r="AT24" s="37">
        <v>0.68900601440674147</v>
      </c>
      <c r="AU24" s="37">
        <v>9.1605922254708053E-2</v>
      </c>
      <c r="AV24" s="37">
        <v>0.30415316533268327</v>
      </c>
      <c r="AW24" s="90">
        <v>-0.18259705226005357</v>
      </c>
      <c r="AY24" t="str">
        <v>Caring</v>
      </c>
      <c r="AZ24" s="123">
        <v>-0.11922382323235826</v>
      </c>
      <c r="BA24" s="37">
        <v>5.0960448134546832E-5</v>
      </c>
      <c r="BB24" s="37">
        <v>-0.16468165311079791</v>
      </c>
      <c r="BC24" s="37">
        <v>-1.0247896016006309E-2</v>
      </c>
      <c r="BD24" s="37">
        <v>-0.69575428987984755</v>
      </c>
      <c r="BE24" s="37">
        <v>3.6812888506002006E-2</v>
      </c>
      <c r="BF24" s="37">
        <v>-0.12320689410668072</v>
      </c>
      <c r="BG24" s="37">
        <v>0.9726955351433525</v>
      </c>
      <c r="BH24" s="90">
        <v>-0.23647852944784412</v>
      </c>
      <c r="BI24" s="37"/>
      <c r="BK24" t="s">
        <v>432</v>
      </c>
      <c r="BU24" t="str">
        <v>Caring</v>
      </c>
      <c r="BV24" s="123">
        <v>0.10403520291673514</v>
      </c>
      <c r="BW24" s="37">
        <v>2.1122527325340885E-2</v>
      </c>
      <c r="BX24" s="37">
        <v>0.66228787576226489</v>
      </c>
      <c r="BY24" s="90">
        <v>6.2217401231936413E-2</v>
      </c>
      <c r="CA24" s="173">
        <v>5</v>
      </c>
      <c r="CC24" s="173">
        <v>-1.0083333333333337</v>
      </c>
      <c r="CG24">
        <f t="shared" si="3"/>
        <v>6</v>
      </c>
      <c r="CH24" s="123">
        <v>-1.9055704392206259</v>
      </c>
      <c r="CI24" s="37">
        <v>-0.27499816835931079</v>
      </c>
      <c r="CJ24" s="37">
        <v>0.64680603939042647</v>
      </c>
      <c r="CK24" s="90">
        <v>0.51337469691788784</v>
      </c>
      <c r="CY24">
        <f t="shared" si="4"/>
        <v>6</v>
      </c>
      <c r="CZ24" s="123">
        <v>-1.931352308372962</v>
      </c>
      <c r="DA24" s="37">
        <v>-0.22879786383030765</v>
      </c>
      <c r="DB24" s="37">
        <v>0.53629706742726913</v>
      </c>
      <c r="DC24" s="90">
        <v>0.48996769183775618</v>
      </c>
      <c r="DR24" t="s">
        <v>427</v>
      </c>
      <c r="ED24" t="s">
        <v>427</v>
      </c>
    </row>
    <row r="25" spans="1:144" ht="14.45" x14ac:dyDescent="0.35">
      <c r="A25" s="37" t="str">
        <f t="shared" si="2"/>
        <v>Charisma</v>
      </c>
      <c r="B25" s="123">
        <v>-0.48149531050226674</v>
      </c>
      <c r="C25" s="37">
        <v>0.19955381602753666</v>
      </c>
      <c r="D25" s="37">
        <v>-0.18029726124337572</v>
      </c>
      <c r="E25" s="37">
        <v>-0.16443593459470768</v>
      </c>
      <c r="F25" s="37">
        <v>-8.9082064227918617E-2</v>
      </c>
      <c r="G25" s="37">
        <v>-9.915081286527104E-2</v>
      </c>
      <c r="H25" s="37">
        <v>-0.36144073391629705</v>
      </c>
      <c r="I25" s="37">
        <v>-0.1678417200000899</v>
      </c>
      <c r="J25" s="90">
        <v>-0.70158215235978194</v>
      </c>
      <c r="AC25" s="46" t="str">
        <v>Charisma</v>
      </c>
      <c r="AD25" s="124">
        <v>-8.9519905203613415E-2</v>
      </c>
      <c r="AE25" s="3">
        <v>-0.12950825085879575</v>
      </c>
      <c r="AF25" s="3">
        <v>-4.1138130243911886E-2</v>
      </c>
      <c r="AG25" s="3">
        <v>1.2409297280436521E-2</v>
      </c>
      <c r="AH25" s="3">
        <v>-2.4347749198460888E-2</v>
      </c>
      <c r="AI25" s="3">
        <v>1.0704804624128872E-2</v>
      </c>
      <c r="AJ25" s="3">
        <v>0.20937999639509464</v>
      </c>
      <c r="AK25" s="3">
        <v>-8.9634882627895152E-2</v>
      </c>
      <c r="AL25" s="179">
        <v>6.153273880009566E-3</v>
      </c>
      <c r="AN25" t="str">
        <v>Charisma</v>
      </c>
      <c r="AO25" s="123">
        <v>6.7628998987617858E-2</v>
      </c>
      <c r="AP25" s="37">
        <v>0.58019502551470425</v>
      </c>
      <c r="AQ25" s="37">
        <v>0.7898956525902906</v>
      </c>
      <c r="AR25" s="37">
        <v>0.23490834780734782</v>
      </c>
      <c r="AS25" s="37">
        <v>0.36869033048962946</v>
      </c>
      <c r="AT25" s="37">
        <v>9.1605922254708053E-2</v>
      </c>
      <c r="AU25" s="37">
        <v>0.79062000360490625</v>
      </c>
      <c r="AV25" s="37">
        <v>0.52843966469683501</v>
      </c>
      <c r="AW25" s="90">
        <v>9.6978816485838851E-2</v>
      </c>
      <c r="AY25" t="str">
        <v>Charisma</v>
      </c>
      <c r="AZ25" s="123">
        <v>0.6411670297167249</v>
      </c>
      <c r="BA25" s="37">
        <v>0.58199271402368691</v>
      </c>
      <c r="BB25" s="37">
        <v>-0.401235012117301</v>
      </c>
      <c r="BC25" s="37">
        <v>-0.29521633117358492</v>
      </c>
      <c r="BD25" s="37">
        <v>0.56611944099485423</v>
      </c>
      <c r="BE25" s="37">
        <v>-0.28819646900876505</v>
      </c>
      <c r="BF25" s="37">
        <v>-0.48196671451367301</v>
      </c>
      <c r="BG25" s="37">
        <v>0.3758151374094284</v>
      </c>
      <c r="BH25" s="90">
        <v>5.5542544981979622E-2</v>
      </c>
      <c r="BI25" s="37"/>
      <c r="BU25" t="str">
        <v>Charisma</v>
      </c>
      <c r="BV25" s="123">
        <v>0.28370231414094671</v>
      </c>
      <c r="BW25" s="37">
        <v>0.16637259840634136</v>
      </c>
      <c r="BX25" s="37">
        <v>-0.16711897527181371</v>
      </c>
      <c r="BY25" s="90">
        <v>-0.16246161754486185</v>
      </c>
      <c r="CA25" s="173">
        <v>4</v>
      </c>
      <c r="CC25" s="173">
        <v>-0.84166666666666679</v>
      </c>
      <c r="CG25">
        <f t="shared" si="3"/>
        <v>7</v>
      </c>
      <c r="CH25" s="123">
        <v>-0.60159691775390778</v>
      </c>
      <c r="CI25" s="37">
        <v>0.26657114854112018</v>
      </c>
      <c r="CJ25" s="37">
        <v>-1.518190213409667</v>
      </c>
      <c r="CK25" s="90">
        <v>-1.6475196359859627</v>
      </c>
      <c r="CN25">
        <v>1</v>
      </c>
      <c r="CO25">
        <f>CN25+1</f>
        <v>2</v>
      </c>
      <c r="CP25">
        <f>CO25+1</f>
        <v>3</v>
      </c>
      <c r="CQ25">
        <f>CP25+1</f>
        <v>4</v>
      </c>
      <c r="CS25" s="47" t="s">
        <v>390</v>
      </c>
      <c r="CT25" s="47"/>
      <c r="CU25" s="47" t="s">
        <v>391</v>
      </c>
      <c r="CW25" s="47" t="s">
        <v>392</v>
      </c>
      <c r="CY25">
        <f t="shared" si="4"/>
        <v>7</v>
      </c>
      <c r="CZ25" s="123">
        <v>-0.63633258110154645</v>
      </c>
      <c r="DA25" s="37">
        <v>0.27231367911336302</v>
      </c>
      <c r="DB25" s="37">
        <v>-1.5818370150714562</v>
      </c>
      <c r="DC25" s="90">
        <v>-1.7519188841129327</v>
      </c>
      <c r="DF25">
        <v>1</v>
      </c>
      <c r="DG25">
        <f>DF25+1</f>
        <v>2</v>
      </c>
      <c r="DH25">
        <f>DG25+1</f>
        <v>3</v>
      </c>
      <c r="DI25">
        <f>DH25+1</f>
        <v>4</v>
      </c>
      <c r="DK25" s="47" t="s">
        <v>390</v>
      </c>
      <c r="DL25" s="47"/>
      <c r="DM25" s="47" t="s">
        <v>391</v>
      </c>
      <c r="DO25" s="47" t="s">
        <v>392</v>
      </c>
      <c r="DR25">
        <v>1</v>
      </c>
      <c r="DS25">
        <f>DR25+1</f>
        <v>2</v>
      </c>
      <c r="DT25">
        <f>DS25+1</f>
        <v>3</v>
      </c>
      <c r="DU25">
        <f>DT25+1</f>
        <v>4</v>
      </c>
      <c r="DY25">
        <v>1</v>
      </c>
      <c r="DZ25">
        <f>DY25+1</f>
        <v>2</v>
      </c>
      <c r="EA25">
        <f>DZ25+1</f>
        <v>3</v>
      </c>
      <c r="EB25">
        <f>EA25+1</f>
        <v>4</v>
      </c>
      <c r="ED25">
        <v>1</v>
      </c>
      <c r="EE25">
        <f>ED25+1</f>
        <v>2</v>
      </c>
      <c r="EF25">
        <f>EE25+1</f>
        <v>3</v>
      </c>
      <c r="EG25">
        <f>EF25+1</f>
        <v>4</v>
      </c>
      <c r="EK25">
        <v>1</v>
      </c>
      <c r="EL25">
        <f>EK25+1</f>
        <v>2</v>
      </c>
      <c r="EM25">
        <f>EL25+1</f>
        <v>3</v>
      </c>
      <c r="EN25">
        <f>EM25+1</f>
        <v>4</v>
      </c>
    </row>
    <row r="26" spans="1:144" ht="14.45" x14ac:dyDescent="0.35">
      <c r="A26" s="37" t="str">
        <f t="shared" si="2"/>
        <v>Passion</v>
      </c>
      <c r="B26" s="123">
        <v>-0.40531393485510109</v>
      </c>
      <c r="C26" s="37">
        <v>2.9433741083360061E-2</v>
      </c>
      <c r="D26" s="37">
        <v>0.10755133207121426</v>
      </c>
      <c r="E26" s="37">
        <v>0.11621471578699419</v>
      </c>
      <c r="F26" s="37">
        <v>-0.2149849248039076</v>
      </c>
      <c r="G26" s="37">
        <v>0.7827772437504753</v>
      </c>
      <c r="H26" s="37">
        <v>0.28183460598348936</v>
      </c>
      <c r="I26" s="37">
        <v>-0.25913253981977796</v>
      </c>
      <c r="J26" s="90">
        <v>6.513041035120351E-2</v>
      </c>
      <c r="AC26" s="46" t="str">
        <v>Passion</v>
      </c>
      <c r="AD26" s="124">
        <v>-1.1326673453394956E-2</v>
      </c>
      <c r="AE26" s="3">
        <v>-3.668528003344379E-2</v>
      </c>
      <c r="AF26" s="3">
        <v>-0.10326192182069238</v>
      </c>
      <c r="AG26" s="3">
        <v>-7.6555607598769893E-2</v>
      </c>
      <c r="AH26" s="3">
        <v>-0.14390958601112652</v>
      </c>
      <c r="AI26" s="3">
        <v>-0.10899855909494222</v>
      </c>
      <c r="AJ26" s="3">
        <v>-8.9634882627895152E-2</v>
      </c>
      <c r="AK26" s="3">
        <v>0.49825759734674679</v>
      </c>
      <c r="AL26" s="179">
        <v>-8.0312767053591694E-2</v>
      </c>
      <c r="AN26" t="str">
        <v>Passion</v>
      </c>
      <c r="AO26" s="123">
        <v>-0.11846760601056101</v>
      </c>
      <c r="AP26" s="37">
        <v>0.4159449724084473</v>
      </c>
      <c r="AQ26" s="37">
        <v>0.47162116009601168</v>
      </c>
      <c r="AR26" s="37">
        <v>0.33456297305336835</v>
      </c>
      <c r="AS26" s="37">
        <v>0.47037532043693014</v>
      </c>
      <c r="AT26" s="37">
        <v>0.30415316533268327</v>
      </c>
      <c r="AU26" s="37">
        <v>0.52843966469683501</v>
      </c>
      <c r="AV26" s="37">
        <v>0.50174240265325287</v>
      </c>
      <c r="AW26" s="90">
        <v>0.16879220903156986</v>
      </c>
      <c r="AY26" t="str">
        <v>Passion</v>
      </c>
      <c r="AZ26" s="123">
        <v>-0.48374873867571067</v>
      </c>
      <c r="BA26" s="37">
        <v>1.0084300724751567</v>
      </c>
      <c r="BB26" s="37">
        <v>-0.10884498537826109</v>
      </c>
      <c r="BC26" s="37">
        <v>0.64466992116722099</v>
      </c>
      <c r="BD26" s="37">
        <v>-0.15014794406720952</v>
      </c>
      <c r="BE26" s="37">
        <v>-0.12418018183030956</v>
      </c>
      <c r="BF26" s="37">
        <v>-0.28564990548752001</v>
      </c>
      <c r="BG26" s="37">
        <v>-0.44101779645859462</v>
      </c>
      <c r="BH26" s="90">
        <v>-0.95079808481435968</v>
      </c>
      <c r="BI26" s="37"/>
      <c r="BJ26" t="s">
        <v>433</v>
      </c>
      <c r="BK26" s="156">
        <f t="array" ref="BK26:BS26">AZ42:BH42</f>
        <v>2</v>
      </c>
      <c r="BL26" s="157">
        <v>8</v>
      </c>
      <c r="BM26" s="157">
        <v>1</v>
      </c>
      <c r="BN26" s="157">
        <v>4</v>
      </c>
      <c r="BO26" s="157">
        <v>7</v>
      </c>
      <c r="BP26" s="157">
        <v>5</v>
      </c>
      <c r="BQ26" s="157">
        <v>4</v>
      </c>
      <c r="BR26" s="157">
        <v>4</v>
      </c>
      <c r="BS26" s="158">
        <v>8</v>
      </c>
      <c r="BU26" t="str">
        <v>Passion</v>
      </c>
      <c r="BV26" s="123">
        <v>0.23881541266106221</v>
      </c>
      <c r="BW26" s="37">
        <v>2.4539585773605831E-2</v>
      </c>
      <c r="BX26" s="37">
        <v>9.969019097077525E-2</v>
      </c>
      <c r="BY26" s="90">
        <v>0.11481937178638525</v>
      </c>
      <c r="CA26" s="173">
        <v>4</v>
      </c>
      <c r="CC26" s="173">
        <v>-0.72499999999999964</v>
      </c>
      <c r="CG26">
        <f t="shared" si="3"/>
        <v>8</v>
      </c>
      <c r="CH26" s="123">
        <v>-0.71528533295118146</v>
      </c>
      <c r="CI26" s="37">
        <v>2.2622751423794163E-2</v>
      </c>
      <c r="CJ26" s="37">
        <v>-0.29574581776259445</v>
      </c>
      <c r="CK26" s="90">
        <v>-0.14057989804216925</v>
      </c>
      <c r="CM26" t="str">
        <f t="array" ref="CM26:CM34">BU19:BU27</f>
        <v>Expect</v>
      </c>
      <c r="CN26" s="156">
        <f t="array" ref="CN26:CQ34">TRANSPOSE(MMULT(MINVERSE(CN18:CQ21),MMULT(TRANSPOSE(B44:E52),MINVERSE([1]!DIAGONAL(Q44:Q52)))))</f>
        <v>-0.12447551166218888</v>
      </c>
      <c r="CO26" s="157">
        <v>0.4190781171217417</v>
      </c>
      <c r="CP26" s="157">
        <v>-0.26843282757965464</v>
      </c>
      <c r="CQ26" s="158">
        <v>-3.8849372511071123E-3</v>
      </c>
      <c r="CS26" s="172">
        <f t="array" ref="CS26:CS34">CA19:CA27</f>
        <v>2</v>
      </c>
      <c r="CU26" s="172">
        <f t="array" ref="CU26:CU34">CC19:CC27</f>
        <v>-1.7083333333333335</v>
      </c>
      <c r="CW26" s="172">
        <f t="array" ref="CW26:CW29">MMULT(TRANSPOSE(CN26:CQ34),CU26:CU34)</f>
        <v>-0.95565450736798074</v>
      </c>
      <c r="CY26">
        <f t="shared" si="4"/>
        <v>8</v>
      </c>
      <c r="CZ26" s="123">
        <v>-0.80540981772240794</v>
      </c>
      <c r="DA26" s="37">
        <v>3.3233408050106356E-2</v>
      </c>
      <c r="DB26" s="37">
        <v>-0.35112379987390024</v>
      </c>
      <c r="DC26" s="90">
        <v>-0.18637473397344076</v>
      </c>
      <c r="DE26" t="str">
        <f t="array" ref="DE26:DE34">CM26:CM34</f>
        <v>Expect</v>
      </c>
      <c r="DF26" s="156">
        <f t="array" ref="DF26:DI34">TRANSPOSE(MMULT(DR12:DU15,DR5:DZ8))</f>
        <v>-0.12446839839851355</v>
      </c>
      <c r="DG26" s="157">
        <v>0.41649854206533476</v>
      </c>
      <c r="DH26" s="157">
        <v>-0.26937702234783539</v>
      </c>
      <c r="DI26" s="158">
        <v>-6.0368157899948413E-3</v>
      </c>
      <c r="DK26" s="172">
        <f t="array" ref="DK26:DK34">CS26:CS34</f>
        <v>2</v>
      </c>
      <c r="DM26" s="172">
        <f t="array" ref="DM26:DM34">CU26:CU34</f>
        <v>-1.7083333333333335</v>
      </c>
      <c r="DO26" s="172">
        <f t="array" ref="DO26:DO29">MMULT(TRANSPOSE(DF26:DI34),DM26:DM34)</f>
        <v>-0.95087153453286366</v>
      </c>
      <c r="DQ26">
        <v>1</v>
      </c>
      <c r="DR26" s="156">
        <f t="array" ref="DR26:DU145">MMULT(PCA!B4:J123-PCA!B126:J126,DF26:DI34)</f>
        <v>-0.95087153453286366</v>
      </c>
      <c r="DS26" s="157">
        <v>-1.7898073119086839</v>
      </c>
      <c r="DT26" s="157">
        <v>0.13283154906465827</v>
      </c>
      <c r="DU26" s="158">
        <v>1.4295991666654519</v>
      </c>
      <c r="DX26">
        <v>1</v>
      </c>
      <c r="DY26" s="156">
        <f t="array" ref="DY26:EB29">[1]!CORR(DR26:DU145)</f>
        <v>1.0000000000000004</v>
      </c>
      <c r="DZ26" s="157">
        <v>0.52976886461240857</v>
      </c>
      <c r="EA26" s="157">
        <v>-0.18756303725862225</v>
      </c>
      <c r="EB26" s="158">
        <v>-0.3911141227530483</v>
      </c>
      <c r="ED26" s="156">
        <f t="array" ref="ED26:EG145">DR26:DU145/SQRT(DR148:DU148)</f>
        <v>-0.60243080460676202</v>
      </c>
      <c r="EE26" s="157">
        <v>-1.6299701933175617</v>
      </c>
      <c r="EF26" s="157">
        <v>0.10416853093451771</v>
      </c>
      <c r="EG26" s="158">
        <v>1.2277898346827247</v>
      </c>
      <c r="EJ26">
        <v>1</v>
      </c>
      <c r="EK26" s="156">
        <f t="array" ref="EK26:EN29">[1]!CORR(ED26:EG145)</f>
        <v>0.99999999999999944</v>
      </c>
      <c r="EL26" s="157">
        <v>0.52976886461240846</v>
      </c>
      <c r="EM26" s="157">
        <v>-0.18756303725862225</v>
      </c>
      <c r="EN26" s="158">
        <v>-0.39111412275304785</v>
      </c>
    </row>
    <row r="27" spans="1:144" ht="14.45" x14ac:dyDescent="0.35">
      <c r="A27" s="37" t="str">
        <f t="shared" si="2"/>
        <v>Friendly</v>
      </c>
      <c r="B27" s="91">
        <v>-0.17762263035252251</v>
      </c>
      <c r="C27" s="92">
        <v>-0.61785233937299122</v>
      </c>
      <c r="D27" s="92">
        <v>-0.31904060431719955</v>
      </c>
      <c r="E27" s="92">
        <v>0.23116985737975318</v>
      </c>
      <c r="F27" s="92">
        <v>0.27441303815866641</v>
      </c>
      <c r="G27" s="92">
        <v>-0.19030622101094335</v>
      </c>
      <c r="H27" s="92">
        <v>4.165295572770561E-2</v>
      </c>
      <c r="I27" s="92">
        <v>-0.55866843595019611</v>
      </c>
      <c r="J27" s="93">
        <v>7.8217098124915549E-2</v>
      </c>
      <c r="AC27" s="46" t="str">
        <v>Friendly</v>
      </c>
      <c r="AD27" s="180">
        <v>0.15731341580654962</v>
      </c>
      <c r="AE27" s="181">
        <v>-4.0001755316549314E-2</v>
      </c>
      <c r="AF27" s="181">
        <v>4.0000417617508666E-2</v>
      </c>
      <c r="AG27" s="181">
        <v>-7.0734959597348879E-2</v>
      </c>
      <c r="AH27" s="181">
        <v>1.4638194460048021E-2</v>
      </c>
      <c r="AI27" s="181">
        <v>0.12730242372740322</v>
      </c>
      <c r="AJ27" s="181">
        <v>6.153273880009566E-3</v>
      </c>
      <c r="AK27" s="181">
        <v>-8.0312767053591694E-2</v>
      </c>
      <c r="AL27" s="182">
        <v>0.18670964824195058</v>
      </c>
      <c r="AN27" t="str">
        <v>Friendly</v>
      </c>
      <c r="AO27" s="91">
        <v>-0.5013237827088437</v>
      </c>
      <c r="AP27" s="92">
        <v>0.44087124885989604</v>
      </c>
      <c r="AQ27" s="92">
        <v>-3.3073021381889917E-2</v>
      </c>
      <c r="AR27" s="92">
        <v>0.25664111015448743</v>
      </c>
      <c r="AS27" s="92">
        <v>2.270346255375652E-2</v>
      </c>
      <c r="AT27" s="92">
        <v>-0.18259705226005357</v>
      </c>
      <c r="AU27" s="92">
        <v>9.6978816485838851E-2</v>
      </c>
      <c r="AV27" s="92">
        <v>0.16879220903156986</v>
      </c>
      <c r="AW27" s="93">
        <v>0.81329035175805031</v>
      </c>
      <c r="AY27" t="str">
        <v>Friendly</v>
      </c>
      <c r="AZ27" s="91">
        <v>-0.15033095943178648</v>
      </c>
      <c r="BA27" s="92">
        <v>-0.18979661912816437</v>
      </c>
      <c r="BB27" s="92">
        <v>1.4361069432252782</v>
      </c>
      <c r="BC27" s="92">
        <v>0.11991360031117934</v>
      </c>
      <c r="BD27" s="92">
        <v>7.2979665631920349E-2</v>
      </c>
      <c r="BE27" s="92">
        <v>-5.3349063451307611E-2</v>
      </c>
      <c r="BF27" s="92">
        <v>-1.4564155040958497</v>
      </c>
      <c r="BG27" s="92">
        <v>0.13520432226584636</v>
      </c>
      <c r="BH27" s="93">
        <v>0.16237099819508302</v>
      </c>
      <c r="BI27" s="37"/>
      <c r="BJ27" t="s">
        <v>34</v>
      </c>
      <c r="BK27" s="123">
        <f t="array" ref="BK27:BS27">AZ43:BH43</f>
        <v>3.7083333333333335</v>
      </c>
      <c r="BL27" s="37">
        <v>8.1666666666666661</v>
      </c>
      <c r="BM27" s="37">
        <v>3.45</v>
      </c>
      <c r="BN27" s="37">
        <v>3.3833333333333333</v>
      </c>
      <c r="BO27" s="37">
        <v>6.708333333333333</v>
      </c>
      <c r="BP27" s="37">
        <v>6.0083333333333337</v>
      </c>
      <c r="BQ27" s="37">
        <v>4.8416666666666668</v>
      </c>
      <c r="BR27" s="37">
        <v>4.7249999999999996</v>
      </c>
      <c r="BS27" s="90">
        <v>7.3</v>
      </c>
      <c r="BU27" t="str">
        <v>Friendly</v>
      </c>
      <c r="BV27" s="91">
        <v>0.10465720054936106</v>
      </c>
      <c r="BW27" s="92">
        <v>-0.51511768193266005</v>
      </c>
      <c r="BX27" s="92">
        <v>-0.29572129102737282</v>
      </c>
      <c r="BY27" s="93">
        <v>0.22839429258632657</v>
      </c>
      <c r="CA27" s="174">
        <v>8</v>
      </c>
      <c r="CC27" s="174">
        <v>0.70000000000000018</v>
      </c>
      <c r="CG27">
        <f t="shared" si="3"/>
        <v>9</v>
      </c>
      <c r="CH27" s="123">
        <v>-1.7231496525105661</v>
      </c>
      <c r="CI27" s="37">
        <v>-1.8766002715024435</v>
      </c>
      <c r="CJ27" s="37">
        <v>1.6879833234171491</v>
      </c>
      <c r="CK27" s="90">
        <v>-0.3467829808397504</v>
      </c>
      <c r="CM27" t="str">
        <v>Entertain</v>
      </c>
      <c r="CN27" s="123">
        <v>0.20061797212924723</v>
      </c>
      <c r="CO27" s="37">
        <v>-0.166112631447322</v>
      </c>
      <c r="CP27" s="37">
        <v>-0.11102309076161526</v>
      </c>
      <c r="CQ27" s="90">
        <v>-0.12905786297891883</v>
      </c>
      <c r="CS27" s="173">
        <v>8</v>
      </c>
      <c r="CU27" s="173">
        <v>-0.16666666666666607</v>
      </c>
      <c r="CW27" s="173">
        <v>-1.7918777512972837</v>
      </c>
      <c r="CY27">
        <f t="shared" si="4"/>
        <v>9</v>
      </c>
      <c r="CZ27" s="123">
        <v>-1.8540705795880434</v>
      </c>
      <c r="DA27" s="37">
        <v>-1.7113701245138282</v>
      </c>
      <c r="DB27" s="37">
        <v>1.6423989561182653</v>
      </c>
      <c r="DC27" s="90">
        <v>-0.24817540237952454</v>
      </c>
      <c r="DE27" t="str">
        <v>Entertain</v>
      </c>
      <c r="DF27" s="123">
        <v>0.19952970261691891</v>
      </c>
      <c r="DG27" s="37">
        <v>-0.16406902184512265</v>
      </c>
      <c r="DH27" s="37">
        <v>-0.10887333356999741</v>
      </c>
      <c r="DI27" s="90">
        <v>-0.12685624880928265</v>
      </c>
      <c r="DK27" s="173">
        <v>8</v>
      </c>
      <c r="DM27" s="173">
        <v>-0.16666666666666607</v>
      </c>
      <c r="DO27" s="173">
        <v>-1.7898073119086839</v>
      </c>
      <c r="DQ27">
        <f>DQ26+1</f>
        <v>2</v>
      </c>
      <c r="DR27" s="123">
        <v>1.2881768879111033</v>
      </c>
      <c r="DS27" s="37">
        <v>1.6020046825344143</v>
      </c>
      <c r="DT27" s="37">
        <v>0.71724170409368626</v>
      </c>
      <c r="DU27" s="90">
        <v>-1.1369088998732761</v>
      </c>
      <c r="DX27">
        <f>DX26+1</f>
        <v>2</v>
      </c>
      <c r="DY27" s="123">
        <v>0.52976886461240857</v>
      </c>
      <c r="DZ27" s="37">
        <v>0.99999999999999978</v>
      </c>
      <c r="EA27" s="37">
        <v>-0.42797783862506544</v>
      </c>
      <c r="EB27" s="90">
        <v>-0.26890105021370275</v>
      </c>
      <c r="ED27" s="123">
        <v>0.81613279068382871</v>
      </c>
      <c r="EE27" s="37">
        <v>1.458939107417996</v>
      </c>
      <c r="EF27" s="37">
        <v>0.56247190645981926</v>
      </c>
      <c r="EG27" s="90">
        <v>-0.97641718236352792</v>
      </c>
      <c r="EJ27">
        <f>EJ26+1</f>
        <v>2</v>
      </c>
      <c r="EK27" s="123">
        <v>0.52976886461240846</v>
      </c>
      <c r="EL27" s="37">
        <v>1</v>
      </c>
      <c r="EM27" s="37">
        <v>-0.42797783862506555</v>
      </c>
      <c r="EN27" s="90">
        <v>-0.2689010502137027</v>
      </c>
    </row>
    <row r="28" spans="1:144" ht="14.45" x14ac:dyDescent="0.35">
      <c r="BJ28" t="s">
        <v>434</v>
      </c>
      <c r="BK28" s="91">
        <f>BK26-BK27</f>
        <v>-1.7083333333333335</v>
      </c>
      <c r="BL28" s="92">
        <f t="shared" ref="BL28:BS28" si="5">BL26-BL27</f>
        <v>-0.16666666666666607</v>
      </c>
      <c r="BM28" s="92">
        <f t="shared" si="5"/>
        <v>-2.4500000000000002</v>
      </c>
      <c r="BN28" s="92">
        <f t="shared" si="5"/>
        <v>0.6166666666666667</v>
      </c>
      <c r="BO28" s="92">
        <f t="shared" si="5"/>
        <v>0.29166666666666696</v>
      </c>
      <c r="BP28" s="92">
        <f t="shared" si="5"/>
        <v>-1.0083333333333337</v>
      </c>
      <c r="BQ28" s="92">
        <f t="shared" si="5"/>
        <v>-0.84166666666666679</v>
      </c>
      <c r="BR28" s="92">
        <f t="shared" si="5"/>
        <v>-0.72499999999999964</v>
      </c>
      <c r="BS28" s="93">
        <f t="shared" si="5"/>
        <v>0.70000000000000018</v>
      </c>
      <c r="CG28">
        <f t="shared" si="3"/>
        <v>10</v>
      </c>
      <c r="CH28" s="123">
        <v>-7.4780584326153907E-2</v>
      </c>
      <c r="CI28" s="37">
        <v>-0.3066025548232803</v>
      </c>
      <c r="CJ28" s="37">
        <v>0.95255449397966996</v>
      </c>
      <c r="CK28" s="90">
        <v>1.195935747723706</v>
      </c>
      <c r="CM28" t="str">
        <v>Comm</v>
      </c>
      <c r="CN28" s="123">
        <v>0.34400501520768317</v>
      </c>
      <c r="CO28" s="37">
        <v>0.2758797616736855</v>
      </c>
      <c r="CP28" s="37">
        <v>-0.22198756719779117</v>
      </c>
      <c r="CQ28" s="90">
        <v>-0.28696674873349182</v>
      </c>
      <c r="CS28" s="173">
        <v>1</v>
      </c>
      <c r="CU28" s="173">
        <v>-2.4500000000000002</v>
      </c>
      <c r="CW28" s="173">
        <v>0.13678493722722362</v>
      </c>
      <c r="CY28">
        <f t="shared" si="4"/>
        <v>10</v>
      </c>
      <c r="CZ28" s="123">
        <v>-3.9104721251648253E-2</v>
      </c>
      <c r="DA28" s="37">
        <v>-0.4275127681244813</v>
      </c>
      <c r="DB28" s="37">
        <v>0.83292064001123001</v>
      </c>
      <c r="DC28" s="90">
        <v>1.092088252609289</v>
      </c>
      <c r="DE28" t="str">
        <v>Comm</v>
      </c>
      <c r="DF28" s="123">
        <v>0.34142267697212869</v>
      </c>
      <c r="DG28" s="37">
        <v>0.27570287209392702</v>
      </c>
      <c r="DH28" s="37">
        <v>-0.22035204566643832</v>
      </c>
      <c r="DI28" s="90">
        <v>-0.28662406001835677</v>
      </c>
      <c r="DK28" s="173">
        <v>1</v>
      </c>
      <c r="DM28" s="173">
        <v>-2.4500000000000002</v>
      </c>
      <c r="DO28" s="173">
        <v>0.13283154906465827</v>
      </c>
      <c r="DQ28">
        <f t="shared" ref="DQ28:DQ91" si="6">DQ27+1</f>
        <v>3</v>
      </c>
      <c r="DR28" s="123">
        <v>-1.7695556740116718</v>
      </c>
      <c r="DS28" s="37">
        <v>-1.5011610276190637</v>
      </c>
      <c r="DT28" s="37">
        <v>1.7440251082039846</v>
      </c>
      <c r="DU28" s="90">
        <v>0.74446896526000295</v>
      </c>
      <c r="DX28">
        <f>DX27+1</f>
        <v>3</v>
      </c>
      <c r="DY28" s="123">
        <v>-0.18756303725862225</v>
      </c>
      <c r="DZ28" s="37">
        <v>-0.42797783862506544</v>
      </c>
      <c r="EA28" s="37">
        <v>1</v>
      </c>
      <c r="EB28" s="90">
        <v>0.23746603726771376</v>
      </c>
      <c r="ED28" s="123">
        <v>-1.1211134309694373</v>
      </c>
      <c r="EE28" s="37">
        <v>-1.3671012036372063</v>
      </c>
      <c r="EF28" s="37">
        <v>1.3676911450162326</v>
      </c>
      <c r="EG28" s="90">
        <v>0.63937602168237695</v>
      </c>
      <c r="EJ28">
        <f>EJ27+1</f>
        <v>3</v>
      </c>
      <c r="EK28" s="123">
        <v>-0.18756303725862225</v>
      </c>
      <c r="EL28" s="37">
        <v>-0.42797783862506555</v>
      </c>
      <c r="EM28" s="37">
        <v>1.0000000000000004</v>
      </c>
      <c r="EN28" s="90">
        <v>0.23746603726771373</v>
      </c>
    </row>
    <row r="29" spans="1:144" ht="16.5" x14ac:dyDescent="0.35">
      <c r="A29" t="s">
        <v>435</v>
      </c>
      <c r="AC29" t="s">
        <v>436</v>
      </c>
      <c r="AN29" t="s">
        <v>437</v>
      </c>
      <c r="AY29" t="s">
        <v>438</v>
      </c>
      <c r="CG29">
        <f t="shared" si="3"/>
        <v>11</v>
      </c>
      <c r="CH29" s="123">
        <v>2.2298855060058371</v>
      </c>
      <c r="CI29" s="37">
        <v>-0.23832786739228842</v>
      </c>
      <c r="CJ29" s="37">
        <v>0.47947820345663084</v>
      </c>
      <c r="CK29" s="90">
        <v>-0.38023481513946189</v>
      </c>
      <c r="CM29" t="str">
        <v>Expert</v>
      </c>
      <c r="CN29" s="123">
        <v>0.17624397160658301</v>
      </c>
      <c r="CO29" s="37">
        <v>0.19522734158902744</v>
      </c>
      <c r="CP29" s="37">
        <v>-0.13366876602761524</v>
      </c>
      <c r="CQ29" s="90">
        <v>0.95973406356069191</v>
      </c>
      <c r="CS29" s="173">
        <v>4</v>
      </c>
      <c r="CU29" s="173">
        <v>0.6166666666666667</v>
      </c>
      <c r="CW29" s="174">
        <v>1.4322828011347124</v>
      </c>
      <c r="CY29">
        <f t="shared" si="4"/>
        <v>11</v>
      </c>
      <c r="CZ29" s="123">
        <v>2.3879840343863923</v>
      </c>
      <c r="DA29" s="37">
        <v>-0.21826952729436089</v>
      </c>
      <c r="DB29" s="37">
        <v>0.58909772822882955</v>
      </c>
      <c r="DC29" s="90">
        <v>-0.1799237201066626</v>
      </c>
      <c r="DE29" t="str">
        <v>Expert</v>
      </c>
      <c r="DF29" s="123">
        <v>0.16872386836532377</v>
      </c>
      <c r="DG29" s="37">
        <v>0.18273371462553678</v>
      </c>
      <c r="DH29" s="37">
        <v>-0.14376596204408676</v>
      </c>
      <c r="DI29" s="90">
        <v>0.94096864473373953</v>
      </c>
      <c r="DK29" s="173">
        <v>4</v>
      </c>
      <c r="DM29" s="173">
        <v>0.6166666666666667</v>
      </c>
      <c r="DO29" s="174">
        <v>1.4295991666654519</v>
      </c>
      <c r="DQ29">
        <f t="shared" si="6"/>
        <v>4</v>
      </c>
      <c r="DR29" s="123">
        <v>0.91033005375275511</v>
      </c>
      <c r="DS29" s="37">
        <v>0.5169457018335184</v>
      </c>
      <c r="DT29" s="37">
        <v>0.93549479635042065</v>
      </c>
      <c r="DU29" s="90">
        <v>-1.6705895276398262</v>
      </c>
      <c r="DX29">
        <f>DX28+1</f>
        <v>4</v>
      </c>
      <c r="DY29" s="91">
        <v>-0.3911141227530483</v>
      </c>
      <c r="DZ29" s="92">
        <v>-0.26890105021370275</v>
      </c>
      <c r="EA29" s="92">
        <v>0.23746603726771376</v>
      </c>
      <c r="EB29" s="93">
        <v>1.0000000000000009</v>
      </c>
      <c r="ED29" s="123">
        <v>0.57674548750626753</v>
      </c>
      <c r="EE29" s="37">
        <v>0.47078033481363518</v>
      </c>
      <c r="EF29" s="37">
        <v>0.73362931712310253</v>
      </c>
      <c r="EG29" s="90">
        <v>-1.4347607971455887</v>
      </c>
      <c r="EJ29">
        <f>EJ28+1</f>
        <v>4</v>
      </c>
      <c r="EK29" s="91">
        <v>-0.39111412275304785</v>
      </c>
      <c r="EL29" s="92">
        <v>-0.2689010502137027</v>
      </c>
      <c r="EM29" s="92">
        <v>0.23746603726771373</v>
      </c>
      <c r="EN29" s="93">
        <v>1</v>
      </c>
    </row>
    <row r="30" spans="1:144" ht="14.45" x14ac:dyDescent="0.35">
      <c r="B30">
        <v>1</v>
      </c>
      <c r="C30">
        <f>B30+1</f>
        <v>2</v>
      </c>
      <c r="D30">
        <f t="shared" ref="D30:J30" si="7">C30+1</f>
        <v>3</v>
      </c>
      <c r="E30">
        <f t="shared" si="7"/>
        <v>4</v>
      </c>
      <c r="F30">
        <f t="shared" si="7"/>
        <v>5</v>
      </c>
      <c r="G30">
        <f t="shared" si="7"/>
        <v>6</v>
      </c>
      <c r="H30">
        <f t="shared" si="7"/>
        <v>7</v>
      </c>
      <c r="I30">
        <f t="shared" si="7"/>
        <v>8</v>
      </c>
      <c r="J30">
        <f t="shared" si="7"/>
        <v>9</v>
      </c>
      <c r="K30" s="47" t="s">
        <v>373</v>
      </c>
      <c r="BJ30" t="s">
        <v>439</v>
      </c>
      <c r="BK30" s="160">
        <f t="array" ref="BK30:BN30">TRANSPOSE(MMULT(BK12:BS15,TRANSPOSE(BK28:BS28)))</f>
        <v>-0.87910602303681773</v>
      </c>
      <c r="BL30" s="161">
        <v>-1.9301279826106601</v>
      </c>
      <c r="BM30" s="161">
        <v>6.3180984804664192E-2</v>
      </c>
      <c r="BN30" s="162">
        <v>1.2897035513377544</v>
      </c>
      <c r="BU30" t="s">
        <v>440</v>
      </c>
      <c r="CG30">
        <f t="shared" si="3"/>
        <v>12</v>
      </c>
      <c r="CH30" s="123">
        <v>1.2917748950192527</v>
      </c>
      <c r="CI30" s="37">
        <v>-2.5148861864236918</v>
      </c>
      <c r="CJ30" s="37">
        <v>1.6297332925467143</v>
      </c>
      <c r="CK30" s="90">
        <v>2.1780601422805623</v>
      </c>
      <c r="CM30" t="str">
        <v>Motivate</v>
      </c>
      <c r="CN30" s="123">
        <v>0.14796172014555958</v>
      </c>
      <c r="CO30" s="37">
        <v>-7.1962917300026855E-3</v>
      </c>
      <c r="CP30" s="37">
        <v>0.32460299106789592</v>
      </c>
      <c r="CQ30" s="90">
        <v>5.5912209086624087E-2</v>
      </c>
      <c r="CS30" s="173">
        <v>7</v>
      </c>
      <c r="CU30" s="173">
        <v>0.29166666666666696</v>
      </c>
      <c r="CY30">
        <f t="shared" si="4"/>
        <v>12</v>
      </c>
      <c r="CZ30" s="123">
        <v>1.1961903830446903</v>
      </c>
      <c r="DA30" s="37">
        <v>-2.4424717947932386</v>
      </c>
      <c r="DB30" s="37">
        <v>1.6662456994376167</v>
      </c>
      <c r="DC30" s="90">
        <v>2.2140501808687922</v>
      </c>
      <c r="DE30" t="str">
        <v>Motivate</v>
      </c>
      <c r="DF30" s="123">
        <v>0.1467840665033209</v>
      </c>
      <c r="DG30" s="37">
        <v>-8.5585522325145082E-3</v>
      </c>
      <c r="DH30" s="37">
        <v>0.32276130983235107</v>
      </c>
      <c r="DI30" s="90">
        <v>5.3606055933164712E-2</v>
      </c>
      <c r="DK30" s="173">
        <v>7</v>
      </c>
      <c r="DM30" s="173">
        <v>0.29166666666666696</v>
      </c>
      <c r="DQ30">
        <f t="shared" si="6"/>
        <v>5</v>
      </c>
      <c r="DR30" s="123">
        <v>2.0035912607356083</v>
      </c>
      <c r="DS30" s="37">
        <v>0.72198625631078117</v>
      </c>
      <c r="DT30" s="37">
        <v>1.4825690101595641</v>
      </c>
      <c r="DU30" s="90">
        <v>3.3738006217563038E-2</v>
      </c>
      <c r="ED30" s="123">
        <v>1.2693881891216845</v>
      </c>
      <c r="EE30" s="37">
        <v>0.6575099285500895</v>
      </c>
      <c r="EF30" s="37">
        <v>1.1626532769123148</v>
      </c>
      <c r="EG30" s="90">
        <v>2.8975381381206495E-2</v>
      </c>
    </row>
    <row r="31" spans="1:144" ht="14.45" x14ac:dyDescent="0.35">
      <c r="A31" t="str">
        <f>A19</f>
        <v>Expect</v>
      </c>
      <c r="B31" s="156">
        <f>B19*SQRT(B$18)</f>
        <v>0.18443788055245225</v>
      </c>
      <c r="C31" s="157">
        <f t="shared" ref="C31:J31" si="8">C19*SQRT(C$18)</f>
        <v>0.76673944089161006</v>
      </c>
      <c r="D31" s="157">
        <f t="shared" si="8"/>
        <v>-0.27758481196302998</v>
      </c>
      <c r="E31" s="157">
        <f t="shared" si="8"/>
        <v>0.11515839253464147</v>
      </c>
      <c r="F31" s="157">
        <f t="shared" si="8"/>
        <v>0.35026082398667768</v>
      </c>
      <c r="G31" s="157">
        <f t="shared" si="8"/>
        <v>-7.7212138887992735E-2</v>
      </c>
      <c r="H31" s="157">
        <f t="shared" si="8"/>
        <v>0.36058800888312886</v>
      </c>
      <c r="I31" s="157">
        <f t="shared" si="8"/>
        <v>-0.16701347758289317</v>
      </c>
      <c r="J31" s="158">
        <f t="shared" si="8"/>
        <v>-3.4884693132850413E-2</v>
      </c>
      <c r="K31" s="184">
        <f>SUMSQ(B31:J31)</f>
        <v>1.0000000000762619</v>
      </c>
      <c r="AC31" s="46"/>
      <c r="AD31" s="175" t="str">
        <f t="array" ref="AD31:AL31">AD18:AL18</f>
        <v>Expect</v>
      </c>
      <c r="AE31" s="175" t="str">
        <v>Entertain</v>
      </c>
      <c r="AF31" s="175" t="str">
        <v>Comm</v>
      </c>
      <c r="AG31" s="175" t="str">
        <v>Expert</v>
      </c>
      <c r="AH31" s="175" t="str">
        <v>Motivate</v>
      </c>
      <c r="AI31" s="175" t="str">
        <v>Caring</v>
      </c>
      <c r="AJ31" s="175" t="str">
        <v>Charisma</v>
      </c>
      <c r="AK31" s="175" t="str">
        <v>Passion</v>
      </c>
      <c r="AL31" s="175" t="str">
        <v>Friendly</v>
      </c>
      <c r="AO31" t="str">
        <f t="array" ref="AO31:AW31">AO18:AW18</f>
        <v>Expect</v>
      </c>
      <c r="AP31" t="str">
        <v>Entertain</v>
      </c>
      <c r="AQ31" t="str">
        <v>Comm</v>
      </c>
      <c r="AR31" t="str">
        <v>Expert</v>
      </c>
      <c r="AS31" t="str">
        <v>Motivate</v>
      </c>
      <c r="AT31" t="str">
        <v>Caring</v>
      </c>
      <c r="AU31" t="str">
        <v>Charisma</v>
      </c>
      <c r="AV31" t="str">
        <v>Passion</v>
      </c>
      <c r="AW31" t="str">
        <v>Friendly</v>
      </c>
      <c r="AZ31" t="str">
        <f t="array" ref="AZ31:BH31">AZ18:BH18</f>
        <v>Expect</v>
      </c>
      <c r="BA31" t="str">
        <v>Entertain</v>
      </c>
      <c r="BB31" t="str">
        <v>Comm</v>
      </c>
      <c r="BC31" t="str">
        <v>Expert</v>
      </c>
      <c r="BD31" t="str">
        <v>Motivate</v>
      </c>
      <c r="BE31" t="str">
        <v>Caring</v>
      </c>
      <c r="BF31" t="str">
        <v>Charisma</v>
      </c>
      <c r="BG31" t="str">
        <v>Passion</v>
      </c>
      <c r="BH31" t="str">
        <v>Friendly</v>
      </c>
      <c r="CG31">
        <f t="shared" si="3"/>
        <v>13</v>
      </c>
      <c r="CH31" s="123">
        <v>-2.4992408073282055</v>
      </c>
      <c r="CI31" s="37">
        <v>0.63031779096433804</v>
      </c>
      <c r="CJ31" s="37">
        <v>-0.71375523225468485</v>
      </c>
      <c r="CK31" s="90">
        <v>0.29424845229387758</v>
      </c>
      <c r="CM31" t="str">
        <v>Caring</v>
      </c>
      <c r="CN31" s="123">
        <v>0.16476452943989214</v>
      </c>
      <c r="CO31" s="37">
        <v>-9.1772413440245077E-3</v>
      </c>
      <c r="CP31" s="37">
        <v>0.67618675063550104</v>
      </c>
      <c r="CQ31" s="90">
        <v>9.2798307178575248E-2</v>
      </c>
      <c r="CS31" s="173">
        <v>5</v>
      </c>
      <c r="CU31" s="173">
        <v>-1.0083333333333337</v>
      </c>
      <c r="CY31">
        <f t="shared" si="4"/>
        <v>13</v>
      </c>
      <c r="CZ31" s="123">
        <v>-2.6551083634522477</v>
      </c>
      <c r="DA31" s="37">
        <v>0.71292948885621088</v>
      </c>
      <c r="DB31" s="37">
        <v>-0.75836099710397775</v>
      </c>
      <c r="DC31" s="90">
        <v>0.32526762775154894</v>
      </c>
      <c r="DE31" t="str">
        <v>Caring</v>
      </c>
      <c r="DF31" s="123">
        <v>0.16380187032099791</v>
      </c>
      <c r="DG31" s="37">
        <v>-1.1266370616764302E-2</v>
      </c>
      <c r="DH31" s="37">
        <v>0.67277183658563466</v>
      </c>
      <c r="DI31" s="90">
        <v>8.93712815686315E-2</v>
      </c>
      <c r="DK31" s="173">
        <v>5</v>
      </c>
      <c r="DM31" s="173">
        <v>-1.0083333333333337</v>
      </c>
      <c r="DQ31">
        <f t="shared" si="6"/>
        <v>6</v>
      </c>
      <c r="DR31" s="123">
        <v>-1.9142808422139217</v>
      </c>
      <c r="DS31" s="37">
        <v>-0.22549051311821905</v>
      </c>
      <c r="DT31" s="37">
        <v>0.53382983945652318</v>
      </c>
      <c r="DU31" s="90">
        <v>0.49686244795194839</v>
      </c>
      <c r="ED31" s="123">
        <v>-1.2128049964023671</v>
      </c>
      <c r="EE31" s="37">
        <v>-0.20535328736959127</v>
      </c>
      <c r="EF31" s="37">
        <v>0.41863751899879659</v>
      </c>
      <c r="EG31" s="90">
        <v>0.42672287243556845</v>
      </c>
    </row>
    <row r="32" spans="1:144" ht="14.45" x14ac:dyDescent="0.35">
      <c r="A32" t="str">
        <f t="shared" ref="A32:A39" si="9">A20</f>
        <v>Entertain</v>
      </c>
      <c r="B32" s="123">
        <f t="shared" ref="B32:J38" si="10">B20*SQRT(B$18)</f>
        <v>-0.69848518848974062</v>
      </c>
      <c r="C32" s="37">
        <f t="shared" si="10"/>
        <v>-0.30363015858216247</v>
      </c>
      <c r="D32" s="37">
        <f t="shared" si="10"/>
        <v>-0.19538523477692776</v>
      </c>
      <c r="E32" s="37">
        <f t="shared" si="10"/>
        <v>-0.26479923502506097</v>
      </c>
      <c r="F32" s="37">
        <f t="shared" si="10"/>
        <v>0.28521525795582114</v>
      </c>
      <c r="G32" s="37">
        <f t="shared" si="10"/>
        <v>3.3003179167352208E-5</v>
      </c>
      <c r="H32" s="37">
        <f t="shared" si="10"/>
        <v>0.32730877323340773</v>
      </c>
      <c r="I32" s="37">
        <f t="shared" si="10"/>
        <v>0.34815886810228847</v>
      </c>
      <c r="J32" s="90">
        <f t="shared" si="10"/>
        <v>-4.4042802899444587E-2</v>
      </c>
      <c r="K32" s="166">
        <f t="shared" ref="K32:K39" si="11">SUMSQ(B32:J32)</f>
        <v>0.99999999999995004</v>
      </c>
      <c r="AC32" s="46" t="str">
        <f t="array" ref="AC32:AC40">AC19:AC27</f>
        <v>Expect</v>
      </c>
      <c r="AD32" s="176">
        <f t="array" ref="AD32:AL40">B6:J14-MMULT(I44:L52,TRANSPOSE(I44:L52))</f>
        <v>0.2877785147948253</v>
      </c>
      <c r="AE32" s="177">
        <v>0.16130999816908781</v>
      </c>
      <c r="AF32" s="177">
        <v>-6.9630637793735572E-2</v>
      </c>
      <c r="AG32" s="177">
        <v>-8.9217727310116568E-2</v>
      </c>
      <c r="AH32" s="177">
        <v>3.307458271438718E-2</v>
      </c>
      <c r="AI32" s="177">
        <v>0.13336298451675827</v>
      </c>
      <c r="AJ32" s="177">
        <v>-8.9519905203613373E-2</v>
      </c>
      <c r="AK32" s="177">
        <v>-1.1326673453394956E-2</v>
      </c>
      <c r="AL32" s="178">
        <v>0.15731341580655006</v>
      </c>
      <c r="AN32" t="str">
        <f t="array" ref="AN32:AN40">TRANSPOSE(AO31:AW31)</f>
        <v>Expect</v>
      </c>
      <c r="AO32" s="156">
        <f t="array" ref="AO32:AW40">MMULT(I44:L52,TRANSPOSE(I44:L52))</f>
        <v>0.71222148520517303</v>
      </c>
      <c r="AP32" s="157">
        <v>-0.33789022638542887</v>
      </c>
      <c r="AQ32" s="157">
        <v>0.14910298670388794</v>
      </c>
      <c r="AR32" s="157">
        <v>0.20974900542180094</v>
      </c>
      <c r="AS32" s="157">
        <v>-0.18028177339801138</v>
      </c>
      <c r="AT32" s="157">
        <v>-0.23860822478717136</v>
      </c>
      <c r="AU32" s="157">
        <v>6.7628998987617817E-2</v>
      </c>
      <c r="AV32" s="157">
        <v>-0.11846760601056101</v>
      </c>
      <c r="AW32" s="158">
        <v>-0.50132378270884415</v>
      </c>
      <c r="AY32" t="str">
        <f t="array" ref="AY32:AY40">AY19:AY27</f>
        <v>Expect</v>
      </c>
      <c r="AZ32" s="156">
        <f t="array" ref="AZ32:BH40">TRANSPOSE(B19:J27)/SQRT(TRANSPOSE(B18:J18))</f>
        <v>6.4031216989374362E-2</v>
      </c>
      <c r="BA32" s="157">
        <v>-0.24249279233791318</v>
      </c>
      <c r="BB32" s="157">
        <v>-0.26179844621525827</v>
      </c>
      <c r="BC32" s="157">
        <v>-0.12705656781676997</v>
      </c>
      <c r="BD32" s="157">
        <v>-0.20072057442542626</v>
      </c>
      <c r="BE32" s="157">
        <v>-0.10403520291673514</v>
      </c>
      <c r="BF32" s="157">
        <v>-0.28370231414094671</v>
      </c>
      <c r="BG32" s="157">
        <v>-0.23881541266106221</v>
      </c>
      <c r="BH32" s="158">
        <v>-0.10465720054936106</v>
      </c>
      <c r="BI32" s="37"/>
      <c r="BK32" s="160">
        <f t="array" ref="BK32:BN32">TRANSPOSE(MMULT(BK19:BS22,TRANSPOSE(BK28:BS28)))</f>
        <v>0.87910602303681806</v>
      </c>
      <c r="BL32" s="161">
        <v>-1.930127982610657</v>
      </c>
      <c r="BM32" s="161">
        <v>6.3180984804663221E-2</v>
      </c>
      <c r="BN32" s="162">
        <v>1.2897035513377495</v>
      </c>
      <c r="BV32">
        <v>1</v>
      </c>
      <c r="BW32">
        <f>BV32+1</f>
        <v>2</v>
      </c>
      <c r="BX32">
        <f>BW32+1</f>
        <v>3</v>
      </c>
      <c r="BY32">
        <f>BX32+1</f>
        <v>4</v>
      </c>
      <c r="CG32">
        <f t="shared" si="3"/>
        <v>14</v>
      </c>
      <c r="CH32" s="123">
        <v>-1.8492628641588085</v>
      </c>
      <c r="CI32" s="37">
        <v>-0.69840101828674361</v>
      </c>
      <c r="CJ32" s="37">
        <v>1.2783790927675209</v>
      </c>
      <c r="CK32" s="90">
        <v>1.1779232175605103</v>
      </c>
      <c r="CM32" t="str">
        <v>Charisma</v>
      </c>
      <c r="CN32" s="123">
        <v>0.31404244260521308</v>
      </c>
      <c r="CO32" s="37">
        <v>0.1420543179045714</v>
      </c>
      <c r="CP32" s="37">
        <v>-0.14160467232398299</v>
      </c>
      <c r="CQ32" s="90">
        <v>-0.17013282158010892</v>
      </c>
      <c r="CS32" s="173">
        <v>4</v>
      </c>
      <c r="CU32" s="173">
        <v>-0.84166666666666679</v>
      </c>
      <c r="CY32">
        <f t="shared" si="4"/>
        <v>14</v>
      </c>
      <c r="CZ32" s="123">
        <v>-1.5930868617603073</v>
      </c>
      <c r="DA32" s="37">
        <v>-0.45412842740676784</v>
      </c>
      <c r="DB32" s="37">
        <v>1.2337499626342587</v>
      </c>
      <c r="DC32" s="90">
        <v>1.5315526597750613</v>
      </c>
      <c r="DE32" t="str">
        <v>Charisma</v>
      </c>
      <c r="DF32" s="123">
        <v>0.31148197614245793</v>
      </c>
      <c r="DG32" s="37">
        <v>0.14171406476598367</v>
      </c>
      <c r="DH32" s="37">
        <v>-0.14066323446572926</v>
      </c>
      <c r="DI32" s="90">
        <v>-0.17053210375249953</v>
      </c>
      <c r="DK32" s="173">
        <v>4</v>
      </c>
      <c r="DM32" s="173">
        <v>-0.84166666666666679</v>
      </c>
      <c r="DQ32">
        <f t="shared" si="6"/>
        <v>7</v>
      </c>
      <c r="DR32" s="123">
        <v>-0.62372816706236167</v>
      </c>
      <c r="DS32" s="37">
        <v>0.29279862280251179</v>
      </c>
      <c r="DT32" s="37">
        <v>-1.559826188770012</v>
      </c>
      <c r="DU32" s="90">
        <v>-1.7184574837566915</v>
      </c>
      <c r="ED32" s="123">
        <v>-0.39516701036157981</v>
      </c>
      <c r="EE32" s="37">
        <v>0.26665050736862528</v>
      </c>
      <c r="EF32" s="37">
        <v>-1.2232395371544398</v>
      </c>
      <c r="EG32" s="90">
        <v>-1.4758714743883654</v>
      </c>
    </row>
    <row r="33" spans="1:137" x14ac:dyDescent="0.25">
      <c r="A33" t="str">
        <f t="shared" si="9"/>
        <v>Comm</v>
      </c>
      <c r="B33" s="123">
        <f t="shared" si="10"/>
        <v>-0.75409390641255702</v>
      </c>
      <c r="C33" s="37">
        <f t="shared" si="10"/>
        <v>0.34865162907379821</v>
      </c>
      <c r="D33" s="37">
        <f t="shared" si="10"/>
        <v>-0.20204851885939915</v>
      </c>
      <c r="E33" s="37">
        <f t="shared" si="10"/>
        <v>-0.30587511636421028</v>
      </c>
      <c r="F33" s="37">
        <f t="shared" si="10"/>
        <v>2.527029410114261E-2</v>
      </c>
      <c r="G33" s="37">
        <f t="shared" si="10"/>
        <v>-0.10665169365952692</v>
      </c>
      <c r="H33" s="37">
        <f t="shared" si="10"/>
        <v>-0.22565186200777834</v>
      </c>
      <c r="I33" s="37">
        <f t="shared" si="10"/>
        <v>-3.7578556949311413E-2</v>
      </c>
      <c r="J33" s="90">
        <f t="shared" si="10"/>
        <v>0.33325238001359164</v>
      </c>
      <c r="K33" s="166">
        <f t="shared" si="11"/>
        <v>1.0000000000075571</v>
      </c>
      <c r="AC33" s="46" t="str">
        <v>Entertain</v>
      </c>
      <c r="AD33" s="124">
        <v>0.16130999816908781</v>
      </c>
      <c r="AE33" s="3">
        <v>0.3116331434211308</v>
      </c>
      <c r="AF33" s="3">
        <v>-9.4414557309836444E-2</v>
      </c>
      <c r="AG33" s="3">
        <v>2.8664864088467398E-2</v>
      </c>
      <c r="AH33" s="3">
        <v>-1.6050625443846195E-2</v>
      </c>
      <c r="AI33" s="3">
        <v>8.4073203289834933E-2</v>
      </c>
      <c r="AJ33" s="3">
        <v>-0.12950825085879564</v>
      </c>
      <c r="AK33" s="3">
        <v>-3.6685280033443846E-2</v>
      </c>
      <c r="AL33" s="179">
        <v>-4.000175531654937E-2</v>
      </c>
      <c r="AN33" t="str">
        <v>Entertain</v>
      </c>
      <c r="AO33" s="123">
        <v>-0.33789022638542887</v>
      </c>
      <c r="AP33" s="37">
        <v>0.68836685657887031</v>
      </c>
      <c r="AQ33" s="37">
        <v>0.54133506905405171</v>
      </c>
      <c r="AR33" s="37">
        <v>1.979462300310212E-2</v>
      </c>
      <c r="AS33" s="37">
        <v>0.26017220570695565</v>
      </c>
      <c r="AT33" s="37">
        <v>3.2594170593431046E-2</v>
      </c>
      <c r="AU33" s="37">
        <v>0.58019502551470414</v>
      </c>
      <c r="AV33" s="37">
        <v>0.41594497240844736</v>
      </c>
      <c r="AW33" s="90">
        <v>0.44087124885989609</v>
      </c>
      <c r="AY33" t="str">
        <v>Entertain</v>
      </c>
      <c r="AZ33" s="123">
        <v>0.5329559664801643</v>
      </c>
      <c r="BA33" s="37">
        <v>-0.21105149414448585</v>
      </c>
      <c r="BB33" s="37">
        <v>0.24234564707122941</v>
      </c>
      <c r="BC33" s="37">
        <v>0.11297017500099632</v>
      </c>
      <c r="BD33" s="37">
        <v>3.0677146033907511E-2</v>
      </c>
      <c r="BE33" s="37">
        <v>2.1122527325340885E-2</v>
      </c>
      <c r="BF33" s="37">
        <v>0.16637259840634136</v>
      </c>
      <c r="BG33" s="37">
        <v>2.4539585773605831E-2</v>
      </c>
      <c r="BH33" s="90">
        <v>-0.51511768193266005</v>
      </c>
      <c r="BI33" s="37"/>
      <c r="BU33" t="str">
        <f t="array" ref="BU33:BU41">BU6:BU14</f>
        <v>Expect</v>
      </c>
      <c r="BV33" s="156">
        <f t="array" ref="BV33:BY41">MMULT(B44:E52,MINVERSE(BK5:BN8))</f>
        <v>-6.4031216989374765E-2</v>
      </c>
      <c r="BW33" s="157">
        <v>0.53295596648016574</v>
      </c>
      <c r="BX33" s="157">
        <v>-0.23848933827325297</v>
      </c>
      <c r="BY33" s="158">
        <v>0.1124096713061173</v>
      </c>
      <c r="CG33">
        <f t="shared" si="3"/>
        <v>15</v>
      </c>
      <c r="CH33" s="123">
        <v>1.5325554887939776</v>
      </c>
      <c r="CI33" s="37">
        <v>0.20277421924804609</v>
      </c>
      <c r="CJ33" s="37">
        <v>-2.9592443500892296</v>
      </c>
      <c r="CK33" s="90">
        <v>-1.5036286018806186</v>
      </c>
      <c r="CM33" t="str">
        <v>Passion</v>
      </c>
      <c r="CN33" s="123">
        <v>0.12721856609600957</v>
      </c>
      <c r="CO33" s="37">
        <v>-7.6974533002786196E-3</v>
      </c>
      <c r="CP33" s="37">
        <v>0.11349791698055087</v>
      </c>
      <c r="CQ33" s="90">
        <v>1.4832340053069024E-2</v>
      </c>
      <c r="CS33" s="173">
        <v>4</v>
      </c>
      <c r="CU33" s="173">
        <v>-0.72499999999999964</v>
      </c>
      <c r="CY33">
        <f t="shared" si="4"/>
        <v>15</v>
      </c>
      <c r="CZ33" s="123">
        <v>1.7583157524523676</v>
      </c>
      <c r="DA33" s="37">
        <v>0.63790176170544366</v>
      </c>
      <c r="DB33" s="37">
        <v>-2.854809967751474</v>
      </c>
      <c r="DC33" s="90">
        <v>-1.1160366748010702</v>
      </c>
      <c r="DE33" t="str">
        <v>Passion</v>
      </c>
      <c r="DF33" s="123">
        <v>0.12612052456056544</v>
      </c>
      <c r="DG33" s="37">
        <v>-8.364834185638742E-3</v>
      </c>
      <c r="DH33" s="37">
        <v>0.11280932463028512</v>
      </c>
      <c r="DI33" s="90">
        <v>1.3606207049640681E-2</v>
      </c>
      <c r="DK33" s="173">
        <v>4</v>
      </c>
      <c r="DM33" s="173">
        <v>-0.72499999999999964</v>
      </c>
      <c r="DQ33">
        <f t="shared" si="6"/>
        <v>8</v>
      </c>
      <c r="DR33" s="123">
        <v>-0.79732301498730573</v>
      </c>
      <c r="DS33" s="37">
        <v>3.8290477718859101E-2</v>
      </c>
      <c r="DT33" s="37">
        <v>-0.34704372426394547</v>
      </c>
      <c r="DU33" s="90">
        <v>-0.17735533775029969</v>
      </c>
      <c r="ED33" s="123">
        <v>-0.50514914791961407</v>
      </c>
      <c r="EE33" s="37">
        <v>3.4870981336573528E-2</v>
      </c>
      <c r="EF33" s="37">
        <v>-0.27215699268117272</v>
      </c>
      <c r="EG33" s="90">
        <v>-0.15231897576189429</v>
      </c>
    </row>
    <row r="34" spans="1:137" x14ac:dyDescent="0.25">
      <c r="A34" t="str">
        <f t="shared" si="9"/>
        <v>Expert</v>
      </c>
      <c r="B34" s="123">
        <f t="shared" si="10"/>
        <v>-0.36597842708944173</v>
      </c>
      <c r="C34" s="37">
        <f t="shared" si="10"/>
        <v>0.16252503821235492</v>
      </c>
      <c r="D34" s="37">
        <f t="shared" si="10"/>
        <v>-0.19730233536452252</v>
      </c>
      <c r="E34" s="37">
        <f t="shared" si="10"/>
        <v>0.84984515757982271</v>
      </c>
      <c r="F34" s="37">
        <f t="shared" si="10"/>
        <v>2.3641042451432937E-2</v>
      </c>
      <c r="G34" s="37">
        <f t="shared" si="10"/>
        <v>-6.6367773574538165E-3</v>
      </c>
      <c r="H34" s="37">
        <f t="shared" si="10"/>
        <v>-0.16602767159549162</v>
      </c>
      <c r="I34" s="37">
        <f t="shared" si="10"/>
        <v>0.22257125821552756</v>
      </c>
      <c r="J34" s="90">
        <f t="shared" si="10"/>
        <v>2.7826265229211583E-2</v>
      </c>
      <c r="K34" s="166">
        <f t="shared" si="11"/>
        <v>1.0000000000005103</v>
      </c>
      <c r="AC34" s="46" t="str">
        <v>Comm</v>
      </c>
      <c r="AD34" s="124">
        <v>-6.9630637793735572E-2</v>
      </c>
      <c r="AE34" s="3">
        <v>-9.4414557309836444E-2</v>
      </c>
      <c r="AF34" s="3">
        <v>0.1754012310715406</v>
      </c>
      <c r="AG34" s="3">
        <v>3.967895529013947E-2</v>
      </c>
      <c r="AH34" s="3">
        <v>-2.518455543381265E-2</v>
      </c>
      <c r="AI34" s="3">
        <v>4.493980233847001E-2</v>
      </c>
      <c r="AJ34" s="3">
        <v>-4.1138130243911775E-2</v>
      </c>
      <c r="AK34" s="3">
        <v>-0.10326192182069249</v>
      </c>
      <c r="AL34" s="179">
        <v>4.000041761750868E-2</v>
      </c>
      <c r="AN34" t="str">
        <v>Comm</v>
      </c>
      <c r="AO34" s="123">
        <v>0.14910298670388794</v>
      </c>
      <c r="AP34" s="37">
        <v>0.54133506905405171</v>
      </c>
      <c r="AQ34" s="37">
        <v>0.82459876892846007</v>
      </c>
      <c r="AR34" s="37">
        <v>0.1125648792462325</v>
      </c>
      <c r="AS34" s="37">
        <v>0.311608488379091</v>
      </c>
      <c r="AT34" s="37">
        <v>6.1325246493534137E-2</v>
      </c>
      <c r="AU34" s="37">
        <v>0.78989565259029049</v>
      </c>
      <c r="AV34" s="37">
        <v>0.47162116009601179</v>
      </c>
      <c r="AW34" s="90">
        <v>-3.307302138188993E-2</v>
      </c>
      <c r="AY34" t="str">
        <v>Comm</v>
      </c>
      <c r="AZ34" s="123">
        <v>-0.238489338273252</v>
      </c>
      <c r="BA34" s="37">
        <v>-0.16786687650806892</v>
      </c>
      <c r="BB34" s="37">
        <v>-0.17359169336788666</v>
      </c>
      <c r="BC34" s="37">
        <v>-0.16951396968764687</v>
      </c>
      <c r="BD34" s="37">
        <v>0.38895982093275422</v>
      </c>
      <c r="BE34" s="37">
        <v>0.66228787576226489</v>
      </c>
      <c r="BF34" s="37">
        <v>-0.16711897527181371</v>
      </c>
      <c r="BG34" s="37">
        <v>9.969019097077525E-2</v>
      </c>
      <c r="BH34" s="90">
        <v>-0.29572129102737282</v>
      </c>
      <c r="BI34" s="37"/>
      <c r="BU34" t="str">
        <v>Entertain</v>
      </c>
      <c r="BV34" s="123">
        <v>0.2424927923379134</v>
      </c>
      <c r="BW34" s="37">
        <v>-0.2110514941444864</v>
      </c>
      <c r="BX34" s="37">
        <v>-0.16786687650806895</v>
      </c>
      <c r="BY34" s="90">
        <v>-0.25847872930602378</v>
      </c>
      <c r="CG34">
        <f t="shared" si="3"/>
        <v>16</v>
      </c>
      <c r="CH34" s="123">
        <v>-1.9552714680536625</v>
      </c>
      <c r="CI34" s="37">
        <v>1.5122822566885965</v>
      </c>
      <c r="CJ34" s="37">
        <v>-1.2354140365742954</v>
      </c>
      <c r="CK34" s="90">
        <v>4.4052011280683736</v>
      </c>
      <c r="CM34" t="str">
        <v>Friendly</v>
      </c>
      <c r="CN34" s="91">
        <v>0.11257034583883285</v>
      </c>
      <c r="CO34" s="92">
        <v>-0.63042274334556336</v>
      </c>
      <c r="CP34" s="92">
        <v>-0.35926328642615252</v>
      </c>
      <c r="CQ34" s="93">
        <v>7.7220099578263424E-2</v>
      </c>
      <c r="CS34" s="174">
        <v>8</v>
      </c>
      <c r="CU34" s="174">
        <v>0.70000000000000018</v>
      </c>
      <c r="CY34">
        <f t="shared" si="4"/>
        <v>16</v>
      </c>
      <c r="CZ34" s="123">
        <v>-2.1085725015807721</v>
      </c>
      <c r="DA34" s="37">
        <v>1.5426433335613661</v>
      </c>
      <c r="DB34" s="37">
        <v>-1.2578756628598657</v>
      </c>
      <c r="DC34" s="90">
        <v>4.5114175758821204</v>
      </c>
      <c r="DE34" t="str">
        <v>Friendly</v>
      </c>
      <c r="DF34" s="91">
        <v>0.11163616923634857</v>
      </c>
      <c r="DG34" s="92">
        <v>-0.62642867593455609</v>
      </c>
      <c r="DH34" s="92">
        <v>-0.35581690065585664</v>
      </c>
      <c r="DI34" s="93">
        <v>8.0664108065308771E-2</v>
      </c>
      <c r="DK34" s="174">
        <v>8</v>
      </c>
      <c r="DM34" s="174">
        <v>0.70000000000000018</v>
      </c>
      <c r="DQ34">
        <f t="shared" si="6"/>
        <v>9</v>
      </c>
      <c r="DR34" s="123">
        <v>-1.8291768216341071</v>
      </c>
      <c r="DS34" s="37">
        <v>-1.6895517580459898</v>
      </c>
      <c r="DT34" s="37">
        <v>1.6505898681250728</v>
      </c>
      <c r="DU34" s="90">
        <v>-0.21865869805956259</v>
      </c>
      <c r="ED34" s="123">
        <v>-1.1588867942780861</v>
      </c>
      <c r="EE34" s="37">
        <v>-1.538667870758343</v>
      </c>
      <c r="EF34" s="37">
        <v>1.2944178017098433</v>
      </c>
      <c r="EG34" s="90">
        <v>-0.18779174820638064</v>
      </c>
    </row>
    <row r="35" spans="1:137" x14ac:dyDescent="0.25">
      <c r="A35" t="str">
        <f t="shared" si="9"/>
        <v>Motivate</v>
      </c>
      <c r="B35" s="123">
        <f t="shared" si="10"/>
        <v>-0.57816295036903198</v>
      </c>
      <c r="C35" s="37">
        <f t="shared" si="10"/>
        <v>4.4133810816552592E-2</v>
      </c>
      <c r="D35" s="37">
        <f t="shared" si="10"/>
        <v>0.45272186814106236</v>
      </c>
      <c r="E35" s="37">
        <f t="shared" si="10"/>
        <v>0.15789519627173182</v>
      </c>
      <c r="F35" s="37">
        <f t="shared" si="10"/>
        <v>-0.35569993215353857</v>
      </c>
      <c r="G35" s="37">
        <f t="shared" si="10"/>
        <v>-0.45058676534321235</v>
      </c>
      <c r="H35" s="37">
        <f t="shared" si="10"/>
        <v>0.31838175164520466</v>
      </c>
      <c r="I35" s="37">
        <f t="shared" si="10"/>
        <v>-5.1838337313778758E-2</v>
      </c>
      <c r="J35" s="90">
        <f t="shared" si="10"/>
        <v>1.6935122679521939E-2</v>
      </c>
      <c r="K35" s="166">
        <f t="shared" si="11"/>
        <v>0.99999999954822449</v>
      </c>
      <c r="AC35" s="46" t="str">
        <v>Expert</v>
      </c>
      <c r="AD35" s="124">
        <v>-8.9217727310116568E-2</v>
      </c>
      <c r="AE35" s="3">
        <v>2.8664864088467398E-2</v>
      </c>
      <c r="AF35" s="3">
        <v>3.967895529013947E-2</v>
      </c>
      <c r="AG35" s="3">
        <v>7.8480399457042771E-2</v>
      </c>
      <c r="AH35" s="3">
        <v>-6.9345336814312736E-2</v>
      </c>
      <c r="AI35" s="3">
        <v>2.9422634269992261E-2</v>
      </c>
      <c r="AJ35" s="3">
        <v>1.2409297280436354E-2</v>
      </c>
      <c r="AK35" s="3">
        <v>-7.6555607598769948E-2</v>
      </c>
      <c r="AL35" s="179">
        <v>-7.0734959597349045E-2</v>
      </c>
      <c r="AN35" t="str">
        <v>Expert</v>
      </c>
      <c r="AO35" s="123">
        <v>0.20974900542180094</v>
      </c>
      <c r="AP35" s="37">
        <v>1.979462300310212E-2</v>
      </c>
      <c r="AQ35" s="37">
        <v>0.1125648792462325</v>
      </c>
      <c r="AR35" s="37">
        <v>0.92151960054295812</v>
      </c>
      <c r="AS35" s="37">
        <v>0.2636314025686925</v>
      </c>
      <c r="AT35" s="37">
        <v>1.6686722949156449E-2</v>
      </c>
      <c r="AU35" s="37">
        <v>0.23490834780734798</v>
      </c>
      <c r="AV35" s="37">
        <v>0.33456297305336841</v>
      </c>
      <c r="AW35" s="90">
        <v>0.2566411101544876</v>
      </c>
      <c r="AY35" t="str">
        <v>Expert</v>
      </c>
      <c r="AZ35" s="123">
        <v>0.11240967130611704</v>
      </c>
      <c r="BA35" s="37">
        <v>-0.25847872930602306</v>
      </c>
      <c r="BB35" s="37">
        <v>-0.29857416845131918</v>
      </c>
      <c r="BC35" s="37">
        <v>0.82956016250318809</v>
      </c>
      <c r="BD35" s="37">
        <v>0.15412638821248784</v>
      </c>
      <c r="BE35" s="37">
        <v>6.2217401231936413E-2</v>
      </c>
      <c r="BF35" s="37">
        <v>-0.16246161754486185</v>
      </c>
      <c r="BG35" s="37">
        <v>0.11481937178638525</v>
      </c>
      <c r="BH35" s="90">
        <v>0.22839429258632657</v>
      </c>
      <c r="BI35" s="37"/>
      <c r="BU35" t="str">
        <v>Comm</v>
      </c>
      <c r="BV35" s="123">
        <v>0.26179844621525827</v>
      </c>
      <c r="BW35" s="37">
        <v>0.24234564707122977</v>
      </c>
      <c r="BX35" s="37">
        <v>-0.17359169336788705</v>
      </c>
      <c r="BY35" s="90">
        <v>-0.29857416845132012</v>
      </c>
      <c r="CG35">
        <f t="shared" si="3"/>
        <v>17</v>
      </c>
      <c r="CH35" s="123">
        <v>-0.4681142227200964</v>
      </c>
      <c r="CI35" s="37">
        <v>-1.1201518621471507</v>
      </c>
      <c r="CJ35" s="37">
        <v>1.3860529500341072</v>
      </c>
      <c r="CK35" s="90">
        <v>-1.1098316171198215</v>
      </c>
      <c r="CY35">
        <f t="shared" si="4"/>
        <v>17</v>
      </c>
      <c r="CZ35" s="123">
        <v>-0.42391686117437893</v>
      </c>
      <c r="DA35" s="37">
        <v>-1.0190058120407295</v>
      </c>
      <c r="DB35" s="37">
        <v>1.4606790484966816</v>
      </c>
      <c r="DC35" s="90">
        <v>-0.99382217770832282</v>
      </c>
      <c r="DQ35">
        <f t="shared" si="6"/>
        <v>10</v>
      </c>
      <c r="DR35" s="123">
        <v>-4.2575170240316706E-2</v>
      </c>
      <c r="DS35" s="37">
        <v>-0.43649577705620335</v>
      </c>
      <c r="DT35" s="37">
        <v>0.82167839603973136</v>
      </c>
      <c r="DU35" s="90">
        <v>1.0766260341191765</v>
      </c>
      <c r="ED35" s="123">
        <v>-2.6973774198366652E-2</v>
      </c>
      <c r="EE35" s="37">
        <v>-0.39751491759851437</v>
      </c>
      <c r="EF35" s="37">
        <v>0.64437275646334302</v>
      </c>
      <c r="EG35" s="90">
        <v>0.92464414590389798</v>
      </c>
    </row>
    <row r="36" spans="1:137" x14ac:dyDescent="0.25">
      <c r="A36" t="str">
        <f t="shared" si="9"/>
        <v>Caring</v>
      </c>
      <c r="B36" s="123">
        <f t="shared" si="10"/>
        <v>-0.29966683800482935</v>
      </c>
      <c r="C36" s="37">
        <f t="shared" si="10"/>
        <v>3.0388016666011732E-2</v>
      </c>
      <c r="D36" s="37">
        <f t="shared" si="10"/>
        <v>0.77085649526279787</v>
      </c>
      <c r="E36" s="37">
        <f t="shared" si="10"/>
        <v>6.3738785375869411E-2</v>
      </c>
      <c r="F36" s="37">
        <f t="shared" si="10"/>
        <v>0.53119148960128271</v>
      </c>
      <c r="G36" s="37">
        <f t="shared" si="10"/>
        <v>2.3840888365523748E-2</v>
      </c>
      <c r="H36" s="37">
        <f t="shared" si="10"/>
        <v>-0.16207974850630014</v>
      </c>
      <c r="I36" s="37">
        <f t="shared" si="10"/>
        <v>-4.287300897389866E-2</v>
      </c>
      <c r="J36" s="90">
        <f t="shared" si="10"/>
        <v>-1.2379789994410867E-2</v>
      </c>
      <c r="K36" s="166">
        <f t="shared" si="11"/>
        <v>0.99999999996427558</v>
      </c>
      <c r="AC36" s="46" t="str">
        <v>Motivate</v>
      </c>
      <c r="AD36" s="124">
        <v>3.307458271438718E-2</v>
      </c>
      <c r="AE36" s="3">
        <v>-1.6050625443846195E-2</v>
      </c>
      <c r="AF36" s="3">
        <v>-2.518455543381265E-2</v>
      </c>
      <c r="AG36" s="3">
        <v>-6.9345336814312736E-2</v>
      </c>
      <c r="AH36" s="3">
        <v>0.4338918266645635</v>
      </c>
      <c r="AI36" s="3">
        <v>-0.24927758792961557</v>
      </c>
      <c r="AJ36" s="3">
        <v>-2.4347749198461055E-2</v>
      </c>
      <c r="AK36" s="3">
        <v>-0.14390958601112669</v>
      </c>
      <c r="AL36" s="179">
        <v>1.4638194460047924E-2</v>
      </c>
      <c r="AN36" t="str">
        <v>Motivate</v>
      </c>
      <c r="AO36" s="123">
        <v>-0.18028177339801138</v>
      </c>
      <c r="AP36" s="37">
        <v>0.26017220570695565</v>
      </c>
      <c r="AQ36" s="37">
        <v>0.311608488379091</v>
      </c>
      <c r="AR36" s="37">
        <v>0.2636314025686925</v>
      </c>
      <c r="AS36" s="37">
        <v>0.56610817333543739</v>
      </c>
      <c r="AT36" s="37">
        <v>0.53364504279834923</v>
      </c>
      <c r="AU36" s="37">
        <v>0.36869033048962963</v>
      </c>
      <c r="AV36" s="37">
        <v>0.47037532043693031</v>
      </c>
      <c r="AW36" s="90">
        <v>2.2703462553756618E-2</v>
      </c>
      <c r="AY36" t="str">
        <v>Motivate</v>
      </c>
      <c r="AZ36" s="123">
        <v>0.49667685818146795</v>
      </c>
      <c r="BA36" s="37">
        <v>0.40444094379308104</v>
      </c>
      <c r="BB36" s="37">
        <v>3.5833782769707022E-2</v>
      </c>
      <c r="BC36" s="37">
        <v>3.3523471324212469E-2</v>
      </c>
      <c r="BD36" s="37">
        <v>-0.50438962241492491</v>
      </c>
      <c r="BE36" s="37">
        <v>0.75324016298760799</v>
      </c>
      <c r="BF36" s="37">
        <v>-0.10607949709708202</v>
      </c>
      <c r="BG36" s="37">
        <v>-0.25600543615945076</v>
      </c>
      <c r="BH36" s="90">
        <v>0.32677281714393264</v>
      </c>
      <c r="BI36" s="37"/>
      <c r="BU36" t="str">
        <v>Expert</v>
      </c>
      <c r="BV36" s="123">
        <v>0.12705656781676977</v>
      </c>
      <c r="BW36" s="37">
        <v>0.11297017500099633</v>
      </c>
      <c r="BX36" s="37">
        <v>-0.16951396968764759</v>
      </c>
      <c r="BY36" s="90">
        <v>0.82956016250319042</v>
      </c>
      <c r="CG36">
        <f t="shared" si="3"/>
        <v>18</v>
      </c>
      <c r="CH36" s="123">
        <v>-2.9622433141425458E-2</v>
      </c>
      <c r="CI36" s="37">
        <v>0.23990539124365573</v>
      </c>
      <c r="CJ36" s="37">
        <v>1.7867302768147357</v>
      </c>
      <c r="CK36" s="90">
        <v>-0.96724265351448202</v>
      </c>
      <c r="CY36">
        <f t="shared" si="4"/>
        <v>18</v>
      </c>
      <c r="CZ36" s="123">
        <v>-1.6136619705621781E-2</v>
      </c>
      <c r="DA36" s="37">
        <v>7.8656650802412256E-2</v>
      </c>
      <c r="DB36" s="37">
        <v>1.702615567842978</v>
      </c>
      <c r="DC36" s="90">
        <v>-1.1398482846788296</v>
      </c>
      <c r="DQ36">
        <f t="shared" si="6"/>
        <v>11</v>
      </c>
      <c r="DR36" s="123">
        <v>2.3675027687024737</v>
      </c>
      <c r="DS36" s="37">
        <v>-0.22402191108150554</v>
      </c>
      <c r="DT36" s="37">
        <v>0.58624413253136143</v>
      </c>
      <c r="DU36" s="90">
        <v>-0.19291643926885818</v>
      </c>
      <c r="ED36" s="123">
        <v>1.4999466763497633</v>
      </c>
      <c r="EE36" s="37">
        <v>-0.20401583750570862</v>
      </c>
      <c r="EF36" s="37">
        <v>0.45974160871259978</v>
      </c>
      <c r="EG36" s="90">
        <v>-0.16568339475880536</v>
      </c>
    </row>
    <row r="37" spans="1:137" x14ac:dyDescent="0.25">
      <c r="A37" t="str">
        <f t="shared" si="9"/>
        <v>Charisma</v>
      </c>
      <c r="B37" s="123">
        <f t="shared" si="10"/>
        <v>-0.81718661596991582</v>
      </c>
      <c r="C37" s="37">
        <f t="shared" si="10"/>
        <v>0.23935266908492384</v>
      </c>
      <c r="D37" s="37">
        <f t="shared" si="10"/>
        <v>-0.1945147303529734</v>
      </c>
      <c r="E37" s="37">
        <f t="shared" si="10"/>
        <v>-0.16643424455975536</v>
      </c>
      <c r="F37" s="37">
        <f t="shared" si="10"/>
        <v>-7.4808180508665945E-2</v>
      </c>
      <c r="G37" s="37">
        <f t="shared" si="10"/>
        <v>-7.9791668827654122E-2</v>
      </c>
      <c r="H37" s="37">
        <f t="shared" si="10"/>
        <v>-0.27105482640180517</v>
      </c>
      <c r="I37" s="37">
        <f t="shared" si="10"/>
        <v>-9.8620172565817898E-2</v>
      </c>
      <c r="J37" s="90">
        <f t="shared" si="10"/>
        <v>-0.33796503478954354</v>
      </c>
      <c r="K37" s="166">
        <f t="shared" si="11"/>
        <v>0.99999999998314737</v>
      </c>
      <c r="AC37" s="46" t="str">
        <v>Caring</v>
      </c>
      <c r="AD37" s="124">
        <v>0.13336298451675827</v>
      </c>
      <c r="AE37" s="3">
        <v>8.4073203289834933E-2</v>
      </c>
      <c r="AF37" s="3">
        <v>4.493980233847001E-2</v>
      </c>
      <c r="AG37" s="3">
        <v>2.9422634269992261E-2</v>
      </c>
      <c r="AH37" s="3">
        <v>-0.24927758792961557</v>
      </c>
      <c r="AI37" s="3">
        <v>0.31099398559326075</v>
      </c>
      <c r="AJ37" s="3">
        <v>1.070480462412883E-2</v>
      </c>
      <c r="AK37" s="3">
        <v>-0.10899855909494222</v>
      </c>
      <c r="AL37" s="179">
        <v>0.12730242372740316</v>
      </c>
      <c r="AN37" t="str">
        <v>Caring</v>
      </c>
      <c r="AO37" s="123">
        <v>-0.23860822478717136</v>
      </c>
      <c r="AP37" s="37">
        <v>3.2594170593431046E-2</v>
      </c>
      <c r="AQ37" s="37">
        <v>6.1325246493534137E-2</v>
      </c>
      <c r="AR37" s="37">
        <v>1.6686722949156449E-2</v>
      </c>
      <c r="AS37" s="37">
        <v>0.53364504279834923</v>
      </c>
      <c r="AT37" s="37">
        <v>0.68900601440674103</v>
      </c>
      <c r="AU37" s="37">
        <v>9.1605922254708094E-2</v>
      </c>
      <c r="AV37" s="37">
        <v>0.30415316533268327</v>
      </c>
      <c r="AW37" s="90">
        <v>-0.18259705226005352</v>
      </c>
      <c r="AY37" t="str">
        <v>Caring</v>
      </c>
      <c r="AZ37" s="123">
        <v>-0.11922382323235856</v>
      </c>
      <c r="BA37" s="37">
        <v>5.0960448134485676E-5</v>
      </c>
      <c r="BB37" s="37">
        <v>-0.16468165311079694</v>
      </c>
      <c r="BC37" s="37">
        <v>-1.02478960160064E-2</v>
      </c>
      <c r="BD37" s="37">
        <v>-0.69575428987984533</v>
      </c>
      <c r="BE37" s="37">
        <v>3.6812888506001729E-2</v>
      </c>
      <c r="BF37" s="37">
        <v>-0.12320689410667922</v>
      </c>
      <c r="BG37" s="37">
        <v>0.97269553514335072</v>
      </c>
      <c r="BH37" s="90">
        <v>-0.2364785294478432</v>
      </c>
      <c r="BI37" s="37"/>
      <c r="BU37" t="str">
        <v>Motivate</v>
      </c>
      <c r="BV37" s="123">
        <v>0.20072057442542632</v>
      </c>
      <c r="BW37" s="37">
        <v>3.0677146033907039E-2</v>
      </c>
      <c r="BX37" s="37">
        <v>0.38895982093275511</v>
      </c>
      <c r="BY37" s="90">
        <v>0.15412638821248797</v>
      </c>
      <c r="CG37">
        <f t="shared" si="3"/>
        <v>19</v>
      </c>
      <c r="CH37" s="123">
        <v>-0.57777866757466301</v>
      </c>
      <c r="CI37" s="37">
        <v>-2.0656018150535571</v>
      </c>
      <c r="CJ37" s="37">
        <v>-2.0110634980743503</v>
      </c>
      <c r="CK37" s="90">
        <v>-0.3054298997770668</v>
      </c>
      <c r="CY37">
        <f t="shared" si="4"/>
        <v>19</v>
      </c>
      <c r="CZ37" s="123">
        <v>-0.50792620244863296</v>
      </c>
      <c r="DA37" s="37">
        <v>-2.0339696139450165</v>
      </c>
      <c r="DB37" s="37">
        <v>-1.919399227788364</v>
      </c>
      <c r="DC37" s="90">
        <v>-0.2820862800932491</v>
      </c>
      <c r="DQ37">
        <f t="shared" si="6"/>
        <v>12</v>
      </c>
      <c r="DR37" s="123">
        <v>1.1798041799685963</v>
      </c>
      <c r="DS37" s="37">
        <v>-2.4530324143380851</v>
      </c>
      <c r="DT37" s="37">
        <v>1.6494220371069273</v>
      </c>
      <c r="DU37" s="90">
        <v>2.1864234117772297</v>
      </c>
      <c r="ED37" s="123">
        <v>0.7474725613340335</v>
      </c>
      <c r="EE37" s="37">
        <v>-2.2339665795358479</v>
      </c>
      <c r="EF37" s="37">
        <v>1.2935019707766304</v>
      </c>
      <c r="EG37" s="90">
        <v>1.8777770034337256</v>
      </c>
    </row>
    <row r="38" spans="1:137" x14ac:dyDescent="0.25">
      <c r="A38" t="str">
        <f t="shared" si="9"/>
        <v>Passion</v>
      </c>
      <c r="B38" s="123">
        <f>B26*SQRT(B$18)</f>
        <v>-0.68789272835115534</v>
      </c>
      <c r="C38" s="37">
        <f t="shared" si="10"/>
        <v>3.5303982803739795E-2</v>
      </c>
      <c r="D38" s="37">
        <f t="shared" si="10"/>
        <v>0.11603236905909446</v>
      </c>
      <c r="E38" s="37">
        <f t="shared" si="10"/>
        <v>0.11762701672483196</v>
      </c>
      <c r="F38" s="37">
        <f t="shared" si="10"/>
        <v>-0.18053725181114905</v>
      </c>
      <c r="G38" s="37">
        <f t="shared" si="10"/>
        <v>0.62994039881481378</v>
      </c>
      <c r="H38" s="37">
        <f t="shared" si="10"/>
        <v>0.21135589608604263</v>
      </c>
      <c r="I38" s="37">
        <f t="shared" si="10"/>
        <v>-0.15226068819141922</v>
      </c>
      <c r="J38" s="90">
        <f t="shared" si="10"/>
        <v>3.1374517333664663E-2</v>
      </c>
      <c r="K38" s="166">
        <f t="shared" si="11"/>
        <v>1.0000000003205209</v>
      </c>
      <c r="AC38" s="46" t="str">
        <v>Charisma</v>
      </c>
      <c r="AD38" s="124">
        <v>-8.9519905203613373E-2</v>
      </c>
      <c r="AE38" s="3">
        <v>-0.12950825085879564</v>
      </c>
      <c r="AF38" s="3">
        <v>-4.1138130243911775E-2</v>
      </c>
      <c r="AG38" s="3">
        <v>1.2409297280436354E-2</v>
      </c>
      <c r="AH38" s="3">
        <v>-2.4347749198461055E-2</v>
      </c>
      <c r="AI38" s="3">
        <v>1.070480462412883E-2</v>
      </c>
      <c r="AJ38" s="3">
        <v>0.20937999639509508</v>
      </c>
      <c r="AK38" s="3">
        <v>-8.9634882627895152E-2</v>
      </c>
      <c r="AL38" s="179">
        <v>6.1532738800095521E-3</v>
      </c>
      <c r="AN38" t="str">
        <v>Charisma</v>
      </c>
      <c r="AO38" s="123">
        <v>6.7628998987617817E-2</v>
      </c>
      <c r="AP38" s="37">
        <v>0.58019502551470414</v>
      </c>
      <c r="AQ38" s="37">
        <v>0.78989565259029049</v>
      </c>
      <c r="AR38" s="37">
        <v>0.23490834780734798</v>
      </c>
      <c r="AS38" s="37">
        <v>0.36869033048962963</v>
      </c>
      <c r="AT38" s="37">
        <v>9.1605922254708094E-2</v>
      </c>
      <c r="AU38" s="37">
        <v>0.79062000360490581</v>
      </c>
      <c r="AV38" s="37">
        <v>0.52843966469683501</v>
      </c>
      <c r="AW38" s="90">
        <v>9.6978816485838865E-2</v>
      </c>
      <c r="AY38" t="str">
        <v>Charisma</v>
      </c>
      <c r="AZ38" s="123">
        <v>0.64116702971672523</v>
      </c>
      <c r="BA38" s="37">
        <v>0.58199271402368613</v>
      </c>
      <c r="BB38" s="37">
        <v>-0.40123501211730084</v>
      </c>
      <c r="BC38" s="37">
        <v>-0.29521633117358465</v>
      </c>
      <c r="BD38" s="37">
        <v>0.5661194409948529</v>
      </c>
      <c r="BE38" s="37">
        <v>-0.28819646900876322</v>
      </c>
      <c r="BF38" s="37">
        <v>-0.4819667145136709</v>
      </c>
      <c r="BG38" s="37">
        <v>0.37581513740942707</v>
      </c>
      <c r="BH38" s="90">
        <v>5.5542544981979636E-2</v>
      </c>
      <c r="BI38" s="37"/>
      <c r="BU38" t="str">
        <v>Caring</v>
      </c>
      <c r="BV38" s="123">
        <v>0.10403520291673522</v>
      </c>
      <c r="BW38" s="37">
        <v>2.1122527325340354E-2</v>
      </c>
      <c r="BX38" s="37">
        <v>0.66228787576226633</v>
      </c>
      <c r="BY38" s="90">
        <v>6.2217401231936253E-2</v>
      </c>
      <c r="CG38">
        <f t="shared" si="3"/>
        <v>20</v>
      </c>
      <c r="CH38" s="123">
        <v>2.4524044202433797</v>
      </c>
      <c r="CI38" s="37">
        <v>1.1655482819264642</v>
      </c>
      <c r="CJ38" s="37">
        <v>2.1107399055174394</v>
      </c>
      <c r="CK38" s="90">
        <v>-0.29705662923939657</v>
      </c>
      <c r="CY38">
        <f t="shared" si="4"/>
        <v>20</v>
      </c>
      <c r="CZ38" s="123">
        <v>2.8656946057369632</v>
      </c>
      <c r="DA38" s="37">
        <v>1.1464401870203522</v>
      </c>
      <c r="DB38" s="37">
        <v>2.0187097724471808</v>
      </c>
      <c r="DC38" s="90">
        <v>-0.2663372787419348</v>
      </c>
      <c r="DQ38">
        <f t="shared" si="6"/>
        <v>13</v>
      </c>
      <c r="DR38" s="123">
        <v>-2.6340503758810154</v>
      </c>
      <c r="DS38" s="37">
        <v>0.71434547297289575</v>
      </c>
      <c r="DT38" s="37">
        <v>-0.75839446883630068</v>
      </c>
      <c r="DU38" s="90">
        <v>0.33390471017559836</v>
      </c>
      <c r="ED38" s="123">
        <v>-1.6688196351322162</v>
      </c>
      <c r="EE38" s="37">
        <v>0.65055149843781712</v>
      </c>
      <c r="EF38" s="37">
        <v>-0.59474453353763235</v>
      </c>
      <c r="EG38" s="90">
        <v>0.28676905979354073</v>
      </c>
    </row>
    <row r="39" spans="1:137" x14ac:dyDescent="0.25">
      <c r="A39" t="str">
        <f t="shared" si="9"/>
        <v>Friendly</v>
      </c>
      <c r="B39" s="91">
        <f t="shared" ref="B39:J39" si="12">B27*SQRT(B$18)</f>
        <v>-0.30145846294129131</v>
      </c>
      <c r="C39" s="92">
        <f t="shared" si="12"/>
        <v>-0.74107631451599432</v>
      </c>
      <c r="D39" s="92">
        <f t="shared" si="12"/>
        <v>-0.3441987786860507</v>
      </c>
      <c r="E39" s="92">
        <f t="shared" si="12"/>
        <v>0.23397915226264601</v>
      </c>
      <c r="F39" s="92">
        <f t="shared" si="12"/>
        <v>0.23044302206539241</v>
      </c>
      <c r="G39" s="92">
        <f t="shared" si="12"/>
        <v>-0.15314903149993489</v>
      </c>
      <c r="H39" s="92">
        <f t="shared" si="12"/>
        <v>3.1236752320533766E-2</v>
      </c>
      <c r="I39" s="92">
        <f t="shared" si="12"/>
        <v>-0.32826151662682201</v>
      </c>
      <c r="J39" s="93">
        <f t="shared" si="12"/>
        <v>3.7678615683154011E-2</v>
      </c>
      <c r="K39" s="171">
        <f t="shared" si="11"/>
        <v>1.0000000000995239</v>
      </c>
      <c r="AC39" s="46" t="str">
        <v>Passion</v>
      </c>
      <c r="AD39" s="124">
        <v>-1.1326673453394956E-2</v>
      </c>
      <c r="AE39" s="3">
        <v>-3.6685280033443846E-2</v>
      </c>
      <c r="AF39" s="3">
        <v>-0.10326192182069249</v>
      </c>
      <c r="AG39" s="3">
        <v>-7.6555607598769948E-2</v>
      </c>
      <c r="AH39" s="3">
        <v>-0.14390958601112669</v>
      </c>
      <c r="AI39" s="3">
        <v>-0.10899855909494222</v>
      </c>
      <c r="AJ39" s="3">
        <v>-8.9634882627895152E-2</v>
      </c>
      <c r="AK39" s="3">
        <v>0.49825759734674668</v>
      </c>
      <c r="AL39" s="179">
        <v>-8.0312767053591722E-2</v>
      </c>
      <c r="AN39" t="str">
        <v>Passion</v>
      </c>
      <c r="AO39" s="123">
        <v>-0.11846760601056101</v>
      </c>
      <c r="AP39" s="37">
        <v>0.41594497240844736</v>
      </c>
      <c r="AQ39" s="37">
        <v>0.47162116009601179</v>
      </c>
      <c r="AR39" s="37">
        <v>0.33456297305336841</v>
      </c>
      <c r="AS39" s="37">
        <v>0.47037532043693031</v>
      </c>
      <c r="AT39" s="37">
        <v>0.30415316533268327</v>
      </c>
      <c r="AU39" s="37">
        <v>0.52843966469683501</v>
      </c>
      <c r="AV39" s="37">
        <v>0.50174240265325298</v>
      </c>
      <c r="AW39" s="90">
        <v>0.16879220903156988</v>
      </c>
      <c r="AY39" t="str">
        <v>Passion</v>
      </c>
      <c r="AZ39" s="123">
        <v>-0.48374873867570845</v>
      </c>
      <c r="BA39" s="37">
        <v>1.0084300724751536</v>
      </c>
      <c r="BB39" s="37">
        <v>-0.10884498537826187</v>
      </c>
      <c r="BC39" s="37">
        <v>0.64466992116721922</v>
      </c>
      <c r="BD39" s="37">
        <v>-0.15014794406720947</v>
      </c>
      <c r="BE39" s="37">
        <v>-0.12418018183030838</v>
      </c>
      <c r="BF39" s="37">
        <v>-0.28564990548751784</v>
      </c>
      <c r="BG39" s="37">
        <v>-0.44101779645859429</v>
      </c>
      <c r="BH39" s="90">
        <v>-0.95079808481435624</v>
      </c>
      <c r="BI39" s="37"/>
      <c r="BU39" t="str">
        <v>Charisma</v>
      </c>
      <c r="BV39" s="123">
        <v>0.28370231414094677</v>
      </c>
      <c r="BW39" s="37">
        <v>0.1663725984063415</v>
      </c>
      <c r="BX39" s="37">
        <v>-0.16711897527181407</v>
      </c>
      <c r="BY39" s="90">
        <v>-0.16246161754486246</v>
      </c>
      <c r="CG39">
        <f t="shared" si="3"/>
        <v>21</v>
      </c>
      <c r="CH39" s="123">
        <v>-0.3929158904974604</v>
      </c>
      <c r="CI39" s="37">
        <v>-0.13486573571491386</v>
      </c>
      <c r="CJ39" s="37">
        <v>-2.6838874781905018</v>
      </c>
      <c r="CK39" s="90">
        <v>1.7144048319918987</v>
      </c>
      <c r="CY39">
        <f t="shared" si="4"/>
        <v>21</v>
      </c>
      <c r="CZ39" s="123">
        <v>-0.80130515764188859</v>
      </c>
      <c r="DA39" s="37">
        <v>-8.5667616530059332E-2</v>
      </c>
      <c r="DB39" s="37">
        <v>-2.6655565227503666</v>
      </c>
      <c r="DC39" s="90">
        <v>1.6356593707386531</v>
      </c>
      <c r="DQ39">
        <f t="shared" si="6"/>
        <v>14</v>
      </c>
      <c r="DR39" s="123">
        <v>-1.5834072296896518</v>
      </c>
      <c r="DS39" s="37">
        <v>-0.46215687698914265</v>
      </c>
      <c r="DT39" s="37">
        <v>1.2194034117156214</v>
      </c>
      <c r="DU39" s="90">
        <v>1.5196329829946735</v>
      </c>
      <c r="ED39" s="123">
        <v>-1.0031778813009917</v>
      </c>
      <c r="EE39" s="37">
        <v>-0.42088437627718606</v>
      </c>
      <c r="EF39" s="37">
        <v>0.95627479246759417</v>
      </c>
      <c r="EG39" s="90">
        <v>1.3051140294950028</v>
      </c>
    </row>
    <row r="40" spans="1:137" x14ac:dyDescent="0.25">
      <c r="AC40" s="46" t="str">
        <v>Friendly</v>
      </c>
      <c r="AD40" s="180">
        <v>0.15731341580655006</v>
      </c>
      <c r="AE40" s="181">
        <v>-4.000175531654937E-2</v>
      </c>
      <c r="AF40" s="181">
        <v>4.000041761750868E-2</v>
      </c>
      <c r="AG40" s="181">
        <v>-7.0734959597349045E-2</v>
      </c>
      <c r="AH40" s="181">
        <v>1.4638194460047924E-2</v>
      </c>
      <c r="AI40" s="181">
        <v>0.12730242372740316</v>
      </c>
      <c r="AJ40" s="181">
        <v>6.1532738800095521E-3</v>
      </c>
      <c r="AK40" s="181">
        <v>-8.0312767053591722E-2</v>
      </c>
      <c r="AL40" s="182">
        <v>0.18670964824195035</v>
      </c>
      <c r="AN40" t="str">
        <v>Friendly</v>
      </c>
      <c r="AO40" s="91">
        <v>-0.50132378270884415</v>
      </c>
      <c r="AP40" s="92">
        <v>0.44087124885989609</v>
      </c>
      <c r="AQ40" s="92">
        <v>-3.307302138188993E-2</v>
      </c>
      <c r="AR40" s="92">
        <v>0.2566411101544876</v>
      </c>
      <c r="AS40" s="92">
        <v>2.2703462553756618E-2</v>
      </c>
      <c r="AT40" s="92">
        <v>-0.18259705226005352</v>
      </c>
      <c r="AU40" s="92">
        <v>9.6978816485838865E-2</v>
      </c>
      <c r="AV40" s="92">
        <v>0.16879220903156988</v>
      </c>
      <c r="AW40" s="93">
        <v>0.81329035175805053</v>
      </c>
      <c r="AY40" t="str">
        <v>Friendly</v>
      </c>
      <c r="AZ40" s="91">
        <v>-0.15033095943178695</v>
      </c>
      <c r="BA40" s="92">
        <v>-0.18979661912816703</v>
      </c>
      <c r="BB40" s="92">
        <v>1.4361069432252793</v>
      </c>
      <c r="BC40" s="92">
        <v>0.11991360031117888</v>
      </c>
      <c r="BD40" s="92">
        <v>7.2979665631919696E-2</v>
      </c>
      <c r="BE40" s="92">
        <v>-5.3349063451307348E-2</v>
      </c>
      <c r="BF40" s="92">
        <v>-1.4564155040958493</v>
      </c>
      <c r="BG40" s="92">
        <v>0.13520432226584564</v>
      </c>
      <c r="BH40" s="93">
        <v>0.1623709981950841</v>
      </c>
      <c r="BI40" s="37"/>
      <c r="BU40" t="str">
        <v>Passion</v>
      </c>
      <c r="BV40" s="123">
        <v>0.23881541266106224</v>
      </c>
      <c r="BW40" s="37">
        <v>2.4539585773605498E-2</v>
      </c>
      <c r="BX40" s="37">
        <v>9.9690190970775472E-2</v>
      </c>
      <c r="BY40" s="90">
        <v>0.11481937178638542</v>
      </c>
      <c r="CG40">
        <f t="shared" si="3"/>
        <v>22</v>
      </c>
      <c r="CH40" s="123">
        <v>-0.79929084751326285</v>
      </c>
      <c r="CI40" s="37">
        <v>0.96393075291356312</v>
      </c>
      <c r="CJ40" s="37">
        <v>-2.0323564304374133</v>
      </c>
      <c r="CK40" s="90">
        <v>-0.95648172486950023</v>
      </c>
      <c r="CY40">
        <f t="shared" si="4"/>
        <v>22</v>
      </c>
      <c r="CZ40" s="123">
        <v>-0.68182011465069181</v>
      </c>
      <c r="DA40" s="37">
        <v>1.0281420348935248</v>
      </c>
      <c r="DB40" s="37">
        <v>-2.1778194205330852</v>
      </c>
      <c r="DC40" s="90">
        <v>-0.9277360250097999</v>
      </c>
      <c r="DQ40">
        <f t="shared" si="6"/>
        <v>15</v>
      </c>
      <c r="DR40" s="123">
        <v>1.7417960056934303</v>
      </c>
      <c r="DS40" s="37">
        <v>0.64064942099472377</v>
      </c>
      <c r="DT40" s="37">
        <v>-2.8401337084179263</v>
      </c>
      <c r="DU40" s="90">
        <v>-1.1119123173317087</v>
      </c>
      <c r="ED40" s="123">
        <v>1.1035261137417838</v>
      </c>
      <c r="EE40" s="37">
        <v>0.58343680553743937</v>
      </c>
      <c r="EF40" s="37">
        <v>-2.2272762619028663</v>
      </c>
      <c r="EG40" s="90">
        <v>-0.95494924179531249</v>
      </c>
    </row>
    <row r="41" spans="1:137" x14ac:dyDescent="0.25">
      <c r="A41" t="s">
        <v>441</v>
      </c>
      <c r="H41" t="s">
        <v>442</v>
      </c>
      <c r="BU41" t="str">
        <v>Friendly</v>
      </c>
      <c r="BV41" s="91">
        <v>0.10465720054936133</v>
      </c>
      <c r="BW41" s="92">
        <v>-0.51511768193266105</v>
      </c>
      <c r="BX41" s="92">
        <v>-0.2957212910273731</v>
      </c>
      <c r="BY41" s="93">
        <v>0.22839429258632746</v>
      </c>
      <c r="CG41">
        <f t="shared" si="3"/>
        <v>23</v>
      </c>
      <c r="CH41" s="123">
        <v>1.0869986665193627</v>
      </c>
      <c r="CI41" s="37">
        <v>0.61981933999384942</v>
      </c>
      <c r="CJ41" s="37">
        <v>0.285704629041314</v>
      </c>
      <c r="CK41" s="90">
        <v>-0.9457634741838391</v>
      </c>
      <c r="CY41">
        <f t="shared" si="4"/>
        <v>23</v>
      </c>
      <c r="CZ41" s="123">
        <v>1.1380881224059554</v>
      </c>
      <c r="DA41" s="37">
        <v>0.54311155600185645</v>
      </c>
      <c r="DB41" s="37">
        <v>0.35692294344629732</v>
      </c>
      <c r="DC41" s="90">
        <v>-0.91236885601595874</v>
      </c>
      <c r="DQ41">
        <f t="shared" si="6"/>
        <v>16</v>
      </c>
      <c r="DR41" s="123">
        <v>-2.1180151112412933</v>
      </c>
      <c r="DS41" s="37">
        <v>1.4905034701027695</v>
      </c>
      <c r="DT41" s="37">
        <v>-1.3017848666825265</v>
      </c>
      <c r="DU41" s="90">
        <v>4.4398793579666478</v>
      </c>
      <c r="ED41" s="123">
        <v>-1.3418821589408654</v>
      </c>
      <c r="EE41" s="37">
        <v>1.3573954096282403</v>
      </c>
      <c r="EF41" s="37">
        <v>-1.0208795885463735</v>
      </c>
      <c r="EG41" s="90">
        <v>3.8131238951713695</v>
      </c>
    </row>
    <row r="42" spans="1:137" x14ac:dyDescent="0.25">
      <c r="AC42" t="s">
        <v>443</v>
      </c>
      <c r="AY42" t="s">
        <v>433</v>
      </c>
      <c r="AZ42" s="156">
        <f t="array" ref="AZ42:BH42">PCA!B4:J4</f>
        <v>2</v>
      </c>
      <c r="BA42" s="157">
        <v>8</v>
      </c>
      <c r="BB42" s="157">
        <v>1</v>
      </c>
      <c r="BC42" s="157">
        <v>4</v>
      </c>
      <c r="BD42" s="157">
        <v>7</v>
      </c>
      <c r="BE42" s="157">
        <v>5</v>
      </c>
      <c r="BF42" s="157">
        <v>4</v>
      </c>
      <c r="BG42" s="157">
        <v>4</v>
      </c>
      <c r="BH42" s="158">
        <v>8</v>
      </c>
      <c r="BI42" s="37"/>
      <c r="CG42">
        <f t="shared" si="3"/>
        <v>24</v>
      </c>
      <c r="CH42" s="123">
        <v>0.16681480341236349</v>
      </c>
      <c r="CI42" s="37">
        <v>8.8915893677246949E-2</v>
      </c>
      <c r="CJ42" s="37">
        <v>-1.6512978252258095</v>
      </c>
      <c r="CK42" s="90">
        <v>0.27586331620027194</v>
      </c>
      <c r="CY42">
        <f t="shared" si="4"/>
        <v>24</v>
      </c>
      <c r="CZ42" s="123">
        <v>0.27757010739308752</v>
      </c>
      <c r="DA42" s="37">
        <v>3.1397251737287302E-2</v>
      </c>
      <c r="DB42" s="37">
        <v>-1.593472860367513</v>
      </c>
      <c r="DC42" s="90">
        <v>0.28426875533856366</v>
      </c>
      <c r="DQ42">
        <f t="shared" si="6"/>
        <v>17</v>
      </c>
      <c r="DR42" s="123">
        <v>-0.4101698878563621</v>
      </c>
      <c r="DS42" s="37">
        <v>-0.99977934422400005</v>
      </c>
      <c r="DT42" s="37">
        <v>1.4710679704450154</v>
      </c>
      <c r="DU42" s="90">
        <v>-0.96750763665031048</v>
      </c>
      <c r="ED42" s="123">
        <v>-0.25986578269814997</v>
      </c>
      <c r="EE42" s="37">
        <v>-0.91049495671232417</v>
      </c>
      <c r="EF42" s="37">
        <v>1.1536339857896845</v>
      </c>
      <c r="EG42" s="90">
        <v>-0.83092944438959937</v>
      </c>
    </row>
    <row r="43" spans="1:137" x14ac:dyDescent="0.25">
      <c r="B43">
        <v>1</v>
      </c>
      <c r="C43">
        <f>B43+1</f>
        <v>2</v>
      </c>
      <c r="D43">
        <f>C43+1</f>
        <v>3</v>
      </c>
      <c r="E43">
        <f>D43+1</f>
        <v>4</v>
      </c>
      <c r="F43" s="47" t="s">
        <v>373</v>
      </c>
      <c r="I43">
        <v>1</v>
      </c>
      <c r="J43">
        <f>I43+1</f>
        <v>2</v>
      </c>
      <c r="K43">
        <f>J43+1</f>
        <v>3</v>
      </c>
      <c r="L43">
        <f>K43+1</f>
        <v>4</v>
      </c>
      <c r="M43" s="47" t="s">
        <v>373</v>
      </c>
      <c r="P43" s="32" t="s">
        <v>373</v>
      </c>
      <c r="Q43" s="32" t="s">
        <v>444</v>
      </c>
      <c r="AY43" t="s">
        <v>34</v>
      </c>
      <c r="AZ43" s="123">
        <f t="array" ref="AZ43:BH43">PCA!B126:J126</f>
        <v>3.7083333333333335</v>
      </c>
      <c r="BA43" s="37">
        <v>8.1666666666666661</v>
      </c>
      <c r="BB43" s="37">
        <v>3.45</v>
      </c>
      <c r="BC43" s="37">
        <v>3.3833333333333333</v>
      </c>
      <c r="BD43" s="37">
        <v>6.708333333333333</v>
      </c>
      <c r="BE43" s="37">
        <v>6.0083333333333337</v>
      </c>
      <c r="BF43" s="37">
        <v>4.8416666666666668</v>
      </c>
      <c r="BG43" s="37">
        <v>4.7249999999999996</v>
      </c>
      <c r="BH43" s="90">
        <v>7.3</v>
      </c>
      <c r="BI43" s="37"/>
      <c r="BU43" t="s">
        <v>445</v>
      </c>
      <c r="CG43">
        <f t="shared" si="3"/>
        <v>25</v>
      </c>
      <c r="CH43" s="123">
        <v>-0.14005056201894855</v>
      </c>
      <c r="CI43" s="37">
        <v>-1.5175821388227106</v>
      </c>
      <c r="CJ43" s="37">
        <v>1.4176693190739456</v>
      </c>
      <c r="CK43" s="90">
        <v>1.968034732659325</v>
      </c>
      <c r="CY43">
        <f t="shared" si="4"/>
        <v>25</v>
      </c>
      <c r="CZ43" s="123">
        <v>3.8144913716411925E-2</v>
      </c>
      <c r="DA43" s="37">
        <v>-1.3488035336369202</v>
      </c>
      <c r="DB43" s="37">
        <v>1.5985837818209752</v>
      </c>
      <c r="DC43" s="90">
        <v>2.3423651684640836</v>
      </c>
      <c r="DQ43">
        <f t="shared" si="6"/>
        <v>18</v>
      </c>
      <c r="DR43" s="123">
        <v>-7.09807085694171E-3</v>
      </c>
      <c r="DS43" s="37">
        <v>8.9095689151317686E-2</v>
      </c>
      <c r="DT43" s="37">
        <v>1.7074950265008919</v>
      </c>
      <c r="DU43" s="90">
        <v>-1.1232279907468607</v>
      </c>
      <c r="ED43" s="123">
        <v>-4.4970286544584893E-3</v>
      </c>
      <c r="EE43" s="37">
        <v>8.1139079443622239E-2</v>
      </c>
      <c r="EF43" s="37">
        <v>1.3390436966297294</v>
      </c>
      <c r="EG43" s="90">
        <v>-0.96466753844493869</v>
      </c>
    </row>
    <row r="44" spans="1:137" x14ac:dyDescent="0.25">
      <c r="A44" t="str">
        <f>A31</f>
        <v>Expect</v>
      </c>
      <c r="B44" s="156">
        <f t="array" ref="B44:B52">-B31:B39</f>
        <v>-0.18443788055245225</v>
      </c>
      <c r="C44" s="157">
        <f t="array" ref="C44:C52">C31:C39</f>
        <v>0.76673944089161006</v>
      </c>
      <c r="D44" s="157">
        <f t="array" ref="D44:D52">D31:D39</f>
        <v>-0.27758481196302998</v>
      </c>
      <c r="E44" s="158">
        <f t="array" ref="E44:E52">E31:E39</f>
        <v>0.11515839253464147</v>
      </c>
      <c r="F44" s="172">
        <f>SUMSQ(B44:E44)</f>
        <v>0.71222148520517259</v>
      </c>
      <c r="H44" t="str">
        <f t="array" ref="H44:H52">A44:A52</f>
        <v>Expect</v>
      </c>
      <c r="I44" s="156">
        <f t="array" ref="I44:L52">[1]!VARIMAX(B44:E52)</f>
        <v>9.3044211001315102E-2</v>
      </c>
      <c r="J44" s="157">
        <v>0.75088947279199736</v>
      </c>
      <c r="K44" s="157">
        <v>-0.28778265042245305</v>
      </c>
      <c r="L44" s="158">
        <v>0.23855901946960667</v>
      </c>
      <c r="M44" s="172">
        <f t="shared" ref="M44:M52" si="13">SUMSQ(I44:L44)</f>
        <v>0.71222148520517303</v>
      </c>
      <c r="O44" t="str">
        <f t="array" ref="O44:O52">H44:H52</f>
        <v>Expect</v>
      </c>
      <c r="P44" s="156">
        <f>F44</f>
        <v>0.71222148520517259</v>
      </c>
      <c r="Q44" s="158">
        <f>K31-P44</f>
        <v>0.2877785148710893</v>
      </c>
      <c r="AC44" s="46"/>
      <c r="AD44" s="175" t="str">
        <f t="array" ref="AD44:AL44">AD31:AL31</f>
        <v>Expect</v>
      </c>
      <c r="AE44" s="175" t="str">
        <v>Entertain</v>
      </c>
      <c r="AF44" s="175" t="str">
        <v>Comm</v>
      </c>
      <c r="AG44" s="175" t="str">
        <v>Expert</v>
      </c>
      <c r="AH44" s="175" t="str">
        <v>Motivate</v>
      </c>
      <c r="AI44" s="175" t="str">
        <v>Caring</v>
      </c>
      <c r="AJ44" s="175" t="str">
        <v>Charisma</v>
      </c>
      <c r="AK44" s="175" t="str">
        <v>Passion</v>
      </c>
      <c r="AL44" s="175" t="str">
        <v>Friendly</v>
      </c>
      <c r="AY44" t="s">
        <v>434</v>
      </c>
      <c r="AZ44" s="91">
        <f>AZ42-AZ43</f>
        <v>-1.7083333333333335</v>
      </c>
      <c r="BA44" s="92">
        <f t="shared" ref="BA44:BH44" si="14">BA42-BA43</f>
        <v>-0.16666666666666607</v>
      </c>
      <c r="BB44" s="92">
        <f t="shared" si="14"/>
        <v>-2.4500000000000002</v>
      </c>
      <c r="BC44" s="92">
        <f t="shared" si="14"/>
        <v>0.6166666666666667</v>
      </c>
      <c r="BD44" s="92">
        <f t="shared" si="14"/>
        <v>0.29166666666666696</v>
      </c>
      <c r="BE44" s="92">
        <f t="shared" si="14"/>
        <v>-1.0083333333333337</v>
      </c>
      <c r="BF44" s="92">
        <f t="shared" si="14"/>
        <v>-0.84166666666666679</v>
      </c>
      <c r="BG44" s="92">
        <f t="shared" si="14"/>
        <v>-0.72499999999999964</v>
      </c>
      <c r="BH44" s="93">
        <f t="shared" si="14"/>
        <v>0.70000000000000018</v>
      </c>
      <c r="BI44" s="37"/>
      <c r="CG44">
        <f t="shared" si="3"/>
        <v>26</v>
      </c>
      <c r="CH44" s="123">
        <v>2.6291565176138882</v>
      </c>
      <c r="CI44" s="37">
        <v>1.9294644069029829</v>
      </c>
      <c r="CJ44" s="37">
        <v>-7.8227759201782127E-2</v>
      </c>
      <c r="CK44" s="90">
        <v>0.31870976813507107</v>
      </c>
      <c r="CY44">
        <f t="shared" si="4"/>
        <v>26</v>
      </c>
      <c r="CZ44" s="123">
        <v>2.8812332953572359</v>
      </c>
      <c r="DA44" s="37">
        <v>1.9206532847534659</v>
      </c>
      <c r="DB44" s="37">
        <v>-8.8475068842419388E-2</v>
      </c>
      <c r="DC44" s="90">
        <v>0.29270254259683565</v>
      </c>
      <c r="DQ44">
        <f t="shared" si="6"/>
        <v>19</v>
      </c>
      <c r="DR44" s="123">
        <v>-0.50094260773243404</v>
      </c>
      <c r="DS44" s="37">
        <v>-2.0114552257610891</v>
      </c>
      <c r="DT44" s="37">
        <v>-1.8991923603953449</v>
      </c>
      <c r="DU44" s="90">
        <v>-0.25497703096129576</v>
      </c>
      <c r="ED44" s="123">
        <v>-0.31737542588896345</v>
      </c>
      <c r="EE44" s="37">
        <v>-1.8318240412634412</v>
      </c>
      <c r="EF44" s="37">
        <v>-1.4893756757149743</v>
      </c>
      <c r="EG44" s="90">
        <v>-0.21898320451743919</v>
      </c>
    </row>
    <row r="45" spans="1:137" x14ac:dyDescent="0.25">
      <c r="A45" t="str">
        <f t="shared" ref="A45:A52" si="15">A32</f>
        <v>Entertain</v>
      </c>
      <c r="B45" s="123">
        <v>0.69848518848974062</v>
      </c>
      <c r="C45" s="37">
        <v>-0.30363015858216247</v>
      </c>
      <c r="D45" s="37">
        <v>-0.19538523477692776</v>
      </c>
      <c r="E45" s="90">
        <v>-0.26479923502506097</v>
      </c>
      <c r="F45" s="173">
        <f t="shared" ref="F45:F52" si="16">SUMSQ(B45:E45)</f>
        <v>0.6883668565788702</v>
      </c>
      <c r="H45" t="str">
        <v>Entertain</v>
      </c>
      <c r="I45" s="123">
        <v>0.65869691024767973</v>
      </c>
      <c r="J45" s="37">
        <v>-0.49931312319314547</v>
      </c>
      <c r="K45" s="37">
        <v>6.975101896830023E-2</v>
      </c>
      <c r="L45" s="90">
        <v>-1.7505352582024167E-2</v>
      </c>
      <c r="M45" s="173">
        <f t="shared" si="13"/>
        <v>0.68836685657887031</v>
      </c>
      <c r="O45" t="str">
        <v>Entertain</v>
      </c>
      <c r="P45" s="123">
        <f t="shared" ref="P45:P52" si="17">F45</f>
        <v>0.6883668565788702</v>
      </c>
      <c r="Q45" s="90">
        <f t="shared" ref="Q45:Q52" si="18">K32-P45</f>
        <v>0.31163314342107984</v>
      </c>
      <c r="AC45" s="46" t="str">
        <f t="array" ref="AC45:AC53">AC19:AC27</f>
        <v>Expect</v>
      </c>
      <c r="AD45" s="176">
        <f t="array" ref="AD45:AL53">MMULT(B44:E52,TRANSPOSE(B44:E52))</f>
        <v>0.71222148520517259</v>
      </c>
      <c r="AE45" s="177">
        <v>-0.33789022638542882</v>
      </c>
      <c r="AF45" s="177">
        <v>0.14910298670388794</v>
      </c>
      <c r="AG45" s="177">
        <v>0.20974900542180086</v>
      </c>
      <c r="AH45" s="177">
        <v>-0.18028177339801135</v>
      </c>
      <c r="AI45" s="177">
        <v>-0.23860822478717145</v>
      </c>
      <c r="AJ45" s="177">
        <v>6.7628998987617858E-2</v>
      </c>
      <c r="AK45" s="177">
        <v>-0.11846760601056101</v>
      </c>
      <c r="AL45" s="178">
        <v>-0.5013237827088437</v>
      </c>
      <c r="BV45">
        <v>1</v>
      </c>
      <c r="BW45">
        <f>BV45+1</f>
        <v>2</v>
      </c>
      <c r="BX45">
        <f>BW45+1</f>
        <v>3</v>
      </c>
      <c r="BY45">
        <f>BX45+1</f>
        <v>4</v>
      </c>
      <c r="CG45">
        <f t="shared" si="3"/>
        <v>27</v>
      </c>
      <c r="CH45" s="123">
        <v>-6.4705172170423736E-2</v>
      </c>
      <c r="CI45" s="37">
        <v>-0.85237699735658756</v>
      </c>
      <c r="CJ45" s="37">
        <v>0.11380407448287114</v>
      </c>
      <c r="CK45" s="90">
        <v>-0.41304148641287991</v>
      </c>
      <c r="CY45">
        <f t="shared" si="4"/>
        <v>27</v>
      </c>
      <c r="CZ45" s="123">
        <v>-0.11519778569680757</v>
      </c>
      <c r="DA45" s="37">
        <v>-0.67056596158908433</v>
      </c>
      <c r="DB45" s="37">
        <v>0.15763509994197705</v>
      </c>
      <c r="DC45" s="90">
        <v>-0.33390534099826635</v>
      </c>
      <c r="DQ45">
        <f t="shared" si="6"/>
        <v>20</v>
      </c>
      <c r="DR45" s="123">
        <v>2.8409613261139484</v>
      </c>
      <c r="DS45" s="37">
        <v>1.127943104507052</v>
      </c>
      <c r="DT45" s="37">
        <v>2.0042775518150968</v>
      </c>
      <c r="DU45" s="90">
        <v>-0.29404702710113773</v>
      </c>
      <c r="ED45" s="123">
        <v>1.7999094045741126</v>
      </c>
      <c r="EE45" s="37">
        <v>1.0272131686309545</v>
      </c>
      <c r="EF45" s="37">
        <v>1.5717850889172529</v>
      </c>
      <c r="EG45" s="90">
        <v>-0.25253788559177204</v>
      </c>
    </row>
    <row r="46" spans="1:137" x14ac:dyDescent="0.25">
      <c r="A46" t="str">
        <f t="shared" si="15"/>
        <v>Comm</v>
      </c>
      <c r="B46" s="123">
        <v>0.75409390641255702</v>
      </c>
      <c r="C46" s="37">
        <v>0.34865162907379821</v>
      </c>
      <c r="D46" s="37">
        <v>-0.20204851885939915</v>
      </c>
      <c r="E46" s="90">
        <v>-0.30587511636421028</v>
      </c>
      <c r="F46" s="173">
        <f t="shared" si="16"/>
        <v>0.82459876892845996</v>
      </c>
      <c r="H46" t="str">
        <v>Comm</v>
      </c>
      <c r="I46" s="123">
        <v>0.89343770771827546</v>
      </c>
      <c r="J46" s="37">
        <v>0.10660633892082662</v>
      </c>
      <c r="K46" s="37">
        <v>0.1033744945787235</v>
      </c>
      <c r="L46" s="90">
        <v>6.5701093811782518E-2</v>
      </c>
      <c r="M46" s="173">
        <f t="shared" si="13"/>
        <v>0.82459876892846007</v>
      </c>
      <c r="O46" t="str">
        <v>Comm</v>
      </c>
      <c r="P46" s="123">
        <f t="shared" si="17"/>
        <v>0.82459876892845996</v>
      </c>
      <c r="Q46" s="90">
        <f t="shared" si="18"/>
        <v>0.17540123107909711</v>
      </c>
      <c r="AC46" s="46" t="str">
        <v>Entertain</v>
      </c>
      <c r="AD46" s="124">
        <v>-0.33789022638542882</v>
      </c>
      <c r="AE46" s="3">
        <v>0.6883668565788702</v>
      </c>
      <c r="AF46" s="3">
        <v>0.5413350690540516</v>
      </c>
      <c r="AG46" s="3">
        <v>1.979462300310203E-2</v>
      </c>
      <c r="AH46" s="3">
        <v>0.26017220570695559</v>
      </c>
      <c r="AI46" s="3">
        <v>3.259417059343106E-2</v>
      </c>
      <c r="AJ46" s="3">
        <v>0.58019502551470425</v>
      </c>
      <c r="AK46" s="3">
        <v>0.4159449724084473</v>
      </c>
      <c r="AL46" s="179">
        <v>0.44087124885989604</v>
      </c>
      <c r="AY46" t="s">
        <v>439</v>
      </c>
      <c r="AZ46" s="160">
        <f t="array" ref="AZ46:BH46">TRANSPOSE(MMULT(AZ32:BH40,TRANSPOSE(AZ44:BH44)))</f>
        <v>0.87910602303681806</v>
      </c>
      <c r="BA46" s="161">
        <v>-1.930127982610657</v>
      </c>
      <c r="BB46" s="161">
        <v>6.3180984804663221E-2</v>
      </c>
      <c r="BC46" s="161">
        <v>1.2897035513377495</v>
      </c>
      <c r="BD46" s="161">
        <v>-1.3860187314384986</v>
      </c>
      <c r="BE46" s="161">
        <v>-0.40627204265229899</v>
      </c>
      <c r="BF46" s="161">
        <v>0.23643531548221663</v>
      </c>
      <c r="BG46" s="161">
        <v>1.2985721952287208</v>
      </c>
      <c r="BH46" s="162">
        <v>-1.8395348093288382</v>
      </c>
      <c r="BI46" s="37"/>
      <c r="BU46" t="str">
        <f t="array" ref="BU46:BU54">BU19:BU27</f>
        <v>Expect</v>
      </c>
      <c r="BV46" s="156">
        <f t="array" ref="BV46:BY54">MMULT(I44:L52,TRANSPOSE(MINVERSE(MMULT(TRANSPOSE(I44:L52),I44:L52))))</f>
        <v>0.11771532770025719</v>
      </c>
      <c r="BW46" s="157">
        <v>0.49781468905417414</v>
      </c>
      <c r="BX46" s="157">
        <v>-0.21099893098881692</v>
      </c>
      <c r="BY46" s="158">
        <v>0.22684410007096223</v>
      </c>
      <c r="CG46">
        <f t="shared" si="3"/>
        <v>28</v>
      </c>
      <c r="CH46" s="123">
        <v>0.21044252152757115</v>
      </c>
      <c r="CI46" s="37">
        <v>-1.2853495764485214</v>
      </c>
      <c r="CJ46" s="37">
        <v>0.99021389565561591</v>
      </c>
      <c r="CK46" s="90">
        <v>1.6644046766896736</v>
      </c>
      <c r="CY46">
        <f t="shared" si="4"/>
        <v>28</v>
      </c>
      <c r="CZ46" s="123">
        <v>0.50904866022835837</v>
      </c>
      <c r="DA46" s="37">
        <v>-1.1908228882966134</v>
      </c>
      <c r="DB46" s="37">
        <v>1.2822594150662665</v>
      </c>
      <c r="DC46" s="90">
        <v>2.1041011124041797</v>
      </c>
      <c r="DQ46">
        <f t="shared" si="6"/>
        <v>21</v>
      </c>
      <c r="DR46" s="123">
        <v>-0.80680653896854804</v>
      </c>
      <c r="DS46" s="37">
        <v>-9.7593688415629376E-2</v>
      </c>
      <c r="DT46" s="37">
        <v>-2.6706660042031292</v>
      </c>
      <c r="DU46" s="90">
        <v>1.6177488939645639</v>
      </c>
      <c r="ED46" s="123">
        <v>-0.51115749581419478</v>
      </c>
      <c r="EE46" s="37">
        <v>-8.8878172591527152E-2</v>
      </c>
      <c r="EF46" s="37">
        <v>-2.0943770981634766</v>
      </c>
      <c r="EG46" s="90">
        <v>1.3893794102523611</v>
      </c>
    </row>
    <row r="47" spans="1:137" x14ac:dyDescent="0.25">
      <c r="A47" t="str">
        <f t="shared" si="15"/>
        <v>Expert</v>
      </c>
      <c r="B47" s="123">
        <v>0.36597842708944173</v>
      </c>
      <c r="C47" s="37">
        <v>0.16252503821235492</v>
      </c>
      <c r="D47" s="37">
        <v>-0.19730233536452252</v>
      </c>
      <c r="E47" s="90">
        <v>0.84984515757982271</v>
      </c>
      <c r="F47" s="173">
        <f t="shared" si="16"/>
        <v>0.92151960054295756</v>
      </c>
      <c r="H47" t="str">
        <v>Expert</v>
      </c>
      <c r="I47" s="123">
        <v>4.6860080201476362E-2</v>
      </c>
      <c r="J47" s="37">
        <v>-5.6519618337628119E-4</v>
      </c>
      <c r="K47" s="37">
        <v>7.7072404609851805E-2</v>
      </c>
      <c r="L47" s="90">
        <v>0.95571086549614936</v>
      </c>
      <c r="M47" s="173">
        <f t="shared" si="13"/>
        <v>0.92151960054295812</v>
      </c>
      <c r="O47" t="str">
        <v>Expert</v>
      </c>
      <c r="P47" s="123">
        <f t="shared" si="17"/>
        <v>0.92151960054295756</v>
      </c>
      <c r="Q47" s="90">
        <f t="shared" si="18"/>
        <v>7.8480399457552696E-2</v>
      </c>
      <c r="AC47" s="46" t="str">
        <v>Comm</v>
      </c>
      <c r="AD47" s="124">
        <v>0.14910298670388794</v>
      </c>
      <c r="AE47" s="3">
        <v>0.5413350690540516</v>
      </c>
      <c r="AF47" s="3">
        <v>0.82459876892845996</v>
      </c>
      <c r="AG47" s="3">
        <v>0.11256487924623254</v>
      </c>
      <c r="AH47" s="3">
        <v>0.31160848837909083</v>
      </c>
      <c r="AI47" s="3">
        <v>6.1325246493534158E-2</v>
      </c>
      <c r="AJ47" s="3">
        <v>0.7898956525902906</v>
      </c>
      <c r="AK47" s="3">
        <v>0.47162116009601168</v>
      </c>
      <c r="AL47" s="179">
        <v>-3.3073021381889917E-2</v>
      </c>
      <c r="BU47" t="str">
        <v>Entertain</v>
      </c>
      <c r="BV47" s="123">
        <v>0.30298676401442348</v>
      </c>
      <c r="BW47" s="37">
        <v>-0.27795503306413122</v>
      </c>
      <c r="BX47" s="37">
        <v>-8.9129570439945516E-2</v>
      </c>
      <c r="BY47" s="90">
        <v>-0.14605467930972652</v>
      </c>
      <c r="CG47">
        <f t="shared" si="3"/>
        <v>29</v>
      </c>
      <c r="CH47" s="123">
        <v>-1.0564811060520936</v>
      </c>
      <c r="CI47" s="37">
        <v>0.23621573811021832</v>
      </c>
      <c r="CJ47" s="37">
        <v>1.2218737425872528</v>
      </c>
      <c r="CK47" s="90">
        <v>1.5280289626519794</v>
      </c>
      <c r="CY47">
        <f t="shared" si="4"/>
        <v>29</v>
      </c>
      <c r="CZ47" s="123">
        <v>-1.2390210606178593</v>
      </c>
      <c r="DA47" s="37">
        <v>0.19532397705883373</v>
      </c>
      <c r="DB47" s="37">
        <v>1.137460041742332</v>
      </c>
      <c r="DC47" s="90">
        <v>1.4803018114866902</v>
      </c>
      <c r="DQ47">
        <f t="shared" si="6"/>
        <v>22</v>
      </c>
      <c r="DR47" s="123">
        <v>-0.67565252082644622</v>
      </c>
      <c r="DS47" s="37">
        <v>1.0343845210069653</v>
      </c>
      <c r="DT47" s="37">
        <v>-2.1654673089929286</v>
      </c>
      <c r="DU47" s="90">
        <v>-0.913223818128445</v>
      </c>
      <c r="ED47" s="123">
        <v>-0.42806402018967499</v>
      </c>
      <c r="EE47" s="37">
        <v>0.94200974957042594</v>
      </c>
      <c r="EF47" s="37">
        <v>-1.698192560072566</v>
      </c>
      <c r="EG47" s="90">
        <v>-0.78430859980393297</v>
      </c>
    </row>
    <row r="48" spans="1:137" x14ac:dyDescent="0.25">
      <c r="A48" t="str">
        <f t="shared" si="15"/>
        <v>Motivate</v>
      </c>
      <c r="B48" s="123">
        <v>0.57816295036903198</v>
      </c>
      <c r="C48" s="37">
        <v>4.4133810816552592E-2</v>
      </c>
      <c r="D48" s="37">
        <v>0.45272186814106236</v>
      </c>
      <c r="E48" s="90">
        <v>0.15789519627173182</v>
      </c>
      <c r="F48" s="173">
        <f t="shared" si="16"/>
        <v>0.56610817333543717</v>
      </c>
      <c r="H48" t="str">
        <v>Motivate</v>
      </c>
      <c r="I48" s="123">
        <v>0.26628706702688987</v>
      </c>
      <c r="J48" s="37">
        <v>-8.3966477967249376E-2</v>
      </c>
      <c r="K48" s="37">
        <v>0.6666913418866387</v>
      </c>
      <c r="L48" s="90">
        <v>0.20897764593568968</v>
      </c>
      <c r="M48" s="173">
        <f t="shared" si="13"/>
        <v>0.56610817333543739</v>
      </c>
      <c r="O48" t="str">
        <v>Motivate</v>
      </c>
      <c r="P48" s="123">
        <f t="shared" si="17"/>
        <v>0.56610817333543717</v>
      </c>
      <c r="Q48" s="90">
        <f t="shared" si="18"/>
        <v>0.43389182621278732</v>
      </c>
      <c r="AC48" s="46" t="str">
        <v>Expert</v>
      </c>
      <c r="AD48" s="124">
        <v>0.20974900542180086</v>
      </c>
      <c r="AE48" s="3">
        <v>1.979462300310203E-2</v>
      </c>
      <c r="AF48" s="3">
        <v>0.11256487924623254</v>
      </c>
      <c r="AG48" s="3">
        <v>0.92151960054295756</v>
      </c>
      <c r="AH48" s="3">
        <v>0.26363140256869227</v>
      </c>
      <c r="AI48" s="3">
        <v>1.6686722949156449E-2</v>
      </c>
      <c r="AJ48" s="3">
        <v>0.23490834780734782</v>
      </c>
      <c r="AK48" s="3">
        <v>0.33456297305336835</v>
      </c>
      <c r="AL48" s="179">
        <v>0.25664111015448743</v>
      </c>
      <c r="BU48" t="str">
        <v>Comm</v>
      </c>
      <c r="BV48" s="123">
        <v>0.45570004724218843</v>
      </c>
      <c r="BW48" s="37">
        <v>0.14906723366170044</v>
      </c>
      <c r="BX48" s="37">
        <v>-7.6053354673703499E-2</v>
      </c>
      <c r="BY48" s="90">
        <v>-0.10432048314025147</v>
      </c>
      <c r="CG48">
        <f t="shared" si="3"/>
        <v>30</v>
      </c>
      <c r="CH48" s="123">
        <v>-0.29551042444497727</v>
      </c>
      <c r="CI48" s="37">
        <v>-1.5275472973933883</v>
      </c>
      <c r="CJ48" s="37">
        <v>-0.56679931379701598</v>
      </c>
      <c r="CK48" s="90">
        <v>0.78936074891546604</v>
      </c>
      <c r="CY48">
        <f t="shared" si="4"/>
        <v>30</v>
      </c>
      <c r="CZ48" s="123">
        <v>-0.31835020360463445</v>
      </c>
      <c r="DA48" s="37">
        <v>-1.3744448332893029</v>
      </c>
      <c r="DB48" s="37">
        <v>-0.43791237638189562</v>
      </c>
      <c r="DC48" s="90">
        <v>0.93410336178755671</v>
      </c>
      <c r="DQ48">
        <f t="shared" si="6"/>
        <v>23</v>
      </c>
      <c r="DR48" s="123">
        <v>1.1317995582316767</v>
      </c>
      <c r="DS48" s="37">
        <v>0.54416894684644712</v>
      </c>
      <c r="DT48" s="37">
        <v>0.36009419090398542</v>
      </c>
      <c r="DU48" s="90">
        <v>-0.91008318764853402</v>
      </c>
      <c r="ED48" s="123">
        <v>0.71705892305846664</v>
      </c>
      <c r="EE48" s="37">
        <v>0.49557243262283146</v>
      </c>
      <c r="EF48" s="37">
        <v>0.28239136807975485</v>
      </c>
      <c r="EG48" s="90">
        <v>-0.78161131635019143</v>
      </c>
    </row>
    <row r="49" spans="1:137" x14ac:dyDescent="0.25">
      <c r="A49" t="str">
        <f t="shared" si="15"/>
        <v>Caring</v>
      </c>
      <c r="B49" s="123">
        <v>0.29966683800482935</v>
      </c>
      <c r="C49" s="37">
        <v>3.0388016666011732E-2</v>
      </c>
      <c r="D49" s="37">
        <v>0.77085649526279787</v>
      </c>
      <c r="E49" s="90">
        <v>6.3738785375869411E-2</v>
      </c>
      <c r="F49" s="173">
        <f t="shared" si="16"/>
        <v>0.68900601440674147</v>
      </c>
      <c r="H49" t="str">
        <v>Caring</v>
      </c>
      <c r="I49" s="123">
        <v>-2.5793478802084414E-2</v>
      </c>
      <c r="J49" s="37">
        <v>1.8056347172927621E-2</v>
      </c>
      <c r="K49" s="37">
        <v>0.82807395009893447</v>
      </c>
      <c r="L49" s="90">
        <v>-4.8043858632978206E-2</v>
      </c>
      <c r="M49" s="173">
        <f>SUMSQ(I49:L49)</f>
        <v>0.68900601440674103</v>
      </c>
      <c r="O49" t="str">
        <v>Caring</v>
      </c>
      <c r="P49" s="123">
        <f t="shared" si="17"/>
        <v>0.68900601440674147</v>
      </c>
      <c r="Q49" s="90">
        <f t="shared" si="18"/>
        <v>0.3109939855575341</v>
      </c>
      <c r="AC49" s="46" t="str">
        <v>Motivate</v>
      </c>
      <c r="AD49" s="124">
        <v>-0.18028177339801135</v>
      </c>
      <c r="AE49" s="3">
        <v>0.26017220570695559</v>
      </c>
      <c r="AF49" s="3">
        <v>0.31160848837909083</v>
      </c>
      <c r="AG49" s="3">
        <v>0.26363140256869227</v>
      </c>
      <c r="AH49" s="3">
        <v>0.56610817333543717</v>
      </c>
      <c r="AI49" s="3">
        <v>0.53364504279834934</v>
      </c>
      <c r="AJ49" s="3">
        <v>0.36869033048962946</v>
      </c>
      <c r="AK49" s="3">
        <v>0.47037532043693014</v>
      </c>
      <c r="AL49" s="179">
        <v>2.270346255375652E-2</v>
      </c>
      <c r="BU49" t="str">
        <v>Expert</v>
      </c>
      <c r="BV49" s="123">
        <v>-0.15961421781658677</v>
      </c>
      <c r="BW49" s="37">
        <v>2.424288988576306E-2</v>
      </c>
      <c r="BX49" s="37">
        <v>-1.009212112923763E-4</v>
      </c>
      <c r="BY49" s="90">
        <v>0.84837860332071813</v>
      </c>
      <c r="CG49">
        <f t="shared" si="3"/>
        <v>31</v>
      </c>
      <c r="CH49" s="123">
        <v>-1.0907330687880519</v>
      </c>
      <c r="CI49" s="37">
        <v>1.4104024522569054</v>
      </c>
      <c r="CJ49" s="37">
        <v>1.4599285424476087</v>
      </c>
      <c r="CK49" s="90">
        <v>-1.7707493575393169</v>
      </c>
      <c r="CY49">
        <f t="shared" si="4"/>
        <v>31</v>
      </c>
      <c r="CZ49" s="123">
        <v>-1.1730872619246677</v>
      </c>
      <c r="DA49" s="37">
        <v>1.0910222701590273</v>
      </c>
      <c r="DB49" s="37">
        <v>1.4425686242867806</v>
      </c>
      <c r="DC49" s="90">
        <v>-1.9683501227262006</v>
      </c>
      <c r="DQ49">
        <f t="shared" si="6"/>
        <v>24</v>
      </c>
      <c r="DR49" s="123">
        <v>0.27069888453841945</v>
      </c>
      <c r="DS49" s="37">
        <v>2.8296262940305295E-2</v>
      </c>
      <c r="DT49" s="37">
        <v>-1.5913776001934279</v>
      </c>
      <c r="DU49" s="90">
        <v>0.27907504785808529</v>
      </c>
      <c r="ED49" s="123">
        <v>0.17150302737661433</v>
      </c>
      <c r="EE49" s="37">
        <v>2.5769290843821922E-2</v>
      </c>
      <c r="EF49" s="37">
        <v>-1.2479826362151001</v>
      </c>
      <c r="EG49" s="90">
        <v>0.23967942543851264</v>
      </c>
    </row>
    <row r="50" spans="1:137" x14ac:dyDescent="0.25">
      <c r="A50" t="str">
        <f t="shared" si="15"/>
        <v>Charisma</v>
      </c>
      <c r="B50" s="123">
        <v>0.81718661596991582</v>
      </c>
      <c r="C50" s="37">
        <v>0.23935266908492384</v>
      </c>
      <c r="D50" s="37">
        <v>-0.1945147303529734</v>
      </c>
      <c r="E50" s="90">
        <v>-0.16643424455975536</v>
      </c>
      <c r="F50" s="173">
        <f t="shared" si="16"/>
        <v>0.79062000360490625</v>
      </c>
      <c r="H50" t="str">
        <v>Charisma</v>
      </c>
      <c r="I50" s="123">
        <v>0.85514419325934388</v>
      </c>
      <c r="J50" s="37">
        <v>-1.9811067237213646E-2</v>
      </c>
      <c r="K50" s="37">
        <v>0.14882496420674807</v>
      </c>
      <c r="L50" s="90">
        <v>0.19185167182882343</v>
      </c>
      <c r="M50" s="173">
        <f t="shared" si="13"/>
        <v>0.79062000360490581</v>
      </c>
      <c r="O50" t="str">
        <v>Charisma</v>
      </c>
      <c r="P50" s="123">
        <f t="shared" si="17"/>
        <v>0.79062000360490625</v>
      </c>
      <c r="Q50" s="90">
        <f t="shared" si="18"/>
        <v>0.20937999637824112</v>
      </c>
      <c r="AC50" s="46" t="str">
        <v>Caring</v>
      </c>
      <c r="AD50" s="124">
        <v>-0.23860822478717145</v>
      </c>
      <c r="AE50" s="3">
        <v>3.259417059343106E-2</v>
      </c>
      <c r="AF50" s="3">
        <v>6.1325246493534158E-2</v>
      </c>
      <c r="AG50" s="3">
        <v>1.6686722949156449E-2</v>
      </c>
      <c r="AH50" s="3">
        <v>0.53364504279834934</v>
      </c>
      <c r="AI50" s="3">
        <v>0.68900601440674147</v>
      </c>
      <c r="AJ50" s="3">
        <v>9.1605922254708053E-2</v>
      </c>
      <c r="AK50" s="3">
        <v>0.30415316533268327</v>
      </c>
      <c r="AL50" s="179">
        <v>-0.18259705226005357</v>
      </c>
      <c r="BU50" t="str">
        <v>Motivate</v>
      </c>
      <c r="BV50" s="123">
        <v>-1.9960204381352861E-2</v>
      </c>
      <c r="BW50" s="37">
        <v>5.1330518729051488E-3</v>
      </c>
      <c r="BX50" s="37">
        <v>0.45296962597398016</v>
      </c>
      <c r="BY50" s="90">
        <v>0.1032873762588804</v>
      </c>
      <c r="CG50">
        <f t="shared" si="3"/>
        <v>32</v>
      </c>
      <c r="CH50" s="123">
        <v>-0.4251185602473545</v>
      </c>
      <c r="CI50" s="37">
        <v>-1.4366562494810997</v>
      </c>
      <c r="CJ50" s="37">
        <v>2.0523723789857633</v>
      </c>
      <c r="CK50" s="90">
        <v>0.58582264228487835</v>
      </c>
      <c r="CY50">
        <f t="shared" si="4"/>
        <v>32</v>
      </c>
      <c r="CZ50" s="123">
        <v>-0.66050263374159324</v>
      </c>
      <c r="DA50" s="37">
        <v>-1.3904317388293543</v>
      </c>
      <c r="DB50" s="37">
        <v>2.2090863249130952</v>
      </c>
      <c r="DC50" s="90">
        <v>0.61058993245904558</v>
      </c>
      <c r="DQ50">
        <f t="shared" si="6"/>
        <v>25</v>
      </c>
      <c r="DR50" s="123">
        <v>3.0017079824827042E-2</v>
      </c>
      <c r="DS50" s="37">
        <v>-1.364976118992637</v>
      </c>
      <c r="DT50" s="37">
        <v>1.5770770659089712</v>
      </c>
      <c r="DU50" s="90">
        <v>2.3120577472032053</v>
      </c>
      <c r="ED50" s="123">
        <v>1.9017514873552008E-2</v>
      </c>
      <c r="EE50" s="37">
        <v>-1.2430781647526292</v>
      </c>
      <c r="EF50" s="37">
        <v>1.2367679386641031</v>
      </c>
      <c r="EG50" s="90">
        <v>1.9856761709206008</v>
      </c>
    </row>
    <row r="51" spans="1:137" x14ac:dyDescent="0.25">
      <c r="A51" t="str">
        <f t="shared" si="15"/>
        <v>Passion</v>
      </c>
      <c r="B51" s="123">
        <v>0.68789272835115534</v>
      </c>
      <c r="C51" s="37">
        <v>3.5303982803739795E-2</v>
      </c>
      <c r="D51" s="37">
        <v>0.11603236905909446</v>
      </c>
      <c r="E51" s="90">
        <v>0.11762701672483196</v>
      </c>
      <c r="F51" s="173">
        <f t="shared" si="16"/>
        <v>0.50174240265325287</v>
      </c>
      <c r="H51" t="str">
        <v>Passion</v>
      </c>
      <c r="I51" s="123">
        <v>0.47828862013992957</v>
      </c>
      <c r="J51" s="37">
        <v>-0.15613230069330614</v>
      </c>
      <c r="K51" s="37">
        <v>0.40266502254007863</v>
      </c>
      <c r="L51" s="90">
        <v>0.29405098673683805</v>
      </c>
      <c r="M51" s="173">
        <f t="shared" si="13"/>
        <v>0.50174240265325298</v>
      </c>
      <c r="O51" t="str">
        <v>Passion</v>
      </c>
      <c r="P51" s="123">
        <f t="shared" si="17"/>
        <v>0.50174240265325287</v>
      </c>
      <c r="Q51" s="90">
        <f t="shared" si="18"/>
        <v>0.49825759766726807</v>
      </c>
      <c r="AC51" s="46" t="str">
        <v>Charisma</v>
      </c>
      <c r="AD51" s="124">
        <v>6.7628998987617858E-2</v>
      </c>
      <c r="AE51" s="3">
        <v>0.58019502551470425</v>
      </c>
      <c r="AF51" s="3">
        <v>0.7898956525902906</v>
      </c>
      <c r="AG51" s="3">
        <v>0.23490834780734782</v>
      </c>
      <c r="AH51" s="3">
        <v>0.36869033048962946</v>
      </c>
      <c r="AI51" s="3">
        <v>9.1605922254708053E-2</v>
      </c>
      <c r="AJ51" s="3">
        <v>0.79062000360490625</v>
      </c>
      <c r="AK51" s="3">
        <v>0.52843966469683501</v>
      </c>
      <c r="AL51" s="179">
        <v>9.6978816485838851E-2</v>
      </c>
      <c r="BU51" t="str">
        <v>Caring</v>
      </c>
      <c r="BV51" s="123">
        <v>-0.15052398478183107</v>
      </c>
      <c r="BW51" s="37">
        <v>5.4467540423069165E-2</v>
      </c>
      <c r="BX51" s="37">
        <v>0.64905255521578098</v>
      </c>
      <c r="BY51" s="90">
        <v>-8.2899442807614049E-2</v>
      </c>
      <c r="CG51">
        <f t="shared" si="3"/>
        <v>33</v>
      </c>
      <c r="CH51" s="123">
        <v>-1.9024767258305622</v>
      </c>
      <c r="CI51" s="37">
        <v>-0.10030745264136964</v>
      </c>
      <c r="CJ51" s="37">
        <v>0.77873817758996999</v>
      </c>
      <c r="CK51" s="90">
        <v>1.1546360059800453</v>
      </c>
      <c r="CY51">
        <f t="shared" si="4"/>
        <v>33</v>
      </c>
      <c r="CZ51" s="123">
        <v>-2.0110657256836477</v>
      </c>
      <c r="DA51" s="37">
        <v>0.15485982798327558</v>
      </c>
      <c r="DB51" s="37">
        <v>0.87285606426198226</v>
      </c>
      <c r="DC51" s="90">
        <v>1.5303905415747574</v>
      </c>
      <c r="DQ51">
        <f t="shared" si="6"/>
        <v>26</v>
      </c>
      <c r="DR51" s="123">
        <v>2.848431489638465</v>
      </c>
      <c r="DS51" s="37">
        <v>1.8916158852443115</v>
      </c>
      <c r="DT51" s="37">
        <v>-0.10502432541588973</v>
      </c>
      <c r="DU51" s="90">
        <v>0.25161028606932057</v>
      </c>
      <c r="ED51" s="123">
        <v>1.8046421749423303</v>
      </c>
      <c r="EE51" s="37">
        <v>1.72268684435431</v>
      </c>
      <c r="EF51" s="37">
        <v>-8.2361681151791724E-2</v>
      </c>
      <c r="EG51" s="90">
        <v>0.21609172608717478</v>
      </c>
    </row>
    <row r="52" spans="1:137" x14ac:dyDescent="0.25">
      <c r="A52" t="str">
        <f t="shared" si="15"/>
        <v>Friendly</v>
      </c>
      <c r="B52" s="91">
        <v>0.30145846294129131</v>
      </c>
      <c r="C52" s="92">
        <v>-0.74107631451599432</v>
      </c>
      <c r="D52" s="92">
        <v>-0.3441987786860507</v>
      </c>
      <c r="E52" s="93">
        <v>0.23397915226264601</v>
      </c>
      <c r="F52" s="174">
        <f t="shared" si="16"/>
        <v>0.81329035175805031</v>
      </c>
      <c r="H52" t="str">
        <v>Friendly</v>
      </c>
      <c r="I52" s="91">
        <v>6.3333904536896662E-2</v>
      </c>
      <c r="J52" s="92">
        <v>-0.83493103442524585</v>
      </c>
      <c r="K52" s="92">
        <v>-0.1840969221434437</v>
      </c>
      <c r="L52" s="93">
        <v>0.27978144917964382</v>
      </c>
      <c r="M52" s="174">
        <f t="shared" si="13"/>
        <v>0.81329035175805053</v>
      </c>
      <c r="O52" t="str">
        <v>Friendly</v>
      </c>
      <c r="P52" s="91">
        <f t="shared" si="17"/>
        <v>0.81329035175805031</v>
      </c>
      <c r="Q52" s="93">
        <f t="shared" si="18"/>
        <v>0.18670964834147363</v>
      </c>
      <c r="AC52" s="46" t="str">
        <v>Passion</v>
      </c>
      <c r="AD52" s="124">
        <v>-0.11846760601056101</v>
      </c>
      <c r="AE52" s="3">
        <v>0.4159449724084473</v>
      </c>
      <c r="AF52" s="3">
        <v>0.47162116009601168</v>
      </c>
      <c r="AG52" s="3">
        <v>0.33456297305336835</v>
      </c>
      <c r="AH52" s="3">
        <v>0.47037532043693014</v>
      </c>
      <c r="AI52" s="3">
        <v>0.30415316533268327</v>
      </c>
      <c r="AJ52" s="3">
        <v>0.52843966469683501</v>
      </c>
      <c r="AK52" s="3">
        <v>0.50174240265325287</v>
      </c>
      <c r="AL52" s="179">
        <v>0.16879220903156986</v>
      </c>
      <c r="BU52" t="str">
        <v>Charisma</v>
      </c>
      <c r="BV52" s="123">
        <v>0.39457688535912966</v>
      </c>
      <c r="BW52" s="37">
        <v>6.6197495970995682E-2</v>
      </c>
      <c r="BX52" s="37">
        <v>-4.7788595587416785E-2</v>
      </c>
      <c r="BY52" s="90">
        <v>1.151506925038176E-2</v>
      </c>
      <c r="CG52">
        <f t="shared" si="3"/>
        <v>34</v>
      </c>
      <c r="CH52" s="123">
        <v>1.9378976245116113</v>
      </c>
      <c r="CI52" s="37">
        <v>0.31625998185157722</v>
      </c>
      <c r="CJ52" s="37">
        <v>-2.1664842334494914</v>
      </c>
      <c r="CK52" s="90">
        <v>-2.0304116155723522</v>
      </c>
      <c r="CY52">
        <f t="shared" si="4"/>
        <v>34</v>
      </c>
      <c r="CZ52" s="123">
        <v>2.2137381165074257</v>
      </c>
      <c r="DA52" s="37">
        <v>0.35502962910911684</v>
      </c>
      <c r="DB52" s="37">
        <v>-2.1380684867826467</v>
      </c>
      <c r="DC52" s="90">
        <v>-1.9869717832575642</v>
      </c>
      <c r="DQ52">
        <f t="shared" si="6"/>
        <v>27</v>
      </c>
      <c r="DR52" s="123">
        <v>-0.1107837174872553</v>
      </c>
      <c r="DS52" s="37">
        <v>-0.66135737583146548</v>
      </c>
      <c r="DT52" s="37">
        <v>0.16385641059628117</v>
      </c>
      <c r="DU52" s="90">
        <v>-0.32220760287316885</v>
      </c>
      <c r="ED52" s="123">
        <v>-7.0187740025220824E-2</v>
      </c>
      <c r="EE52" s="37">
        <v>-0.60229545525010586</v>
      </c>
      <c r="EF52" s="37">
        <v>0.12849870152240148</v>
      </c>
      <c r="EG52" s="90">
        <v>-0.27672317436216176</v>
      </c>
    </row>
    <row r="53" spans="1:137" x14ac:dyDescent="0.25">
      <c r="F53" s="60">
        <f>SUM(F44:F52)</f>
        <v>6.5074736570138487</v>
      </c>
      <c r="M53" s="60">
        <f>SUM(M44:M52)</f>
        <v>6.5074736570138487</v>
      </c>
      <c r="P53" s="185">
        <f>SUM(P44:P52)</f>
        <v>6.5074736570138487</v>
      </c>
      <c r="Q53" s="60">
        <f>SUM(Q44:Q52)</f>
        <v>2.4925263429861229</v>
      </c>
      <c r="AC53" s="46" t="str">
        <v>Friendly</v>
      </c>
      <c r="AD53" s="180">
        <v>-0.5013237827088437</v>
      </c>
      <c r="AE53" s="181">
        <v>0.44087124885989604</v>
      </c>
      <c r="AF53" s="181">
        <v>-3.3073021381889917E-2</v>
      </c>
      <c r="AG53" s="181">
        <v>0.25664111015448743</v>
      </c>
      <c r="AH53" s="181">
        <v>2.270346255375652E-2</v>
      </c>
      <c r="AI53" s="181">
        <v>-0.18259705226005357</v>
      </c>
      <c r="AJ53" s="181">
        <v>9.6978816485838851E-2</v>
      </c>
      <c r="AK53" s="181">
        <v>0.16879220903156986</v>
      </c>
      <c r="AL53" s="182">
        <v>0.81329035175805031</v>
      </c>
      <c r="BU53" t="str">
        <v>Passion</v>
      </c>
      <c r="BV53" s="123">
        <v>0.1191439927303754</v>
      </c>
      <c r="BW53" s="37">
        <v>-3.9219171917062895E-2</v>
      </c>
      <c r="BX53" s="37">
        <v>0.20252010747489413</v>
      </c>
      <c r="BY53" s="90">
        <v>0.15494768964519892</v>
      </c>
      <c r="CG53">
        <f t="shared" si="3"/>
        <v>35</v>
      </c>
      <c r="CH53" s="123">
        <v>-0.27704686057520861</v>
      </c>
      <c r="CI53" s="37">
        <v>-1.3123005859052281</v>
      </c>
      <c r="CJ53" s="37">
        <v>3.6597450423761995</v>
      </c>
      <c r="CK53" s="90">
        <v>0.61345191026839629</v>
      </c>
      <c r="CY53">
        <f t="shared" si="4"/>
        <v>35</v>
      </c>
      <c r="CZ53" s="123">
        <v>-0.28026784820978878</v>
      </c>
      <c r="DA53" s="37">
        <v>-1.2744596161780133</v>
      </c>
      <c r="DB53" s="37">
        <v>3.6921820053976342</v>
      </c>
      <c r="DC53" s="90">
        <v>0.72043248869636833</v>
      </c>
      <c r="DQ53">
        <f t="shared" si="6"/>
        <v>28</v>
      </c>
      <c r="DR53" s="123">
        <v>0.49691980671950675</v>
      </c>
      <c r="DS53" s="37">
        <v>-1.2071719626029744</v>
      </c>
      <c r="DT53" s="37">
        <v>1.2626300835479367</v>
      </c>
      <c r="DU53" s="90">
        <v>2.0734792889144225</v>
      </c>
      <c r="ED53" s="123">
        <v>0.31482675431454171</v>
      </c>
      <c r="EE53" s="37">
        <v>-1.099366565417127</v>
      </c>
      <c r="EF53" s="37">
        <v>0.99017380918213183</v>
      </c>
      <c r="EG53" s="90">
        <v>1.7807766349587189</v>
      </c>
    </row>
    <row r="54" spans="1:137" x14ac:dyDescent="0.25">
      <c r="BU54" t="str">
        <v>Friendly</v>
      </c>
      <c r="BV54" s="91">
        <v>-4.9925656721842494E-2</v>
      </c>
      <c r="BW54" s="92">
        <v>-0.55833038733058993</v>
      </c>
      <c r="BX54" s="92">
        <v>-0.21442364726217805</v>
      </c>
      <c r="BY54" s="93">
        <v>0.23603283161112104</v>
      </c>
      <c r="CG54">
        <f t="shared" si="3"/>
        <v>36</v>
      </c>
      <c r="CH54" s="123">
        <v>-1.0946288210930017</v>
      </c>
      <c r="CI54" s="37">
        <v>-1.458144987274407</v>
      </c>
      <c r="CJ54" s="37">
        <v>0.23267389746163111</v>
      </c>
      <c r="CK54" s="90">
        <v>5.6329528915675137E-2</v>
      </c>
      <c r="CY54">
        <f t="shared" si="4"/>
        <v>36</v>
      </c>
      <c r="CZ54" s="123">
        <v>-1.2352494062604764</v>
      </c>
      <c r="DA54" s="37">
        <v>-1.2233580673419098</v>
      </c>
      <c r="DB54" s="37">
        <v>0.33822902071983812</v>
      </c>
      <c r="DC54" s="90">
        <v>0.23741484180881919</v>
      </c>
      <c r="DQ54">
        <f t="shared" si="6"/>
        <v>29</v>
      </c>
      <c r="DR54" s="123">
        <v>-1.2337892082453081</v>
      </c>
      <c r="DS54" s="37">
        <v>0.18148296469261224</v>
      </c>
      <c r="DT54" s="37">
        <v>1.1201559925428746</v>
      </c>
      <c r="DU54" s="90">
        <v>1.4615215726378472</v>
      </c>
      <c r="ED54" s="123">
        <v>-0.78167512481432067</v>
      </c>
      <c r="EE54" s="37">
        <v>0.16527579314021359</v>
      </c>
      <c r="EF54" s="37">
        <v>0.87844344948419728</v>
      </c>
      <c r="EG54" s="90">
        <v>1.2552059149837103</v>
      </c>
    </row>
    <row r="55" spans="1:137" x14ac:dyDescent="0.25">
      <c r="A55" t="s">
        <v>446</v>
      </c>
      <c r="CG55">
        <f t="shared" si="3"/>
        <v>37</v>
      </c>
      <c r="CH55" s="123">
        <v>0.27810711206153482</v>
      </c>
      <c r="CI55" s="37">
        <v>-0.68075647063567235</v>
      </c>
      <c r="CJ55" s="37">
        <v>1.4343021023271609</v>
      </c>
      <c r="CK55" s="90">
        <v>-1.4167410149035145</v>
      </c>
      <c r="CY55">
        <f t="shared" si="4"/>
        <v>37</v>
      </c>
      <c r="CZ55" s="123">
        <v>0.3820923167840769</v>
      </c>
      <c r="DA55" s="37">
        <v>-0.60826802419247517</v>
      </c>
      <c r="DB55" s="37">
        <v>1.4216898000428031</v>
      </c>
      <c r="DC55" s="90">
        <v>-1.3950095389352997</v>
      </c>
      <c r="DQ55">
        <f t="shared" si="6"/>
        <v>30</v>
      </c>
      <c r="DR55" s="123">
        <v>-0.31863042336103253</v>
      </c>
      <c r="DS55" s="37">
        <v>-1.3721966570018973</v>
      </c>
      <c r="DT55" s="37">
        <v>-0.43813571626957504</v>
      </c>
      <c r="DU55" s="90">
        <v>0.93244315401107136</v>
      </c>
      <c r="ED55" s="123">
        <v>-0.20187036349960882</v>
      </c>
      <c r="EE55" s="37">
        <v>-1.2496538791641767</v>
      </c>
      <c r="EF55" s="37">
        <v>-0.34359272503498539</v>
      </c>
      <c r="EG55" s="90">
        <v>0.80081483859888314</v>
      </c>
    </row>
    <row r="56" spans="1:137" x14ac:dyDescent="0.25">
      <c r="CG56">
        <f t="shared" si="3"/>
        <v>38</v>
      </c>
      <c r="CH56" s="123">
        <v>0.93051425856304104</v>
      </c>
      <c r="CI56" s="37">
        <v>1.6946030369171194</v>
      </c>
      <c r="CJ56" s="37">
        <v>-0.22771368675017795</v>
      </c>
      <c r="CK56" s="90">
        <v>-0.1587084513062153</v>
      </c>
      <c r="CY56">
        <f t="shared" si="4"/>
        <v>38</v>
      </c>
      <c r="CZ56" s="123">
        <v>1.2060250593327759</v>
      </c>
      <c r="DA56" s="37">
        <v>1.6071068611339119</v>
      </c>
      <c r="DB56" s="37">
        <v>-0.26964104357769919</v>
      </c>
      <c r="DC56" s="90">
        <v>-0.12926095551401581</v>
      </c>
      <c r="DQ56">
        <f t="shared" si="6"/>
        <v>31</v>
      </c>
      <c r="DR56" s="123">
        <v>-1.1507221732916564</v>
      </c>
      <c r="DS56" s="37">
        <v>1.1070082489152329</v>
      </c>
      <c r="DT56" s="37">
        <v>1.453105255708967</v>
      </c>
      <c r="DU56" s="90">
        <v>-1.9375225780903476</v>
      </c>
      <c r="ED56" s="123">
        <v>-0.72904746809515009</v>
      </c>
      <c r="EE56" s="37">
        <v>1.0081478813293381</v>
      </c>
      <c r="EF56" s="37">
        <v>1.1395473503568692</v>
      </c>
      <c r="EG56" s="90">
        <v>-1.6640122499485803</v>
      </c>
    </row>
    <row r="57" spans="1:137" x14ac:dyDescent="0.25">
      <c r="A57" s="156">
        <f t="array" ref="A57:D65">B44:E52</f>
        <v>-0.18443788055245225</v>
      </c>
      <c r="B57" s="157">
        <v>0.76673944089161006</v>
      </c>
      <c r="C57" s="157">
        <v>-0.27758481196302998</v>
      </c>
      <c r="D57" s="158">
        <v>0.11515839253464147</v>
      </c>
      <c r="E57" s="156">
        <f t="array" ref="E57:H65">I44:L52</f>
        <v>9.3044211001315102E-2</v>
      </c>
      <c r="F57" s="157">
        <v>0.75088947279199736</v>
      </c>
      <c r="G57" s="157">
        <v>-0.28778265042245305</v>
      </c>
      <c r="H57" s="158">
        <v>0.23855901946960667</v>
      </c>
      <c r="CG57">
        <f t="shared" si="3"/>
        <v>39</v>
      </c>
      <c r="CH57" s="123">
        <v>5.3299721608004169E-3</v>
      </c>
      <c r="CI57" s="37">
        <v>-2.116425837200727</v>
      </c>
      <c r="CJ57" s="37">
        <v>2.380068693975006</v>
      </c>
      <c r="CK57" s="90">
        <v>-0.77750320639518733</v>
      </c>
      <c r="CY57">
        <f t="shared" si="4"/>
        <v>39</v>
      </c>
      <c r="CZ57" s="123">
        <v>0.12585524591209457</v>
      </c>
      <c r="DA57" s="37">
        <v>-2.0848802055820617</v>
      </c>
      <c r="DB57" s="37">
        <v>2.3706383313535806</v>
      </c>
      <c r="DC57" s="90">
        <v>-0.76400662461375302</v>
      </c>
      <c r="DQ57">
        <f t="shared" si="6"/>
        <v>32</v>
      </c>
      <c r="DR57" s="123">
        <v>-0.65138678237140935</v>
      </c>
      <c r="DS57" s="37">
        <v>-1.3853747602044706</v>
      </c>
      <c r="DT57" s="37">
        <v>2.203576734196441</v>
      </c>
      <c r="DU57" s="90">
        <v>0.61392139110294786</v>
      </c>
      <c r="ED57" s="123">
        <v>-0.41269030480232066</v>
      </c>
      <c r="EE57" s="37">
        <v>-1.2616551238131051</v>
      </c>
      <c r="EF57" s="37">
        <v>1.7280785537703163</v>
      </c>
      <c r="EG57" s="90">
        <v>0.52725719269173965</v>
      </c>
    </row>
    <row r="58" spans="1:137" x14ac:dyDescent="0.25">
      <c r="A58" s="123">
        <v>0.69848518848974062</v>
      </c>
      <c r="B58" s="37">
        <v>-0.30363015858216247</v>
      </c>
      <c r="C58" s="37">
        <v>-0.19538523477692776</v>
      </c>
      <c r="D58" s="90">
        <v>-0.26479923502506097</v>
      </c>
      <c r="E58" s="123">
        <v>0.65869691024767973</v>
      </c>
      <c r="F58" s="37">
        <v>-0.49931312319314547</v>
      </c>
      <c r="G58" s="37">
        <v>6.975101896830023E-2</v>
      </c>
      <c r="H58" s="90">
        <v>-1.7505352582024167E-2</v>
      </c>
      <c r="CG58">
        <f t="shared" si="3"/>
        <v>40</v>
      </c>
      <c r="CH58" s="123">
        <v>-0.8189565604874649</v>
      </c>
      <c r="CI58" s="37">
        <v>1.2085379577876885</v>
      </c>
      <c r="CJ58" s="37">
        <v>-1.3447448656461345</v>
      </c>
      <c r="CK58" s="90">
        <v>-0.36356456459393888</v>
      </c>
      <c r="CY58">
        <f t="shared" si="4"/>
        <v>40</v>
      </c>
      <c r="CZ58" s="123">
        <v>-0.89222046334234972</v>
      </c>
      <c r="DA58" s="37">
        <v>1.018158140743866</v>
      </c>
      <c r="DB58" s="37">
        <v>-1.2137184329448283</v>
      </c>
      <c r="DC58" s="90">
        <v>-0.42438341008399183</v>
      </c>
      <c r="DQ58">
        <f t="shared" si="6"/>
        <v>33</v>
      </c>
      <c r="DR58" s="123">
        <v>-1.9990861174401564</v>
      </c>
      <c r="DS58" s="37">
        <v>0.14389998350282418</v>
      </c>
      <c r="DT58" s="37">
        <v>0.8573594901647339</v>
      </c>
      <c r="DU58" s="90">
        <v>1.5169347958294532</v>
      </c>
      <c r="ED58" s="123">
        <v>-1.2665339264775923</v>
      </c>
      <c r="EE58" s="37">
        <v>0.13104912599689902</v>
      </c>
      <c r="EF58" s="37">
        <v>0.67235441581543354</v>
      </c>
      <c r="EG58" s="90">
        <v>1.3027967318560736</v>
      </c>
    </row>
    <row r="59" spans="1:137" x14ac:dyDescent="0.25">
      <c r="A59" s="123">
        <v>0.75409390641255702</v>
      </c>
      <c r="B59" s="37">
        <v>0.34865162907379821</v>
      </c>
      <c r="C59" s="37">
        <v>-0.20204851885939915</v>
      </c>
      <c r="D59" s="90">
        <v>-0.30587511636421028</v>
      </c>
      <c r="E59" s="123">
        <v>0.89343770771827546</v>
      </c>
      <c r="F59" s="37">
        <v>0.10660633892082662</v>
      </c>
      <c r="G59" s="37">
        <v>0.1033744945787235</v>
      </c>
      <c r="H59" s="90">
        <v>6.5701093811782518E-2</v>
      </c>
      <c r="CG59">
        <f t="shared" si="3"/>
        <v>41</v>
      </c>
      <c r="CH59" s="123">
        <v>-0.20980898118359376</v>
      </c>
      <c r="CI59" s="37">
        <v>0.10509957081695005</v>
      </c>
      <c r="CJ59" s="37">
        <v>1.1444616998651786</v>
      </c>
      <c r="CK59" s="90">
        <v>0.22989027961474279</v>
      </c>
      <c r="CY59">
        <f t="shared" si="4"/>
        <v>41</v>
      </c>
      <c r="CZ59" s="123">
        <v>-0.3447218479913966</v>
      </c>
      <c r="DA59" s="37">
        <v>9.6635832460764681E-3</v>
      </c>
      <c r="DB59" s="37">
        <v>0.97426893289739269</v>
      </c>
      <c r="DC59" s="90">
        <v>1.8247991378382646E-2</v>
      </c>
      <c r="DQ59">
        <f t="shared" si="6"/>
        <v>34</v>
      </c>
      <c r="DR59" s="123">
        <v>2.1993256249503954</v>
      </c>
      <c r="DS59" s="37">
        <v>0.3671668960324207</v>
      </c>
      <c r="DT59" s="37">
        <v>-2.1166812306719915</v>
      </c>
      <c r="DU59" s="90">
        <v>-1.9700432104053707</v>
      </c>
      <c r="ED59" s="123">
        <v>1.3933969602760721</v>
      </c>
      <c r="EE59" s="37">
        <v>0.33437738941157474</v>
      </c>
      <c r="EF59" s="37">
        <v>-1.6599337718213307</v>
      </c>
      <c r="EG59" s="90">
        <v>-1.6919421079849231</v>
      </c>
    </row>
    <row r="60" spans="1:137" x14ac:dyDescent="0.25">
      <c r="A60" s="123">
        <v>0.36597842708944173</v>
      </c>
      <c r="B60" s="37">
        <v>0.16252503821235492</v>
      </c>
      <c r="C60" s="37">
        <v>-0.19730233536452252</v>
      </c>
      <c r="D60" s="90">
        <v>0.84984515757982271</v>
      </c>
      <c r="E60" s="123">
        <v>4.6860080201476362E-2</v>
      </c>
      <c r="F60" s="37">
        <v>-5.6519618337628119E-4</v>
      </c>
      <c r="G60" s="37">
        <v>7.7072404609851805E-2</v>
      </c>
      <c r="H60" s="90">
        <v>0.95571086549614936</v>
      </c>
      <c r="CG60">
        <f t="shared" si="3"/>
        <v>42</v>
      </c>
      <c r="CH60" s="123">
        <v>-0.25384547793900447</v>
      </c>
      <c r="CI60" s="37">
        <v>1.8664345664194393E-3</v>
      </c>
      <c r="CJ60" s="37">
        <v>0.19937691223700804</v>
      </c>
      <c r="CK60" s="90">
        <v>0.26447841286316109</v>
      </c>
      <c r="CY60">
        <f t="shared" si="4"/>
        <v>42</v>
      </c>
      <c r="CZ60" s="123">
        <v>-0.56019210408330899</v>
      </c>
      <c r="DA60" s="37">
        <v>-0.11548578074928906</v>
      </c>
      <c r="DB60" s="37">
        <v>0.1673600030483548</v>
      </c>
      <c r="DC60" s="90">
        <v>1.2037423196352877E-3</v>
      </c>
      <c r="DQ60">
        <f t="shared" si="6"/>
        <v>35</v>
      </c>
      <c r="DR60" s="123">
        <v>-0.27317879895698727</v>
      </c>
      <c r="DS60" s="37">
        <v>-1.2741124121569314</v>
      </c>
      <c r="DT60" s="37">
        <v>3.6793835813690681</v>
      </c>
      <c r="DU60" s="90">
        <v>0.71657184685787756</v>
      </c>
      <c r="ED60" s="123">
        <v>-0.17307419318006606</v>
      </c>
      <c r="EE60" s="37">
        <v>-1.1603289588402883</v>
      </c>
      <c r="EF60" s="37">
        <v>2.8854288391173806</v>
      </c>
      <c r="EG60" s="90">
        <v>0.61541699932860605</v>
      </c>
    </row>
    <row r="61" spans="1:137" x14ac:dyDescent="0.25">
      <c r="A61" s="123">
        <v>0.57816295036903198</v>
      </c>
      <c r="B61" s="37">
        <v>4.4133810816552592E-2</v>
      </c>
      <c r="C61" s="37">
        <v>0.45272186814106236</v>
      </c>
      <c r="D61" s="90">
        <v>0.15789519627173182</v>
      </c>
      <c r="E61" s="123">
        <v>0.26628706702688987</v>
      </c>
      <c r="F61" s="37">
        <v>-8.3966477967249376E-2</v>
      </c>
      <c r="G61" s="37">
        <v>0.6666913418866387</v>
      </c>
      <c r="H61" s="90">
        <v>0.20897764593568968</v>
      </c>
      <c r="CG61">
        <f t="shared" si="3"/>
        <v>43</v>
      </c>
      <c r="CH61" s="123">
        <v>3.3547467171132368</v>
      </c>
      <c r="CI61" s="37">
        <v>0.94496480749690603</v>
      </c>
      <c r="CJ61" s="37">
        <v>-1.1368111631782902</v>
      </c>
      <c r="CK61" s="90">
        <v>-1.1765976896220478</v>
      </c>
      <c r="CY61">
        <f t="shared" si="4"/>
        <v>43</v>
      </c>
      <c r="CZ61" s="123">
        <v>3.6359360817539255</v>
      </c>
      <c r="DA61" s="37">
        <v>0.93692377217209244</v>
      </c>
      <c r="DB61" s="37">
        <v>-1.1964388425801928</v>
      </c>
      <c r="DC61" s="90">
        <v>-1.2648822246055802</v>
      </c>
      <c r="DQ61">
        <f t="shared" si="6"/>
        <v>36</v>
      </c>
      <c r="DR61" s="123">
        <v>-1.221954413247621</v>
      </c>
      <c r="DS61" s="37">
        <v>-1.2119298252248454</v>
      </c>
      <c r="DT61" s="37">
        <v>0.34277361536182693</v>
      </c>
      <c r="DU61" s="90">
        <v>0.25187460871702222</v>
      </c>
      <c r="ED61" s="123">
        <v>-0.77417711397491185</v>
      </c>
      <c r="EE61" s="37">
        <v>-1.1036995314330493</v>
      </c>
      <c r="EF61" s="37">
        <v>0.26880830801705297</v>
      </c>
      <c r="EG61" s="90">
        <v>0.21631873563467016</v>
      </c>
    </row>
    <row r="62" spans="1:137" x14ac:dyDescent="0.25">
      <c r="A62" s="123">
        <v>0.29966683800482935</v>
      </c>
      <c r="B62" s="37">
        <v>3.0388016666011732E-2</v>
      </c>
      <c r="C62" s="37">
        <v>0.77085649526279787</v>
      </c>
      <c r="D62" s="90">
        <v>6.3738785375869411E-2</v>
      </c>
      <c r="E62" s="123">
        <v>-2.5793478802084414E-2</v>
      </c>
      <c r="F62" s="37">
        <v>1.8056347172927621E-2</v>
      </c>
      <c r="G62" s="37">
        <v>0.82807395009893447</v>
      </c>
      <c r="H62" s="90">
        <v>-4.8043858632978206E-2</v>
      </c>
      <c r="CG62">
        <f t="shared" si="3"/>
        <v>44</v>
      </c>
      <c r="CH62" s="123">
        <v>1.6836607111723232</v>
      </c>
      <c r="CI62" s="37">
        <v>-1.1560795004692537</v>
      </c>
      <c r="CJ62" s="37">
        <v>1.8887867921490684</v>
      </c>
      <c r="CK62" s="90">
        <v>0.79438995730681727</v>
      </c>
      <c r="CY62">
        <f t="shared" si="4"/>
        <v>44</v>
      </c>
      <c r="CZ62" s="123">
        <v>1.5849693871403236</v>
      </c>
      <c r="DA62" s="37">
        <v>-1.1799425992510042</v>
      </c>
      <c r="DB62" s="37">
        <v>1.9922343613381117</v>
      </c>
      <c r="DC62" s="90">
        <v>0.76782994831014884</v>
      </c>
      <c r="DQ62">
        <f t="shared" si="6"/>
        <v>37</v>
      </c>
      <c r="DR62" s="123">
        <v>0.38951883176154545</v>
      </c>
      <c r="DS62" s="37">
        <v>-0.59092095959660396</v>
      </c>
      <c r="DT62" s="37">
        <v>1.432814000145199</v>
      </c>
      <c r="DU62" s="90">
        <v>-1.3710577444880023</v>
      </c>
      <c r="ED62" s="123">
        <v>0.2467821726758018</v>
      </c>
      <c r="EE62" s="37">
        <v>-0.53814929927955135</v>
      </c>
      <c r="EF62" s="37">
        <v>1.1236346376182285</v>
      </c>
      <c r="EG62" s="90">
        <v>-1.177512410959126</v>
      </c>
    </row>
    <row r="63" spans="1:137" x14ac:dyDescent="0.25">
      <c r="A63" s="123">
        <v>0.81718661596991582</v>
      </c>
      <c r="B63" s="37">
        <v>0.23935266908492384</v>
      </c>
      <c r="C63" s="37">
        <v>-0.1945147303529734</v>
      </c>
      <c r="D63" s="90">
        <v>-0.16643424455975536</v>
      </c>
      <c r="E63" s="123">
        <v>0.85514419325934388</v>
      </c>
      <c r="F63" s="37">
        <v>-1.9811067237213646E-2</v>
      </c>
      <c r="G63" s="37">
        <v>0.14882496420674807</v>
      </c>
      <c r="H63" s="90">
        <v>0.19185167182882343</v>
      </c>
      <c r="CG63">
        <f t="shared" si="3"/>
        <v>45</v>
      </c>
      <c r="CH63" s="123">
        <v>-1.7142362105943114</v>
      </c>
      <c r="CI63" s="37">
        <v>-0.78813282373850646</v>
      </c>
      <c r="CJ63" s="37">
        <v>1.173645647324878</v>
      </c>
      <c r="CK63" s="90">
        <v>2.2387522203545589</v>
      </c>
      <c r="CY63">
        <f t="shared" si="4"/>
        <v>45</v>
      </c>
      <c r="CZ63" s="123">
        <v>-1.9416793112904023</v>
      </c>
      <c r="DA63" s="37">
        <v>-0.97916083633382223</v>
      </c>
      <c r="DB63" s="37">
        <v>1.1086739727312107</v>
      </c>
      <c r="DC63" s="90">
        <v>2.1166230684788685</v>
      </c>
      <c r="DQ63">
        <f t="shared" si="6"/>
        <v>38</v>
      </c>
      <c r="DR63" s="123">
        <v>1.1918274779931315</v>
      </c>
      <c r="DS63" s="37">
        <v>1.5915379316620069</v>
      </c>
      <c r="DT63" s="37">
        <v>-0.27733683021466282</v>
      </c>
      <c r="DU63" s="90">
        <v>-0.14852537696350424</v>
      </c>
      <c r="ED63" s="123">
        <v>0.75508999948408395</v>
      </c>
      <c r="EE63" s="37">
        <v>1.4494070802386507</v>
      </c>
      <c r="EF63" s="37">
        <v>-0.21749178098822403</v>
      </c>
      <c r="EG63" s="90">
        <v>-0.12755879569625181</v>
      </c>
    </row>
    <row r="64" spans="1:137" x14ac:dyDescent="0.25">
      <c r="A64" s="123">
        <v>0.68789272835115534</v>
      </c>
      <c r="B64" s="37">
        <v>3.5303982803739795E-2</v>
      </c>
      <c r="C64" s="37">
        <v>0.11603236905909446</v>
      </c>
      <c r="D64" s="90">
        <v>0.11762701672483196</v>
      </c>
      <c r="E64" s="123">
        <v>0.47828862013992957</v>
      </c>
      <c r="F64" s="37">
        <v>-0.15613230069330614</v>
      </c>
      <c r="G64" s="37">
        <v>0.40266502254007863</v>
      </c>
      <c r="H64" s="90">
        <v>0.29405098673683805</v>
      </c>
      <c r="CG64">
        <f t="shared" si="3"/>
        <v>46</v>
      </c>
      <c r="CH64" s="123">
        <v>-0.92910796419840891</v>
      </c>
      <c r="CI64" s="37">
        <v>-0.19031670248315674</v>
      </c>
      <c r="CJ64" s="37">
        <v>0.27925117689644302</v>
      </c>
      <c r="CK64" s="90">
        <v>0.46910664855297857</v>
      </c>
      <c r="CY64">
        <f t="shared" si="4"/>
        <v>46</v>
      </c>
      <c r="CZ64" s="123">
        <v>-0.97975266001922257</v>
      </c>
      <c r="DA64" s="37">
        <v>-0.46514917080544715</v>
      </c>
      <c r="DB64" s="37">
        <v>0.27093816352118993</v>
      </c>
      <c r="DC64" s="90">
        <v>0.30361158235773378</v>
      </c>
      <c r="DQ64">
        <f t="shared" si="6"/>
        <v>39</v>
      </c>
      <c r="DR64" s="123">
        <v>0.13652061660281883</v>
      </c>
      <c r="DS64" s="37">
        <v>-2.0625314850731695</v>
      </c>
      <c r="DT64" s="37">
        <v>2.38016123855498</v>
      </c>
      <c r="DU64" s="90">
        <v>-0.73782937529321069</v>
      </c>
      <c r="ED64" s="123">
        <v>8.6493518754719778E-2</v>
      </c>
      <c r="EE64" s="37">
        <v>-1.8783389815650693</v>
      </c>
      <c r="EF64" s="37">
        <v>1.8665588209534916</v>
      </c>
      <c r="EG64" s="90">
        <v>-0.63367370927357536</v>
      </c>
    </row>
    <row r="65" spans="1:137" x14ac:dyDescent="0.25">
      <c r="A65" s="91">
        <v>0.30145846294129131</v>
      </c>
      <c r="B65" s="92">
        <v>-0.74107631451599432</v>
      </c>
      <c r="C65" s="92">
        <v>-0.3441987786860507</v>
      </c>
      <c r="D65" s="93">
        <v>0.23397915226264601</v>
      </c>
      <c r="E65" s="91">
        <v>6.3333904536896662E-2</v>
      </c>
      <c r="F65" s="92">
        <v>-0.83493103442524585</v>
      </c>
      <c r="G65" s="92">
        <v>-0.1840969221434437</v>
      </c>
      <c r="H65" s="93">
        <v>0.27978144917964382</v>
      </c>
      <c r="CG65">
        <f t="shared" si="3"/>
        <v>47</v>
      </c>
      <c r="CH65" s="123">
        <v>-2.1885836870049542</v>
      </c>
      <c r="CI65" s="37">
        <v>-1.5309570107120625</v>
      </c>
      <c r="CJ65" s="37">
        <v>0.11305438216713894</v>
      </c>
      <c r="CK65" s="90">
        <v>0.63811021555034719</v>
      </c>
      <c r="CY65">
        <f t="shared" si="4"/>
        <v>47</v>
      </c>
      <c r="CZ65" s="123">
        <v>-2.4797765384863344</v>
      </c>
      <c r="DA65" s="37">
        <v>-1.3570720559729939</v>
      </c>
      <c r="DB65" s="37">
        <v>0.25039011391804467</v>
      </c>
      <c r="DC65" s="90">
        <v>0.80485008736479757</v>
      </c>
      <c r="DQ65">
        <f t="shared" si="6"/>
        <v>40</v>
      </c>
      <c r="DR65" s="123">
        <v>-0.88520764027027432</v>
      </c>
      <c r="DS65" s="37">
        <v>1.0190460785106528</v>
      </c>
      <c r="DT65" s="37">
        <v>-1.2091637717064789</v>
      </c>
      <c r="DU65" s="90">
        <v>-0.41780175226401084</v>
      </c>
      <c r="ED65" s="123">
        <v>-0.56082902012000824</v>
      </c>
      <c r="EE65" s="37">
        <v>0.92804109276890523</v>
      </c>
      <c r="EF65" s="37">
        <v>-0.94824471027280266</v>
      </c>
      <c r="EG65" s="90">
        <v>-0.35882277795313378</v>
      </c>
    </row>
    <row r="66" spans="1:137" x14ac:dyDescent="0.25">
      <c r="J66" t="s">
        <v>625</v>
      </c>
      <c r="O66" t="s">
        <v>626</v>
      </c>
      <c r="CG66">
        <f t="shared" si="3"/>
        <v>48</v>
      </c>
      <c r="CH66" s="123">
        <v>1.4861288904645551</v>
      </c>
      <c r="CI66" s="37">
        <v>0.66172082260005938</v>
      </c>
      <c r="CJ66" s="37">
        <v>-2.9001424722131945</v>
      </c>
      <c r="CK66" s="90">
        <v>-1.8177577279533095</v>
      </c>
      <c r="CY66">
        <f t="shared" si="4"/>
        <v>48</v>
      </c>
      <c r="CZ66" s="123">
        <v>1.6104556328001318</v>
      </c>
      <c r="DA66" s="37">
        <v>0.64123066967031184</v>
      </c>
      <c r="DB66" s="37">
        <v>-2.9410833926738196</v>
      </c>
      <c r="DC66" s="90">
        <v>-1.9135222061071377</v>
      </c>
      <c r="DQ66">
        <f t="shared" si="6"/>
        <v>41</v>
      </c>
      <c r="DR66" s="123">
        <v>-0.33995301165966607</v>
      </c>
      <c r="DS66" s="37">
        <v>9.9070026370657871E-3</v>
      </c>
      <c r="DT66" s="37">
        <v>0.97125073198639134</v>
      </c>
      <c r="DU66" s="90">
        <v>1.9228055684661256E-2</v>
      </c>
      <c r="ED66" s="123">
        <v>-0.21537942708868252</v>
      </c>
      <c r="EE66" s="37">
        <v>9.022266752455637E-3</v>
      </c>
      <c r="EF66" s="37">
        <v>0.76166966833194971</v>
      </c>
      <c r="EG66" s="90">
        <v>1.6513727666340409E-2</v>
      </c>
    </row>
    <row r="67" spans="1:137" x14ac:dyDescent="0.25">
      <c r="A67" s="156">
        <f t="array" ref="A67:H75">[1]!ELIM(A57:H65)</f>
        <v>1</v>
      </c>
      <c r="B67" s="157">
        <v>0</v>
      </c>
      <c r="C67" s="157">
        <v>0</v>
      </c>
      <c r="D67" s="158">
        <v>0</v>
      </c>
      <c r="E67" s="156">
        <v>0.80784929677983408</v>
      </c>
      <c r="F67" s="157">
        <v>-0.28658673236580195</v>
      </c>
      <c r="G67" s="157">
        <v>0.41128207225987168</v>
      </c>
      <c r="H67" s="158">
        <v>0.30999131530067953</v>
      </c>
      <c r="J67" s="217">
        <f t="array" ref="J67:M70">MMULT(TRANSPOSE(E67:H70),E67:H70)</f>
        <v>0.99999999999999967</v>
      </c>
      <c r="K67" s="218">
        <v>-2.0816681711721685E-17</v>
      </c>
      <c r="L67" s="218">
        <v>1.0408340855860843E-16</v>
      </c>
      <c r="M67" s="219">
        <v>1.1102230246251565E-16</v>
      </c>
      <c r="O67" s="241">
        <f>MDETERM(E67:H70)</f>
        <v>0.99999999999999989</v>
      </c>
      <c r="CG67">
        <f t="shared" si="3"/>
        <v>49</v>
      </c>
      <c r="CH67" s="123">
        <v>-0.7675118797855297</v>
      </c>
      <c r="CI67" s="37">
        <v>-1.4221666469988898</v>
      </c>
      <c r="CJ67" s="37">
        <v>1.0342011403923579</v>
      </c>
      <c r="CK67" s="90">
        <v>-1.0766696712552788</v>
      </c>
      <c r="CY67">
        <f t="shared" si="4"/>
        <v>49</v>
      </c>
      <c r="CZ67" s="123">
        <v>-0.62575933691769037</v>
      </c>
      <c r="DA67" s="37">
        <v>-1.3964933289767758</v>
      </c>
      <c r="DB67" s="37">
        <v>0.88078877828622792</v>
      </c>
      <c r="DC67" s="90">
        <v>-0.96999845495287329</v>
      </c>
      <c r="DQ67">
        <f t="shared" si="6"/>
        <v>42</v>
      </c>
      <c r="DR67" s="123">
        <v>-0.55435912475309024</v>
      </c>
      <c r="DS67" s="37">
        <v>-0.11262171602723747</v>
      </c>
      <c r="DT67" s="37">
        <v>0.16821572139939975</v>
      </c>
      <c r="DU67" s="90">
        <v>5.9488814983629235E-3</v>
      </c>
      <c r="ED67" s="123">
        <v>-0.35121780538963249</v>
      </c>
      <c r="EE67" s="37">
        <v>-0.10256413582806814</v>
      </c>
      <c r="EF67" s="37">
        <v>0.13191733968062089</v>
      </c>
      <c r="EG67" s="90">
        <v>5.1091077847077223E-3</v>
      </c>
    </row>
    <row r="68" spans="1:137" x14ac:dyDescent="0.25">
      <c r="A68" s="123">
        <v>0</v>
      </c>
      <c r="B68" s="37">
        <v>1</v>
      </c>
      <c r="C68" s="37">
        <v>0</v>
      </c>
      <c r="D68" s="90">
        <v>0</v>
      </c>
      <c r="E68" s="123">
        <v>0.26139328691084041</v>
      </c>
      <c r="F68" s="37">
        <v>0.9521093793518427</v>
      </c>
      <c r="G68" s="37">
        <v>3.3079115392276398E-2</v>
      </c>
      <c r="H68" s="90">
        <v>0.1551355904783315</v>
      </c>
      <c r="J68" s="123">
        <v>-2.0816681711721685E-17</v>
      </c>
      <c r="K68" s="37">
        <v>1.0000000000000002</v>
      </c>
      <c r="L68" s="37">
        <v>3.2092384305570931E-17</v>
      </c>
      <c r="M68" s="90">
        <v>-9.0205620750793969E-17</v>
      </c>
      <c r="CG68">
        <f t="shared" si="3"/>
        <v>50</v>
      </c>
      <c r="CH68" s="123">
        <v>7.2232372378740986E-2</v>
      </c>
      <c r="CI68" s="37">
        <v>-0.7038630689310108</v>
      </c>
      <c r="CJ68" s="37">
        <v>0.63496503604835397</v>
      </c>
      <c r="CK68" s="90">
        <v>0.76693807066023933</v>
      </c>
      <c r="CY68">
        <f t="shared" si="4"/>
        <v>50</v>
      </c>
      <c r="CZ68" s="123">
        <v>0.25145151287019413</v>
      </c>
      <c r="DA68" s="37">
        <v>-0.69734027561164891</v>
      </c>
      <c r="DB68" s="37">
        <v>0.63514580419900579</v>
      </c>
      <c r="DC68" s="90">
        <v>0.8699281591936634</v>
      </c>
      <c r="DQ68">
        <f t="shared" si="6"/>
        <v>43</v>
      </c>
      <c r="DR68" s="123">
        <v>3.6044446743185112</v>
      </c>
      <c r="DS68" s="37">
        <v>0.93056923825043614</v>
      </c>
      <c r="DT68" s="37">
        <v>-1.1903586919676239</v>
      </c>
      <c r="DU68" s="90">
        <v>-1.2760411289578859</v>
      </c>
      <c r="ED68" s="123">
        <v>2.2836192129539565</v>
      </c>
      <c r="EE68" s="37">
        <v>0.84746559647747521</v>
      </c>
      <c r="EF68" s="37">
        <v>-0.93349747933032934</v>
      </c>
      <c r="EG68" s="90">
        <v>-1.095908813675319</v>
      </c>
    </row>
    <row r="69" spans="1:137" x14ac:dyDescent="0.25">
      <c r="A69" s="123">
        <v>0</v>
      </c>
      <c r="B69" s="37">
        <v>0</v>
      </c>
      <c r="C69" s="37">
        <v>1</v>
      </c>
      <c r="D69" s="90">
        <v>0</v>
      </c>
      <c r="E69" s="123">
        <v>-0.32326730781559176</v>
      </c>
      <c r="F69" s="37">
        <v>0.10028057803973042</v>
      </c>
      <c r="G69" s="37">
        <v>0.90336554466888974</v>
      </c>
      <c r="H69" s="90">
        <v>-0.26338706511663901</v>
      </c>
      <c r="J69" s="123">
        <v>1.0408340855860843E-16</v>
      </c>
      <c r="K69" s="37">
        <v>3.2092384305570931E-17</v>
      </c>
      <c r="L69" s="37">
        <v>0.99999999999999944</v>
      </c>
      <c r="M69" s="90">
        <v>1.1102230246251565E-16</v>
      </c>
      <c r="CG69">
        <f t="shared" si="3"/>
        <v>51</v>
      </c>
      <c r="CH69" s="123">
        <v>-1.9685191273563438</v>
      </c>
      <c r="CI69" s="37">
        <v>-1.1728411370844076</v>
      </c>
      <c r="CJ69" s="37">
        <v>-6.223057487117431E-2</v>
      </c>
      <c r="CK69" s="90">
        <v>1.9328774661264951</v>
      </c>
      <c r="CY69">
        <f t="shared" si="4"/>
        <v>51</v>
      </c>
      <c r="CZ69" s="123">
        <v>-2.3937347822073214</v>
      </c>
      <c r="DA69" s="37">
        <v>-1.0014485866229013</v>
      </c>
      <c r="DB69" s="37">
        <v>-1.0341403935009749E-2</v>
      </c>
      <c r="DC69" s="90">
        <v>1.8715882558655264</v>
      </c>
      <c r="DQ69">
        <f t="shared" si="6"/>
        <v>44</v>
      </c>
      <c r="DR69" s="123">
        <v>1.5710187254612393</v>
      </c>
      <c r="DS69" s="37">
        <v>-1.1864946266737086</v>
      </c>
      <c r="DT69" s="37">
        <v>1.981432448710436</v>
      </c>
      <c r="DU69" s="90">
        <v>0.75096911210243777</v>
      </c>
      <c r="ED69" s="123">
        <v>0.99532906440075364</v>
      </c>
      <c r="EE69" s="37">
        <v>-1.0805358002181764</v>
      </c>
      <c r="EF69" s="37">
        <v>1.5538696099047953</v>
      </c>
      <c r="EG69" s="90">
        <v>0.64495857545211777</v>
      </c>
    </row>
    <row r="70" spans="1:137" x14ac:dyDescent="0.25">
      <c r="A70" s="123">
        <v>0</v>
      </c>
      <c r="B70" s="37">
        <v>0</v>
      </c>
      <c r="C70" s="37">
        <v>0</v>
      </c>
      <c r="D70" s="90">
        <v>1</v>
      </c>
      <c r="E70" s="91">
        <v>-0.4177933830829943</v>
      </c>
      <c r="F70" s="92">
        <v>-3.6049691401714434E-2</v>
      </c>
      <c r="G70" s="92">
        <v>0.11697658683501494</v>
      </c>
      <c r="H70" s="93">
        <v>0.90025862224937236</v>
      </c>
      <c r="J70" s="91">
        <v>1.1102230246251565E-16</v>
      </c>
      <c r="K70" s="92">
        <v>-9.0205620750793969E-17</v>
      </c>
      <c r="L70" s="92">
        <v>1.1102230246251565E-16</v>
      </c>
      <c r="M70" s="93">
        <v>1.0000000000000007</v>
      </c>
      <c r="CG70">
        <f t="shared" si="3"/>
        <v>52</v>
      </c>
      <c r="CH70" s="123">
        <v>-0.41656657973487704</v>
      </c>
      <c r="CI70" s="37">
        <v>-1.8849422572266104</v>
      </c>
      <c r="CJ70" s="37">
        <v>-1.9261676113869557</v>
      </c>
      <c r="CK70" s="90">
        <v>0.13912273490777174</v>
      </c>
      <c r="CY70">
        <f t="shared" si="4"/>
        <v>52</v>
      </c>
      <c r="CZ70" s="123">
        <v>-0.30661730171055623</v>
      </c>
      <c r="DA70" s="37">
        <v>-1.4915912527490314</v>
      </c>
      <c r="DB70" s="37">
        <v>-1.8573385342515851</v>
      </c>
      <c r="DC70" s="90">
        <v>0.45059259589495237</v>
      </c>
      <c r="DQ70">
        <f t="shared" si="6"/>
        <v>45</v>
      </c>
      <c r="DR70" s="123">
        <v>-1.9311189175137824</v>
      </c>
      <c r="DS70" s="37">
        <v>-0.98798662124415915</v>
      </c>
      <c r="DT70" s="37">
        <v>1.0922338585896094</v>
      </c>
      <c r="DU70" s="90">
        <v>2.1018275936902286</v>
      </c>
      <c r="ED70" s="123">
        <v>-1.2234728678051088</v>
      </c>
      <c r="EE70" s="37">
        <v>-0.89975537216191059</v>
      </c>
      <c r="EF70" s="37">
        <v>0.85654648528443011</v>
      </c>
      <c r="EG70" s="90">
        <v>1.8051231519725803</v>
      </c>
    </row>
    <row r="71" spans="1:137" x14ac:dyDescent="0.25">
      <c r="A71" s="123">
        <v>0</v>
      </c>
      <c r="B71" s="37">
        <v>0</v>
      </c>
      <c r="C71" s="37">
        <v>0</v>
      </c>
      <c r="D71" s="90">
        <v>0</v>
      </c>
      <c r="E71" s="123">
        <v>1.1102230246251565E-16</v>
      </c>
      <c r="F71" s="37">
        <v>3.4694469519536142E-18</v>
      </c>
      <c r="G71" s="37">
        <v>3.7470027081099033E-16</v>
      </c>
      <c r="H71" s="90">
        <v>2.7755575615628914E-17</v>
      </c>
      <c r="CG71">
        <f t="shared" si="3"/>
        <v>53</v>
      </c>
      <c r="CH71" s="123">
        <v>1.8906204934139752</v>
      </c>
      <c r="CI71" s="37">
        <v>1.5064743124607414</v>
      </c>
      <c r="CJ71" s="37">
        <v>3.8959334512571081E-2</v>
      </c>
      <c r="CK71" s="90">
        <v>-1.3320753275389308</v>
      </c>
      <c r="CY71">
        <f t="shared" si="4"/>
        <v>53</v>
      </c>
      <c r="CZ71" s="123">
        <v>2.0667411893932974</v>
      </c>
      <c r="DA71" s="37">
        <v>1.3953405754008421</v>
      </c>
      <c r="DB71" s="37">
        <v>-4.1358555311017814E-3</v>
      </c>
      <c r="DC71" s="90">
        <v>-1.5125449720310633</v>
      </c>
      <c r="DQ71">
        <f t="shared" si="6"/>
        <v>46</v>
      </c>
      <c r="DR71" s="123">
        <v>-0.97075824698292446</v>
      </c>
      <c r="DS71" s="37">
        <v>-0.46131671724530338</v>
      </c>
      <c r="DT71" s="37">
        <v>0.27089676173771909</v>
      </c>
      <c r="DU71" s="90">
        <v>0.30903252174746931</v>
      </c>
      <c r="ED71" s="123">
        <v>-0.61503015977429154</v>
      </c>
      <c r="EE71" s="37">
        <v>-0.42011924623722496</v>
      </c>
      <c r="EF71" s="37">
        <v>0.21244138086050757</v>
      </c>
      <c r="EG71" s="90">
        <v>0.26540795324673166</v>
      </c>
    </row>
    <row r="72" spans="1:137" x14ac:dyDescent="0.25">
      <c r="A72" s="123">
        <v>0</v>
      </c>
      <c r="B72" s="37">
        <v>0</v>
      </c>
      <c r="C72" s="37">
        <v>0</v>
      </c>
      <c r="D72" s="90">
        <v>0</v>
      </c>
      <c r="E72" s="123">
        <v>2.9837243786801082E-16</v>
      </c>
      <c r="F72" s="37">
        <v>-4.9873299934333204E-17</v>
      </c>
      <c r="G72" s="37">
        <v>-1.0061396160665481E-16</v>
      </c>
      <c r="H72" s="90">
        <v>-9.7144514654701197E-17</v>
      </c>
      <c r="CG72">
        <f t="shared" si="3"/>
        <v>54</v>
      </c>
      <c r="CH72" s="123">
        <v>-1.5687135649310981</v>
      </c>
      <c r="CI72" s="37">
        <v>-0.78963165906956301</v>
      </c>
      <c r="CJ72" s="37">
        <v>1.379762547408723</v>
      </c>
      <c r="CK72" s="90">
        <v>-0.30059882968057172</v>
      </c>
      <c r="CY72">
        <f t="shared" si="4"/>
        <v>54</v>
      </c>
      <c r="CZ72" s="123">
        <v>-1.2079050367356274</v>
      </c>
      <c r="DA72" s="37">
        <v>-0.5415695883834537</v>
      </c>
      <c r="DB72" s="37">
        <v>1.3859918302700727</v>
      </c>
      <c r="DC72" s="90">
        <v>0.19268008259390984</v>
      </c>
      <c r="DQ72">
        <f t="shared" si="6"/>
        <v>47</v>
      </c>
      <c r="DR72" s="123">
        <v>-2.4575935074064996</v>
      </c>
      <c r="DS72" s="37">
        <v>-1.3460037325528904</v>
      </c>
      <c r="DT72" s="37">
        <v>0.25231379777953716</v>
      </c>
      <c r="DU72" s="90">
        <v>0.81992000451721847</v>
      </c>
      <c r="ED72" s="123">
        <v>-1.5570242459625152</v>
      </c>
      <c r="EE72" s="37">
        <v>-1.2258000900754671</v>
      </c>
      <c r="EF72" s="37">
        <v>0.19786833650798982</v>
      </c>
      <c r="EG72" s="90">
        <v>0.704176016797326</v>
      </c>
    </row>
    <row r="73" spans="1:137" x14ac:dyDescent="0.25">
      <c r="A73" s="123">
        <v>0</v>
      </c>
      <c r="B73" s="37">
        <v>0</v>
      </c>
      <c r="C73" s="37">
        <v>0</v>
      </c>
      <c r="D73" s="90">
        <v>0</v>
      </c>
      <c r="E73" s="123">
        <v>-5.5511151231257827E-17</v>
      </c>
      <c r="F73" s="37">
        <v>-4.163336342344337E-17</v>
      </c>
      <c r="G73" s="37">
        <v>-2.6367796834847468E-16</v>
      </c>
      <c r="H73" s="90">
        <v>0</v>
      </c>
      <c r="CG73">
        <f t="shared" si="3"/>
        <v>55</v>
      </c>
      <c r="CH73" s="123">
        <v>1.0144859295003503</v>
      </c>
      <c r="CI73" s="37">
        <v>-1.1727308498100983</v>
      </c>
      <c r="CJ73" s="37">
        <v>-0.70109137395943233</v>
      </c>
      <c r="CK73" s="90">
        <v>-1.6631060637714661</v>
      </c>
      <c r="CY73">
        <f t="shared" si="4"/>
        <v>55</v>
      </c>
      <c r="CZ73" s="123">
        <v>0.82017234788173288</v>
      </c>
      <c r="DA73" s="37">
        <v>-1.1162856583098828</v>
      </c>
      <c r="DB73" s="37">
        <v>-0.86104348820081245</v>
      </c>
      <c r="DC73" s="90">
        <v>-1.941464423465479</v>
      </c>
      <c r="DQ73">
        <f t="shared" si="6"/>
        <v>48</v>
      </c>
      <c r="DR73" s="123">
        <v>1.599573380088426</v>
      </c>
      <c r="DS73" s="37">
        <v>0.65321774394853616</v>
      </c>
      <c r="DT73" s="37">
        <v>-2.9181668551397322</v>
      </c>
      <c r="DU73" s="90">
        <v>-1.8949192040114973</v>
      </c>
      <c r="ED73" s="123">
        <v>1.0134200503411155</v>
      </c>
      <c r="EE73" s="37">
        <v>0.59488272580963697</v>
      </c>
      <c r="EF73" s="37">
        <v>-2.288471048197585</v>
      </c>
      <c r="EG73" s="90">
        <v>-1.6274229801470272</v>
      </c>
    </row>
    <row r="74" spans="1:137" x14ac:dyDescent="0.25">
      <c r="A74" s="123">
        <v>0</v>
      </c>
      <c r="B74" s="37">
        <v>0</v>
      </c>
      <c r="C74" s="37">
        <v>0</v>
      </c>
      <c r="D74" s="90">
        <v>0</v>
      </c>
      <c r="E74" s="123">
        <v>5.5511151231257827E-17</v>
      </c>
      <c r="F74" s="37">
        <v>3.8163916471489756E-17</v>
      </c>
      <c r="G74" s="37">
        <v>1.457167719820518E-16</v>
      </c>
      <c r="H74" s="90">
        <v>-1.1102230246251565E-16</v>
      </c>
      <c r="CG74">
        <f t="shared" si="3"/>
        <v>56</v>
      </c>
      <c r="CH74" s="123">
        <v>-1.0811189820831746</v>
      </c>
      <c r="CI74" s="37">
        <v>-0.24084542297277617</v>
      </c>
      <c r="CJ74" s="37">
        <v>-0.78444200015697252</v>
      </c>
      <c r="CK74" s="90">
        <v>9.5776869177213411E-2</v>
      </c>
      <c r="CY74">
        <f t="shared" si="4"/>
        <v>56</v>
      </c>
      <c r="CZ74" s="123">
        <v>-1.3141793623699833</v>
      </c>
      <c r="DA74" s="37">
        <v>-0.23346911227955464</v>
      </c>
      <c r="DB74" s="37">
        <v>-0.80532298331161023</v>
      </c>
      <c r="DC74" s="90">
        <v>7.7937075814758471E-3</v>
      </c>
      <c r="DQ74">
        <f t="shared" si="6"/>
        <v>49</v>
      </c>
      <c r="DR74" s="123">
        <v>-0.6104706723322052</v>
      </c>
      <c r="DS74" s="37">
        <v>-1.3733326412376214</v>
      </c>
      <c r="DT74" s="37">
        <v>0.89511779770812683</v>
      </c>
      <c r="DU74" s="90">
        <v>-0.9389028038637538</v>
      </c>
      <c r="ED74" s="123">
        <v>-0.38676763891411953</v>
      </c>
      <c r="EE74" s="37">
        <v>-1.2506884153580948</v>
      </c>
      <c r="EF74" s="37">
        <v>0.70196505767773987</v>
      </c>
      <c r="EG74" s="90">
        <v>-0.80636261213545601</v>
      </c>
    </row>
    <row r="75" spans="1:137" x14ac:dyDescent="0.25">
      <c r="A75" s="91">
        <v>0</v>
      </c>
      <c r="B75" s="92">
        <v>0</v>
      </c>
      <c r="C75" s="92">
        <v>0</v>
      </c>
      <c r="D75" s="93">
        <v>0</v>
      </c>
      <c r="E75" s="91">
        <v>2.4980018054066022E-16</v>
      </c>
      <c r="F75" s="92">
        <v>8.3266726846886741E-17</v>
      </c>
      <c r="G75" s="92">
        <v>-6.9388939039072284E-18</v>
      </c>
      <c r="H75" s="93">
        <v>-5.5511151231257827E-17</v>
      </c>
      <c r="CG75">
        <f t="shared" si="3"/>
        <v>57</v>
      </c>
      <c r="CH75" s="123">
        <v>-1.4077122012670238</v>
      </c>
      <c r="CI75" s="37">
        <v>-1.5321402843631566</v>
      </c>
      <c r="CJ75" s="37">
        <v>1.2442681090900611</v>
      </c>
      <c r="CK75" s="90">
        <v>1.8678638197424191</v>
      </c>
      <c r="CY75">
        <f t="shared" si="4"/>
        <v>57</v>
      </c>
      <c r="CZ75" s="123">
        <v>-1.6165858274989662</v>
      </c>
      <c r="DA75" s="37">
        <v>-1.5643515849028857</v>
      </c>
      <c r="DB75" s="37">
        <v>1.2660837095492501</v>
      </c>
      <c r="DC75" s="90">
        <v>1.9914501427510567</v>
      </c>
      <c r="DQ75">
        <f t="shared" si="6"/>
        <v>50</v>
      </c>
      <c r="DR75" s="123">
        <v>0.24659113779733388</v>
      </c>
      <c r="DS75" s="37">
        <v>-0.70272170212303986</v>
      </c>
      <c r="DT75" s="37">
        <v>0.62763087408948648</v>
      </c>
      <c r="DU75" s="90">
        <v>0.85852469022350686</v>
      </c>
      <c r="ED75" s="123">
        <v>0.15622940866047189</v>
      </c>
      <c r="EE75" s="37">
        <v>-0.639965777900664</v>
      </c>
      <c r="EF75" s="37">
        <v>0.49219772398516864</v>
      </c>
      <c r="EG75" s="90">
        <v>0.73733107297426792</v>
      </c>
    </row>
    <row r="76" spans="1:137" x14ac:dyDescent="0.25">
      <c r="CG76">
        <f t="shared" si="3"/>
        <v>58</v>
      </c>
      <c r="CH76" s="123">
        <v>-0.89495244417539299</v>
      </c>
      <c r="CI76" s="37">
        <v>-0.12262731965720636</v>
      </c>
      <c r="CJ76" s="37">
        <v>0.53366103327148418</v>
      </c>
      <c r="CK76" s="90">
        <v>8.409912073462901E-2</v>
      </c>
      <c r="CY76">
        <f t="shared" si="4"/>
        <v>58</v>
      </c>
      <c r="CZ76" s="123">
        <v>-0.95468773088772896</v>
      </c>
      <c r="DA76" s="37">
        <v>-0.11799815119848955</v>
      </c>
      <c r="DB76" s="37">
        <v>0.46666762308558385</v>
      </c>
      <c r="DC76" s="90">
        <v>7.6556394785243426E-2</v>
      </c>
      <c r="DQ76">
        <f t="shared" si="6"/>
        <v>51</v>
      </c>
      <c r="DR76" s="123">
        <v>-2.3792966209152064</v>
      </c>
      <c r="DS76" s="37">
        <v>-1.0048580118836199</v>
      </c>
      <c r="DT76" s="37">
        <v>-1.9780032817550683E-2</v>
      </c>
      <c r="DU76" s="90">
        <v>1.8655858794744149</v>
      </c>
      <c r="ED76" s="123">
        <v>-1.507418747623219</v>
      </c>
      <c r="EE76" s="37">
        <v>-0.91512007856307698</v>
      </c>
      <c r="EF76" s="37">
        <v>-1.5511804047680249E-2</v>
      </c>
      <c r="EG76" s="90">
        <v>1.602230493662802</v>
      </c>
    </row>
    <row r="77" spans="1:137" x14ac:dyDescent="0.25">
      <c r="A77" t="s">
        <v>447</v>
      </c>
      <c r="CG77">
        <f t="shared" si="3"/>
        <v>59</v>
      </c>
      <c r="CH77" s="123">
        <v>0.1750135220203845</v>
      </c>
      <c r="CI77" s="37">
        <v>0.91126075044415034</v>
      </c>
      <c r="CJ77" s="37">
        <v>0.28006978667048743</v>
      </c>
      <c r="CK77" s="90">
        <v>0.97009147945308338</v>
      </c>
      <c r="CY77">
        <f t="shared" si="4"/>
        <v>59</v>
      </c>
      <c r="CZ77" s="123">
        <v>3.4590050866052657E-4</v>
      </c>
      <c r="DA77" s="37">
        <v>0.7655221982911411</v>
      </c>
      <c r="DB77" s="37">
        <v>0.21945759287879474</v>
      </c>
      <c r="DC77" s="90">
        <v>0.76288442707430348</v>
      </c>
      <c r="DQ77">
        <f t="shared" si="6"/>
        <v>52</v>
      </c>
      <c r="DR77" s="123">
        <v>-0.30646361319295157</v>
      </c>
      <c r="DS77" s="37">
        <v>-1.4820947515541376</v>
      </c>
      <c r="DT77" s="37">
        <v>-1.8474637373897327</v>
      </c>
      <c r="DU77" s="90">
        <v>0.4595071395958058</v>
      </c>
      <c r="ED77" s="123">
        <v>-0.19416200230373434</v>
      </c>
      <c r="EE77" s="37">
        <v>-1.3497376240626811</v>
      </c>
      <c r="EF77" s="37">
        <v>-1.4488092989490362</v>
      </c>
      <c r="EG77" s="90">
        <v>0.39464082528518457</v>
      </c>
    </row>
    <row r="78" spans="1:137" x14ac:dyDescent="0.25">
      <c r="CG78">
        <f t="shared" si="3"/>
        <v>60</v>
      </c>
      <c r="CH78" s="123">
        <v>0.73458188955021197</v>
      </c>
      <c r="CI78" s="37">
        <v>2.4008758959470886</v>
      </c>
      <c r="CJ78" s="37">
        <v>-0.16460131271543105</v>
      </c>
      <c r="CK78" s="90">
        <v>0.75678542087497025</v>
      </c>
      <c r="CY78">
        <f t="shared" si="4"/>
        <v>60</v>
      </c>
      <c r="CZ78" s="123">
        <v>0.55346371038752118</v>
      </c>
      <c r="DA78" s="37">
        <v>2.011934109198581</v>
      </c>
      <c r="DB78" s="37">
        <v>-0.21591862525413258</v>
      </c>
      <c r="DC78" s="90">
        <v>0.34973342040350874</v>
      </c>
      <c r="DQ78">
        <f t="shared" si="6"/>
        <v>53</v>
      </c>
      <c r="DR78" s="123">
        <v>2.0527177102620389</v>
      </c>
      <c r="DS78" s="37">
        <v>1.3929929434597685</v>
      </c>
      <c r="DT78" s="37">
        <v>4.0952330566208783E-4</v>
      </c>
      <c r="DU78" s="90">
        <v>-1.5134009555788237</v>
      </c>
      <c r="ED78" s="123">
        <v>1.300512568641806</v>
      </c>
      <c r="EE78" s="37">
        <v>1.2685929721226668</v>
      </c>
      <c r="EF78" s="37">
        <v>3.2115443533299349E-4</v>
      </c>
      <c r="EG78" s="90">
        <v>-1.2997617460794408</v>
      </c>
    </row>
    <row r="79" spans="1:137" x14ac:dyDescent="0.25">
      <c r="A79" t="s">
        <v>448</v>
      </c>
      <c r="CG79">
        <f t="shared" si="3"/>
        <v>61</v>
      </c>
      <c r="CH79" s="123">
        <v>-0.3866961173303502</v>
      </c>
      <c r="CI79" s="37">
        <v>0.33082836246287106</v>
      </c>
      <c r="CJ79" s="37">
        <v>-0.72967395927699696</v>
      </c>
      <c r="CK79" s="90">
        <v>-0.58032250491827819</v>
      </c>
      <c r="CY79">
        <f t="shared" si="4"/>
        <v>61</v>
      </c>
      <c r="CZ79" s="123">
        <v>-0.30454349860799135</v>
      </c>
      <c r="DA79" s="37">
        <v>0.32503949715952779</v>
      </c>
      <c r="DB79" s="37">
        <v>-0.74783106150241707</v>
      </c>
      <c r="DC79" s="90">
        <v>-0.54147271718672763</v>
      </c>
      <c r="DQ79">
        <f t="shared" si="6"/>
        <v>54</v>
      </c>
      <c r="DR79" s="123">
        <v>-1.194160914648251</v>
      </c>
      <c r="DS79" s="37">
        <v>-0.53596455975012491</v>
      </c>
      <c r="DT79" s="37">
        <v>1.3839545212765558</v>
      </c>
      <c r="DU79" s="90">
        <v>0.20094925506876141</v>
      </c>
      <c r="ED79" s="123">
        <v>-0.75656836335406052</v>
      </c>
      <c r="EE79" s="37">
        <v>-0.48810073087456712</v>
      </c>
      <c r="EF79" s="37">
        <v>1.0853182875356497</v>
      </c>
      <c r="EG79" s="90">
        <v>0.17258225830949178</v>
      </c>
    </row>
    <row r="80" spans="1:137" x14ac:dyDescent="0.25">
      <c r="CG80">
        <f t="shared" si="3"/>
        <v>62</v>
      </c>
      <c r="CH80" s="123">
        <v>0.72539719792911317</v>
      </c>
      <c r="CI80" s="37">
        <v>0.90773351474895148</v>
      </c>
      <c r="CJ80" s="37">
        <v>-0.75124858570081465</v>
      </c>
      <c r="CK80" s="90">
        <v>5.7147631587601902E-2</v>
      </c>
      <c r="CY80">
        <f t="shared" si="4"/>
        <v>62</v>
      </c>
      <c r="CZ80" s="123">
        <v>0.80492821705305695</v>
      </c>
      <c r="DA80" s="37">
        <v>0.92330717329653078</v>
      </c>
      <c r="DB80" s="37">
        <v>-0.80699115900335949</v>
      </c>
      <c r="DC80" s="90">
        <v>3.1906325200056582E-2</v>
      </c>
      <c r="DQ80">
        <f t="shared" si="6"/>
        <v>55</v>
      </c>
      <c r="DR80" s="123">
        <v>0.82360636068783422</v>
      </c>
      <c r="DS80" s="37">
        <v>-1.0888400598502161</v>
      </c>
      <c r="DT80" s="37">
        <v>-0.83497315504136149</v>
      </c>
      <c r="DU80" s="90">
        <v>-1.9047755269734217</v>
      </c>
      <c r="ED80" s="123">
        <v>0.52180113141379425</v>
      </c>
      <c r="EE80" s="37">
        <v>-0.99160218590978211</v>
      </c>
      <c r="EF80" s="37">
        <v>-0.65479870966557618</v>
      </c>
      <c r="EG80" s="90">
        <v>-1.6358879355150606</v>
      </c>
    </row>
    <row r="81" spans="1:137" ht="17.25" x14ac:dyDescent="0.25">
      <c r="A81" t="s">
        <v>208</v>
      </c>
      <c r="E81" t="s">
        <v>449</v>
      </c>
      <c r="G81" t="s">
        <v>450</v>
      </c>
      <c r="CG81">
        <f t="shared" si="3"/>
        <v>63</v>
      </c>
      <c r="CH81" s="123">
        <v>0.50126551314394918</v>
      </c>
      <c r="CI81" s="37">
        <v>-0.91781748492943249</v>
      </c>
      <c r="CJ81" s="37">
        <v>0.45650154727312364</v>
      </c>
      <c r="CK81" s="90">
        <v>-0.25048501328849249</v>
      </c>
      <c r="CY81">
        <f t="shared" si="4"/>
        <v>63</v>
      </c>
      <c r="CZ81" s="123">
        <v>0.41620384279700556</v>
      </c>
      <c r="DA81" s="37">
        <v>-0.93057130856514103</v>
      </c>
      <c r="DB81" s="37">
        <v>0.33932274200414325</v>
      </c>
      <c r="DC81" s="90">
        <v>-0.3577514525382125</v>
      </c>
      <c r="DQ81">
        <f t="shared" si="6"/>
        <v>56</v>
      </c>
      <c r="DR81" s="123">
        <v>-1.3025475622804323</v>
      </c>
      <c r="DS81" s="37">
        <v>-0.22614602375830362</v>
      </c>
      <c r="DT81" s="37">
        <v>-0.79946351518314185</v>
      </c>
      <c r="DU81" s="90">
        <v>1.9897440699425551E-2</v>
      </c>
      <c r="ED81" s="123">
        <v>-0.8252374242843179</v>
      </c>
      <c r="EE81" s="37">
        <v>-0.20595025822652724</v>
      </c>
      <c r="EF81" s="37">
        <v>-0.62695150736995309</v>
      </c>
      <c r="EG81" s="90">
        <v>1.7088618961593156E-2</v>
      </c>
    </row>
    <row r="82" spans="1:137" x14ac:dyDescent="0.25">
      <c r="A82" s="156">
        <f t="array" ref="A82:D90">B44:E52</f>
        <v>-0.18443788055245225</v>
      </c>
      <c r="B82" s="157">
        <v>0.76673944089161006</v>
      </c>
      <c r="C82" s="157">
        <v>-0.27758481196302998</v>
      </c>
      <c r="D82" s="158">
        <v>0.11515839253464147</v>
      </c>
      <c r="E82" s="172">
        <f>SUMSQ(A82:D82)</f>
        <v>0.71222148520517259</v>
      </c>
      <c r="G82" s="156">
        <f>(A82/$E82)^2</f>
        <v>6.7061012241094203E-2</v>
      </c>
      <c r="H82" s="157">
        <f t="shared" ref="H82:J90" si="19">(B82/$E82)^2</f>
        <v>1.1589520455194249</v>
      </c>
      <c r="I82" s="157">
        <f t="shared" si="19"/>
        <v>0.15190121888473801</v>
      </c>
      <c r="J82" s="158">
        <f t="shared" si="19"/>
        <v>2.6143338538769323E-2</v>
      </c>
      <c r="CG82">
        <f t="shared" si="3"/>
        <v>64</v>
      </c>
      <c r="CH82" s="123">
        <v>-0.77846614521608193</v>
      </c>
      <c r="CI82" s="37">
        <v>0.59417859428616338</v>
      </c>
      <c r="CJ82" s="37">
        <v>-1.7461291099066063</v>
      </c>
      <c r="CK82" s="90">
        <v>-0.27086308281888094</v>
      </c>
      <c r="CY82">
        <f t="shared" si="4"/>
        <v>64</v>
      </c>
      <c r="CZ82" s="123">
        <v>-0.95853170896730566</v>
      </c>
      <c r="DA82" s="37">
        <v>0.47691393238133256</v>
      </c>
      <c r="DB82" s="37">
        <v>-1.6815681466071266</v>
      </c>
      <c r="DC82" s="90">
        <v>-0.39226908191647319</v>
      </c>
      <c r="DQ82">
        <f t="shared" si="6"/>
        <v>57</v>
      </c>
      <c r="DR82" s="123">
        <v>-1.6071208164983499</v>
      </c>
      <c r="DS82" s="37">
        <v>-1.5685541851546168</v>
      </c>
      <c r="DT82" s="37">
        <v>1.2527375473674474</v>
      </c>
      <c r="DU82" s="90">
        <v>1.9810081606709413</v>
      </c>
      <c r="ED82" s="123">
        <v>-1.018201777445169</v>
      </c>
      <c r="EE82" s="37">
        <v>-1.4284758763662844</v>
      </c>
      <c r="EF82" s="37">
        <v>0.98241593111480219</v>
      </c>
      <c r="EG82" s="90">
        <v>1.7013591913099442</v>
      </c>
    </row>
    <row r="83" spans="1:137" x14ac:dyDescent="0.25">
      <c r="A83" s="123">
        <v>0.69848518848974062</v>
      </c>
      <c r="B83" s="37">
        <v>-0.30363015858216247</v>
      </c>
      <c r="C83" s="37">
        <v>-0.19538523477692776</v>
      </c>
      <c r="D83" s="90">
        <v>-0.26479923502506097</v>
      </c>
      <c r="E83" s="173">
        <f t="shared" ref="E83:E90" si="20">SUMSQ(A83:D83)</f>
        <v>0.6883668565788702</v>
      </c>
      <c r="G83" s="123">
        <f t="shared" ref="G83:G90" si="21">(A83/$E83)^2</f>
        <v>1.0296141416334754</v>
      </c>
      <c r="H83" s="37">
        <f t="shared" si="19"/>
        <v>0.19455836557279607</v>
      </c>
      <c r="I83" s="37">
        <f t="shared" si="19"/>
        <v>8.0564474484229182E-2</v>
      </c>
      <c r="J83" s="90">
        <f t="shared" si="19"/>
        <v>0.14797677180123855</v>
      </c>
      <c r="CG83">
        <f t="shared" si="3"/>
        <v>65</v>
      </c>
      <c r="CH83" s="123">
        <v>2.993964648606378</v>
      </c>
      <c r="CI83" s="37">
        <v>3.5919063553502228</v>
      </c>
      <c r="CJ83" s="37">
        <v>-1.7950472252439258</v>
      </c>
      <c r="CK83" s="90">
        <v>-0.95535329698390614</v>
      </c>
      <c r="CY83">
        <f t="shared" si="4"/>
        <v>65</v>
      </c>
      <c r="CZ83" s="123">
        <v>3.025463689266338</v>
      </c>
      <c r="DA83" s="37">
        <v>3.2436589840046226</v>
      </c>
      <c r="DB83" s="37">
        <v>-1.9109068664726587</v>
      </c>
      <c r="DC83" s="90">
        <v>-1.3576420731882721</v>
      </c>
      <c r="DQ83">
        <f t="shared" si="6"/>
        <v>58</v>
      </c>
      <c r="DR83" s="123">
        <v>-0.94500312080876581</v>
      </c>
      <c r="DS83" s="37">
        <v>-0.11468995766388884</v>
      </c>
      <c r="DT83" s="37">
        <v>0.46639134678741845</v>
      </c>
      <c r="DU83" s="90">
        <v>8.2548047570831326E-2</v>
      </c>
      <c r="ED83" s="123">
        <v>-0.59871283317404844</v>
      </c>
      <c r="EE83" s="37">
        <v>-0.10444767502130398</v>
      </c>
      <c r="EF83" s="37">
        <v>0.36575122233775753</v>
      </c>
      <c r="EG83" s="90">
        <v>7.0895154420645048E-2</v>
      </c>
    </row>
    <row r="84" spans="1:137" x14ac:dyDescent="0.25">
      <c r="A84" s="123">
        <v>0.75409390641255702</v>
      </c>
      <c r="B84" s="37">
        <v>0.34865162907379821</v>
      </c>
      <c r="C84" s="37">
        <v>-0.20204851885939915</v>
      </c>
      <c r="D84" s="90">
        <v>-0.30587511636421028</v>
      </c>
      <c r="E84" s="173">
        <f t="shared" si="20"/>
        <v>0.82459876892845996</v>
      </c>
      <c r="G84" s="123">
        <f t="shared" si="21"/>
        <v>0.83630655080388161</v>
      </c>
      <c r="H84" s="37">
        <f t="shared" si="19"/>
        <v>0.17877139677583342</v>
      </c>
      <c r="I84" s="37">
        <f t="shared" si="19"/>
        <v>6.0037967044165703E-2</v>
      </c>
      <c r="J84" s="90">
        <f t="shared" si="19"/>
        <v>0.13759508820658459</v>
      </c>
      <c r="CG84">
        <f t="shared" si="3"/>
        <v>66</v>
      </c>
      <c r="CH84" s="123">
        <v>-0.5482980786735796</v>
      </c>
      <c r="CI84" s="37">
        <v>-0.78298979769354082</v>
      </c>
      <c r="CJ84" s="37">
        <v>0.8847859987076574</v>
      </c>
      <c r="CK84" s="90">
        <v>0.35873392302781193</v>
      </c>
      <c r="CY84">
        <f t="shared" si="4"/>
        <v>66</v>
      </c>
      <c r="CZ84" s="123">
        <v>-0.76291879833447063</v>
      </c>
      <c r="DA84" s="37">
        <v>-0.81242460915873815</v>
      </c>
      <c r="DB84" s="37">
        <v>1.0093641573934056</v>
      </c>
      <c r="DC84" s="90">
        <v>0.32894152639618535</v>
      </c>
      <c r="DQ84">
        <f t="shared" si="6"/>
        <v>59</v>
      </c>
      <c r="DR84" s="123">
        <v>-4.8791074931533521E-3</v>
      </c>
      <c r="DS84" s="37">
        <v>0.75104704214079676</v>
      </c>
      <c r="DT84" s="37">
        <v>0.2074925279266738</v>
      </c>
      <c r="DU84" s="90">
        <v>0.74362793199238231</v>
      </c>
      <c r="ED84" s="123">
        <v>-3.0911900778555356E-3</v>
      </c>
      <c r="EE84" s="37">
        <v>0.68397546726039704</v>
      </c>
      <c r="EF84" s="37">
        <v>0.16271881165437499</v>
      </c>
      <c r="EG84" s="90">
        <v>0.63865371285575456</v>
      </c>
    </row>
    <row r="85" spans="1:137" x14ac:dyDescent="0.25">
      <c r="A85" s="123">
        <v>0.36597842708944173</v>
      </c>
      <c r="B85" s="37">
        <v>0.16252503821235492</v>
      </c>
      <c r="C85" s="37">
        <v>-0.19730233536452252</v>
      </c>
      <c r="D85" s="90">
        <v>0.84984515757982271</v>
      </c>
      <c r="E85" s="173">
        <f t="shared" si="20"/>
        <v>0.92151960054295756</v>
      </c>
      <c r="G85" s="123">
        <f t="shared" si="21"/>
        <v>0.1577254657646176</v>
      </c>
      <c r="H85" s="37">
        <f t="shared" si="19"/>
        <v>3.110508551230173E-2</v>
      </c>
      <c r="I85" s="37">
        <f t="shared" si="19"/>
        <v>4.5841128202420096E-2</v>
      </c>
      <c r="J85" s="90">
        <f t="shared" si="19"/>
        <v>0.85049243359085647</v>
      </c>
      <c r="CG85">
        <f t="shared" ref="CG85:CG138" si="22">CG84+1</f>
        <v>67</v>
      </c>
      <c r="CH85" s="123">
        <v>1.9355457262396984</v>
      </c>
      <c r="CI85" s="37">
        <v>1.5223489114715087</v>
      </c>
      <c r="CJ85" s="37">
        <v>-0.78636979284126762</v>
      </c>
      <c r="CK85" s="90">
        <v>-0.42862001536122191</v>
      </c>
      <c r="CY85">
        <f t="shared" ref="CY85:CY138" si="23">CY84+1</f>
        <v>67</v>
      </c>
      <c r="CZ85" s="123">
        <v>2.0482580589575181</v>
      </c>
      <c r="DA85" s="37">
        <v>1.46591971456478</v>
      </c>
      <c r="DB85" s="37">
        <v>-0.73360847732041001</v>
      </c>
      <c r="DC85" s="90">
        <v>-0.52877528849556377</v>
      </c>
      <c r="DQ85">
        <f t="shared" si="6"/>
        <v>60</v>
      </c>
      <c r="DR85" s="123">
        <v>0.54222707720264862</v>
      </c>
      <c r="DS85" s="37">
        <v>1.9903884105614886</v>
      </c>
      <c r="DT85" s="37">
        <v>-0.22945694551759577</v>
      </c>
      <c r="DU85" s="90">
        <v>0.32376956932664386</v>
      </c>
      <c r="ED85" s="123">
        <v>0.34353146827477649</v>
      </c>
      <c r="EE85" s="37">
        <v>1.812638578887126</v>
      </c>
      <c r="EF85" s="37">
        <v>-0.17994364362682222</v>
      </c>
      <c r="EG85" s="90">
        <v>0.27806464585879476</v>
      </c>
    </row>
    <row r="86" spans="1:137" x14ac:dyDescent="0.25">
      <c r="A86" s="123">
        <v>0.57816295036903198</v>
      </c>
      <c r="B86" s="37">
        <v>4.4133810816552592E-2</v>
      </c>
      <c r="C86" s="37">
        <v>0.45272186814106236</v>
      </c>
      <c r="D86" s="90">
        <v>0.15789519627173182</v>
      </c>
      <c r="E86" s="173">
        <f t="shared" si="20"/>
        <v>0.56610817333543717</v>
      </c>
      <c r="G86" s="123">
        <f t="shared" si="21"/>
        <v>1.0430416855274331</v>
      </c>
      <c r="H86" s="37">
        <f t="shared" si="19"/>
        <v>6.0777664538937091E-3</v>
      </c>
      <c r="I86" s="37">
        <f t="shared" si="19"/>
        <v>0.63953467383722951</v>
      </c>
      <c r="J86" s="90">
        <f t="shared" si="19"/>
        <v>7.7792724980518785E-2</v>
      </c>
      <c r="CG86">
        <f t="shared" si="22"/>
        <v>68</v>
      </c>
      <c r="CH86" s="123">
        <v>-1.8467772689349742</v>
      </c>
      <c r="CI86" s="37">
        <v>-0.18045437602982251</v>
      </c>
      <c r="CJ86" s="37">
        <v>0.78705976377727804</v>
      </c>
      <c r="CK86" s="90">
        <v>0.68879019217513493</v>
      </c>
      <c r="CY86">
        <f t="shared" si="23"/>
        <v>68</v>
      </c>
      <c r="CZ86" s="123">
        <v>-2.0551934877232449</v>
      </c>
      <c r="DA86" s="37">
        <v>-0.26139054274387397</v>
      </c>
      <c r="DB86" s="37">
        <v>0.84391039283194635</v>
      </c>
      <c r="DC86" s="90">
        <v>0.69571007848624211</v>
      </c>
      <c r="DQ86">
        <f t="shared" si="6"/>
        <v>61</v>
      </c>
      <c r="DR86" s="123">
        <v>-0.30047958726295543</v>
      </c>
      <c r="DS86" s="37">
        <v>0.33008344143646517</v>
      </c>
      <c r="DT86" s="37">
        <v>-0.74117951782568914</v>
      </c>
      <c r="DU86" s="90">
        <v>-0.53202575230493943</v>
      </c>
      <c r="ED86" s="123">
        <v>-0.19037078401096433</v>
      </c>
      <c r="EE86" s="37">
        <v>0.30060563909271332</v>
      </c>
      <c r="EF86" s="37">
        <v>-0.58124430584690367</v>
      </c>
      <c r="EG86" s="90">
        <v>-0.45692234977519142</v>
      </c>
    </row>
    <row r="87" spans="1:137" x14ac:dyDescent="0.25">
      <c r="A87" s="123">
        <v>0.29966683800482935</v>
      </c>
      <c r="B87" s="37">
        <v>3.0388016666011732E-2</v>
      </c>
      <c r="C87" s="37">
        <v>0.77085649526279787</v>
      </c>
      <c r="D87" s="90">
        <v>6.3738785375869411E-2</v>
      </c>
      <c r="E87" s="173">
        <f t="shared" si="20"/>
        <v>0.68900601440674147</v>
      </c>
      <c r="G87" s="123">
        <f t="shared" si="21"/>
        <v>0.18916088830161509</v>
      </c>
      <c r="H87" s="37">
        <f t="shared" si="19"/>
        <v>1.9451750301750438E-3</v>
      </c>
      <c r="I87" s="37">
        <f t="shared" si="19"/>
        <v>1.2517022889647473</v>
      </c>
      <c r="J87" s="90">
        <f t="shared" si="19"/>
        <v>8.5577883329244764E-3</v>
      </c>
      <c r="CG87">
        <f t="shared" si="22"/>
        <v>69</v>
      </c>
      <c r="CH87" s="123">
        <v>2.6061351527138528</v>
      </c>
      <c r="CI87" s="37">
        <v>1.8376167592273271</v>
      </c>
      <c r="CJ87" s="37">
        <v>0.75357408624812972</v>
      </c>
      <c r="CK87" s="90">
        <v>-0.44863299313618038</v>
      </c>
      <c r="CY87">
        <f t="shared" si="23"/>
        <v>69</v>
      </c>
      <c r="CZ87" s="123">
        <v>2.8697538531905455</v>
      </c>
      <c r="DA87" s="37">
        <v>1.7162487018204138</v>
      </c>
      <c r="DB87" s="37">
        <v>0.72138044782069677</v>
      </c>
      <c r="DC87" s="90">
        <v>-0.57423321378528114</v>
      </c>
      <c r="DQ87">
        <f t="shared" si="6"/>
        <v>62</v>
      </c>
      <c r="DR87" s="123">
        <v>0.79405352528084139</v>
      </c>
      <c r="DS87" s="37">
        <v>0.91331070650375934</v>
      </c>
      <c r="DT87" s="37">
        <v>-0.81039012553930734</v>
      </c>
      <c r="DU87" s="90">
        <v>1.8998991640749186E-2</v>
      </c>
      <c r="ED87" s="123">
        <v>0.50307774159080176</v>
      </c>
      <c r="EE87" s="37">
        <v>0.83174832225452622</v>
      </c>
      <c r="EF87" s="37">
        <v>-0.63552032221033106</v>
      </c>
      <c r="EG87" s="90">
        <v>1.6316999442678559E-2</v>
      </c>
    </row>
    <row r="88" spans="1:137" x14ac:dyDescent="0.25">
      <c r="A88" s="123">
        <v>0.81718661596991582</v>
      </c>
      <c r="B88" s="37">
        <v>0.23935266908492384</v>
      </c>
      <c r="C88" s="37">
        <v>-0.1945147303529734</v>
      </c>
      <c r="D88" s="90">
        <v>-0.16643424455975536</v>
      </c>
      <c r="E88" s="173">
        <f t="shared" si="20"/>
        <v>0.79062000360490625</v>
      </c>
      <c r="G88" s="123">
        <f t="shared" si="21"/>
        <v>1.0683336147319198</v>
      </c>
      <c r="H88" s="37">
        <f t="shared" si="19"/>
        <v>9.165179033949164E-2</v>
      </c>
      <c r="I88" s="37">
        <f t="shared" si="19"/>
        <v>6.0529821660462252E-2</v>
      </c>
      <c r="J88" s="90">
        <f t="shared" si="19"/>
        <v>4.4314900814110415E-2</v>
      </c>
      <c r="CG88">
        <f t="shared" si="22"/>
        <v>70</v>
      </c>
      <c r="CH88" s="123">
        <v>-0.20177839813582849</v>
      </c>
      <c r="CI88" s="37">
        <v>-0.77336821116733512</v>
      </c>
      <c r="CJ88" s="37">
        <v>-1.6411682212004195</v>
      </c>
      <c r="CK88" s="90">
        <v>0.5409788505383275</v>
      </c>
      <c r="CY88">
        <f t="shared" si="23"/>
        <v>70</v>
      </c>
      <c r="CZ88" s="123">
        <v>-0.26358522949903224</v>
      </c>
      <c r="DA88" s="37">
        <v>-0.67030971314985133</v>
      </c>
      <c r="DB88" s="37">
        <v>-1.6045195217948423</v>
      </c>
      <c r="DC88" s="90">
        <v>0.55045336862438254</v>
      </c>
      <c r="DQ88">
        <f t="shared" si="6"/>
        <v>63</v>
      </c>
      <c r="DR88" s="123">
        <v>0.41644039362148816</v>
      </c>
      <c r="DS88" s="37">
        <v>-0.92119264706714499</v>
      </c>
      <c r="DT88" s="37">
        <v>0.34563348923986831</v>
      </c>
      <c r="DU88" s="90">
        <v>-0.34755117817119857</v>
      </c>
      <c r="ED88" s="123">
        <v>0.26383850214150995</v>
      </c>
      <c r="EE88" s="37">
        <v>-0.83892637326501107</v>
      </c>
      <c r="EF88" s="37">
        <v>0.27105106482167746</v>
      </c>
      <c r="EG88" s="90">
        <v>-0.29848912446271803</v>
      </c>
    </row>
    <row r="89" spans="1:137" x14ac:dyDescent="0.25">
      <c r="A89" s="123">
        <v>0.68789272835115534</v>
      </c>
      <c r="B89" s="37">
        <v>3.5303982803739795E-2</v>
      </c>
      <c r="C89" s="37">
        <v>0.11603236905909446</v>
      </c>
      <c r="D89" s="90">
        <v>0.11762701672483196</v>
      </c>
      <c r="E89" s="173">
        <f t="shared" si="20"/>
        <v>0.50174240265325287</v>
      </c>
      <c r="G89" s="123">
        <f t="shared" si="21"/>
        <v>1.879662282311225</v>
      </c>
      <c r="H89" s="37">
        <f t="shared" si="19"/>
        <v>4.9509187083497559E-3</v>
      </c>
      <c r="I89" s="37">
        <f t="shared" si="19"/>
        <v>5.348065388296748E-2</v>
      </c>
      <c r="J89" s="90">
        <f t="shared" si="19"/>
        <v>5.4960737876386098E-2</v>
      </c>
      <c r="CG89">
        <f t="shared" si="22"/>
        <v>71</v>
      </c>
      <c r="CH89" s="123">
        <v>0.37471032159924988</v>
      </c>
      <c r="CI89" s="37">
        <v>2.0189413503402607</v>
      </c>
      <c r="CJ89" s="37">
        <v>-1.6236598012761463</v>
      </c>
      <c r="CK89" s="90">
        <v>-8.2719649191092121E-3</v>
      </c>
      <c r="CY89">
        <f t="shared" si="23"/>
        <v>71</v>
      </c>
      <c r="CZ89" s="123">
        <v>0.43797804618558978</v>
      </c>
      <c r="DA89" s="37">
        <v>1.9024851430391312</v>
      </c>
      <c r="DB89" s="37">
        <v>-1.7488427001043731</v>
      </c>
      <c r="DC89" s="90">
        <v>-0.14860968554216455</v>
      </c>
      <c r="DQ89">
        <f t="shared" si="6"/>
        <v>64</v>
      </c>
      <c r="DR89" s="123">
        <v>-0.95083607489735111</v>
      </c>
      <c r="DS89" s="37">
        <v>0.48233920007151299</v>
      </c>
      <c r="DT89" s="37">
        <v>-1.6729283162947868</v>
      </c>
      <c r="DU89" s="90">
        <v>-0.38080963852873301</v>
      </c>
      <c r="ED89" s="123">
        <v>-0.60240833892556633</v>
      </c>
      <c r="EE89" s="37">
        <v>0.43926433530254455</v>
      </c>
      <c r="EF89" s="37">
        <v>-1.3119359541787516</v>
      </c>
      <c r="EG89" s="90">
        <v>-0.32705265506369458</v>
      </c>
    </row>
    <row r="90" spans="1:137" x14ac:dyDescent="0.25">
      <c r="A90" s="91">
        <v>0.30145846294129131</v>
      </c>
      <c r="B90" s="92">
        <v>-0.74107631451599432</v>
      </c>
      <c r="C90" s="92">
        <v>-0.3441987786860507</v>
      </c>
      <c r="D90" s="93">
        <v>0.23397915226264601</v>
      </c>
      <c r="E90" s="174">
        <f t="shared" si="20"/>
        <v>0.81329035175805031</v>
      </c>
      <c r="G90" s="91">
        <f t="shared" si="21"/>
        <v>0.13739271970418407</v>
      </c>
      <c r="H90" s="92">
        <f t="shared" si="19"/>
        <v>0.83029921184174593</v>
      </c>
      <c r="I90" s="92">
        <f t="shared" si="19"/>
        <v>0.17911312436897256</v>
      </c>
      <c r="J90" s="93">
        <f t="shared" si="19"/>
        <v>8.2768119075245117E-2</v>
      </c>
      <c r="CG90">
        <f t="shared" si="22"/>
        <v>72</v>
      </c>
      <c r="CH90" s="123">
        <v>0.44904471519621059</v>
      </c>
      <c r="CI90" s="37">
        <v>0.7529288249593844</v>
      </c>
      <c r="CJ90" s="37">
        <v>0.35148632016277437</v>
      </c>
      <c r="CK90" s="90">
        <v>0.1899176633838488</v>
      </c>
      <c r="CY90">
        <f t="shared" si="23"/>
        <v>72</v>
      </c>
      <c r="CZ90" s="123">
        <v>0.67245311318206868</v>
      </c>
      <c r="DA90" s="37">
        <v>0.77009466443391306</v>
      </c>
      <c r="DB90" s="37">
        <v>0.36238402352372934</v>
      </c>
      <c r="DC90" s="90">
        <v>0.33172355205069198</v>
      </c>
      <c r="DQ90">
        <f t="shared" si="6"/>
        <v>65</v>
      </c>
      <c r="DR90" s="123">
        <v>2.9949349114881088</v>
      </c>
      <c r="DS90" s="37">
        <v>3.2229920824463312</v>
      </c>
      <c r="DT90" s="37">
        <v>-1.9120498807031088</v>
      </c>
      <c r="DU90" s="90">
        <v>-1.380852500183174</v>
      </c>
      <c r="ED90" s="123">
        <v>1.8974603644634662</v>
      </c>
      <c r="EE90" s="37">
        <v>2.9351656978558847</v>
      </c>
      <c r="EF90" s="37">
        <v>-1.4994587396508512</v>
      </c>
      <c r="EG90" s="90">
        <v>-1.1859244902021371</v>
      </c>
    </row>
    <row r="91" spans="1:137" x14ac:dyDescent="0.25">
      <c r="A91">
        <f>COUNT(A82:A90)</f>
        <v>9</v>
      </c>
      <c r="E91">
        <f>SUM(E82:E90)</f>
        <v>6.5074736570138487</v>
      </c>
      <c r="F91" s="47" t="s">
        <v>451</v>
      </c>
      <c r="G91" s="156">
        <f>SUM(G82:G90)</f>
        <v>6.4082983610194457</v>
      </c>
      <c r="H91" s="157">
        <f>SUM(H82:H90)</f>
        <v>2.4983117557540124</v>
      </c>
      <c r="I91" s="157">
        <f>SUM(I82:I90)</f>
        <v>2.5227053513299316</v>
      </c>
      <c r="J91" s="158">
        <f>SUM(J82:J90)</f>
        <v>1.4306019032166339</v>
      </c>
      <c r="CG91">
        <f t="shared" si="22"/>
        <v>73</v>
      </c>
      <c r="CH91" s="123">
        <v>-0.87479638557357409</v>
      </c>
      <c r="CI91" s="37">
        <v>0.36936969794071384</v>
      </c>
      <c r="CJ91" s="37">
        <v>-0.68395773745909327</v>
      </c>
      <c r="CK91" s="90">
        <v>-0.19868917449349593</v>
      </c>
      <c r="CY91">
        <f t="shared" si="23"/>
        <v>73</v>
      </c>
      <c r="CZ91" s="123">
        <v>-0.83994706739200176</v>
      </c>
      <c r="DA91" s="37">
        <v>0.34859664913200245</v>
      </c>
      <c r="DB91" s="37">
        <v>-0.70630837250416378</v>
      </c>
      <c r="DC91" s="90">
        <v>-0.28336190166125491</v>
      </c>
      <c r="DQ91">
        <f t="shared" si="6"/>
        <v>66</v>
      </c>
      <c r="DR91" s="123">
        <v>-0.75429559950902836</v>
      </c>
      <c r="DS91" s="37">
        <v>-0.80753094857074914</v>
      </c>
      <c r="DT91" s="37">
        <v>1.007955316166957</v>
      </c>
      <c r="DU91" s="90">
        <v>0.33437498294218138</v>
      </c>
      <c r="ED91" s="123">
        <v>-0.47788885082862753</v>
      </c>
      <c r="EE91" s="37">
        <v>-0.73541512965890321</v>
      </c>
      <c r="EF91" s="37">
        <v>0.79045396422833136</v>
      </c>
      <c r="EG91" s="90">
        <v>0.2871729465163384</v>
      </c>
    </row>
    <row r="92" spans="1:137" x14ac:dyDescent="0.25">
      <c r="F92" s="47" t="s">
        <v>452</v>
      </c>
      <c r="G92" s="123">
        <f>SUMSQ(G82:G90)</f>
        <v>7.6059499962308799</v>
      </c>
      <c r="H92" s="37">
        <f>SUMSQ(H82:H90)</f>
        <v>2.1118116064824082</v>
      </c>
      <c r="I92" s="37">
        <f>SUMSQ(I82:I90)</f>
        <v>2.0496393515801477</v>
      </c>
      <c r="J92" s="90">
        <f>SUMSQ(J82:J90)</f>
        <v>0.78281038551492477</v>
      </c>
      <c r="CG92">
        <f t="shared" si="22"/>
        <v>74</v>
      </c>
      <c r="CH92" s="123">
        <v>1.6210984052711597</v>
      </c>
      <c r="CI92" s="37">
        <v>1.3736817819422431</v>
      </c>
      <c r="CJ92" s="37">
        <v>0.60563474298430076</v>
      </c>
      <c r="CK92" s="90">
        <v>-0.25654296713887242</v>
      </c>
      <c r="CY92">
        <f t="shared" si="23"/>
        <v>74</v>
      </c>
      <c r="CZ92" s="123">
        <v>1.9365261091360797</v>
      </c>
      <c r="DA92" s="37">
        <v>1.3132083672724384</v>
      </c>
      <c r="DB92" s="37">
        <v>0.64687177929402406</v>
      </c>
      <c r="DC92" s="90">
        <v>-0.1878781926113734</v>
      </c>
      <c r="DQ92">
        <f t="shared" ref="DQ92:DQ145" si="24">DQ91+1</f>
        <v>67</v>
      </c>
      <c r="DR92" s="123">
        <v>2.0276990074766941</v>
      </c>
      <c r="DS92" s="37">
        <v>1.4530042213741265</v>
      </c>
      <c r="DT92" s="37">
        <v>-0.73643946412335037</v>
      </c>
      <c r="DU92" s="90">
        <v>-0.54571163614785867</v>
      </c>
      <c r="ED92" s="123">
        <v>1.2846618078378271</v>
      </c>
      <c r="EE92" s="37">
        <v>1.3232449972945757</v>
      </c>
      <c r="EF92" s="37">
        <v>-0.57752708328795421</v>
      </c>
      <c r="EG92" s="90">
        <v>-0.46867626615454883</v>
      </c>
    </row>
    <row r="93" spans="1:137" x14ac:dyDescent="0.25">
      <c r="F93" s="47" t="s">
        <v>453</v>
      </c>
      <c r="G93" s="91">
        <f>G92-(G91/$A91)^2</f>
        <v>7.0989587877883551</v>
      </c>
      <c r="H93" s="92">
        <f>H92-(H91/$A91)^2</f>
        <v>2.0347552900757577</v>
      </c>
      <c r="I93" s="92">
        <f>I92-(I91/$A91)^2</f>
        <v>1.9710709282513985</v>
      </c>
      <c r="J93" s="93">
        <f>J92-(J91/$A91)^2</f>
        <v>0.75754344964471421</v>
      </c>
      <c r="K93" s="60">
        <f>SUM(G93:J93)</f>
        <v>11.862328455760226</v>
      </c>
      <c r="CG93">
        <f t="shared" si="22"/>
        <v>75</v>
      </c>
      <c r="CH93" s="123">
        <v>-0.35954164143435158</v>
      </c>
      <c r="CI93" s="37">
        <v>-0.9945913309132236</v>
      </c>
      <c r="CJ93" s="37">
        <v>-0.80528865207026801</v>
      </c>
      <c r="CK93" s="90">
        <v>0.90177042022158305</v>
      </c>
      <c r="CY93">
        <f t="shared" si="23"/>
        <v>75</v>
      </c>
      <c r="CZ93" s="123">
        <v>-0.44282571526682346</v>
      </c>
      <c r="DA93" s="37">
        <v>-0.9553667161675613</v>
      </c>
      <c r="DB93" s="37">
        <v>-0.70634520396155021</v>
      </c>
      <c r="DC93" s="90">
        <v>0.93021842453644954</v>
      </c>
      <c r="DQ93">
        <f t="shared" si="24"/>
        <v>68</v>
      </c>
      <c r="DR93" s="123">
        <v>-2.0375038865894024</v>
      </c>
      <c r="DS93" s="37">
        <v>-0.25983651756182252</v>
      </c>
      <c r="DT93" s="37">
        <v>0.83875138058869758</v>
      </c>
      <c r="DU93" s="90">
        <v>0.699964876056135</v>
      </c>
      <c r="ED93" s="123">
        <v>-1.2908737523523328</v>
      </c>
      <c r="EE93" s="37">
        <v>-0.23663205303902243</v>
      </c>
      <c r="EF93" s="37">
        <v>0.65776165188507629</v>
      </c>
      <c r="EG93" s="90">
        <v>0.60115435116072002</v>
      </c>
    </row>
    <row r="94" spans="1:137" x14ac:dyDescent="0.25">
      <c r="J94" s="47" t="s">
        <v>202</v>
      </c>
      <c r="K94" s="159">
        <f>K93/A91</f>
        <v>1.3180364950844696</v>
      </c>
      <c r="CG94">
        <f t="shared" si="22"/>
        <v>76</v>
      </c>
      <c r="CH94" s="123">
        <v>-2.125261188349723</v>
      </c>
      <c r="CI94" s="37">
        <v>-0.75423506715647093</v>
      </c>
      <c r="CJ94" s="37">
        <v>-0.50660864926687843</v>
      </c>
      <c r="CK94" s="90">
        <v>-1.5286591598583841</v>
      </c>
      <c r="CY94">
        <f t="shared" si="23"/>
        <v>76</v>
      </c>
      <c r="CZ94" s="123">
        <v>-2.4127513383366646</v>
      </c>
      <c r="DA94" s="37">
        <v>-0.76701069576763559</v>
      </c>
      <c r="DB94" s="37">
        <v>-0.65976199255011769</v>
      </c>
      <c r="DC94" s="90">
        <v>-1.7441549126196971</v>
      </c>
      <c r="DQ94">
        <f t="shared" si="24"/>
        <v>69</v>
      </c>
      <c r="DR94" s="123">
        <v>2.8435094915941392</v>
      </c>
      <c r="DS94" s="37">
        <v>1.6976158000020103</v>
      </c>
      <c r="DT94" s="37">
        <v>0.71151347321383163</v>
      </c>
      <c r="DU94" s="90">
        <v>-0.59998707709578769</v>
      </c>
      <c r="ED94" s="123">
        <v>1.8015238112786489</v>
      </c>
      <c r="EE94" s="37">
        <v>1.5460117607617638</v>
      </c>
      <c r="EF94" s="37">
        <v>0.55797974025525476</v>
      </c>
      <c r="EG94" s="90">
        <v>-0.51528991578630201</v>
      </c>
    </row>
    <row r="95" spans="1:137" x14ac:dyDescent="0.25">
      <c r="CG95">
        <f t="shared" si="22"/>
        <v>77</v>
      </c>
      <c r="CH95" s="123">
        <v>2.5294206920066298</v>
      </c>
      <c r="CI95" s="37">
        <v>1.1365105904015489</v>
      </c>
      <c r="CJ95" s="37">
        <v>-1.966081869232529</v>
      </c>
      <c r="CK95" s="90">
        <v>4.9371157165116517E-2</v>
      </c>
      <c r="CY95">
        <f t="shared" si="23"/>
        <v>77</v>
      </c>
      <c r="CZ95" s="123">
        <v>2.7376739883495218</v>
      </c>
      <c r="DA95" s="37">
        <v>1.1501698459489083</v>
      </c>
      <c r="DB95" s="37">
        <v>-2.0246328642817399</v>
      </c>
      <c r="DC95" s="90">
        <v>4.0435824785960701E-2</v>
      </c>
      <c r="DQ95">
        <f t="shared" si="24"/>
        <v>70</v>
      </c>
      <c r="DR95" s="123">
        <v>-0.26547801510841534</v>
      </c>
      <c r="DS95" s="37">
        <v>-0.6687288722258713</v>
      </c>
      <c r="DT95" s="37">
        <v>-1.6006366208694836</v>
      </c>
      <c r="DU95" s="90">
        <v>0.55041099663408832</v>
      </c>
      <c r="ED95" s="123">
        <v>-0.16819531181542721</v>
      </c>
      <c r="EE95" s="37">
        <v>-0.60900864684513634</v>
      </c>
      <c r="EF95" s="37">
        <v>-1.2552437017413898</v>
      </c>
      <c r="EG95" s="90">
        <v>0.47271224153075209</v>
      </c>
    </row>
    <row r="96" spans="1:137" x14ac:dyDescent="0.25">
      <c r="A96" t="s">
        <v>454</v>
      </c>
      <c r="CG96">
        <f t="shared" si="22"/>
        <v>78</v>
      </c>
      <c r="CH96" s="123">
        <v>1.5374419191614812</v>
      </c>
      <c r="CI96" s="37">
        <v>-0.69613935045647235</v>
      </c>
      <c r="CJ96" s="37">
        <v>-9.3194505324362617E-2</v>
      </c>
      <c r="CK96" s="90">
        <v>-2.3869108609216032</v>
      </c>
      <c r="CY96">
        <f t="shared" si="23"/>
        <v>78</v>
      </c>
      <c r="CZ96" s="123">
        <v>1.8334512576299198</v>
      </c>
      <c r="DA96" s="37">
        <v>-0.69556439186795815</v>
      </c>
      <c r="DB96" s="37">
        <v>-2.0001152382600695E-2</v>
      </c>
      <c r="DC96" s="90">
        <v>-2.3001247248963974</v>
      </c>
      <c r="DQ96">
        <f t="shared" si="24"/>
        <v>71</v>
      </c>
      <c r="DR96" s="123">
        <v>0.42827336281016415</v>
      </c>
      <c r="DS96" s="37">
        <v>1.8888551501948867</v>
      </c>
      <c r="DT96" s="37">
        <v>-1.7515942912680382</v>
      </c>
      <c r="DU96" s="90">
        <v>-0.16277265213826256</v>
      </c>
      <c r="ED96" s="123">
        <v>0.27133535622782262</v>
      </c>
      <c r="EE96" s="37">
        <v>1.72017265424442</v>
      </c>
      <c r="EF96" s="37">
        <v>-1.3736270140602134</v>
      </c>
      <c r="EG96" s="90">
        <v>-0.13979485461358984</v>
      </c>
    </row>
    <row r="97" spans="1:137" x14ac:dyDescent="0.25">
      <c r="CG97">
        <f t="shared" si="22"/>
        <v>79</v>
      </c>
      <c r="CH97" s="123">
        <v>-3.2112184551417537</v>
      </c>
      <c r="CI97" s="37">
        <v>-0.85573091895576714</v>
      </c>
      <c r="CJ97" s="37">
        <v>-1.0268183370947386</v>
      </c>
      <c r="CK97" s="90">
        <v>-1.263462406905749</v>
      </c>
      <c r="CY97">
        <f t="shared" si="23"/>
        <v>79</v>
      </c>
      <c r="CZ97" s="123">
        <v>-3.3765759873055066</v>
      </c>
      <c r="DA97" s="37">
        <v>-0.85220567804941716</v>
      </c>
      <c r="DB97" s="37">
        <v>-1.2299339191873142</v>
      </c>
      <c r="DC97" s="90">
        <v>-1.4505932881919996</v>
      </c>
      <c r="DQ97">
        <f t="shared" si="24"/>
        <v>72</v>
      </c>
      <c r="DR97" s="123">
        <v>0.66339122327705835</v>
      </c>
      <c r="DS97" s="37">
        <v>0.75762245273676165</v>
      </c>
      <c r="DT97" s="37">
        <v>0.35305547226534012</v>
      </c>
      <c r="DU97" s="90">
        <v>0.31466760259734705</v>
      </c>
      <c r="ED97" s="123">
        <v>0.42029579590285854</v>
      </c>
      <c r="EE97" s="37">
        <v>0.68996366677714716</v>
      </c>
      <c r="EF97" s="37">
        <v>0.27687149734564043</v>
      </c>
      <c r="EG97" s="90">
        <v>0.27024755804395123</v>
      </c>
    </row>
    <row r="98" spans="1:137" ht="17.25" x14ac:dyDescent="0.25">
      <c r="A98" t="s">
        <v>208</v>
      </c>
      <c r="E98" t="s">
        <v>449</v>
      </c>
      <c r="G98" t="s">
        <v>450</v>
      </c>
      <c r="CG98">
        <f t="shared" si="22"/>
        <v>80</v>
      </c>
      <c r="CH98" s="123">
        <v>-0.27870269106423529</v>
      </c>
      <c r="CI98" s="37">
        <v>0.82246395074879364</v>
      </c>
      <c r="CJ98" s="37">
        <v>-0.60813665843295772</v>
      </c>
      <c r="CK98" s="90">
        <v>-0.21192502340098612</v>
      </c>
      <c r="CY98">
        <f t="shared" si="23"/>
        <v>80</v>
      </c>
      <c r="CZ98" s="123">
        <v>-0.4586617480809041</v>
      </c>
      <c r="DA98" s="37">
        <v>0.72049383354525498</v>
      </c>
      <c r="DB98" s="37">
        <v>-0.72804627767079522</v>
      </c>
      <c r="DC98" s="90">
        <v>-0.46239407990497056</v>
      </c>
      <c r="DQ98">
        <f t="shared" si="24"/>
        <v>73</v>
      </c>
      <c r="DR98" s="123">
        <v>-0.83215480796508767</v>
      </c>
      <c r="DS98" s="37">
        <v>0.35263211656247995</v>
      </c>
      <c r="DT98" s="37">
        <v>-0.70159493499202852</v>
      </c>
      <c r="DU98" s="90">
        <v>-0.27463724862668126</v>
      </c>
      <c r="ED98" s="123">
        <v>-0.52721705542071517</v>
      </c>
      <c r="EE98" s="37">
        <v>0.32114062523879761</v>
      </c>
      <c r="EF98" s="37">
        <v>-0.55020147098971939</v>
      </c>
      <c r="EG98" s="90">
        <v>-0.2358680880288877</v>
      </c>
    </row>
    <row r="99" spans="1:137" x14ac:dyDescent="0.25">
      <c r="A99" s="156">
        <f t="array" ref="A99:D107">I44:L52</f>
        <v>9.3044211001315102E-2</v>
      </c>
      <c r="B99" s="157">
        <v>0.75088947279199736</v>
      </c>
      <c r="C99" s="157">
        <v>-0.28778265042245305</v>
      </c>
      <c r="D99" s="158">
        <v>0.23855901946960667</v>
      </c>
      <c r="E99" s="172">
        <f>SUMSQ(A99:D99)</f>
        <v>0.71222148520517303</v>
      </c>
      <c r="G99" s="156">
        <f>(A99/$E99)^2</f>
        <v>1.706666145591642E-2</v>
      </c>
      <c r="H99" s="157">
        <f t="shared" ref="H99:J107" si="25">(B99/$E99)^2</f>
        <v>1.1115317950853862</v>
      </c>
      <c r="I99" s="157">
        <f t="shared" si="25"/>
        <v>0.16326724887186816</v>
      </c>
      <c r="J99" s="158">
        <f t="shared" si="25"/>
        <v>0.11219190977085468</v>
      </c>
      <c r="CG99">
        <f t="shared" si="22"/>
        <v>81</v>
      </c>
      <c r="CH99" s="123">
        <v>1.1742125867766271</v>
      </c>
      <c r="CI99" s="37">
        <v>1.3068971415179558</v>
      </c>
      <c r="CJ99" s="37">
        <v>-0.81863119951100427</v>
      </c>
      <c r="CK99" s="90">
        <v>-0.4957971413891305</v>
      </c>
      <c r="CY99">
        <f t="shared" si="23"/>
        <v>81</v>
      </c>
      <c r="CZ99" s="123">
        <v>1.4797784841602857</v>
      </c>
      <c r="DA99" s="37">
        <v>1.3392603032607659</v>
      </c>
      <c r="DB99" s="37">
        <v>-0.81899963895752859</v>
      </c>
      <c r="DC99" s="90">
        <v>-0.38830714702159286</v>
      </c>
      <c r="DQ99">
        <f t="shared" si="24"/>
        <v>74</v>
      </c>
      <c r="DR99" s="123">
        <v>1.9177002474156664</v>
      </c>
      <c r="DS99" s="37">
        <v>1.2971222495602528</v>
      </c>
      <c r="DT99" s="37">
        <v>0.63695811888336318</v>
      </c>
      <c r="DU99" s="90">
        <v>-0.21004317630773672</v>
      </c>
      <c r="ED99" s="123">
        <v>1.2149713826618689</v>
      </c>
      <c r="EE99" s="37">
        <v>1.1812839235847896</v>
      </c>
      <c r="EF99" s="37">
        <v>0.49951229190737079</v>
      </c>
      <c r="EG99" s="90">
        <v>-0.1803924363754616</v>
      </c>
    </row>
    <row r="100" spans="1:137" x14ac:dyDescent="0.25">
      <c r="A100" s="123">
        <v>0.65869691024767973</v>
      </c>
      <c r="B100" s="37">
        <v>-0.49931312319314547</v>
      </c>
      <c r="C100" s="37">
        <v>6.975101896830023E-2</v>
      </c>
      <c r="D100" s="90">
        <v>-1.7505352582024167E-2</v>
      </c>
      <c r="E100" s="173">
        <f t="shared" ref="E100:E107" si="26">SUMSQ(A100:D100)</f>
        <v>0.68836685657887031</v>
      </c>
      <c r="G100" s="123">
        <f t="shared" ref="G100:G107" si="27">(A100/$E100)^2</f>
        <v>0.91565389895287441</v>
      </c>
      <c r="H100" s="37">
        <f t="shared" si="25"/>
        <v>0.52614573888501537</v>
      </c>
      <c r="I100" s="37">
        <f t="shared" si="25"/>
        <v>1.0267417201844608E-2</v>
      </c>
      <c r="J100" s="90">
        <f t="shared" si="25"/>
        <v>6.4669845200427051E-4</v>
      </c>
      <c r="CG100">
        <f t="shared" si="22"/>
        <v>82</v>
      </c>
      <c r="CH100" s="123">
        <v>5.3207562173924708E-2</v>
      </c>
      <c r="CI100" s="37">
        <v>-0.45115606926805263</v>
      </c>
      <c r="CJ100" s="37">
        <v>0.36749634546879029</v>
      </c>
      <c r="CK100" s="90">
        <v>1.4865116911832994</v>
      </c>
      <c r="CY100">
        <f t="shared" si="23"/>
        <v>82</v>
      </c>
      <c r="CZ100" s="123">
        <v>-0.2842177151542844</v>
      </c>
      <c r="DA100" s="37">
        <v>-0.57628591285586139</v>
      </c>
      <c r="DB100" s="37">
        <v>0.31422932157346872</v>
      </c>
      <c r="DC100" s="90">
        <v>1.1580075780834058</v>
      </c>
      <c r="DQ100">
        <f t="shared" si="24"/>
        <v>75</v>
      </c>
      <c r="DR100" s="123">
        <v>-0.44309882175954607</v>
      </c>
      <c r="DS100" s="37">
        <v>-0.95569811493656265</v>
      </c>
      <c r="DT100" s="37">
        <v>-0.70751273861741049</v>
      </c>
      <c r="DU100" s="90">
        <v>0.92640633822107654</v>
      </c>
      <c r="ED100" s="123">
        <v>-0.28072812153752175</v>
      </c>
      <c r="EE100" s="37">
        <v>-0.87035036162365131</v>
      </c>
      <c r="EF100" s="37">
        <v>-0.55484230303869997</v>
      </c>
      <c r="EG100" s="90">
        <v>0.795630209764707</v>
      </c>
    </row>
    <row r="101" spans="1:137" x14ac:dyDescent="0.25">
      <c r="A101" s="123">
        <v>0.89343770771827546</v>
      </c>
      <c r="B101" s="37">
        <v>0.10660633892082662</v>
      </c>
      <c r="C101" s="37">
        <v>0.1033744945787235</v>
      </c>
      <c r="D101" s="90">
        <v>6.5701093811782518E-2</v>
      </c>
      <c r="E101" s="173">
        <f t="shared" si="26"/>
        <v>0.82459876892846007</v>
      </c>
      <c r="G101" s="123">
        <f t="shared" si="27"/>
        <v>1.1739326776490748</v>
      </c>
      <c r="H101" s="37">
        <f t="shared" si="25"/>
        <v>1.6714011394720705E-2</v>
      </c>
      <c r="I101" s="37">
        <f t="shared" si="25"/>
        <v>1.5715978797016868E-2</v>
      </c>
      <c r="J101" s="90">
        <f t="shared" si="25"/>
        <v>6.348334989652705E-3</v>
      </c>
      <c r="CG101">
        <f t="shared" si="22"/>
        <v>83</v>
      </c>
      <c r="CH101" s="123">
        <v>-1.5263882894466609</v>
      </c>
      <c r="CI101" s="37">
        <v>7.7583450010275293E-2</v>
      </c>
      <c r="CJ101" s="37">
        <v>0.62940964554185963</v>
      </c>
      <c r="CK101" s="90">
        <v>0.52143202713046966</v>
      </c>
      <c r="CY101">
        <f t="shared" si="23"/>
        <v>83</v>
      </c>
      <c r="CZ101" s="123">
        <v>-1.707248127760344</v>
      </c>
      <c r="DA101" s="37">
        <v>1.697133011410934E-2</v>
      </c>
      <c r="DB101" s="37">
        <v>0.48144414015389508</v>
      </c>
      <c r="DC101" s="90">
        <v>0.41293710069435419</v>
      </c>
      <c r="DQ101">
        <f t="shared" si="24"/>
        <v>76</v>
      </c>
      <c r="DR101" s="123">
        <v>-2.3798026169696458</v>
      </c>
      <c r="DS101" s="37">
        <v>-0.73249422298088662</v>
      </c>
      <c r="DT101" s="37">
        <v>-0.63305524319656992</v>
      </c>
      <c r="DU101" s="90">
        <v>-1.6906736534620765</v>
      </c>
      <c r="ED101" s="123">
        <v>-1.5077393246929212</v>
      </c>
      <c r="EE101" s="37">
        <v>-0.66707949078770323</v>
      </c>
      <c r="EF101" s="37">
        <v>-0.49645159714339265</v>
      </c>
      <c r="EG101" s="90">
        <v>-1.4520097478291327</v>
      </c>
    </row>
    <row r="102" spans="1:137" x14ac:dyDescent="0.25">
      <c r="A102" s="123">
        <v>4.6860080201476362E-2</v>
      </c>
      <c r="B102" s="37">
        <v>-5.6519618337628119E-4</v>
      </c>
      <c r="C102" s="37">
        <v>7.7072404609851805E-2</v>
      </c>
      <c r="D102" s="90">
        <v>0.95571086549614936</v>
      </c>
      <c r="E102" s="173">
        <f t="shared" si="26"/>
        <v>0.92151960054295812</v>
      </c>
      <c r="G102" s="123">
        <f t="shared" si="27"/>
        <v>2.5858117293225077E-3</v>
      </c>
      <c r="H102" s="37">
        <f t="shared" si="25"/>
        <v>3.7617444335047426E-7</v>
      </c>
      <c r="I102" s="37">
        <f t="shared" si="25"/>
        <v>6.9950152201441402E-3</v>
      </c>
      <c r="J102" s="90">
        <f t="shared" si="25"/>
        <v>1.0755829099462857</v>
      </c>
      <c r="CG102">
        <f t="shared" si="22"/>
        <v>84</v>
      </c>
      <c r="CH102" s="123">
        <v>2.3507594469443971</v>
      </c>
      <c r="CI102" s="37">
        <v>-0.1876215886407763</v>
      </c>
      <c r="CJ102" s="37">
        <v>-0.49018237196429942</v>
      </c>
      <c r="CK102" s="90">
        <v>-0.78032932917350717</v>
      </c>
      <c r="CY102">
        <f t="shared" si="23"/>
        <v>84</v>
      </c>
      <c r="CZ102" s="123">
        <v>2.6611031269019958</v>
      </c>
      <c r="DA102" s="37">
        <v>-3.4445289132198575E-2</v>
      </c>
      <c r="DB102" s="37">
        <v>-0.53630702013533149</v>
      </c>
      <c r="DC102" s="90">
        <v>-0.64859723551383286</v>
      </c>
      <c r="DQ102">
        <f t="shared" si="24"/>
        <v>77</v>
      </c>
      <c r="DR102" s="123">
        <v>2.7058730962891713</v>
      </c>
      <c r="DS102" s="37">
        <v>1.1320157628838001</v>
      </c>
      <c r="DT102" s="37">
        <v>-2.0280675574432983</v>
      </c>
      <c r="DU102" s="90">
        <v>1.3069375138443029E-2</v>
      </c>
      <c r="ED102" s="123">
        <v>1.7143233837177581</v>
      </c>
      <c r="EE102" s="37">
        <v>1.0309221219453675</v>
      </c>
      <c r="EF102" s="37">
        <v>-1.5904415749302809</v>
      </c>
      <c r="EG102" s="90">
        <v>1.1224437111322542E-2</v>
      </c>
    </row>
    <row r="103" spans="1:137" x14ac:dyDescent="0.25">
      <c r="A103" s="123">
        <v>0.26628706702688987</v>
      </c>
      <c r="B103" s="37">
        <v>-8.3966477967249376E-2</v>
      </c>
      <c r="C103" s="37">
        <v>0.6666913418866387</v>
      </c>
      <c r="D103" s="90">
        <v>0.20897764593568968</v>
      </c>
      <c r="E103" s="173">
        <f t="shared" si="26"/>
        <v>0.56610817333543739</v>
      </c>
      <c r="G103" s="123">
        <f t="shared" si="27"/>
        <v>0.22125917978721585</v>
      </c>
      <c r="H103" s="37">
        <f t="shared" si="25"/>
        <v>2.1999510781624473E-2</v>
      </c>
      <c r="I103" s="37">
        <f t="shared" si="25"/>
        <v>1.3869179847962068</v>
      </c>
      <c r="J103" s="90">
        <f t="shared" si="25"/>
        <v>0.13627017543402731</v>
      </c>
      <c r="CG103">
        <f t="shared" si="22"/>
        <v>85</v>
      </c>
      <c r="CH103" s="123">
        <v>0.23609139381021654</v>
      </c>
      <c r="CI103" s="37">
        <v>1.1229292514814722</v>
      </c>
      <c r="CJ103" s="37">
        <v>-0.2824817276301535</v>
      </c>
      <c r="CK103" s="90">
        <v>0.51739092278927645</v>
      </c>
      <c r="CY103">
        <f t="shared" si="23"/>
        <v>85</v>
      </c>
      <c r="CZ103" s="123">
        <v>0.1963891955707841</v>
      </c>
      <c r="DA103" s="37">
        <v>1.0485982516948291</v>
      </c>
      <c r="DB103" s="37">
        <v>-0.32713296538689229</v>
      </c>
      <c r="DC103" s="90">
        <v>0.42000546925418769</v>
      </c>
      <c r="DQ103">
        <f t="shared" si="24"/>
        <v>78</v>
      </c>
      <c r="DR103" s="123">
        <v>1.8297692425109944</v>
      </c>
      <c r="DS103" s="37">
        <v>-0.67201503875189017</v>
      </c>
      <c r="DT103" s="37">
        <v>3.020707023367597E-3</v>
      </c>
      <c r="DU103" s="90">
        <v>-2.2690763124409958</v>
      </c>
      <c r="ED103" s="123">
        <v>1.1592621263524701</v>
      </c>
      <c r="EE103" s="37">
        <v>-0.61200134525018224</v>
      </c>
      <c r="EF103" s="37">
        <v>2.3688846153154058E-3</v>
      </c>
      <c r="EG103" s="90">
        <v>-1.9487622093629628</v>
      </c>
    </row>
    <row r="104" spans="1:137" x14ac:dyDescent="0.25">
      <c r="A104" s="123">
        <v>-2.5793478802084414E-2</v>
      </c>
      <c r="B104" s="37">
        <v>1.8056347172927621E-2</v>
      </c>
      <c r="C104" s="37">
        <v>0.82807395009893447</v>
      </c>
      <c r="D104" s="90">
        <v>-4.8043858632978206E-2</v>
      </c>
      <c r="E104" s="173">
        <f t="shared" si="26"/>
        <v>0.68900601440674103</v>
      </c>
      <c r="G104" s="123">
        <f t="shared" si="27"/>
        <v>1.4014377576586576E-3</v>
      </c>
      <c r="H104" s="37">
        <f t="shared" si="25"/>
        <v>6.8677387628495151E-4</v>
      </c>
      <c r="I104" s="37">
        <f t="shared" si="25"/>
        <v>1.4444157635230432</v>
      </c>
      <c r="J104" s="90">
        <f t="shared" si="25"/>
        <v>4.8621654724764684E-3</v>
      </c>
      <c r="CG104">
        <f t="shared" si="22"/>
        <v>86</v>
      </c>
      <c r="CH104" s="123">
        <v>2.5861991864869851</v>
      </c>
      <c r="CI104" s="37">
        <v>2.1200103806149633</v>
      </c>
      <c r="CJ104" s="37">
        <v>-1.3030671492646884</v>
      </c>
      <c r="CK104" s="90">
        <v>-0.19620818976067222</v>
      </c>
      <c r="CY104">
        <f t="shared" si="23"/>
        <v>86</v>
      </c>
      <c r="CZ104" s="123">
        <v>2.9125120609794677</v>
      </c>
      <c r="DA104" s="37">
        <v>2.2129065795011789</v>
      </c>
      <c r="DB104" s="37">
        <v>-1.3112523777436076</v>
      </c>
      <c r="DC104" s="90">
        <v>-0.14297472240185533</v>
      </c>
      <c r="DQ104">
        <f t="shared" si="24"/>
        <v>79</v>
      </c>
      <c r="DR104" s="123">
        <v>-3.3367979160008221</v>
      </c>
      <c r="DS104" s="37">
        <v>-0.81613203424164926</v>
      </c>
      <c r="DT104" s="37">
        <v>-1.2022203498063393</v>
      </c>
      <c r="DU104" s="90">
        <v>-1.3937770403023497</v>
      </c>
      <c r="ED104" s="123">
        <v>-2.1140498798653082</v>
      </c>
      <c r="EE104" s="37">
        <v>-0.74324810317535817</v>
      </c>
      <c r="EF104" s="37">
        <v>-0.94279957269751147</v>
      </c>
      <c r="EG104" s="90">
        <v>-1.1970245379262041</v>
      </c>
    </row>
    <row r="105" spans="1:137" x14ac:dyDescent="0.25">
      <c r="A105" s="123">
        <v>0.85514419325934388</v>
      </c>
      <c r="B105" s="37">
        <v>-1.9811067237213646E-2</v>
      </c>
      <c r="C105" s="37">
        <v>0.14882496420674807</v>
      </c>
      <c r="D105" s="90">
        <v>0.19185167182882343</v>
      </c>
      <c r="E105" s="173">
        <f t="shared" si="26"/>
        <v>0.79062000360490581</v>
      </c>
      <c r="G105" s="123">
        <f t="shared" si="27"/>
        <v>1.1698848192979698</v>
      </c>
      <c r="H105" s="37">
        <f t="shared" si="25"/>
        <v>6.278850567820488E-4</v>
      </c>
      <c r="I105" s="37">
        <f t="shared" si="25"/>
        <v>3.5433657006983442E-2</v>
      </c>
      <c r="J105" s="90">
        <f t="shared" si="25"/>
        <v>5.8883766184249717E-2</v>
      </c>
      <c r="CG105">
        <f t="shared" si="22"/>
        <v>87</v>
      </c>
      <c r="CH105" s="123">
        <v>-2.7749712924284822</v>
      </c>
      <c r="CI105" s="37">
        <v>-6.0727108083230119E-2</v>
      </c>
      <c r="CJ105" s="37">
        <v>-0.56902949318073337</v>
      </c>
      <c r="CK105" s="90">
        <v>0.59319537544451462</v>
      </c>
      <c r="CY105">
        <f t="shared" si="23"/>
        <v>87</v>
      </c>
      <c r="CZ105" s="123">
        <v>-2.8397776509242951</v>
      </c>
      <c r="DA105" s="37">
        <v>-6.152852200794573E-2</v>
      </c>
      <c r="DB105" s="37">
        <v>-0.62443585163854209</v>
      </c>
      <c r="DC105" s="90">
        <v>0.6095066470018724</v>
      </c>
      <c r="DQ105">
        <f t="shared" si="24"/>
        <v>80</v>
      </c>
      <c r="DR105" s="123">
        <v>-0.45424821185312525</v>
      </c>
      <c r="DS105" s="37">
        <v>0.7221270576924822</v>
      </c>
      <c r="DT105" s="37">
        <v>-0.72396346764793407</v>
      </c>
      <c r="DU105" s="90">
        <v>-0.45641000650901059</v>
      </c>
      <c r="ED105" s="123">
        <v>-0.28779188967129948</v>
      </c>
      <c r="EE105" s="37">
        <v>0.65763815579210805</v>
      </c>
      <c r="EF105" s="37">
        <v>-0.56774321617250156</v>
      </c>
      <c r="EG105" s="90">
        <v>-0.39198089891610566</v>
      </c>
    </row>
    <row r="106" spans="1:137" x14ac:dyDescent="0.25">
      <c r="A106" s="123">
        <v>0.47828862013992957</v>
      </c>
      <c r="B106" s="37">
        <v>-0.15613230069330614</v>
      </c>
      <c r="C106" s="37">
        <v>0.40266502254007863</v>
      </c>
      <c r="D106" s="90">
        <v>0.29405098673683805</v>
      </c>
      <c r="E106" s="173">
        <f t="shared" si="26"/>
        <v>0.50174240265325298</v>
      </c>
      <c r="G106" s="123">
        <f t="shared" si="27"/>
        <v>0.90869572616339167</v>
      </c>
      <c r="H106" s="37">
        <f t="shared" si="25"/>
        <v>9.6833116235946828E-2</v>
      </c>
      <c r="I106" s="37">
        <f t="shared" si="25"/>
        <v>0.6440598140162449</v>
      </c>
      <c r="J106" s="90">
        <f t="shared" si="25"/>
        <v>0.34346593636334438</v>
      </c>
      <c r="CG106">
        <f t="shared" si="22"/>
        <v>88</v>
      </c>
      <c r="CH106" s="123">
        <v>-1.4872875850490461</v>
      </c>
      <c r="CI106" s="37">
        <v>-1.1074362182113513</v>
      </c>
      <c r="CJ106" s="37">
        <v>0.98663266181403153</v>
      </c>
      <c r="CK106" s="90">
        <v>-0.57225449441105514</v>
      </c>
      <c r="CY106">
        <f t="shared" si="23"/>
        <v>88</v>
      </c>
      <c r="CZ106" s="123">
        <v>-1.6552842300920991</v>
      </c>
      <c r="DA106" s="37">
        <v>-1.0169134072886774</v>
      </c>
      <c r="DB106" s="37">
        <v>0.94087348725347464</v>
      </c>
      <c r="DC106" s="90">
        <v>-0.58010695739767859</v>
      </c>
      <c r="DQ106">
        <f t="shared" si="24"/>
        <v>81</v>
      </c>
      <c r="DR106" s="123">
        <v>1.4639759822131049</v>
      </c>
      <c r="DS106" s="37">
        <v>1.3280198249794202</v>
      </c>
      <c r="DT106" s="37">
        <v>-0.8213948789181913</v>
      </c>
      <c r="DU106" s="90">
        <v>-0.40239194649464038</v>
      </c>
      <c r="ED106" s="123">
        <v>0.92751144277643116</v>
      </c>
      <c r="EE106" s="37">
        <v>1.2094222190560029</v>
      </c>
      <c r="EF106" s="37">
        <v>-0.64415041800343975</v>
      </c>
      <c r="EG106" s="90">
        <v>-0.34558829704461502</v>
      </c>
    </row>
    <row r="107" spans="1:137" x14ac:dyDescent="0.25">
      <c r="A107" s="91">
        <v>6.3333904536896662E-2</v>
      </c>
      <c r="B107" s="92">
        <v>-0.83493103442524585</v>
      </c>
      <c r="C107" s="92">
        <v>-0.1840969221434437</v>
      </c>
      <c r="D107" s="93">
        <v>0.27978144917964382</v>
      </c>
      <c r="E107" s="174">
        <f t="shared" si="26"/>
        <v>0.81329035175805053</v>
      </c>
      <c r="G107" s="91">
        <f t="shared" si="27"/>
        <v>6.064308492656152E-3</v>
      </c>
      <c r="H107" s="92">
        <f t="shared" si="25"/>
        <v>1.0539256341836765</v>
      </c>
      <c r="I107" s="92">
        <f t="shared" si="25"/>
        <v>5.1239138012847525E-2</v>
      </c>
      <c r="J107" s="93">
        <f t="shared" si="25"/>
        <v>0.11834409430096736</v>
      </c>
      <c r="CG107">
        <f t="shared" si="22"/>
        <v>89</v>
      </c>
      <c r="CH107" s="123">
        <v>0.41288732180586191</v>
      </c>
      <c r="CI107" s="37">
        <v>-0.67733941218740745</v>
      </c>
      <c r="CJ107" s="37">
        <v>0.87170441753567141</v>
      </c>
      <c r="CK107" s="90">
        <v>-1.3641390443490653</v>
      </c>
      <c r="CY107">
        <f t="shared" si="23"/>
        <v>89</v>
      </c>
      <c r="CZ107" s="123">
        <v>0.3445463534401943</v>
      </c>
      <c r="DA107" s="37">
        <v>-0.60678823614872934</v>
      </c>
      <c r="DB107" s="37">
        <v>0.85900096638785284</v>
      </c>
      <c r="DC107" s="90">
        <v>-1.4729755060608059</v>
      </c>
      <c r="DQ107">
        <f t="shared" si="24"/>
        <v>82</v>
      </c>
      <c r="DR107" s="123">
        <v>-0.2862815095253971</v>
      </c>
      <c r="DS107" s="37">
        <v>-0.58347942152982435</v>
      </c>
      <c r="DT107" s="37">
        <v>0.30523645797833027</v>
      </c>
      <c r="DU107" s="90">
        <v>1.1449994215188017</v>
      </c>
      <c r="ED107" s="123">
        <v>-0.18137550012173881</v>
      </c>
      <c r="EE107" s="37">
        <v>-0.53137232102016896</v>
      </c>
      <c r="EF107" s="37">
        <v>0.2393710954901308</v>
      </c>
      <c r="EG107" s="90">
        <v>0.98336560571552711</v>
      </c>
    </row>
    <row r="108" spans="1:137" x14ac:dyDescent="0.25">
      <c r="A108">
        <f>COUNT(A99:A107)</f>
        <v>9</v>
      </c>
      <c r="E108">
        <f>SUM(E99:E107)</f>
        <v>6.5074736570138487</v>
      </c>
      <c r="F108" s="47" t="s">
        <v>451</v>
      </c>
      <c r="G108" s="156">
        <f>SUM(G99:G107)</f>
        <v>4.4165445212860792</v>
      </c>
      <c r="H108" s="157">
        <f>SUM(H99:H107)</f>
        <v>2.8284648416738802</v>
      </c>
      <c r="I108" s="157">
        <f>SUM(I99:I107)</f>
        <v>3.7583120174461997</v>
      </c>
      <c r="J108" s="158">
        <f>SUM(J99:J107)</f>
        <v>1.8565959909138625</v>
      </c>
      <c r="CG108">
        <f t="shared" si="22"/>
        <v>90</v>
      </c>
      <c r="CH108" s="123">
        <v>-0.31743471503192222</v>
      </c>
      <c r="CI108" s="37">
        <v>-1.2237371810074096</v>
      </c>
      <c r="CJ108" s="37">
        <v>1.6314446918633974</v>
      </c>
      <c r="CK108" s="90">
        <v>1.6593812342001553</v>
      </c>
      <c r="CY108">
        <f t="shared" si="23"/>
        <v>90</v>
      </c>
      <c r="CZ108" s="123">
        <v>-0.44545810130634611</v>
      </c>
      <c r="DA108" s="37">
        <v>-1.2722224181247586</v>
      </c>
      <c r="DB108" s="37">
        <v>1.5784436240932096</v>
      </c>
      <c r="DC108" s="90">
        <v>1.5679051002270661</v>
      </c>
      <c r="DQ108">
        <f t="shared" si="24"/>
        <v>83</v>
      </c>
      <c r="DR108" s="123">
        <v>-1.6924354714921954</v>
      </c>
      <c r="DS108" s="37">
        <v>1.838045486947848E-2</v>
      </c>
      <c r="DT108" s="37">
        <v>0.47834079337104141</v>
      </c>
      <c r="DU108" s="90">
        <v>0.41757543928583557</v>
      </c>
      <c r="ED108" s="123">
        <v>-1.0722534283634397</v>
      </c>
      <c r="EE108" s="37">
        <v>1.6739005018880544E-2</v>
      </c>
      <c r="EF108" s="37">
        <v>0.37512216098043333</v>
      </c>
      <c r="EG108" s="90">
        <v>0.35862841244108012</v>
      </c>
    </row>
    <row r="109" spans="1:137" x14ac:dyDescent="0.25">
      <c r="F109" s="47" t="s">
        <v>452</v>
      </c>
      <c r="G109" s="123">
        <f>SUMSQ(G99:G107)</f>
        <v>4.4601907293523295</v>
      </c>
      <c r="H109" s="37">
        <f>SUMSQ(H99:H107)</f>
        <v>2.6332323673717055</v>
      </c>
      <c r="I109" s="37">
        <f>SUMSQ(I99:I107)</f>
        <v>4.4556299684465186</v>
      </c>
      <c r="J109" s="90">
        <f>SUMSQ(J99:J107)</f>
        <v>1.323541013746389</v>
      </c>
      <c r="CG109">
        <f t="shared" si="22"/>
        <v>91</v>
      </c>
      <c r="CH109" s="123">
        <v>-1.0241119524672315</v>
      </c>
      <c r="CI109" s="37">
        <v>0.54762684924148841</v>
      </c>
      <c r="CJ109" s="37">
        <v>-1.3097598034855218</v>
      </c>
      <c r="CK109" s="90">
        <v>-1.328444783209078</v>
      </c>
      <c r="CY109">
        <f t="shared" si="23"/>
        <v>91</v>
      </c>
      <c r="CZ109" s="123">
        <v>-1.0880102986770863</v>
      </c>
      <c r="DA109" s="37">
        <v>0.41353108494739738</v>
      </c>
      <c r="DB109" s="37">
        <v>-1.2766985158857145</v>
      </c>
      <c r="DC109" s="90">
        <v>-1.431950974538597</v>
      </c>
      <c r="DQ109">
        <f t="shared" si="24"/>
        <v>84</v>
      </c>
      <c r="DR109" s="123">
        <v>2.6384059188994144</v>
      </c>
      <c r="DS109" s="37">
        <v>-3.6695471255154266E-2</v>
      </c>
      <c r="DT109" s="37">
        <v>-0.53211247965217667</v>
      </c>
      <c r="DU109" s="90">
        <v>-0.65592225269417603</v>
      </c>
      <c r="ED109" s="123">
        <v>1.6715791175541634</v>
      </c>
      <c r="EE109" s="37">
        <v>-3.341841547840009E-2</v>
      </c>
      <c r="EF109" s="37">
        <v>-0.41729073919260995</v>
      </c>
      <c r="EG109" s="90">
        <v>-0.56332900366649652</v>
      </c>
    </row>
    <row r="110" spans="1:137" x14ac:dyDescent="0.25">
      <c r="F110" s="47" t="s">
        <v>453</v>
      </c>
      <c r="G110" s="91">
        <f>G109-(G108/$A108)^2</f>
        <v>4.2193775749263782</v>
      </c>
      <c r="H110" s="92">
        <f>H109-(H108/$A108)^2</f>
        <v>2.5344643011916408</v>
      </c>
      <c r="I110" s="92">
        <f>I109-(I108/$A108)^2</f>
        <v>4.2812483731319446</v>
      </c>
      <c r="J110" s="93">
        <f>J109-(J108/$A108)^2</f>
        <v>1.2809860918516058</v>
      </c>
      <c r="K110" s="60">
        <f>SUM(G110:J110)</f>
        <v>12.316076341101569</v>
      </c>
      <c r="CG110">
        <f t="shared" si="22"/>
        <v>92</v>
      </c>
      <c r="CH110" s="123">
        <v>-3.1574423446146374E-2</v>
      </c>
      <c r="CI110" s="37">
        <v>-0.15014551061614578</v>
      </c>
      <c r="CJ110" s="37">
        <v>-0.28120762679503308</v>
      </c>
      <c r="CK110" s="90">
        <v>0.29585092199108393</v>
      </c>
      <c r="CY110">
        <f t="shared" si="23"/>
        <v>92</v>
      </c>
      <c r="CZ110" s="123">
        <v>0.11023478744865249</v>
      </c>
      <c r="DA110" s="37">
        <v>-4.2315125056601066E-2</v>
      </c>
      <c r="DB110" s="37">
        <v>-6.7602428528413513E-2</v>
      </c>
      <c r="DC110" s="90">
        <v>0.59069864892347457</v>
      </c>
      <c r="DQ110">
        <f t="shared" si="24"/>
        <v>85</v>
      </c>
      <c r="DR110" s="123">
        <v>0.18975950297565439</v>
      </c>
      <c r="DS110" s="37">
        <v>1.0353084664672383</v>
      </c>
      <c r="DT110" s="37">
        <v>-0.33562082757211548</v>
      </c>
      <c r="DU110" s="90">
        <v>0.40339781604086083</v>
      </c>
      <c r="ED110" s="123">
        <v>0.1202233592107302</v>
      </c>
      <c r="EE110" s="37">
        <v>0.94285118291941028</v>
      </c>
      <c r="EF110" s="37">
        <v>-0.26319898251127338</v>
      </c>
      <c r="EG110" s="90">
        <v>0.34645217304053283</v>
      </c>
    </row>
    <row r="111" spans="1:137" x14ac:dyDescent="0.25">
      <c r="J111" s="47" t="s">
        <v>202</v>
      </c>
      <c r="K111" s="159">
        <f>K110/A108</f>
        <v>1.3684529267890633</v>
      </c>
      <c r="CG111">
        <f t="shared" si="22"/>
        <v>93</v>
      </c>
      <c r="CH111" s="123">
        <v>-1.5791104636664699</v>
      </c>
      <c r="CI111" s="37">
        <v>-1.3013992503715972</v>
      </c>
      <c r="CJ111" s="37">
        <v>2.774069736668427</v>
      </c>
      <c r="CK111" s="90">
        <v>-0.10993850706976059</v>
      </c>
      <c r="CY111">
        <f t="shared" si="23"/>
        <v>93</v>
      </c>
      <c r="CZ111" s="123">
        <v>-1.6490170323704481</v>
      </c>
      <c r="DA111" s="37">
        <v>-1.3106464900801358</v>
      </c>
      <c r="DB111" s="37">
        <v>2.7263396298096128</v>
      </c>
      <c r="DC111" s="90">
        <v>-6.6463725273481114E-2</v>
      </c>
      <c r="DQ111">
        <f t="shared" si="24"/>
        <v>86</v>
      </c>
      <c r="DR111" s="123">
        <v>2.8792682297862751</v>
      </c>
      <c r="DS111" s="37">
        <v>2.1871436801875173</v>
      </c>
      <c r="DT111" s="37">
        <v>-1.3209095175003134</v>
      </c>
      <c r="DU111" s="90">
        <v>-0.17799111145083238</v>
      </c>
      <c r="ED111" s="123">
        <v>1.8241789909096113</v>
      </c>
      <c r="EE111" s="37">
        <v>1.9918227976210303</v>
      </c>
      <c r="EF111" s="37">
        <v>-1.0358774320131749</v>
      </c>
      <c r="EG111" s="90">
        <v>-0.15286500048328064</v>
      </c>
    </row>
    <row r="112" spans="1:137" x14ac:dyDescent="0.25">
      <c r="CG112">
        <f t="shared" si="22"/>
        <v>94</v>
      </c>
      <c r="CH112" s="123">
        <v>-1.1060494946749344</v>
      </c>
      <c r="CI112" s="37">
        <v>-0.89290912471423844</v>
      </c>
      <c r="CJ112" s="37">
        <v>-0.66570832215805265</v>
      </c>
      <c r="CK112" s="90">
        <v>-0.88549998105819439</v>
      </c>
      <c r="CY112">
        <f t="shared" si="23"/>
        <v>94</v>
      </c>
      <c r="CZ112" s="123">
        <v>-1.3866909763639275</v>
      </c>
      <c r="DA112" s="37">
        <v>-0.84827573256059963</v>
      </c>
      <c r="DB112" s="37">
        <v>-0.61432646379168543</v>
      </c>
      <c r="DC112" s="90">
        <v>-0.98913528776166404</v>
      </c>
      <c r="DQ112">
        <f t="shared" si="24"/>
        <v>87</v>
      </c>
      <c r="DR112" s="123">
        <v>-2.8168783789694478</v>
      </c>
      <c r="DS112" s="37">
        <v>-5.6505086111893782E-2</v>
      </c>
      <c r="DT112" s="37">
        <v>-0.62353760827314464</v>
      </c>
      <c r="DU112" s="90">
        <v>0.62086614762887338</v>
      </c>
      <c r="ED112" s="123">
        <v>-1.7846514978026253</v>
      </c>
      <c r="EE112" s="37">
        <v>-5.1458950648162291E-2</v>
      </c>
      <c r="EF112" s="37">
        <v>-0.48898772237173227</v>
      </c>
      <c r="EG112" s="90">
        <v>0.53322159282969339</v>
      </c>
    </row>
    <row r="113" spans="85:137" x14ac:dyDescent="0.25">
      <c r="CG113">
        <f t="shared" si="22"/>
        <v>95</v>
      </c>
      <c r="CH113" s="123">
        <v>-1.8631762236755134</v>
      </c>
      <c r="CI113" s="37">
        <v>-1.0529670177957051</v>
      </c>
      <c r="CJ113" s="37">
        <v>-0.86802982484003455</v>
      </c>
      <c r="CK113" s="90">
        <v>0.26694647075376721</v>
      </c>
      <c r="CY113">
        <f t="shared" si="23"/>
        <v>95</v>
      </c>
      <c r="CZ113" s="123">
        <v>-1.9308902399903334</v>
      </c>
      <c r="DA113" s="37">
        <v>-1.0089597055491657</v>
      </c>
      <c r="DB113" s="37">
        <v>-0.93477905146389573</v>
      </c>
      <c r="DC113" s="90">
        <v>0.28941941217190126</v>
      </c>
      <c r="DQ113">
        <f t="shared" si="24"/>
        <v>88</v>
      </c>
      <c r="DR113" s="123">
        <v>-1.6328860850032474</v>
      </c>
      <c r="DS113" s="37">
        <v>-0.99715662583985198</v>
      </c>
      <c r="DT113" s="37">
        <v>0.95090881490873314</v>
      </c>
      <c r="DU113" s="90">
        <v>-0.5513194227514383</v>
      </c>
      <c r="ED113" s="123">
        <v>-1.0345255297845848</v>
      </c>
      <c r="EE113" s="37">
        <v>-0.90810645781460286</v>
      </c>
      <c r="EF113" s="37">
        <v>0.74571722605982071</v>
      </c>
      <c r="EG113" s="90">
        <v>-0.47349242969709254</v>
      </c>
    </row>
    <row r="114" spans="85:137" x14ac:dyDescent="0.25">
      <c r="CG114">
        <f t="shared" si="22"/>
        <v>96</v>
      </c>
      <c r="CH114" s="123">
        <v>-0.65337747909813215</v>
      </c>
      <c r="CI114" s="37">
        <v>0.50072819656441125</v>
      </c>
      <c r="CJ114" s="37">
        <v>0.13452543782249149</v>
      </c>
      <c r="CK114" s="90">
        <v>0.17015972540234153</v>
      </c>
      <c r="CY114">
        <f t="shared" si="23"/>
        <v>96</v>
      </c>
      <c r="CZ114" s="123">
        <v>-0.79508337254717476</v>
      </c>
      <c r="DA114" s="37">
        <v>0.30930884005870946</v>
      </c>
      <c r="DB114" s="37">
        <v>0.13701301805575433</v>
      </c>
      <c r="DC114" s="90">
        <v>1.9372563107410302E-2</v>
      </c>
      <c r="DQ114">
        <f t="shared" si="24"/>
        <v>89</v>
      </c>
      <c r="DR114" s="123">
        <v>0.35183748600111298</v>
      </c>
      <c r="DS114" s="37">
        <v>-0.58801942316547839</v>
      </c>
      <c r="DT114" s="37">
        <v>0.87285148818984937</v>
      </c>
      <c r="DU114" s="90">
        <v>-1.4468228190069929</v>
      </c>
      <c r="ED114" s="123">
        <v>0.22290891259732545</v>
      </c>
      <c r="EE114" s="37">
        <v>-0.53550688192764306</v>
      </c>
      <c r="EF114" s="37">
        <v>0.68450347744183371</v>
      </c>
      <c r="EG114" s="90">
        <v>-1.2425821105556736</v>
      </c>
    </row>
    <row r="115" spans="85:137" x14ac:dyDescent="0.25">
      <c r="CG115">
        <f t="shared" si="22"/>
        <v>97</v>
      </c>
      <c r="CH115" s="123">
        <v>0.41385767205960061</v>
      </c>
      <c r="CI115" s="37">
        <v>0.50841271515131514</v>
      </c>
      <c r="CJ115" s="37">
        <v>1.1954184730470492</v>
      </c>
      <c r="CK115" s="90">
        <v>-0.29972844053628012</v>
      </c>
      <c r="CY115">
        <f t="shared" si="23"/>
        <v>97</v>
      </c>
      <c r="CZ115" s="123">
        <v>0.15068386964255281</v>
      </c>
      <c r="DA115" s="37">
        <v>0.47202300479519882</v>
      </c>
      <c r="DB115" s="37">
        <v>1.415263953572566</v>
      </c>
      <c r="DC115" s="90">
        <v>-0.2306902964940605</v>
      </c>
      <c r="DQ115">
        <f t="shared" si="24"/>
        <v>90</v>
      </c>
      <c r="DR115" s="123">
        <v>-0.44489090039582435</v>
      </c>
      <c r="DS115" s="37">
        <v>-1.2787760901670877</v>
      </c>
      <c r="DT115" s="37">
        <v>1.5648800231500195</v>
      </c>
      <c r="DU115" s="90">
        <v>1.5534252207296682</v>
      </c>
      <c r="ED115" s="123">
        <v>-0.28186350453676368</v>
      </c>
      <c r="EE115" s="37">
        <v>-1.1645761513158173</v>
      </c>
      <c r="EF115" s="37">
        <v>1.2272028313165479</v>
      </c>
      <c r="EG115" s="90">
        <v>1.3341359868027867</v>
      </c>
    </row>
    <row r="116" spans="85:137" x14ac:dyDescent="0.25">
      <c r="CG116">
        <f t="shared" si="22"/>
        <v>98</v>
      </c>
      <c r="CH116" s="123">
        <v>-0.2894529776578636</v>
      </c>
      <c r="CI116" s="37">
        <v>0.20398031689517471</v>
      </c>
      <c r="CJ116" s="37">
        <v>-8.9846547234122137E-2</v>
      </c>
      <c r="CK116" s="90">
        <v>-0.28013113078119728</v>
      </c>
      <c r="CY116">
        <f t="shared" si="23"/>
        <v>98</v>
      </c>
      <c r="CZ116" s="123">
        <v>-0.34734599972685271</v>
      </c>
      <c r="DA116" s="37">
        <v>0.16560932304037732</v>
      </c>
      <c r="DB116" s="37">
        <v>-2.7646795649727204E-2</v>
      </c>
      <c r="DC116" s="90">
        <v>-0.30478911740852943</v>
      </c>
      <c r="DQ116">
        <f t="shared" si="24"/>
        <v>91</v>
      </c>
      <c r="DR116" s="123">
        <v>-1.0726014386153271</v>
      </c>
      <c r="DS116" s="37">
        <v>0.43088647438966976</v>
      </c>
      <c r="DT116" s="37">
        <v>-1.2588406386981255</v>
      </c>
      <c r="DU116" s="90">
        <v>-1.402105013892863</v>
      </c>
      <c r="ED116" s="123">
        <v>-0.67955357187640086</v>
      </c>
      <c r="EE116" s="37">
        <v>0.39240654861884128</v>
      </c>
      <c r="EF116" s="37">
        <v>-0.98720206861415827</v>
      </c>
      <c r="EG116" s="90">
        <v>-1.2041768933250874</v>
      </c>
    </row>
    <row r="117" spans="85:137" x14ac:dyDescent="0.25">
      <c r="CG117">
        <f t="shared" si="22"/>
        <v>99</v>
      </c>
      <c r="CH117" s="123">
        <v>-0.69614101744169155</v>
      </c>
      <c r="CI117" s="37">
        <v>-0.6521662276891057</v>
      </c>
      <c r="CJ117" s="37">
        <v>0.20955268675324651</v>
      </c>
      <c r="CK117" s="90">
        <v>2.4291419982960832E-2</v>
      </c>
      <c r="CY117">
        <f t="shared" si="23"/>
        <v>99</v>
      </c>
      <c r="CZ117" s="123">
        <v>-0.86775818256942272</v>
      </c>
      <c r="DA117" s="37">
        <v>-0.53559648027648543</v>
      </c>
      <c r="DB117" s="37">
        <v>0.17241161701028834</v>
      </c>
      <c r="DC117" s="90">
        <v>2.4753649108442792E-3</v>
      </c>
      <c r="DQ117">
        <f t="shared" si="24"/>
        <v>92</v>
      </c>
      <c r="DR117" s="123">
        <v>0.10591030704945362</v>
      </c>
      <c r="DS117" s="37">
        <v>-4.8742845901164733E-2</v>
      </c>
      <c r="DT117" s="37">
        <v>-7.3059794937662834E-2</v>
      </c>
      <c r="DU117" s="90">
        <v>0.5804430971697595</v>
      </c>
      <c r="ED117" s="123">
        <v>6.7100159353593938E-2</v>
      </c>
      <c r="EE117" s="37">
        <v>-4.4389910258911217E-2</v>
      </c>
      <c r="EF117" s="37">
        <v>-5.7294607814359529E-2</v>
      </c>
      <c r="EG117" s="90">
        <v>0.49850486131652982</v>
      </c>
    </row>
    <row r="118" spans="85:137" x14ac:dyDescent="0.25">
      <c r="CG118">
        <f t="shared" si="22"/>
        <v>100</v>
      </c>
      <c r="CH118" s="123">
        <v>8.2249030527375741E-2</v>
      </c>
      <c r="CI118" s="37">
        <v>-0.89584203012125907</v>
      </c>
      <c r="CJ118" s="37">
        <v>2.5594513014192919</v>
      </c>
      <c r="CK118" s="90">
        <v>-1.0166424287941564</v>
      </c>
      <c r="CY118">
        <f t="shared" si="23"/>
        <v>100</v>
      </c>
      <c r="CZ118" s="123">
        <v>0.22359498506583592</v>
      </c>
      <c r="DA118" s="37">
        <v>-0.89282386563990923</v>
      </c>
      <c r="DB118" s="37">
        <v>2.5309691919634405</v>
      </c>
      <c r="DC118" s="90">
        <v>-0.97416461398967735</v>
      </c>
      <c r="DQ118">
        <f t="shared" si="24"/>
        <v>93</v>
      </c>
      <c r="DR118" s="123">
        <v>-1.6260414793906248</v>
      </c>
      <c r="DS118" s="37">
        <v>-1.2955859572141835</v>
      </c>
      <c r="DT118" s="37">
        <v>2.7267565189485068</v>
      </c>
      <c r="DU118" s="90">
        <v>-4.5952950712294396E-2</v>
      </c>
      <c r="ED118" s="123">
        <v>-1.0301890856733895</v>
      </c>
      <c r="EE118" s="37">
        <v>-1.1798848284332315</v>
      </c>
      <c r="EF118" s="37">
        <v>2.1383641370975988</v>
      </c>
      <c r="EG118" s="90">
        <v>-3.9466003530089215E-2</v>
      </c>
    </row>
    <row r="119" spans="85:137" x14ac:dyDescent="0.25">
      <c r="CG119">
        <f t="shared" si="22"/>
        <v>101</v>
      </c>
      <c r="CH119" s="123">
        <v>-1.1607834012187013</v>
      </c>
      <c r="CI119" s="37">
        <v>8.5872390826538844E-2</v>
      </c>
      <c r="CJ119" s="37">
        <v>0.18596647650021286</v>
      </c>
      <c r="CK119" s="90">
        <v>0.59188849497242002</v>
      </c>
      <c r="CY119">
        <f t="shared" si="23"/>
        <v>101</v>
      </c>
      <c r="CZ119" s="123">
        <v>-1.4738739844096211</v>
      </c>
      <c r="DA119" s="37">
        <v>-0.10912640108982347</v>
      </c>
      <c r="DB119" s="37">
        <v>0.28950018349018347</v>
      </c>
      <c r="DC119" s="90">
        <v>0.43539226438745593</v>
      </c>
      <c r="DQ119">
        <f t="shared" si="24"/>
        <v>94</v>
      </c>
      <c r="DR119" s="123">
        <v>-1.3674665741899983</v>
      </c>
      <c r="DS119" s="37">
        <v>-0.82518456240229943</v>
      </c>
      <c r="DT119" s="37">
        <v>-0.59627251599328568</v>
      </c>
      <c r="DU119" s="90">
        <v>-0.95503423712784319</v>
      </c>
      <c r="ED119" s="123">
        <v>-0.86636728374337624</v>
      </c>
      <c r="EE119" s="37">
        <v>-0.7514922035194852</v>
      </c>
      <c r="EF119" s="37">
        <v>-0.46760602029428028</v>
      </c>
      <c r="EG119" s="90">
        <v>-0.82021685201075567</v>
      </c>
    </row>
    <row r="120" spans="85:137" x14ac:dyDescent="0.25">
      <c r="CG120">
        <f t="shared" si="22"/>
        <v>102</v>
      </c>
      <c r="CH120" s="123">
        <v>-1.0440683413553562</v>
      </c>
      <c r="CI120" s="37">
        <v>1.0578575383502153</v>
      </c>
      <c r="CJ120" s="37">
        <v>-1.1616843152418528</v>
      </c>
      <c r="CK120" s="90">
        <v>-6.988694364242308E-2</v>
      </c>
      <c r="CY120">
        <f t="shared" si="23"/>
        <v>102</v>
      </c>
      <c r="CZ120" s="123">
        <v>-1.2023225611923454</v>
      </c>
      <c r="DA120" s="37">
        <v>0.87858593402359242</v>
      </c>
      <c r="DB120" s="37">
        <v>-1.2125924461011055</v>
      </c>
      <c r="DC120" s="90">
        <v>-0.25005681756227904</v>
      </c>
      <c r="DQ120">
        <f t="shared" si="24"/>
        <v>95</v>
      </c>
      <c r="DR120" s="123">
        <v>-1.9137009071849729</v>
      </c>
      <c r="DS120" s="37">
        <v>-0.99616328804861898</v>
      </c>
      <c r="DT120" s="37">
        <v>-0.92639354118731654</v>
      </c>
      <c r="DU120" s="90">
        <v>0.30769296970617827</v>
      </c>
      <c r="ED120" s="123">
        <v>-1.2124375748176195</v>
      </c>
      <c r="EE120" s="37">
        <v>-0.90720182915383429</v>
      </c>
      <c r="EF120" s="37">
        <v>-0.72649197372331076</v>
      </c>
      <c r="EG120" s="90">
        <v>0.26425749903713536</v>
      </c>
    </row>
    <row r="121" spans="85:137" x14ac:dyDescent="0.25">
      <c r="CG121">
        <f t="shared" si="22"/>
        <v>103</v>
      </c>
      <c r="CH121" s="123">
        <v>-0.35036951107984038</v>
      </c>
      <c r="CI121" s="37">
        <v>1.120497936186468</v>
      </c>
      <c r="CJ121" s="37">
        <v>-3.831835430913999E-2</v>
      </c>
      <c r="CK121" s="90">
        <v>-3.2397331287816425E-2</v>
      </c>
      <c r="CY121">
        <f t="shared" si="23"/>
        <v>103</v>
      </c>
      <c r="CZ121" s="123">
        <v>-0.33765388686352565</v>
      </c>
      <c r="DA121" s="37">
        <v>0.89335555108428832</v>
      </c>
      <c r="DB121" s="37">
        <v>-0.11555613070440456</v>
      </c>
      <c r="DC121" s="90">
        <v>-0.30866914422727165</v>
      </c>
      <c r="DQ121">
        <f t="shared" si="24"/>
        <v>96</v>
      </c>
      <c r="DR121" s="123">
        <v>-0.78793024389449218</v>
      </c>
      <c r="DS121" s="37">
        <v>0.30953384183948618</v>
      </c>
      <c r="DT121" s="37">
        <v>0.13603990117456277</v>
      </c>
      <c r="DU121" s="90">
        <v>2.2071084294194198E-2</v>
      </c>
      <c r="ED121" s="123">
        <v>-0.49919829710388247</v>
      </c>
      <c r="EE121" s="37">
        <v>0.28189120284875452</v>
      </c>
      <c r="EF121" s="37">
        <v>0.10668456969460723</v>
      </c>
      <c r="EG121" s="90">
        <v>1.8955420210578978E-2</v>
      </c>
    </row>
    <row r="122" spans="85:137" x14ac:dyDescent="0.25">
      <c r="CG122">
        <f t="shared" si="22"/>
        <v>104</v>
      </c>
      <c r="CH122" s="123">
        <v>-0.64825336941872758</v>
      </c>
      <c r="CI122" s="37">
        <v>0.49158266670975004</v>
      </c>
      <c r="CJ122" s="37">
        <v>1.1301817969664383</v>
      </c>
      <c r="CK122" s="90">
        <v>1.8150165272917593</v>
      </c>
      <c r="CY122">
        <f t="shared" si="23"/>
        <v>104</v>
      </c>
      <c r="CZ122" s="123">
        <v>-0.75757263463225721</v>
      </c>
      <c r="DA122" s="37">
        <v>0.74344910120597818</v>
      </c>
      <c r="DB122" s="37">
        <v>1.2787776433091957</v>
      </c>
      <c r="DC122" s="90">
        <v>2.155488022106562</v>
      </c>
      <c r="DQ122">
        <f t="shared" si="24"/>
        <v>97</v>
      </c>
      <c r="DR122" s="123">
        <v>0.15195658346917834</v>
      </c>
      <c r="DS122" s="37">
        <v>0.46911297964152676</v>
      </c>
      <c r="DT122" s="37">
        <v>1.410087741988733</v>
      </c>
      <c r="DU122" s="90">
        <v>-0.23336086487498903</v>
      </c>
      <c r="ED122" s="123">
        <v>9.627307529991877E-2</v>
      </c>
      <c r="EE122" s="37">
        <v>0.42721927049155373</v>
      </c>
      <c r="EF122" s="37">
        <v>1.1058123586305362</v>
      </c>
      <c r="EG122" s="90">
        <v>-0.20041848399687129</v>
      </c>
    </row>
    <row r="123" spans="85:137" x14ac:dyDescent="0.25">
      <c r="CG123">
        <f t="shared" si="22"/>
        <v>105</v>
      </c>
      <c r="CH123" s="123">
        <v>-0.24414374825904722</v>
      </c>
      <c r="CI123" s="37">
        <v>-1.1926545864367375</v>
      </c>
      <c r="CJ123" s="37">
        <v>-0.24512159777944026</v>
      </c>
      <c r="CK123" s="90">
        <v>-1.3670047730965844</v>
      </c>
      <c r="CY123">
        <f t="shared" si="23"/>
        <v>105</v>
      </c>
      <c r="CZ123" s="123">
        <v>-0.21314470779917638</v>
      </c>
      <c r="DA123" s="37">
        <v>-1.2375340571629987</v>
      </c>
      <c r="DB123" s="37">
        <v>-0.20932949621077596</v>
      </c>
      <c r="DC123" s="90">
        <v>-1.327308347171839</v>
      </c>
      <c r="DQ123">
        <f t="shared" si="24"/>
        <v>98</v>
      </c>
      <c r="DR123" s="123">
        <v>-0.34270271046660539</v>
      </c>
      <c r="DS123" s="37">
        <v>0.16893188991495423</v>
      </c>
      <c r="DT123" s="37">
        <v>-2.4887107346106122E-2</v>
      </c>
      <c r="DU123" s="90">
        <v>-0.29851600881769175</v>
      </c>
      <c r="ED123" s="123">
        <v>-0.21712151653455547</v>
      </c>
      <c r="EE123" s="37">
        <v>0.15384558071144339</v>
      </c>
      <c r="EF123" s="37">
        <v>-1.9516849947986321E-2</v>
      </c>
      <c r="EG123" s="90">
        <v>-0.25637600361178065</v>
      </c>
    </row>
    <row r="124" spans="85:137" x14ac:dyDescent="0.25">
      <c r="CG124">
        <f t="shared" si="22"/>
        <v>106</v>
      </c>
      <c r="CH124" s="123">
        <v>1.2339828858461035</v>
      </c>
      <c r="CI124" s="37">
        <v>0.64994644695255988</v>
      </c>
      <c r="CJ124" s="37">
        <v>-0.84754332429578827</v>
      </c>
      <c r="CK124" s="90">
        <v>9.8781405284431023E-3</v>
      </c>
      <c r="CY124">
        <f t="shared" si="23"/>
        <v>106</v>
      </c>
      <c r="CZ124" s="123">
        <v>1.4055249534899152</v>
      </c>
      <c r="DA124" s="37">
        <v>0.55908578871035264</v>
      </c>
      <c r="DB124" s="37">
        <v>-0.92316033607914738</v>
      </c>
      <c r="DC124" s="90">
        <v>-0.12612188581015152</v>
      </c>
      <c r="DQ124">
        <f t="shared" si="24"/>
        <v>99</v>
      </c>
      <c r="DR124" s="123">
        <v>-0.85821606817068474</v>
      </c>
      <c r="DS124" s="37">
        <v>-0.5282869632980981</v>
      </c>
      <c r="DT124" s="37">
        <v>0.17580585717990427</v>
      </c>
      <c r="DU124" s="90">
        <v>1.2819788841835326E-2</v>
      </c>
      <c r="ED124" s="123">
        <v>-0.54372833521461195</v>
      </c>
      <c r="EE124" s="37">
        <v>-0.48110877520992129</v>
      </c>
      <c r="EF124" s="37">
        <v>0.13786964016507741</v>
      </c>
      <c r="EG124" s="90">
        <v>1.1010083658273309E-2</v>
      </c>
    </row>
    <row r="125" spans="85:137" x14ac:dyDescent="0.25">
      <c r="CG125">
        <f t="shared" si="22"/>
        <v>107</v>
      </c>
      <c r="CH125" s="123">
        <v>1.8030047959427755</v>
      </c>
      <c r="CI125" s="37">
        <v>1.3601597555408369</v>
      </c>
      <c r="CJ125" s="37">
        <v>-2.1074034126041363</v>
      </c>
      <c r="CK125" s="90">
        <v>-2.7483546015639297</v>
      </c>
      <c r="CY125">
        <f t="shared" si="23"/>
        <v>107</v>
      </c>
      <c r="CZ125" s="123">
        <v>1.9625270695692774</v>
      </c>
      <c r="DA125" s="37">
        <v>1.1221055626183865</v>
      </c>
      <c r="DB125" s="37">
        <v>-2.156566594239993</v>
      </c>
      <c r="DC125" s="90">
        <v>-3.0195912103288327</v>
      </c>
      <c r="DQ125">
        <f t="shared" si="24"/>
        <v>100</v>
      </c>
      <c r="DR125" s="123">
        <v>0.23256156705317008</v>
      </c>
      <c r="DS125" s="37">
        <v>-0.87808392035417093</v>
      </c>
      <c r="DT125" s="37">
        <v>2.5358898675993378</v>
      </c>
      <c r="DU125" s="90">
        <v>-0.95506255401748963</v>
      </c>
      <c r="ED125" s="123">
        <v>0.1473408834656923</v>
      </c>
      <c r="EE125" s="37">
        <v>-0.79966743229047266</v>
      </c>
      <c r="EF125" s="37">
        <v>1.9886835919602712</v>
      </c>
      <c r="EG125" s="90">
        <v>-0.82024117154735621</v>
      </c>
    </row>
    <row r="126" spans="85:137" x14ac:dyDescent="0.25">
      <c r="CG126">
        <f t="shared" si="22"/>
        <v>108</v>
      </c>
      <c r="CH126" s="123">
        <v>-1.1904109110719467</v>
      </c>
      <c r="CI126" s="37">
        <v>0.27139855604415825</v>
      </c>
      <c r="CJ126" s="37">
        <v>0.5725774735079826</v>
      </c>
      <c r="CK126" s="90">
        <v>1.2327341360147019</v>
      </c>
      <c r="CY126">
        <f t="shared" si="23"/>
        <v>108</v>
      </c>
      <c r="CZ126" s="123">
        <v>-1.2301214768566855</v>
      </c>
      <c r="DA126" s="37">
        <v>0.21844659622457219</v>
      </c>
      <c r="DB126" s="37">
        <v>0.63813735624371037</v>
      </c>
      <c r="DC126" s="90">
        <v>1.3562583679202711</v>
      </c>
      <c r="DQ126">
        <f t="shared" si="24"/>
        <v>101</v>
      </c>
      <c r="DR126" s="123">
        <v>-1.4614984389518342</v>
      </c>
      <c r="DS126" s="37">
        <v>-0.10768937697354874</v>
      </c>
      <c r="DT126" s="37">
        <v>0.28710319610466439</v>
      </c>
      <c r="DU126" s="90">
        <v>0.43922739918152653</v>
      </c>
      <c r="ED126" s="123">
        <v>-0.92594177923500587</v>
      </c>
      <c r="EE126" s="37">
        <v>-9.8072274839817272E-2</v>
      </c>
      <c r="EF126" s="37">
        <v>0.22515071438540388</v>
      </c>
      <c r="EG126" s="90">
        <v>0.37722387393879131</v>
      </c>
    </row>
    <row r="127" spans="85:137" x14ac:dyDescent="0.25">
      <c r="CG127">
        <f t="shared" si="22"/>
        <v>109</v>
      </c>
      <c r="CH127" s="123">
        <v>-2.3016909319137774E-3</v>
      </c>
      <c r="CI127" s="37">
        <v>-0.44007825025678143</v>
      </c>
      <c r="CJ127" s="37">
        <v>-0.27063780290365785</v>
      </c>
      <c r="CK127" s="90">
        <v>-0.40702110198124852</v>
      </c>
      <c r="CY127">
        <f t="shared" si="23"/>
        <v>109</v>
      </c>
      <c r="CZ127" s="123">
        <v>1.6548044893247446E-2</v>
      </c>
      <c r="DA127" s="37">
        <v>-0.49659944641311798</v>
      </c>
      <c r="DB127" s="37">
        <v>-0.36721099362395815</v>
      </c>
      <c r="DC127" s="90">
        <v>-0.43238093892901275</v>
      </c>
      <c r="DQ127">
        <f t="shared" si="24"/>
        <v>102</v>
      </c>
      <c r="DR127" s="123">
        <v>-1.1930438782876538</v>
      </c>
      <c r="DS127" s="37">
        <v>0.87984611408204305</v>
      </c>
      <c r="DT127" s="37">
        <v>-1.2085590787919673</v>
      </c>
      <c r="DU127" s="90">
        <v>-0.24303502526345408</v>
      </c>
      <c r="ED127" s="123">
        <v>-0.75586065775025335</v>
      </c>
      <c r="EE127" s="37">
        <v>0.80127225490582987</v>
      </c>
      <c r="EF127" s="37">
        <v>-0.94777050084729553</v>
      </c>
      <c r="EG127" s="90">
        <v>-0.20872699176674694</v>
      </c>
    </row>
    <row r="128" spans="85:137" x14ac:dyDescent="0.25">
      <c r="CG128">
        <f t="shared" si="22"/>
        <v>110</v>
      </c>
      <c r="CH128" s="123">
        <v>1.7291847983842588</v>
      </c>
      <c r="CI128" s="37">
        <v>1.0380922041799869</v>
      </c>
      <c r="CJ128" s="37">
        <v>-0.32833409442789707</v>
      </c>
      <c r="CK128" s="90">
        <v>-1.3148902731994685</v>
      </c>
      <c r="CY128">
        <f t="shared" si="23"/>
        <v>110</v>
      </c>
      <c r="CZ128" s="123">
        <v>1.779332770924519</v>
      </c>
      <c r="DA128" s="37">
        <v>0.9630265851941352</v>
      </c>
      <c r="DB128" s="37">
        <v>-0.35825305564308191</v>
      </c>
      <c r="DC128" s="90">
        <v>-1.4063545244215108</v>
      </c>
      <c r="DQ128">
        <f t="shared" si="24"/>
        <v>103</v>
      </c>
      <c r="DR128" s="123">
        <v>-0.33455529339682455</v>
      </c>
      <c r="DS128" s="37">
        <v>0.89101980054451957</v>
      </c>
      <c r="DT128" s="37">
        <v>-0.11610204538760739</v>
      </c>
      <c r="DU128" s="90">
        <v>-0.30822883066737944</v>
      </c>
      <c r="ED128" s="123">
        <v>-0.21195966780677097</v>
      </c>
      <c r="EE128" s="37">
        <v>0.81144808543358105</v>
      </c>
      <c r="EF128" s="37">
        <v>-9.104899846220034E-2</v>
      </c>
      <c r="EG128" s="90">
        <v>-0.26471771519863518</v>
      </c>
    </row>
    <row r="129" spans="85:137" x14ac:dyDescent="0.25">
      <c r="CG129">
        <f t="shared" si="22"/>
        <v>111</v>
      </c>
      <c r="CH129" s="123">
        <v>-0.28708317070136807</v>
      </c>
      <c r="CI129" s="37">
        <v>-0.90022995862563437</v>
      </c>
      <c r="CJ129" s="37">
        <v>0.17623577480289071</v>
      </c>
      <c r="CK129" s="90">
        <v>0.30494660670777507</v>
      </c>
      <c r="CY129">
        <f t="shared" si="23"/>
        <v>111</v>
      </c>
      <c r="CZ129" s="123">
        <v>-0.54424341942610932</v>
      </c>
      <c r="DA129" s="37">
        <v>-1.0560564230607676</v>
      </c>
      <c r="DB129" s="37">
        <v>0.19026205775217508</v>
      </c>
      <c r="DC129" s="90">
        <v>0.15638489859103993</v>
      </c>
      <c r="DQ129">
        <f t="shared" si="24"/>
        <v>104</v>
      </c>
      <c r="DR129" s="123">
        <v>-0.7614146765181169</v>
      </c>
      <c r="DS129" s="37">
        <v>0.7160545960002298</v>
      </c>
      <c r="DT129" s="37">
        <v>1.2509687338346844</v>
      </c>
      <c r="DU129" s="90">
        <v>2.1173309724602491</v>
      </c>
      <c r="ED129" s="123">
        <v>-0.48239918806650656</v>
      </c>
      <c r="EE129" s="37">
        <v>0.65210798978341133</v>
      </c>
      <c r="EF129" s="37">
        <v>0.98102880050838781</v>
      </c>
      <c r="EG129" s="90">
        <v>1.8184379966513626</v>
      </c>
    </row>
    <row r="130" spans="85:137" x14ac:dyDescent="0.25">
      <c r="CG130">
        <f t="shared" si="22"/>
        <v>112</v>
      </c>
      <c r="CH130" s="123">
        <v>2.2493908295968761</v>
      </c>
      <c r="CI130" s="37">
        <v>1.2172969805300737</v>
      </c>
      <c r="CJ130" s="37">
        <v>-0.59578989589009546</v>
      </c>
      <c r="CK130" s="90">
        <v>0.55543929005377168</v>
      </c>
      <c r="CY130">
        <f t="shared" si="23"/>
        <v>112</v>
      </c>
      <c r="CZ130" s="123">
        <v>2.5317994784452962</v>
      </c>
      <c r="DA130" s="37">
        <v>1.1553725152333338</v>
      </c>
      <c r="DB130" s="37">
        <v>-0.63073667401248479</v>
      </c>
      <c r="DC130" s="90">
        <v>0.48414325466858399</v>
      </c>
      <c r="DQ130">
        <f t="shared" si="24"/>
        <v>105</v>
      </c>
      <c r="DR130" s="123">
        <v>-0.20191283314071357</v>
      </c>
      <c r="DS130" s="37">
        <v>-1.2124332303699572</v>
      </c>
      <c r="DT130" s="37">
        <v>-0.18924368181032314</v>
      </c>
      <c r="DU130" s="90">
        <v>-1.2932461855550508</v>
      </c>
      <c r="ED130" s="123">
        <v>-0.12792318006359135</v>
      </c>
      <c r="EE130" s="37">
        <v>-1.1041579804382775</v>
      </c>
      <c r="EF130" s="37">
        <v>-0.14840778761997936</v>
      </c>
      <c r="EG130" s="90">
        <v>-1.1106851188716995</v>
      </c>
    </row>
    <row r="131" spans="85:137" x14ac:dyDescent="0.25">
      <c r="CG131">
        <f t="shared" si="22"/>
        <v>113</v>
      </c>
      <c r="CH131" s="123">
        <v>3.8700363013294083</v>
      </c>
      <c r="CI131" s="37">
        <v>1.9494910138281292</v>
      </c>
      <c r="CJ131" s="37">
        <v>-0.69142162913183292</v>
      </c>
      <c r="CK131" s="90">
        <v>1.777157557861879E-2</v>
      </c>
      <c r="CY131">
        <f t="shared" si="23"/>
        <v>113</v>
      </c>
      <c r="CZ131" s="123">
        <v>4.3846232237758338</v>
      </c>
      <c r="DA131" s="37">
        <v>2.224503719025372</v>
      </c>
      <c r="DB131" s="37">
        <v>-0.6503139047715607</v>
      </c>
      <c r="DC131" s="90">
        <v>0.38319736138262345</v>
      </c>
      <c r="DQ131">
        <f t="shared" si="24"/>
        <v>106</v>
      </c>
      <c r="DR131" s="123">
        <v>1.390250699867561</v>
      </c>
      <c r="DS131" s="37">
        <v>0.5515122500932419</v>
      </c>
      <c r="DT131" s="37">
        <v>-0.92373922047803347</v>
      </c>
      <c r="DU131" s="90">
        <v>-0.13758952762719145</v>
      </c>
      <c r="ED131" s="123">
        <v>0.88080231378235918</v>
      </c>
      <c r="EE131" s="37">
        <v>0.50225994883372638</v>
      </c>
      <c r="EF131" s="37">
        <v>-0.72441041485524027</v>
      </c>
      <c r="EG131" s="90">
        <v>-0.11816670526850973</v>
      </c>
    </row>
    <row r="132" spans="85:137" x14ac:dyDescent="0.25">
      <c r="CG132">
        <f t="shared" si="22"/>
        <v>114</v>
      </c>
      <c r="CH132" s="123">
        <v>2.3901618579003885</v>
      </c>
      <c r="CI132" s="37">
        <v>0.67486004670163957</v>
      </c>
      <c r="CJ132" s="37">
        <v>-1.3130913914421356</v>
      </c>
      <c r="CK132" s="90">
        <v>-1.7780121841809902</v>
      </c>
      <c r="CY132">
        <f t="shared" si="23"/>
        <v>114</v>
      </c>
      <c r="CZ132" s="123">
        <v>2.9106567985849403</v>
      </c>
      <c r="DA132" s="37">
        <v>1.028304117251627</v>
      </c>
      <c r="DB132" s="37">
        <v>-1.189841955366745</v>
      </c>
      <c r="DC132" s="90">
        <v>-1.2947413235789451</v>
      </c>
      <c r="DQ132">
        <f t="shared" si="24"/>
        <v>107</v>
      </c>
      <c r="DR132" s="123">
        <v>1.9547439889959579</v>
      </c>
      <c r="DS132" s="37">
        <v>1.1403464202956082</v>
      </c>
      <c r="DT132" s="37">
        <v>-2.1285382731407156</v>
      </c>
      <c r="DU132" s="90">
        <v>-2.98980601029985</v>
      </c>
      <c r="ED132" s="123">
        <v>1.2384406844922402</v>
      </c>
      <c r="EE132" s="37">
        <v>1.0385088175531234</v>
      </c>
      <c r="EF132" s="37">
        <v>-1.6692322457448259</v>
      </c>
      <c r="EG132" s="90">
        <v>-2.5677501167559824</v>
      </c>
    </row>
    <row r="133" spans="85:137" x14ac:dyDescent="0.25">
      <c r="CG133">
        <f t="shared" si="22"/>
        <v>115</v>
      </c>
      <c r="CH133" s="123">
        <v>-0.91793547772958894</v>
      </c>
      <c r="CI133" s="37">
        <v>-0.34043338095483006</v>
      </c>
      <c r="CJ133" s="37">
        <v>0.80694291761014614</v>
      </c>
      <c r="CK133" s="90">
        <v>0.49749266097233341</v>
      </c>
      <c r="CY133">
        <f t="shared" si="23"/>
        <v>115</v>
      </c>
      <c r="CZ133" s="123">
        <v>-1.1714741799994024</v>
      </c>
      <c r="DA133" s="37">
        <v>-0.40157536617245371</v>
      </c>
      <c r="DB133" s="37">
        <v>0.80215310726392586</v>
      </c>
      <c r="DC133" s="90">
        <v>0.37835548357180432</v>
      </c>
      <c r="DQ133">
        <f t="shared" si="24"/>
        <v>108</v>
      </c>
      <c r="DR133" s="123">
        <v>-1.2251525239964074</v>
      </c>
      <c r="DS133" s="37">
        <v>0.20613160854880591</v>
      </c>
      <c r="DT133" s="37">
        <v>0.62361093481521823</v>
      </c>
      <c r="DU133" s="90">
        <v>1.3398691621683996</v>
      </c>
      <c r="ED133" s="123">
        <v>-0.77620329770388363</v>
      </c>
      <c r="EE133" s="37">
        <v>0.18772321221375102</v>
      </c>
      <c r="EF133" s="37">
        <v>0.48904522616672752</v>
      </c>
      <c r="EG133" s="90">
        <v>1.1507265641126339</v>
      </c>
    </row>
    <row r="134" spans="85:137" x14ac:dyDescent="0.25">
      <c r="CG134">
        <f t="shared" si="22"/>
        <v>116</v>
      </c>
      <c r="CH134" s="123">
        <v>1.4911268236006863</v>
      </c>
      <c r="CI134" s="37">
        <v>1.8793776608367649</v>
      </c>
      <c r="CJ134" s="37">
        <v>-0.5844121010131953</v>
      </c>
      <c r="CK134" s="90">
        <v>-0.2456577134907944</v>
      </c>
      <c r="CY134">
        <f t="shared" si="23"/>
        <v>116</v>
      </c>
      <c r="CZ134" s="123">
        <v>1.6265429139844485</v>
      </c>
      <c r="DA134" s="37">
        <v>1.7409625641679285</v>
      </c>
      <c r="DB134" s="37">
        <v>-0.50885287300847648</v>
      </c>
      <c r="DC134" s="90">
        <v>-0.32564130607461078</v>
      </c>
      <c r="DQ134">
        <f t="shared" si="24"/>
        <v>109</v>
      </c>
      <c r="DR134" s="123">
        <v>1.9067404159088253E-2</v>
      </c>
      <c r="DS134" s="37">
        <v>-0.48777071858365689</v>
      </c>
      <c r="DT134" s="37">
        <v>-0.3593141675706033</v>
      </c>
      <c r="DU134" s="90">
        <v>-0.42080025694399875</v>
      </c>
      <c r="ED134" s="123">
        <v>1.2080277105955214E-2</v>
      </c>
      <c r="EE134" s="37">
        <v>-0.44421079698048122</v>
      </c>
      <c r="EF134" s="37">
        <v>-0.28177966186007125</v>
      </c>
      <c r="EG134" s="90">
        <v>-0.36139799879208051</v>
      </c>
    </row>
    <row r="135" spans="85:137" x14ac:dyDescent="0.25">
      <c r="CG135">
        <f t="shared" si="22"/>
        <v>117</v>
      </c>
      <c r="CH135" s="123">
        <v>2.144762494469409</v>
      </c>
      <c r="CI135" s="37">
        <v>0.53515943775693708</v>
      </c>
      <c r="CJ135" s="37">
        <v>-0.41885784567220385</v>
      </c>
      <c r="CK135" s="90">
        <v>-1.8273668523315871</v>
      </c>
      <c r="CY135">
        <f t="shared" si="23"/>
        <v>117</v>
      </c>
      <c r="CZ135" s="123">
        <v>2.4701317226889477</v>
      </c>
      <c r="DA135" s="37">
        <v>0.43840907284689168</v>
      </c>
      <c r="DB135" s="37">
        <v>-0.34735948089343083</v>
      </c>
      <c r="DC135" s="90">
        <v>-1.6713868403717556</v>
      </c>
      <c r="DQ135">
        <f t="shared" si="24"/>
        <v>110</v>
      </c>
      <c r="DR135" s="123">
        <v>1.7676864075285865</v>
      </c>
      <c r="DS135" s="37">
        <v>0.96429370209060761</v>
      </c>
      <c r="DT135" s="37">
        <v>-0.35093161598146588</v>
      </c>
      <c r="DU135" s="90">
        <v>-1.4030045770548571</v>
      </c>
      <c r="ED135" s="123">
        <v>1.1199291451111137</v>
      </c>
      <c r="EE135" s="37">
        <v>0.87817832766331139</v>
      </c>
      <c r="EF135" s="37">
        <v>-0.27520593678743654</v>
      </c>
      <c r="EG135" s="90">
        <v>-1.2049494696749516</v>
      </c>
    </row>
    <row r="136" spans="85:137" x14ac:dyDescent="0.25">
      <c r="CG136">
        <f t="shared" si="22"/>
        <v>118</v>
      </c>
      <c r="CH136" s="123">
        <v>1.6071611082782189</v>
      </c>
      <c r="CI136" s="37">
        <v>1.7336209386861212</v>
      </c>
      <c r="CJ136" s="37">
        <v>-2.8927149993632373</v>
      </c>
      <c r="CK136" s="90">
        <v>0.26998751941721538</v>
      </c>
      <c r="CY136">
        <f t="shared" si="23"/>
        <v>118</v>
      </c>
      <c r="CZ136" s="123">
        <v>1.5130516141558199</v>
      </c>
      <c r="DA136" s="37">
        <v>1.8000911095260053</v>
      </c>
      <c r="DB136" s="37">
        <v>-2.9225836671844698</v>
      </c>
      <c r="DC136" s="90">
        <v>0.23083374391304048</v>
      </c>
      <c r="DQ136">
        <f t="shared" si="24"/>
        <v>111</v>
      </c>
      <c r="DR136" s="123">
        <v>-0.53765742522460369</v>
      </c>
      <c r="DS136" s="37">
        <v>-1.0475412969571498</v>
      </c>
      <c r="DT136" s="37">
        <v>0.19419924839255842</v>
      </c>
      <c r="DU136" s="90">
        <v>0.16605407014235538</v>
      </c>
      <c r="ED136" s="123">
        <v>-0.34063633573801488</v>
      </c>
      <c r="EE136" s="37">
        <v>-0.95399157157789594</v>
      </c>
      <c r="EF136" s="37">
        <v>0.15229401867317863</v>
      </c>
      <c r="EG136" s="90">
        <v>0.14261305132404781</v>
      </c>
    </row>
    <row r="137" spans="85:137" x14ac:dyDescent="0.25">
      <c r="CG137">
        <f t="shared" si="22"/>
        <v>119</v>
      </c>
      <c r="CH137" s="123">
        <v>-1.1588501138283853</v>
      </c>
      <c r="CI137" s="37">
        <v>-1.6259875200564164</v>
      </c>
      <c r="CJ137" s="37">
        <v>-0.31045061484174852</v>
      </c>
      <c r="CK137" s="90">
        <v>1.7583452491679672</v>
      </c>
      <c r="CY137">
        <f t="shared" si="23"/>
        <v>119</v>
      </c>
      <c r="CZ137" s="123">
        <v>-1.5885797288859986</v>
      </c>
      <c r="DA137" s="37">
        <v>-1.5293004914721038</v>
      </c>
      <c r="DB137" s="37">
        <v>-0.37801235725267268</v>
      </c>
      <c r="DC137" s="90">
        <v>1.5886959528180034</v>
      </c>
      <c r="DQ137">
        <f t="shared" si="24"/>
        <v>112</v>
      </c>
      <c r="DR137" s="123">
        <v>2.5018016162290344</v>
      </c>
      <c r="DS137" s="37">
        <v>1.1320316967762865</v>
      </c>
      <c r="DT137" s="37">
        <v>-0.64293930143836797</v>
      </c>
      <c r="DU137" s="90">
        <v>0.44920044195396414</v>
      </c>
      <c r="ED137" s="123">
        <v>1.5850325789506161</v>
      </c>
      <c r="EE137" s="37">
        <v>1.0309366328760379</v>
      </c>
      <c r="EF137" s="37">
        <v>-0.5042028266816263</v>
      </c>
      <c r="EG137" s="90">
        <v>0.38578907236809368</v>
      </c>
    </row>
    <row r="138" spans="85:137" x14ac:dyDescent="0.25">
      <c r="CG138">
        <f t="shared" si="22"/>
        <v>120</v>
      </c>
      <c r="CH138" s="91">
        <v>-2.3314714072061911</v>
      </c>
      <c r="CI138" s="92">
        <v>-0.78217905390427189</v>
      </c>
      <c r="CJ138" s="92">
        <v>-0.53576603096131725</v>
      </c>
      <c r="CK138" s="93">
        <v>2.58302283341445</v>
      </c>
      <c r="CY138">
        <f t="shared" si="23"/>
        <v>120</v>
      </c>
      <c r="CZ138" s="91">
        <v>-2.3533418755108402</v>
      </c>
      <c r="DA138" s="92">
        <v>-0.75266621664048627</v>
      </c>
      <c r="DB138" s="92">
        <v>-0.4638854430482483</v>
      </c>
      <c r="DC138" s="93">
        <v>2.8569020666346683</v>
      </c>
      <c r="DQ138">
        <f t="shared" si="24"/>
        <v>113</v>
      </c>
      <c r="DR138" s="123">
        <v>4.3354807891059366</v>
      </c>
      <c r="DS138" s="37">
        <v>2.1869018449132289</v>
      </c>
      <c r="DT138" s="37">
        <v>-0.66965392448074423</v>
      </c>
      <c r="DU138" s="90">
        <v>0.32797927399455895</v>
      </c>
      <c r="ED138" s="123">
        <v>2.7467718669497931</v>
      </c>
      <c r="EE138" s="37">
        <v>1.9916025592265618</v>
      </c>
      <c r="EF138" s="37">
        <v>-0.52515284236983573</v>
      </c>
      <c r="EG138" s="90">
        <v>0.28168008766850039</v>
      </c>
    </row>
    <row r="139" spans="85:137" x14ac:dyDescent="0.25">
      <c r="DQ139">
        <f t="shared" si="24"/>
        <v>114</v>
      </c>
      <c r="DR139" s="123">
        <v>2.8861062697710111</v>
      </c>
      <c r="DS139" s="37">
        <v>1.0242672460043416</v>
      </c>
      <c r="DT139" s="37">
        <v>-1.1828334787931898</v>
      </c>
      <c r="DU139" s="90">
        <v>-1.3009546363966702</v>
      </c>
      <c r="ED139" s="123">
        <v>1.8285112753248365</v>
      </c>
      <c r="EE139" s="37">
        <v>0.93279598863529645</v>
      </c>
      <c r="EF139" s="37">
        <v>-0.92759609214581107</v>
      </c>
      <c r="EG139" s="90">
        <v>-1.1173054064356378</v>
      </c>
    </row>
    <row r="140" spans="85:137" x14ac:dyDescent="0.25">
      <c r="CG140" t="s">
        <v>48</v>
      </c>
      <c r="CH140" s="156">
        <f>AVERAGE(CH19:CH138)</f>
        <v>2.1464311809419693E-16</v>
      </c>
      <c r="CI140" s="157">
        <f t="array" ref="CI140">AVERAGE(CI19:CI138)</f>
        <v>-3.9968028886505636E-16</v>
      </c>
      <c r="CJ140" s="157">
        <f t="array" ref="CJ140">AVERAGE(CJ19:CJ138)</f>
        <v>-1.7023419710919068E-16</v>
      </c>
      <c r="CK140" s="158">
        <f t="array" ref="CK140">AVERAGE(CK19:CK138)</f>
        <v>0</v>
      </c>
      <c r="CY140" t="s">
        <v>48</v>
      </c>
      <c r="CZ140" s="156">
        <f>AVERAGE(CZ19:CZ138)</f>
        <v>0</v>
      </c>
      <c r="DA140" s="157">
        <f t="array" ref="DA140">AVERAGE(DA19:DA138)</f>
        <v>-3.5157062446463289E-16</v>
      </c>
      <c r="DB140" s="157">
        <f t="array" ref="DB140">AVERAGE(DB19:DB138)</f>
        <v>-1.9984014443252818E-16</v>
      </c>
      <c r="DC140" s="158">
        <f t="array" ref="DC140">AVERAGE(DC19:DC138)</f>
        <v>0</v>
      </c>
      <c r="DQ140">
        <f t="shared" si="24"/>
        <v>115</v>
      </c>
      <c r="DR140" s="123">
        <v>-1.1603052732203292</v>
      </c>
      <c r="DS140" s="37">
        <v>-0.39875766394345458</v>
      </c>
      <c r="DT140" s="37">
        <v>0.79955271708414188</v>
      </c>
      <c r="DU140" s="90">
        <v>0.38277831463882872</v>
      </c>
      <c r="ED140" s="123">
        <v>-0.73511890297461946</v>
      </c>
      <c r="EE140" s="37">
        <v>-0.36314697244791067</v>
      </c>
      <c r="EF140" s="37">
        <v>0.62702146086405264</v>
      </c>
      <c r="EG140" s="90">
        <v>0.32874342305805215</v>
      </c>
    </row>
    <row r="141" spans="85:137" x14ac:dyDescent="0.25">
      <c r="CG141" t="s">
        <v>107</v>
      </c>
      <c r="CH141" s="91">
        <f>VAR(CH19:CH138)</f>
        <v>2.1245916182081741</v>
      </c>
      <c r="CI141" s="92">
        <f>VAR(CI19:CI138)</f>
        <v>1.3542536225968183</v>
      </c>
      <c r="CJ141" s="92">
        <f>VAR(CJ19:CJ138)</f>
        <v>1.6150089820449445</v>
      </c>
      <c r="CK141" s="93">
        <f>VAR(CK19:CK138)</f>
        <v>1.2812971716088721</v>
      </c>
      <c r="CY141" t="s">
        <v>107</v>
      </c>
      <c r="CZ141" s="91">
        <f>VAR(CZ19:CZ138)</f>
        <v>2.5365103146129262</v>
      </c>
      <c r="DA141" s="92">
        <f>VAR(DA19:DA138)</f>
        <v>1.223878179453322</v>
      </c>
      <c r="DB141" s="92">
        <f>VAR(DB19:DB138)</f>
        <v>1.6369892063338445</v>
      </c>
      <c r="DC141" s="93">
        <f>VAR(DC19:DC138)</f>
        <v>1.3871824122443359</v>
      </c>
      <c r="DQ141">
        <f t="shared" si="24"/>
        <v>116</v>
      </c>
      <c r="DR141" s="123">
        <v>1.6087664367533994</v>
      </c>
      <c r="DS141" s="37">
        <v>1.7250808802892279</v>
      </c>
      <c r="DT141" s="37">
        <v>-0.51514272525217286</v>
      </c>
      <c r="DU141" s="90">
        <v>-0.34545112254988702</v>
      </c>
      <c r="ED141" s="123">
        <v>1.0192443707906662</v>
      </c>
      <c r="EE141" s="37">
        <v>1.571024096965429</v>
      </c>
      <c r="EF141" s="37">
        <v>-0.40398279843143209</v>
      </c>
      <c r="EG141" s="90">
        <v>-0.29668552314268593</v>
      </c>
    </row>
    <row r="142" spans="85:137" x14ac:dyDescent="0.25">
      <c r="DQ142">
        <f t="shared" si="24"/>
        <v>117</v>
      </c>
      <c r="DR142" s="123">
        <v>2.454310563989337</v>
      </c>
      <c r="DS142" s="37">
        <v>0.44408323963635621</v>
      </c>
      <c r="DT142" s="37">
        <v>-0.33595284236719097</v>
      </c>
      <c r="DU142" s="90">
        <v>-1.6642903265462539</v>
      </c>
      <c r="ED142" s="123">
        <v>1.5549443159483611</v>
      </c>
      <c r="EE142" s="37">
        <v>0.40442478871496029</v>
      </c>
      <c r="EF142" s="37">
        <v>-0.26345935358798728</v>
      </c>
      <c r="EG142" s="90">
        <v>-1.4293508226229048</v>
      </c>
    </row>
    <row r="143" spans="85:137" x14ac:dyDescent="0.25">
      <c r="DQ143">
        <f t="shared" si="24"/>
        <v>118</v>
      </c>
      <c r="DR143" s="123">
        <v>1.4892601348977266</v>
      </c>
      <c r="DS143" s="37">
        <v>1.7800587852573089</v>
      </c>
      <c r="DT143" s="37">
        <v>-2.9261560721743787</v>
      </c>
      <c r="DU143" s="90">
        <v>0.20478205191673265</v>
      </c>
      <c r="ED143" s="123">
        <v>0.94353038107925868</v>
      </c>
      <c r="EE143" s="37">
        <v>1.6210922499966363</v>
      </c>
      <c r="EF143" s="37">
        <v>-2.2947363143009794</v>
      </c>
      <c r="EG143" s="90">
        <v>0.17587399848259189</v>
      </c>
    </row>
    <row r="144" spans="85:137" x14ac:dyDescent="0.25">
      <c r="DQ144">
        <f t="shared" si="24"/>
        <v>119</v>
      </c>
      <c r="DR144" s="123">
        <v>-1.5799240055864896</v>
      </c>
      <c r="DS144" s="37">
        <v>-1.5282113898018861</v>
      </c>
      <c r="DT144" s="37">
        <v>-0.3820610028774919</v>
      </c>
      <c r="DU144" s="90">
        <v>1.5863757346452487</v>
      </c>
      <c r="ED144" s="123">
        <v>-1.000971062164141</v>
      </c>
      <c r="EE144" s="37">
        <v>-1.39173585776063</v>
      </c>
      <c r="EF144" s="37">
        <v>-0.29961807776361987</v>
      </c>
      <c r="EG144" s="90">
        <v>1.3624350422138822</v>
      </c>
    </row>
    <row r="145" spans="121:137" x14ac:dyDescent="0.25">
      <c r="DQ145">
        <f t="shared" si="24"/>
        <v>120</v>
      </c>
      <c r="DR145" s="91">
        <v>-2.3458855770366642</v>
      </c>
      <c r="DS145" s="92">
        <v>-0.76850459735119037</v>
      </c>
      <c r="DT145" s="92">
        <v>-0.48263588433509924</v>
      </c>
      <c r="DU145" s="93">
        <v>2.8326066379393668</v>
      </c>
      <c r="ED145" s="91">
        <v>-1.4862509648938829</v>
      </c>
      <c r="EE145" s="92">
        <v>-0.69987399133715478</v>
      </c>
      <c r="EF145" s="92">
        <v>-0.37849043695934431</v>
      </c>
      <c r="EG145" s="93">
        <v>2.4327417900143704</v>
      </c>
    </row>
    <row r="147" spans="121:137" x14ac:dyDescent="0.25">
      <c r="DQ147" t="s">
        <v>48</v>
      </c>
      <c r="DR147" s="156">
        <f>AVERAGE(DR26:DR145)</f>
        <v>7.4014868308343765E-17</v>
      </c>
      <c r="DS147" s="157">
        <f t="array" ref="DS147">AVERAGE(DS26:DS145)</f>
        <v>-3.2196467714129539E-16</v>
      </c>
      <c r="DT147" s="157">
        <f t="array" ref="DT147">AVERAGE(DT26:DT145)</f>
        <v>-1.6144493149757484E-16</v>
      </c>
      <c r="DU147" s="158">
        <f>AVERAGE(DU26:DU145)</f>
        <v>6.2912638062092202E-17</v>
      </c>
      <c r="ED147" s="156">
        <f>AVERAGE(ED26:ED145)</f>
        <v>4.070817756958907E-17</v>
      </c>
      <c r="EE147" s="157">
        <f t="array" ref="EE147">AVERAGE(EE26:EE145)</f>
        <v>-2.609024107869118E-16</v>
      </c>
      <c r="EF147" s="157">
        <f t="array" ref="EF147">AVERAGE(EF26:EF145)</f>
        <v>-1.0732155904709847E-16</v>
      </c>
      <c r="EG147" s="158">
        <f>AVERAGE(EG26:EG145)</f>
        <v>2.9605947323337507E-17</v>
      </c>
    </row>
    <row r="148" spans="121:137" x14ac:dyDescent="0.25">
      <c r="DQ148" t="s">
        <v>107</v>
      </c>
      <c r="DR148" s="91">
        <f>VAR(DR26:DR145)</f>
        <v>2.4913190628484618</v>
      </c>
      <c r="DS148" s="92">
        <f>VAR(DS26:DS145)</f>
        <v>1.2057387835705624</v>
      </c>
      <c r="DT148" s="92">
        <f>VAR(DT26:DT145)</f>
        <v>1.6260331518862918</v>
      </c>
      <c r="DU148" s="93">
        <f>VAR(DU26:DU145)</f>
        <v>1.3557527871428889</v>
      </c>
      <c r="ED148" s="91">
        <f>VAR(ED26:ED145)</f>
        <v>1.0000000000000004</v>
      </c>
      <c r="EE148" s="92">
        <f>VAR(EE26:EE145)</f>
        <v>0.99999999999999989</v>
      </c>
      <c r="EF148" s="92">
        <f>VAR(EF26:EF145)</f>
        <v>0.99999999999999989</v>
      </c>
      <c r="EG148" s="93">
        <f>VAR(EG26:EG145)</f>
        <v>1.0000000000000004</v>
      </c>
    </row>
  </sheetData>
  <conditionalFormatting sqref="B44:E52">
    <cfRule type="cellIs" dxfId="9" priority="5" operator="lessThan">
      <formula>-0.4</formula>
    </cfRule>
    <cfRule type="cellIs" dxfId="8" priority="6" operator="greaterThan">
      <formula>0.4</formula>
    </cfRule>
  </conditionalFormatting>
  <conditionalFormatting sqref="I44:L52">
    <cfRule type="cellIs" dxfId="7" priority="3" operator="lessThan">
      <formula>-0.4</formula>
    </cfRule>
    <cfRule type="cellIs" dxfId="6" priority="4" operator="greaterThan">
      <formula>0.4</formula>
    </cfRule>
  </conditionalFormatting>
  <conditionalFormatting sqref="AD32:AL40">
    <cfRule type="cellIs" dxfId="5" priority="1" operator="lessThan">
      <formula>-0.1</formula>
    </cfRule>
    <cfRule type="cellIs" dxfId="4" priority="2" operator="greaterThan">
      <formula>0.1</formula>
    </cfRule>
  </conditionalFormatting>
  <pageMargins left="0.7" right="0.7" top="0.75" bottom="0.75" header="0.3" footer="0.3"/>
  <drawing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/>
  <dimension ref="A1:M40"/>
  <sheetViews>
    <sheetView topLeftCell="A20" workbookViewId="0">
      <selection activeCell="P11" sqref="P11"/>
    </sheetView>
  </sheetViews>
  <sheetFormatPr defaultRowHeight="15" x14ac:dyDescent="0.25"/>
  <cols>
    <col min="9" max="9" width="9.140625" customWidth="1"/>
    <col min="11" max="11" width="9" customWidth="1"/>
    <col min="13" max="13" width="9.140625" customWidth="1"/>
  </cols>
  <sheetData>
    <row r="1" spans="1:13" x14ac:dyDescent="0.35">
      <c r="A1" s="42" t="s">
        <v>455</v>
      </c>
    </row>
    <row r="3" spans="1:13" x14ac:dyDescent="0.35">
      <c r="A3" s="46" t="s">
        <v>39</v>
      </c>
      <c r="L3" t="s">
        <v>537</v>
      </c>
    </row>
    <row r="5" spans="1:13" x14ac:dyDescent="0.35">
      <c r="B5" s="175" t="str">
        <f>PCA!M3</f>
        <v>Expect</v>
      </c>
      <c r="C5" s="175" t="str">
        <f>PCA!N3</f>
        <v>Entertain</v>
      </c>
      <c r="D5" s="175" t="str">
        <f>PCA!O3</f>
        <v>Comm</v>
      </c>
      <c r="E5" s="175" t="str">
        <f>PCA!P3</f>
        <v>Expert</v>
      </c>
      <c r="F5" s="175" t="str">
        <f>PCA!Q3</f>
        <v>Motivate</v>
      </c>
      <c r="G5" s="175" t="str">
        <f>PCA!R3</f>
        <v>Caring</v>
      </c>
      <c r="H5" s="175" t="str">
        <f>PCA!S3</f>
        <v>Charisma</v>
      </c>
      <c r="I5" s="175" t="str">
        <f>PCA!T3</f>
        <v>Passion</v>
      </c>
      <c r="J5" s="175" t="str">
        <f>PCA!U3</f>
        <v>Friendly</v>
      </c>
      <c r="L5" s="156">
        <f>B6</f>
        <v>0.99999999999999833</v>
      </c>
      <c r="M5" s="158">
        <f>COUNT(PCA!A4:A123)</f>
        <v>120</v>
      </c>
    </row>
    <row r="6" spans="1:13" x14ac:dyDescent="0.35">
      <c r="A6" t="str">
        <f t="array" ref="A6:A14">TRANSPOSE(B5:J5)</f>
        <v>Expect</v>
      </c>
      <c r="B6" s="156">
        <f t="array" ref="B6:J14">Factor!B6:J14</f>
        <v>0.99999999999999833</v>
      </c>
      <c r="C6" s="157">
        <v>-0.17658022821634106</v>
      </c>
      <c r="D6" s="157">
        <v>7.9472348910152368E-2</v>
      </c>
      <c r="E6" s="157">
        <v>0.12053127811168438</v>
      </c>
      <c r="F6" s="157">
        <v>-0.1472071906836242</v>
      </c>
      <c r="G6" s="157">
        <v>-0.1052452402704131</v>
      </c>
      <c r="H6" s="157">
        <v>-2.189090621599556E-2</v>
      </c>
      <c r="I6" s="157">
        <v>-0.12979427946395597</v>
      </c>
      <c r="J6" s="158">
        <v>-0.34401036690229408</v>
      </c>
      <c r="L6" s="91">
        <f>B19</f>
        <v>1</v>
      </c>
      <c r="M6" s="93">
        <f>M5</f>
        <v>120</v>
      </c>
    </row>
    <row r="7" spans="1:13" x14ac:dyDescent="0.35">
      <c r="A7" t="str">
        <v>Entertain</v>
      </c>
      <c r="B7" s="123">
        <v>-0.17658022821634106</v>
      </c>
      <c r="C7" s="37">
        <v>1.0000000000000011</v>
      </c>
      <c r="D7" s="37">
        <v>0.44692051174421527</v>
      </c>
      <c r="E7" s="37">
        <v>4.8459487091569518E-2</v>
      </c>
      <c r="F7" s="37">
        <v>0.24412158026310946</v>
      </c>
      <c r="G7" s="37">
        <v>0.11666737388326598</v>
      </c>
      <c r="H7" s="37">
        <v>0.45068677465590851</v>
      </c>
      <c r="I7" s="37">
        <v>0.37925969237500351</v>
      </c>
      <c r="J7" s="90">
        <v>0.40086949354334672</v>
      </c>
    </row>
    <row r="8" spans="1:13" x14ac:dyDescent="0.35">
      <c r="A8" t="str">
        <v>Comm</v>
      </c>
      <c r="B8" s="123">
        <v>7.9472348910152368E-2</v>
      </c>
      <c r="C8" s="37">
        <v>0.44692051174421527</v>
      </c>
      <c r="D8" s="37">
        <v>1.0000000000000007</v>
      </c>
      <c r="E8" s="37">
        <v>0.15224383453637197</v>
      </c>
      <c r="F8" s="37">
        <v>0.28642393294527835</v>
      </c>
      <c r="G8" s="37">
        <v>0.10626504883200415</v>
      </c>
      <c r="H8" s="37">
        <v>0.74875752234637871</v>
      </c>
      <c r="I8" s="37">
        <v>0.3683592382753193</v>
      </c>
      <c r="J8" s="90">
        <v>6.9273962356187456E-3</v>
      </c>
      <c r="L8" t="s">
        <v>113</v>
      </c>
      <c r="M8" s="172" t="e">
        <f t="array" ref="M8:M12">[1]!BOX(L5:M6,COUNTA(B5:J5))</f>
        <v>#VALUE!</v>
      </c>
    </row>
    <row r="9" spans="1:13" x14ac:dyDescent="0.35">
      <c r="A9" t="str">
        <v>Expert</v>
      </c>
      <c r="B9" s="123">
        <v>0.12053127811168438</v>
      </c>
      <c r="C9" s="37">
        <v>4.8459487091569518E-2</v>
      </c>
      <c r="D9" s="37">
        <v>0.15224383453637197</v>
      </c>
      <c r="E9" s="37">
        <v>1.0000000000000009</v>
      </c>
      <c r="F9" s="37">
        <v>0.19428606575437976</v>
      </c>
      <c r="G9" s="37">
        <v>4.610935721914871E-2</v>
      </c>
      <c r="H9" s="37">
        <v>0.24731764508778434</v>
      </c>
      <c r="I9" s="37">
        <v>0.25800736545459846</v>
      </c>
      <c r="J9" s="90">
        <v>0.18590615055713855</v>
      </c>
      <c r="L9" t="s">
        <v>55</v>
      </c>
      <c r="M9" s="173" t="e">
        <v>#VALUE!</v>
      </c>
    </row>
    <row r="10" spans="1:13" x14ac:dyDescent="0.35">
      <c r="A10" t="str">
        <v>Motivate</v>
      </c>
      <c r="B10" s="123">
        <v>-0.1472071906836242</v>
      </c>
      <c r="C10" s="37">
        <v>0.24412158026310946</v>
      </c>
      <c r="D10" s="37">
        <v>0.28642393294527835</v>
      </c>
      <c r="E10" s="37">
        <v>0.19428606575437976</v>
      </c>
      <c r="F10" s="37">
        <v>1.0000000000000009</v>
      </c>
      <c r="G10" s="37">
        <v>0.28436745486873366</v>
      </c>
      <c r="H10" s="37">
        <v>0.34434258129116857</v>
      </c>
      <c r="I10" s="37">
        <v>0.32646573442580362</v>
      </c>
      <c r="J10" s="90">
        <v>3.7341657013804541E-2</v>
      </c>
      <c r="L10" t="s">
        <v>56</v>
      </c>
      <c r="M10" s="173" t="e">
        <v>#VALUE!</v>
      </c>
    </row>
    <row r="11" spans="1:13" x14ac:dyDescent="0.35">
      <c r="A11" t="str">
        <v>Caring</v>
      </c>
      <c r="B11" s="123">
        <v>-0.1052452402704131</v>
      </c>
      <c r="C11" s="37">
        <v>0.11666737388326598</v>
      </c>
      <c r="D11" s="37">
        <v>0.10626504883200415</v>
      </c>
      <c r="E11" s="37">
        <v>4.610935721914871E-2</v>
      </c>
      <c r="F11" s="37">
        <v>0.28436745486873366</v>
      </c>
      <c r="G11" s="37">
        <v>1.0000000000000018</v>
      </c>
      <c r="H11" s="37">
        <v>0.10231072687883692</v>
      </c>
      <c r="I11" s="37">
        <v>0.19515460623774106</v>
      </c>
      <c r="J11" s="90">
        <v>-5.5294628532650346E-2</v>
      </c>
      <c r="L11" t="s">
        <v>54</v>
      </c>
      <c r="M11" s="173" t="e">
        <v>#VALUE!</v>
      </c>
    </row>
    <row r="12" spans="1:13" x14ac:dyDescent="0.35">
      <c r="A12" s="60" t="str">
        <v>Charisma</v>
      </c>
      <c r="B12" s="123">
        <v>-2.189090621599556E-2</v>
      </c>
      <c r="C12" s="37">
        <v>0.45068677465590851</v>
      </c>
      <c r="D12" s="37">
        <v>0.74875752234637871</v>
      </c>
      <c r="E12" s="37">
        <v>0.24731764508778434</v>
      </c>
      <c r="F12" s="37">
        <v>0.34434258129116857</v>
      </c>
      <c r="G12" s="37">
        <v>0.10231072687883692</v>
      </c>
      <c r="H12" s="37">
        <v>1.0000000000000009</v>
      </c>
      <c r="I12" s="37">
        <v>0.43880478206893986</v>
      </c>
      <c r="J12" s="90">
        <v>0.10313209036584842</v>
      </c>
      <c r="L12" t="s">
        <v>65</v>
      </c>
      <c r="M12" s="174" t="e">
        <v>#VALUE!</v>
      </c>
    </row>
    <row r="13" spans="1:13" x14ac:dyDescent="0.35">
      <c r="A13" s="60" t="str">
        <v>Passion</v>
      </c>
      <c r="B13" s="123">
        <v>-0.12979427946395597</v>
      </c>
      <c r="C13" s="37">
        <v>0.37925969237500351</v>
      </c>
      <c r="D13" s="37">
        <v>0.3683592382753193</v>
      </c>
      <c r="E13" s="37">
        <v>0.25800736545459846</v>
      </c>
      <c r="F13" s="37">
        <v>0.32646573442580362</v>
      </c>
      <c r="G13" s="37">
        <v>0.19515460623774106</v>
      </c>
      <c r="H13" s="37">
        <v>0.43880478206893986</v>
      </c>
      <c r="I13" s="37">
        <v>0.99999999999999967</v>
      </c>
      <c r="J13" s="90">
        <v>8.8479441977978163E-2</v>
      </c>
    </row>
    <row r="14" spans="1:13" x14ac:dyDescent="0.35">
      <c r="A14" s="60" t="str">
        <v>Friendly</v>
      </c>
      <c r="B14" s="91">
        <v>-0.34401036690229408</v>
      </c>
      <c r="C14" s="92">
        <v>0.40086949354334672</v>
      </c>
      <c r="D14" s="92">
        <v>6.9273962356187456E-3</v>
      </c>
      <c r="E14" s="92">
        <v>0.18590615055713855</v>
      </c>
      <c r="F14" s="92">
        <v>3.7341657013804541E-2</v>
      </c>
      <c r="G14" s="92">
        <v>-5.5294628532650346E-2</v>
      </c>
      <c r="H14" s="92">
        <v>0.10313209036584842</v>
      </c>
      <c r="I14" s="92">
        <v>8.8479441977978163E-2</v>
      </c>
      <c r="J14" s="93">
        <v>1.0000000000000009</v>
      </c>
    </row>
    <row r="16" spans="1:13" x14ac:dyDescent="0.35">
      <c r="A16" s="46" t="s">
        <v>456</v>
      </c>
    </row>
    <row r="18" spans="1:10" x14ac:dyDescent="0.35">
      <c r="B18" s="175" t="str">
        <f t="array" ref="B18:J18">B5:J5</f>
        <v>Expect</v>
      </c>
      <c r="C18" s="175" t="str">
        <v>Entertain</v>
      </c>
      <c r="D18" s="175" t="str">
        <v>Comm</v>
      </c>
      <c r="E18" s="175" t="str">
        <v>Expert</v>
      </c>
      <c r="F18" s="175" t="str">
        <v>Motivate</v>
      </c>
      <c r="G18" s="175" t="str">
        <v>Caring</v>
      </c>
      <c r="H18" s="175" t="str">
        <v>Charisma</v>
      </c>
      <c r="I18" s="175" t="str">
        <v>Passion</v>
      </c>
      <c r="J18" s="175" t="str">
        <v>Friendly</v>
      </c>
    </row>
    <row r="19" spans="1:10" x14ac:dyDescent="0.35">
      <c r="A19" t="str">
        <f t="array" ref="A19:A27">A6:A14</f>
        <v>Expect</v>
      </c>
      <c r="B19" s="156">
        <f t="array" ref="B19:J27">[1]!IDENTITY()</f>
        <v>1</v>
      </c>
      <c r="C19" s="157">
        <v>0</v>
      </c>
      <c r="D19" s="157">
        <v>0</v>
      </c>
      <c r="E19" s="157">
        <v>0</v>
      </c>
      <c r="F19" s="157">
        <v>0</v>
      </c>
      <c r="G19" s="157">
        <v>0</v>
      </c>
      <c r="H19" s="157">
        <v>0</v>
      </c>
      <c r="I19" s="157">
        <v>0</v>
      </c>
      <c r="J19" s="158">
        <v>0</v>
      </c>
    </row>
    <row r="20" spans="1:10" x14ac:dyDescent="0.35">
      <c r="A20" t="str">
        <v>Entertain</v>
      </c>
      <c r="B20" s="123">
        <v>0</v>
      </c>
      <c r="C20" s="37">
        <v>1</v>
      </c>
      <c r="D20" s="37">
        <v>0</v>
      </c>
      <c r="E20" s="37">
        <v>0</v>
      </c>
      <c r="F20" s="37">
        <v>0</v>
      </c>
      <c r="G20" s="37">
        <v>0</v>
      </c>
      <c r="H20" s="37">
        <v>0</v>
      </c>
      <c r="I20" s="37">
        <v>0</v>
      </c>
      <c r="J20" s="90">
        <v>0</v>
      </c>
    </row>
    <row r="21" spans="1:10" x14ac:dyDescent="0.35">
      <c r="A21" t="str">
        <v>Comm</v>
      </c>
      <c r="B21" s="123">
        <v>0</v>
      </c>
      <c r="C21" s="37">
        <v>0</v>
      </c>
      <c r="D21" s="37">
        <v>1</v>
      </c>
      <c r="E21" s="37">
        <v>0</v>
      </c>
      <c r="F21" s="37">
        <v>0</v>
      </c>
      <c r="G21" s="37">
        <v>0</v>
      </c>
      <c r="H21" s="37">
        <v>0</v>
      </c>
      <c r="I21" s="37">
        <v>0</v>
      </c>
      <c r="J21" s="90">
        <v>0</v>
      </c>
    </row>
    <row r="22" spans="1:10" x14ac:dyDescent="0.35">
      <c r="A22" t="str">
        <v>Expert</v>
      </c>
      <c r="B22" s="123">
        <v>0</v>
      </c>
      <c r="C22" s="37">
        <v>0</v>
      </c>
      <c r="D22" s="37">
        <v>0</v>
      </c>
      <c r="E22" s="37">
        <v>1</v>
      </c>
      <c r="F22" s="37">
        <v>0</v>
      </c>
      <c r="G22" s="37">
        <v>0</v>
      </c>
      <c r="H22" s="37">
        <v>0</v>
      </c>
      <c r="I22" s="37">
        <v>0</v>
      </c>
      <c r="J22" s="90">
        <v>0</v>
      </c>
    </row>
    <row r="23" spans="1:10" x14ac:dyDescent="0.35">
      <c r="A23" t="str">
        <v>Motivate</v>
      </c>
      <c r="B23" s="123">
        <v>0</v>
      </c>
      <c r="C23" s="37">
        <v>0</v>
      </c>
      <c r="D23" s="37">
        <v>0</v>
      </c>
      <c r="E23" s="37">
        <v>0</v>
      </c>
      <c r="F23" s="37">
        <v>1</v>
      </c>
      <c r="G23" s="37">
        <v>0</v>
      </c>
      <c r="H23" s="37">
        <v>0</v>
      </c>
      <c r="I23" s="37">
        <v>0</v>
      </c>
      <c r="J23" s="90">
        <v>0</v>
      </c>
    </row>
    <row r="24" spans="1:10" x14ac:dyDescent="0.35">
      <c r="A24" t="str">
        <v>Caring</v>
      </c>
      <c r="B24" s="123">
        <v>0</v>
      </c>
      <c r="C24" s="37">
        <v>0</v>
      </c>
      <c r="D24" s="37">
        <v>0</v>
      </c>
      <c r="E24" s="37">
        <v>0</v>
      </c>
      <c r="F24" s="37">
        <v>0</v>
      </c>
      <c r="G24" s="37">
        <v>1</v>
      </c>
      <c r="H24" s="37">
        <v>0</v>
      </c>
      <c r="I24" s="37">
        <v>0</v>
      </c>
      <c r="J24" s="90">
        <v>0</v>
      </c>
    </row>
    <row r="25" spans="1:10" x14ac:dyDescent="0.35">
      <c r="A25" s="60" t="str">
        <v>Charisma</v>
      </c>
      <c r="B25" s="123">
        <v>0</v>
      </c>
      <c r="C25" s="37">
        <v>0</v>
      </c>
      <c r="D25" s="37">
        <v>0</v>
      </c>
      <c r="E25" s="37">
        <v>0</v>
      </c>
      <c r="F25" s="37">
        <v>0</v>
      </c>
      <c r="G25" s="37">
        <v>0</v>
      </c>
      <c r="H25" s="37">
        <v>1</v>
      </c>
      <c r="I25" s="37">
        <v>0</v>
      </c>
      <c r="J25" s="90">
        <v>0</v>
      </c>
    </row>
    <row r="26" spans="1:10" x14ac:dyDescent="0.35">
      <c r="A26" s="60" t="str">
        <v>Passion</v>
      </c>
      <c r="B26" s="123">
        <v>0</v>
      </c>
      <c r="C26" s="37">
        <v>0</v>
      </c>
      <c r="D26" s="37">
        <v>0</v>
      </c>
      <c r="E26" s="37">
        <v>0</v>
      </c>
      <c r="F26" s="37">
        <v>0</v>
      </c>
      <c r="G26" s="37">
        <v>0</v>
      </c>
      <c r="H26" s="37">
        <v>0</v>
      </c>
      <c r="I26" s="37">
        <v>1</v>
      </c>
      <c r="J26" s="90">
        <v>0</v>
      </c>
    </row>
    <row r="27" spans="1:10" x14ac:dyDescent="0.35">
      <c r="A27" s="60" t="str">
        <v>Friendly</v>
      </c>
      <c r="B27" s="91">
        <v>0</v>
      </c>
      <c r="C27" s="92">
        <v>0</v>
      </c>
      <c r="D27" s="92">
        <v>0</v>
      </c>
      <c r="E27" s="92">
        <v>0</v>
      </c>
      <c r="F27" s="92">
        <v>0</v>
      </c>
      <c r="G27" s="92">
        <v>0</v>
      </c>
      <c r="H27" s="92">
        <v>0</v>
      </c>
      <c r="I27" s="92">
        <v>0</v>
      </c>
      <c r="J27" s="93">
        <v>1</v>
      </c>
    </row>
    <row r="29" spans="1:10" x14ac:dyDescent="0.35">
      <c r="A29" s="46" t="s">
        <v>457</v>
      </c>
    </row>
    <row r="31" spans="1:10" x14ac:dyDescent="0.35">
      <c r="B31" s="32" t="str">
        <f t="array" ref="B31:J31">B18:J18</f>
        <v>Expect</v>
      </c>
      <c r="C31" s="32" t="str">
        <v>Entertain</v>
      </c>
      <c r="D31" s="32" t="str">
        <v>Comm</v>
      </c>
      <c r="E31" s="32" t="str">
        <v>Expert</v>
      </c>
      <c r="F31" s="32" t="str">
        <v>Motivate</v>
      </c>
      <c r="G31" s="32" t="str">
        <v>Caring</v>
      </c>
      <c r="H31" s="186" t="str">
        <v>Charisma</v>
      </c>
      <c r="I31" s="186" t="str">
        <v>Passion</v>
      </c>
      <c r="J31" s="186" t="str">
        <v>Friendly</v>
      </c>
    </row>
    <row r="32" spans="1:10" x14ac:dyDescent="0.35">
      <c r="A32" t="str">
        <f t="array" ref="A32:A40">A19:A27</f>
        <v>Expect</v>
      </c>
      <c r="B32" s="156">
        <f>(B6+B19)/2</f>
        <v>0.99999999999999911</v>
      </c>
      <c r="C32" s="157">
        <f t="shared" ref="C32:J32" si="0">(C6+C19)/2</f>
        <v>-8.8290114108170531E-2</v>
      </c>
      <c r="D32" s="157">
        <f t="shared" si="0"/>
        <v>3.9736174455076184E-2</v>
      </c>
      <c r="E32" s="157">
        <f t="shared" si="0"/>
        <v>6.0265639055842188E-2</v>
      </c>
      <c r="F32" s="157">
        <f t="shared" si="0"/>
        <v>-7.36035953418121E-2</v>
      </c>
      <c r="G32" s="157">
        <f t="shared" si="0"/>
        <v>-5.2622620135206549E-2</v>
      </c>
      <c r="H32" s="157">
        <f t="shared" si="0"/>
        <v>-1.094545310799778E-2</v>
      </c>
      <c r="I32" s="157">
        <f t="shared" si="0"/>
        <v>-6.4897139731977985E-2</v>
      </c>
      <c r="J32" s="158">
        <f t="shared" si="0"/>
        <v>-0.17200518345114704</v>
      </c>
    </row>
    <row r="33" spans="1:10" x14ac:dyDescent="0.35">
      <c r="A33" t="str">
        <v>Entertain</v>
      </c>
      <c r="B33" s="123">
        <f t="shared" ref="B33:J40" si="1">(B7+B20)/2</f>
        <v>-8.8290114108170531E-2</v>
      </c>
      <c r="C33" s="37">
        <f t="shared" si="1"/>
        <v>1.0000000000000004</v>
      </c>
      <c r="D33" s="37">
        <f t="shared" si="1"/>
        <v>0.22346025587210763</v>
      </c>
      <c r="E33" s="37">
        <f t="shared" si="1"/>
        <v>2.4229743545784759E-2</v>
      </c>
      <c r="F33" s="37">
        <f t="shared" si="1"/>
        <v>0.12206079013155473</v>
      </c>
      <c r="G33" s="37">
        <f t="shared" si="1"/>
        <v>5.833368694163299E-2</v>
      </c>
      <c r="H33" s="37">
        <f t="shared" si="1"/>
        <v>0.22534338732795425</v>
      </c>
      <c r="I33" s="37">
        <f t="shared" si="1"/>
        <v>0.18962984618750175</v>
      </c>
      <c r="J33" s="90">
        <f t="shared" si="1"/>
        <v>0.20043474677167336</v>
      </c>
    </row>
    <row r="34" spans="1:10" x14ac:dyDescent="0.35">
      <c r="A34" t="str">
        <v>Comm</v>
      </c>
      <c r="B34" s="123">
        <f t="shared" si="1"/>
        <v>3.9736174455076184E-2</v>
      </c>
      <c r="C34" s="37">
        <f t="shared" si="1"/>
        <v>0.22346025587210763</v>
      </c>
      <c r="D34" s="37">
        <f t="shared" si="1"/>
        <v>1.0000000000000004</v>
      </c>
      <c r="E34" s="37">
        <f t="shared" si="1"/>
        <v>7.6121917268185985E-2</v>
      </c>
      <c r="F34" s="37">
        <f t="shared" si="1"/>
        <v>0.14321196647263917</v>
      </c>
      <c r="G34" s="37">
        <f t="shared" si="1"/>
        <v>5.3132524416002073E-2</v>
      </c>
      <c r="H34" s="37">
        <f t="shared" si="1"/>
        <v>0.37437876117318936</v>
      </c>
      <c r="I34" s="37">
        <f t="shared" si="1"/>
        <v>0.18417961913765965</v>
      </c>
      <c r="J34" s="90">
        <f t="shared" si="1"/>
        <v>3.4636981178093728E-3</v>
      </c>
    </row>
    <row r="35" spans="1:10" x14ac:dyDescent="0.35">
      <c r="A35" t="str">
        <v>Expert</v>
      </c>
      <c r="B35" s="123">
        <f t="shared" si="1"/>
        <v>6.0265639055842188E-2</v>
      </c>
      <c r="C35" s="37">
        <f t="shared" si="1"/>
        <v>2.4229743545784759E-2</v>
      </c>
      <c r="D35" s="37">
        <f t="shared" si="1"/>
        <v>7.6121917268185985E-2</v>
      </c>
      <c r="E35" s="37">
        <f t="shared" si="1"/>
        <v>1.0000000000000004</v>
      </c>
      <c r="F35" s="37">
        <f t="shared" si="1"/>
        <v>9.714303287718988E-2</v>
      </c>
      <c r="G35" s="37">
        <f t="shared" si="1"/>
        <v>2.3054678609574355E-2</v>
      </c>
      <c r="H35" s="37">
        <f t="shared" si="1"/>
        <v>0.12365882254389217</v>
      </c>
      <c r="I35" s="37">
        <f t="shared" si="1"/>
        <v>0.12900368272729923</v>
      </c>
      <c r="J35" s="90">
        <f t="shared" si="1"/>
        <v>9.2953075278569275E-2</v>
      </c>
    </row>
    <row r="36" spans="1:10" x14ac:dyDescent="0.35">
      <c r="A36" t="str">
        <v>Motivate</v>
      </c>
      <c r="B36" s="123">
        <f t="shared" si="1"/>
        <v>-7.36035953418121E-2</v>
      </c>
      <c r="C36" s="37">
        <f t="shared" si="1"/>
        <v>0.12206079013155473</v>
      </c>
      <c r="D36" s="37">
        <f t="shared" si="1"/>
        <v>0.14321196647263917</v>
      </c>
      <c r="E36" s="37">
        <f t="shared" si="1"/>
        <v>9.714303287718988E-2</v>
      </c>
      <c r="F36" s="37">
        <f t="shared" si="1"/>
        <v>1.0000000000000004</v>
      </c>
      <c r="G36" s="37">
        <f t="shared" si="1"/>
        <v>0.14218372743436683</v>
      </c>
      <c r="H36" s="37">
        <f t="shared" si="1"/>
        <v>0.17217129064558429</v>
      </c>
      <c r="I36" s="37">
        <f t="shared" si="1"/>
        <v>0.16323286721290181</v>
      </c>
      <c r="J36" s="90">
        <f t="shared" si="1"/>
        <v>1.8670828506902271E-2</v>
      </c>
    </row>
    <row r="37" spans="1:10" x14ac:dyDescent="0.35">
      <c r="A37" t="str">
        <v>Caring</v>
      </c>
      <c r="B37" s="123">
        <f t="shared" si="1"/>
        <v>-5.2622620135206549E-2</v>
      </c>
      <c r="C37" s="37">
        <f t="shared" si="1"/>
        <v>5.833368694163299E-2</v>
      </c>
      <c r="D37" s="37">
        <f t="shared" si="1"/>
        <v>5.3132524416002073E-2</v>
      </c>
      <c r="E37" s="37">
        <f t="shared" si="1"/>
        <v>2.3054678609574355E-2</v>
      </c>
      <c r="F37" s="37">
        <f t="shared" si="1"/>
        <v>0.14218372743436683</v>
      </c>
      <c r="G37" s="37">
        <f t="shared" si="1"/>
        <v>1.0000000000000009</v>
      </c>
      <c r="H37" s="37">
        <f t="shared" si="1"/>
        <v>5.1155363439418462E-2</v>
      </c>
      <c r="I37" s="37">
        <f t="shared" si="1"/>
        <v>9.7577303118870529E-2</v>
      </c>
      <c r="J37" s="90">
        <f t="shared" si="1"/>
        <v>-2.7647314266325173E-2</v>
      </c>
    </row>
    <row r="38" spans="1:10" x14ac:dyDescent="0.35">
      <c r="A38" s="60" t="str">
        <v>Charisma</v>
      </c>
      <c r="B38" s="123">
        <f t="shared" si="1"/>
        <v>-1.094545310799778E-2</v>
      </c>
      <c r="C38" s="37">
        <f t="shared" si="1"/>
        <v>0.22534338732795425</v>
      </c>
      <c r="D38" s="37">
        <f t="shared" si="1"/>
        <v>0.37437876117318936</v>
      </c>
      <c r="E38" s="37">
        <f t="shared" si="1"/>
        <v>0.12365882254389217</v>
      </c>
      <c r="F38" s="37">
        <f t="shared" si="1"/>
        <v>0.17217129064558429</v>
      </c>
      <c r="G38" s="37">
        <f t="shared" si="1"/>
        <v>5.1155363439418462E-2</v>
      </c>
      <c r="H38" s="37">
        <f t="shared" si="1"/>
        <v>1.0000000000000004</v>
      </c>
      <c r="I38" s="37">
        <f t="shared" si="1"/>
        <v>0.21940239103446993</v>
      </c>
      <c r="J38" s="90">
        <f t="shared" si="1"/>
        <v>5.1566045182924208E-2</v>
      </c>
    </row>
    <row r="39" spans="1:10" x14ac:dyDescent="0.35">
      <c r="A39" s="60" t="str">
        <v>Passion</v>
      </c>
      <c r="B39" s="123">
        <f t="shared" si="1"/>
        <v>-6.4897139731977985E-2</v>
      </c>
      <c r="C39" s="37">
        <f t="shared" si="1"/>
        <v>0.18962984618750175</v>
      </c>
      <c r="D39" s="37">
        <f t="shared" si="1"/>
        <v>0.18417961913765965</v>
      </c>
      <c r="E39" s="37">
        <f t="shared" si="1"/>
        <v>0.12900368272729923</v>
      </c>
      <c r="F39" s="37">
        <f t="shared" si="1"/>
        <v>0.16323286721290181</v>
      </c>
      <c r="G39" s="37">
        <f t="shared" si="1"/>
        <v>9.7577303118870529E-2</v>
      </c>
      <c r="H39" s="37">
        <f t="shared" si="1"/>
        <v>0.21940239103446993</v>
      </c>
      <c r="I39" s="37">
        <f t="shared" si="1"/>
        <v>0.99999999999999978</v>
      </c>
      <c r="J39" s="90">
        <f t="shared" si="1"/>
        <v>4.4239720988989081E-2</v>
      </c>
    </row>
    <row r="40" spans="1:10" x14ac:dyDescent="0.35">
      <c r="A40" s="60" t="str">
        <v>Friendly</v>
      </c>
      <c r="B40" s="91">
        <f t="shared" si="1"/>
        <v>-0.17200518345114704</v>
      </c>
      <c r="C40" s="92">
        <f t="shared" si="1"/>
        <v>0.20043474677167336</v>
      </c>
      <c r="D40" s="92">
        <f t="shared" si="1"/>
        <v>3.4636981178093728E-3</v>
      </c>
      <c r="E40" s="92">
        <f t="shared" si="1"/>
        <v>9.2953075278569275E-2</v>
      </c>
      <c r="F40" s="92">
        <f t="shared" si="1"/>
        <v>1.8670828506902271E-2</v>
      </c>
      <c r="G40" s="92">
        <f t="shared" si="1"/>
        <v>-2.7647314266325173E-2</v>
      </c>
      <c r="H40" s="92">
        <f t="shared" si="1"/>
        <v>5.1566045182924208E-2</v>
      </c>
      <c r="I40" s="92">
        <f t="shared" si="1"/>
        <v>4.4239720988989081E-2</v>
      </c>
      <c r="J40" s="93">
        <f t="shared" si="1"/>
        <v>1.0000000000000004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/>
  <dimension ref="A1:AU1274"/>
  <sheetViews>
    <sheetView workbookViewId="0"/>
  </sheetViews>
  <sheetFormatPr defaultRowHeight="15" x14ac:dyDescent="0.25"/>
  <cols>
    <col min="5" max="5" width="9.140625" customWidth="1"/>
    <col min="8" max="8" width="9.140625" customWidth="1"/>
    <col min="13" max="13" width="9.140625" customWidth="1"/>
    <col min="16" max="16" width="9.140625" customWidth="1"/>
  </cols>
  <sheetData>
    <row r="1" spans="1:47" ht="14.45" x14ac:dyDescent="0.35">
      <c r="A1" s="42" t="s">
        <v>442</v>
      </c>
    </row>
    <row r="2" spans="1:47" ht="14.45" x14ac:dyDescent="0.35">
      <c r="G2" t="s">
        <v>458</v>
      </c>
      <c r="L2" t="s">
        <v>459</v>
      </c>
      <c r="Q2" t="s">
        <v>460</v>
      </c>
      <c r="V2" t="s">
        <v>461</v>
      </c>
    </row>
    <row r="3" spans="1:47" ht="14.45" x14ac:dyDescent="0.35">
      <c r="A3">
        <v>1</v>
      </c>
      <c r="B3">
        <v>2</v>
      </c>
      <c r="C3">
        <v>3</v>
      </c>
      <c r="D3">
        <v>4</v>
      </c>
      <c r="E3" s="47" t="s">
        <v>373</v>
      </c>
      <c r="G3">
        <v>1</v>
      </c>
      <c r="H3">
        <v>2</v>
      </c>
      <c r="I3">
        <v>3</v>
      </c>
      <c r="J3">
        <v>4</v>
      </c>
      <c r="L3">
        <v>1</v>
      </c>
      <c r="M3">
        <v>2</v>
      </c>
      <c r="N3">
        <v>3</v>
      </c>
      <c r="O3">
        <v>4</v>
      </c>
      <c r="Q3">
        <v>1</v>
      </c>
      <c r="R3">
        <v>2</v>
      </c>
      <c r="S3">
        <v>3</v>
      </c>
      <c r="T3">
        <v>4</v>
      </c>
    </row>
    <row r="4" spans="1:47" ht="14.45" x14ac:dyDescent="0.35">
      <c r="A4" s="156">
        <f t="array" ref="A4:D12">Factor!B44:E52</f>
        <v>-0.18443788055245225</v>
      </c>
      <c r="B4" s="157">
        <v>0.76673944089161006</v>
      </c>
      <c r="C4" s="157">
        <v>-0.27758481196302998</v>
      </c>
      <c r="D4" s="158">
        <v>0.11515839253464147</v>
      </c>
      <c r="E4" s="172">
        <f>SUMSQ(A4:D4)</f>
        <v>0.71222148520517259</v>
      </c>
      <c r="G4" s="156">
        <f>A4/SQRT($E4)</f>
        <v>-0.21854586186362432</v>
      </c>
      <c r="H4" s="157">
        <f t="shared" ref="H4:J12" si="0">B4/SQRT($E4)</f>
        <v>0.90853208371604444</v>
      </c>
      <c r="I4" s="157">
        <f t="shared" si="0"/>
        <v>-0.32891839674691975</v>
      </c>
      <c r="J4" s="158">
        <f t="shared" si="0"/>
        <v>0.13645456167642001</v>
      </c>
      <c r="L4" s="37">
        <f>A1264</f>
        <v>0.11050558871453368</v>
      </c>
      <c r="M4" s="37">
        <f t="shared" ref="M4:O4" si="1">B1264</f>
        <v>0.88893991696631458</v>
      </c>
      <c r="N4" s="37">
        <f t="shared" si="1"/>
        <v>-0.34205473371991679</v>
      </c>
      <c r="O4" s="37">
        <f t="shared" si="1"/>
        <v>0.28385365600353557</v>
      </c>
      <c r="Q4" s="156">
        <f>L4*SQRT($E4)</f>
        <v>9.3259219817339159E-2</v>
      </c>
      <c r="R4" s="157">
        <f t="shared" ref="R4:T12" si="2">M4*SQRT($E4)</f>
        <v>0.75020498135100655</v>
      </c>
      <c r="S4" s="157">
        <f t="shared" si="2"/>
        <v>-0.28867098915651201</v>
      </c>
      <c r="T4" s="158">
        <f t="shared" si="2"/>
        <v>0.23955322811386012</v>
      </c>
      <c r="V4" s="187">
        <f>A4</f>
        <v>-0.18443788055245225</v>
      </c>
      <c r="W4" s="185">
        <f t="shared" ref="W4:Y12" si="3">B4</f>
        <v>0.76673944089161006</v>
      </c>
      <c r="X4" s="185">
        <f t="shared" si="3"/>
        <v>-0.27758481196302998</v>
      </c>
      <c r="Y4" s="188">
        <f t="shared" si="3"/>
        <v>0.11515839253464147</v>
      </c>
      <c r="Z4" s="187">
        <f>Q4</f>
        <v>9.3259219817339159E-2</v>
      </c>
      <c r="AA4" s="185">
        <f t="shared" ref="AA4:AC12" si="4">R4</f>
        <v>0.75020498135100655</v>
      </c>
      <c r="AB4" s="185">
        <f t="shared" si="4"/>
        <v>-0.28867098915651201</v>
      </c>
      <c r="AC4" s="188">
        <f t="shared" si="4"/>
        <v>0.23955322811386012</v>
      </c>
      <c r="AI4" s="189">
        <v>0.2868162169295429</v>
      </c>
      <c r="AJ4" s="190">
        <v>7.5371712423519005E-2</v>
      </c>
      <c r="AK4" s="191">
        <v>0.84088412384119726</v>
      </c>
      <c r="AL4" s="156">
        <v>2.134470470531338E-2</v>
      </c>
      <c r="AM4" s="157">
        <v>0.23770392074205507</v>
      </c>
      <c r="AN4" s="158">
        <v>0.85911105027260837</v>
      </c>
      <c r="AP4" s="156">
        <f t="array" ref="AP4:AU12">[1]!ELIM(AI4:AN12)</f>
        <v>1</v>
      </c>
      <c r="AQ4" s="157">
        <v>0</v>
      </c>
      <c r="AR4" s="157">
        <v>0</v>
      </c>
      <c r="AS4" s="157">
        <v>0.78088365547411032</v>
      </c>
      <c r="AT4" s="157">
        <v>0.60727235196507812</v>
      </c>
      <c r="AU4" s="158">
        <v>0.14642748086405946</v>
      </c>
    </row>
    <row r="5" spans="1:47" ht="14.45" x14ac:dyDescent="0.35">
      <c r="A5" s="123">
        <v>0.69848518848974062</v>
      </c>
      <c r="B5" s="37">
        <v>-0.30363015858216247</v>
      </c>
      <c r="C5" s="37">
        <v>-0.19538523477692776</v>
      </c>
      <c r="D5" s="90">
        <v>-0.26479923502506097</v>
      </c>
      <c r="E5" s="173">
        <f t="shared" ref="E5:E12" si="5">SUMSQ(A5:D5)</f>
        <v>0.6883668565788702</v>
      </c>
      <c r="G5" s="123">
        <f t="shared" ref="G5:G12" si="6">A5/SQRT($E5)</f>
        <v>0.84187424842751124</v>
      </c>
      <c r="H5" s="37">
        <f t="shared" si="0"/>
        <v>-0.36596110521538799</v>
      </c>
      <c r="I5" s="37">
        <f t="shared" si="0"/>
        <v>-0.23549504039923524</v>
      </c>
      <c r="J5" s="90">
        <f t="shared" si="0"/>
        <v>-0.31915874616169831</v>
      </c>
      <c r="L5" s="37">
        <f t="shared" ref="L5:L12" si="7">A1265</f>
        <v>0.79368133647614114</v>
      </c>
      <c r="M5" s="37">
        <f t="shared" ref="M5:M12" si="8">B1265</f>
        <v>-0.60200897316708935</v>
      </c>
      <c r="N5" s="37">
        <f t="shared" ref="N5:N12" si="9">C1265</f>
        <v>8.4796481775002805E-2</v>
      </c>
      <c r="O5" s="37">
        <f t="shared" ref="O5:O12" si="10">D1265</f>
        <v>-2.1556647103258591E-2</v>
      </c>
      <c r="Q5" s="123">
        <f t="shared" ref="Q5:Q12" si="11">L5*SQRT($E5)</f>
        <v>0.6585005527189024</v>
      </c>
      <c r="R5" s="37">
        <f t="shared" si="2"/>
        <v>-0.49947406264124</v>
      </c>
      <c r="S5" s="37">
        <f t="shared" si="2"/>
        <v>7.0353840453619185E-2</v>
      </c>
      <c r="T5" s="90">
        <f t="shared" si="2"/>
        <v>-1.7885092391471177E-2</v>
      </c>
      <c r="V5" s="192">
        <f t="shared" ref="V5:V12" si="12">A5</f>
        <v>0.69848518848974062</v>
      </c>
      <c r="W5" s="60">
        <f t="shared" si="3"/>
        <v>-0.30363015858216247</v>
      </c>
      <c r="X5" s="60">
        <f t="shared" si="3"/>
        <v>-0.19538523477692776</v>
      </c>
      <c r="Y5" s="193">
        <f t="shared" si="3"/>
        <v>-0.26479923502506097</v>
      </c>
      <c r="Z5" s="192">
        <f t="shared" ref="Z5:Z12" si="13">Q5</f>
        <v>0.6585005527189024</v>
      </c>
      <c r="AA5" s="60">
        <f t="shared" si="4"/>
        <v>-0.49947406264124</v>
      </c>
      <c r="AB5" s="60">
        <f t="shared" si="4"/>
        <v>7.0353840453619185E-2</v>
      </c>
      <c r="AC5" s="193">
        <f t="shared" si="4"/>
        <v>-1.7885092391471177E-2</v>
      </c>
      <c r="AI5" s="194">
        <v>0.69807369973808031</v>
      </c>
      <c r="AJ5" s="195">
        <v>0.15333673618444155</v>
      </c>
      <c r="AK5" s="196">
        <v>8.3684842863132464E-2</v>
      </c>
      <c r="AL5" s="123">
        <v>0.4380521684646308</v>
      </c>
      <c r="AM5" s="37">
        <v>0.54610705803162629</v>
      </c>
      <c r="AN5" s="90">
        <v>0.16643189816322013</v>
      </c>
      <c r="AP5" s="123">
        <v>0</v>
      </c>
      <c r="AQ5" s="37">
        <v>1</v>
      </c>
      <c r="AR5" s="37">
        <v>0</v>
      </c>
      <c r="AS5" s="37">
        <v>-0.5958545055507557</v>
      </c>
      <c r="AT5" s="37">
        <v>0.79448189476308995</v>
      </c>
      <c r="AU5" s="90">
        <v>-0.11728566454820877</v>
      </c>
    </row>
    <row r="6" spans="1:47" ht="14.45" x14ac:dyDescent="0.35">
      <c r="A6" s="123">
        <v>0.75409390641255702</v>
      </c>
      <c r="B6" s="37">
        <v>0.34865162907379821</v>
      </c>
      <c r="C6" s="37">
        <v>-0.20204851885939915</v>
      </c>
      <c r="D6" s="90">
        <v>-0.30587511636421028</v>
      </c>
      <c r="E6" s="173">
        <f t="shared" si="5"/>
        <v>0.82459876892845996</v>
      </c>
      <c r="G6" s="123">
        <f t="shared" si="6"/>
        <v>0.83043202746503419</v>
      </c>
      <c r="H6" s="37">
        <f t="shared" si="0"/>
        <v>0.38394618594403762</v>
      </c>
      <c r="I6" s="37">
        <f t="shared" si="0"/>
        <v>-0.22250221058134792</v>
      </c>
      <c r="J6" s="90">
        <f t="shared" si="0"/>
        <v>-0.33683933907094721</v>
      </c>
      <c r="L6" s="37">
        <f t="shared" si="7"/>
        <v>0.9839113344001752</v>
      </c>
      <c r="M6" s="37">
        <f t="shared" si="8"/>
        <v>0.11705508513498973</v>
      </c>
      <c r="N6" s="37">
        <f t="shared" si="9"/>
        <v>0.11366496660946405</v>
      </c>
      <c r="O6" s="37">
        <f t="shared" si="10"/>
        <v>7.2779588131402034E-2</v>
      </c>
      <c r="Q6" s="123">
        <f t="shared" si="11"/>
        <v>0.89346450664519983</v>
      </c>
      <c r="R6" s="37">
        <f t="shared" si="2"/>
        <v>0.10629470383548702</v>
      </c>
      <c r="S6" s="37">
        <f t="shared" si="2"/>
        <v>0.10321622463723275</v>
      </c>
      <c r="T6" s="90">
        <f t="shared" si="2"/>
        <v>6.6089266918859038E-2</v>
      </c>
      <c r="V6" s="192">
        <f t="shared" si="12"/>
        <v>0.75409390641255702</v>
      </c>
      <c r="W6" s="60">
        <f t="shared" si="3"/>
        <v>0.34865162907379821</v>
      </c>
      <c r="X6" s="60">
        <f t="shared" si="3"/>
        <v>-0.20204851885939915</v>
      </c>
      <c r="Y6" s="193">
        <f t="shared" si="3"/>
        <v>-0.30587511636421028</v>
      </c>
      <c r="Z6" s="192">
        <f t="shared" si="13"/>
        <v>0.89346450664519983</v>
      </c>
      <c r="AA6" s="60">
        <f t="shared" si="4"/>
        <v>0.10629470383548702</v>
      </c>
      <c r="AB6" s="60">
        <f t="shared" si="4"/>
        <v>0.10321622463723275</v>
      </c>
      <c r="AC6" s="193">
        <f t="shared" si="4"/>
        <v>6.6089266918859038E-2</v>
      </c>
      <c r="AI6" s="194">
        <v>0.74438594238915312</v>
      </c>
      <c r="AJ6" s="195">
        <v>-0.40957759030043861</v>
      </c>
      <c r="AK6" s="196">
        <v>-2.0342245616596158E-2</v>
      </c>
      <c r="AL6" s="123">
        <v>0.82914282581978305</v>
      </c>
      <c r="AM6" s="37">
        <v>0.1265547980110012</v>
      </c>
      <c r="AN6" s="90">
        <v>0.13705509166611762</v>
      </c>
      <c r="AP6" s="123">
        <v>0</v>
      </c>
      <c r="AQ6" s="37">
        <v>0</v>
      </c>
      <c r="AR6" s="37">
        <v>1</v>
      </c>
      <c r="AS6" s="37">
        <v>-0.18755832380424223</v>
      </c>
      <c r="AT6" s="37">
        <v>4.3369842578192342E-3</v>
      </c>
      <c r="AU6" s="90">
        <v>0.98224389320539462</v>
      </c>
    </row>
    <row r="7" spans="1:47" ht="14.45" x14ac:dyDescent="0.35">
      <c r="A7" s="123">
        <v>0.36597842708944173</v>
      </c>
      <c r="B7" s="37">
        <v>0.16252503821235492</v>
      </c>
      <c r="C7" s="37">
        <v>-0.19730233536452252</v>
      </c>
      <c r="D7" s="90">
        <v>0.84984515757982271</v>
      </c>
      <c r="E7" s="173">
        <f t="shared" si="5"/>
        <v>0.92151960054295756</v>
      </c>
      <c r="G7" s="123">
        <f t="shared" si="6"/>
        <v>0.38124415825932645</v>
      </c>
      <c r="H7" s="37">
        <f t="shared" si="0"/>
        <v>0.16930429993402657</v>
      </c>
      <c r="I7" s="37">
        <f t="shared" si="0"/>
        <v>-0.20553223141281923</v>
      </c>
      <c r="J7" s="90">
        <f t="shared" si="0"/>
        <v>0.88529398939982307</v>
      </c>
      <c r="L7" s="37">
        <f t="shared" si="7"/>
        <v>4.8484586255485462E-2</v>
      </c>
      <c r="M7" s="37">
        <f t="shared" si="8"/>
        <v>-1.656267672594374E-3</v>
      </c>
      <c r="N7" s="37">
        <f t="shared" si="9"/>
        <v>8.0616232808487995E-2</v>
      </c>
      <c r="O7" s="37">
        <f t="shared" si="10"/>
        <v>0.99556392295060536</v>
      </c>
      <c r="Q7" s="123">
        <f t="shared" si="11"/>
        <v>4.6543172482645778E-2</v>
      </c>
      <c r="R7" s="37">
        <f t="shared" si="2"/>
        <v>-1.5899476084374885E-3</v>
      </c>
      <c r="S7" s="37">
        <f t="shared" si="2"/>
        <v>7.7388207640568946E-2</v>
      </c>
      <c r="T7" s="90">
        <f t="shared" si="2"/>
        <v>0.95569967616557816</v>
      </c>
      <c r="V7" s="192">
        <f t="shared" si="12"/>
        <v>0.36597842708944173</v>
      </c>
      <c r="W7" s="60">
        <f t="shared" si="3"/>
        <v>0.16252503821235492</v>
      </c>
      <c r="X7" s="60">
        <f t="shared" si="3"/>
        <v>-0.19730233536452252</v>
      </c>
      <c r="Y7" s="193">
        <f t="shared" si="3"/>
        <v>0.84984515757982271</v>
      </c>
      <c r="Z7" s="192">
        <f t="shared" si="13"/>
        <v>4.6543172482645778E-2</v>
      </c>
      <c r="AA7" s="60">
        <f t="shared" si="4"/>
        <v>-1.5899476084374885E-3</v>
      </c>
      <c r="AB7" s="60">
        <f t="shared" si="4"/>
        <v>7.7388207640568946E-2</v>
      </c>
      <c r="AC7" s="193">
        <f t="shared" si="4"/>
        <v>0.95569967616557816</v>
      </c>
      <c r="AI7" s="194">
        <v>0.47052553753531157</v>
      </c>
      <c r="AJ7" s="195">
        <v>0.52224511849987132</v>
      </c>
      <c r="AK7" s="196">
        <v>0.13489810567247856</v>
      </c>
      <c r="AL7" s="123">
        <v>3.0942332300160295E-2</v>
      </c>
      <c r="AM7" s="37">
        <v>0.70123649207596495</v>
      </c>
      <c r="AN7" s="90">
        <v>0.14014884386495546</v>
      </c>
      <c r="AP7" s="123">
        <v>0</v>
      </c>
      <c r="AQ7" s="37">
        <v>0</v>
      </c>
      <c r="AR7" s="37">
        <v>0</v>
      </c>
      <c r="AS7" s="37">
        <v>-2.2204460492503131E-16</v>
      </c>
      <c r="AT7" s="37">
        <v>2.9490299091605721E-16</v>
      </c>
      <c r="AU7" s="90">
        <v>-3.3306690738754696E-16</v>
      </c>
    </row>
    <row r="8" spans="1:47" ht="14.45" x14ac:dyDescent="0.35">
      <c r="A8" s="123">
        <v>0.57816295036903198</v>
      </c>
      <c r="B8" s="37">
        <v>4.4133810816552592E-2</v>
      </c>
      <c r="C8" s="37">
        <v>0.45272186814106236</v>
      </c>
      <c r="D8" s="90">
        <v>0.15789519627173182</v>
      </c>
      <c r="E8" s="173">
        <f t="shared" si="5"/>
        <v>0.56610817333543717</v>
      </c>
      <c r="G8" s="123">
        <f t="shared" si="6"/>
        <v>0.76842333599823143</v>
      </c>
      <c r="H8" s="37">
        <f t="shared" si="0"/>
        <v>5.865725245162072E-2</v>
      </c>
      <c r="I8" s="37">
        <f t="shared" si="0"/>
        <v>0.6017024231218191</v>
      </c>
      <c r="J8" s="90">
        <f t="shared" si="0"/>
        <v>0.20985494380049169</v>
      </c>
      <c r="L8" s="37">
        <f t="shared" si="7"/>
        <v>0.35382045910589438</v>
      </c>
      <c r="M8" s="37">
        <f t="shared" si="8"/>
        <v>-0.11092749178733073</v>
      </c>
      <c r="N8" s="37">
        <f t="shared" si="9"/>
        <v>0.88630193481918518</v>
      </c>
      <c r="O8" s="37">
        <f t="shared" si="10"/>
        <v>0.2774437864138159</v>
      </c>
      <c r="Q8" s="123">
        <f t="shared" si="11"/>
        <v>0.26621508087315576</v>
      </c>
      <c r="R8" s="37">
        <f t="shared" si="2"/>
        <v>-8.3462022721479803E-2</v>
      </c>
      <c r="S8" s="37">
        <f t="shared" si="2"/>
        <v>0.66685499717049324</v>
      </c>
      <c r="T8" s="90">
        <f t="shared" si="2"/>
        <v>0.20874914985004639</v>
      </c>
      <c r="V8" s="192">
        <f t="shared" si="12"/>
        <v>0.57816295036903198</v>
      </c>
      <c r="W8" s="60">
        <f t="shared" si="3"/>
        <v>4.4133810816552592E-2</v>
      </c>
      <c r="X8" s="60">
        <f t="shared" si="3"/>
        <v>0.45272186814106236</v>
      </c>
      <c r="Y8" s="193">
        <f t="shared" si="3"/>
        <v>0.15789519627173182</v>
      </c>
      <c r="Z8" s="192">
        <f t="shared" si="13"/>
        <v>0.26621508087315576</v>
      </c>
      <c r="AA8" s="60">
        <f t="shared" si="4"/>
        <v>-8.3462022721479803E-2</v>
      </c>
      <c r="AB8" s="60">
        <f t="shared" si="4"/>
        <v>0.66685499717049324</v>
      </c>
      <c r="AC8" s="193">
        <f t="shared" si="4"/>
        <v>0.20874914985004639</v>
      </c>
      <c r="AI8" s="194">
        <v>0.68078968690372377</v>
      </c>
      <c r="AJ8" s="195">
        <v>-0.15585532840255137</v>
      </c>
      <c r="AK8" s="196">
        <v>-0.14833247439129119</v>
      </c>
      <c r="AL8" s="123">
        <v>0.65230562922377366</v>
      </c>
      <c r="AM8" s="37">
        <v>0.28895720213505266</v>
      </c>
      <c r="AN8" s="90">
        <v>-2.7732752518274773E-2</v>
      </c>
      <c r="AP8" s="123">
        <v>0</v>
      </c>
      <c r="AQ8" s="37">
        <v>0</v>
      </c>
      <c r="AR8" s="37">
        <v>0</v>
      </c>
      <c r="AS8" s="37">
        <v>-3.0531133177191805E-16</v>
      </c>
      <c r="AT8" s="37">
        <v>2.6031694161376961E-16</v>
      </c>
      <c r="AU8" s="90">
        <v>0</v>
      </c>
    </row>
    <row r="9" spans="1:47" ht="14.45" x14ac:dyDescent="0.35">
      <c r="A9" s="123">
        <v>0.29966683800482935</v>
      </c>
      <c r="B9" s="37">
        <v>3.0388016666011732E-2</v>
      </c>
      <c r="C9" s="37">
        <v>0.77085649526279787</v>
      </c>
      <c r="D9" s="90">
        <v>6.3738785375869411E-2</v>
      </c>
      <c r="E9" s="173">
        <f t="shared" si="5"/>
        <v>0.68900601440674147</v>
      </c>
      <c r="G9" s="123">
        <f t="shared" si="6"/>
        <v>0.36101660589276868</v>
      </c>
      <c r="H9" s="37">
        <f t="shared" si="0"/>
        <v>3.6609251492818316E-2</v>
      </c>
      <c r="I9" s="37">
        <f t="shared" si="0"/>
        <v>0.92867131179088125</v>
      </c>
      <c r="J9" s="90">
        <f t="shared" si="0"/>
        <v>7.6787809132731533E-2</v>
      </c>
      <c r="L9" s="37">
        <f t="shared" si="7"/>
        <v>-3.0996810536803927E-2</v>
      </c>
      <c r="M9" s="37">
        <f t="shared" si="8"/>
        <v>2.3112806716317647E-2</v>
      </c>
      <c r="N9" s="37">
        <f t="shared" si="9"/>
        <v>0.99755619705964249</v>
      </c>
      <c r="O9" s="37">
        <f t="shared" si="10"/>
        <v>-5.819475586462635E-2</v>
      </c>
      <c r="Q9" s="123">
        <f t="shared" si="11"/>
        <v>-2.572933225281554E-2</v>
      </c>
      <c r="R9" s="37">
        <f t="shared" si="2"/>
        <v>1.9185105596369538E-2</v>
      </c>
      <c r="S9" s="37">
        <f t="shared" si="2"/>
        <v>0.82803534913786447</v>
      </c>
      <c r="T9" s="90">
        <f t="shared" si="2"/>
        <v>-4.8305363780400248E-2</v>
      </c>
      <c r="V9" s="192">
        <f t="shared" si="12"/>
        <v>0.29966683800482935</v>
      </c>
      <c r="W9" s="60">
        <f t="shared" si="3"/>
        <v>3.0388016666011732E-2</v>
      </c>
      <c r="X9" s="60">
        <f t="shared" si="3"/>
        <v>0.77085649526279787</v>
      </c>
      <c r="Y9" s="193">
        <f t="shared" si="3"/>
        <v>6.3738785375869411E-2</v>
      </c>
      <c r="Z9" s="192">
        <f t="shared" si="13"/>
        <v>-2.572933225281554E-2</v>
      </c>
      <c r="AA9" s="60">
        <f t="shared" si="4"/>
        <v>1.9185105596369538E-2</v>
      </c>
      <c r="AB9" s="60">
        <f t="shared" si="4"/>
        <v>0.82803534913786447</v>
      </c>
      <c r="AC9" s="193">
        <f t="shared" si="4"/>
        <v>-4.8305363780400248E-2</v>
      </c>
      <c r="AI9" s="194">
        <v>0.49816917573692815</v>
      </c>
      <c r="AJ9" s="195">
        <v>-0.49820303064754523</v>
      </c>
      <c r="AK9" s="196">
        <v>-0.25325935865574634</v>
      </c>
      <c r="AL9" s="123">
        <v>0.73336958828156706</v>
      </c>
      <c r="AM9" s="37">
        <v>-9.4387302590942163E-2</v>
      </c>
      <c r="AN9" s="90">
        <v>-0.11738472746000909</v>
      </c>
      <c r="AP9" s="123">
        <v>0</v>
      </c>
      <c r="AQ9" s="37">
        <v>0</v>
      </c>
      <c r="AR9" s="37">
        <v>0</v>
      </c>
      <c r="AS9" s="37">
        <v>-8.3266726846886741E-17</v>
      </c>
      <c r="AT9" s="37">
        <v>2.1684043449710089E-17</v>
      </c>
      <c r="AU9" s="90">
        <v>3.3306690738754696E-16</v>
      </c>
    </row>
    <row r="10" spans="1:47" ht="14.45" x14ac:dyDescent="0.35">
      <c r="A10" s="123">
        <v>0.81718661596991582</v>
      </c>
      <c r="B10" s="37">
        <v>0.23935266908492384</v>
      </c>
      <c r="C10" s="37">
        <v>-0.1945147303529734</v>
      </c>
      <c r="D10" s="90">
        <v>-0.16643424455975536</v>
      </c>
      <c r="E10" s="173">
        <f t="shared" si="5"/>
        <v>0.79062000360490625</v>
      </c>
      <c r="G10" s="123">
        <f t="shared" si="6"/>
        <v>0.91904620467667064</v>
      </c>
      <c r="H10" s="37">
        <f t="shared" si="0"/>
        <v>0.26918718173160661</v>
      </c>
      <c r="I10" s="37">
        <f t="shared" si="0"/>
        <v>-0.21876034334266117</v>
      </c>
      <c r="J10" s="90">
        <f t="shared" si="0"/>
        <v>-0.18717971856321144</v>
      </c>
      <c r="L10" s="37">
        <f t="shared" si="7"/>
        <v>0.96166161946047379</v>
      </c>
      <c r="M10" s="37">
        <f t="shared" si="8"/>
        <v>-2.2711301623059017E-2</v>
      </c>
      <c r="N10" s="37">
        <f t="shared" si="9"/>
        <v>0.1674290582298345</v>
      </c>
      <c r="O10" s="37">
        <f t="shared" si="10"/>
        <v>0.21600610383856256</v>
      </c>
      <c r="Q10" s="123">
        <f t="shared" si="11"/>
        <v>0.85507888560567602</v>
      </c>
      <c r="R10" s="37">
        <f t="shared" si="2"/>
        <v>-2.0194166107403731E-2</v>
      </c>
      <c r="S10" s="37">
        <f t="shared" si="2"/>
        <v>0.14887258639842088</v>
      </c>
      <c r="T10" s="90">
        <f t="shared" si="2"/>
        <v>0.19206574830128553</v>
      </c>
      <c r="V10" s="192">
        <f t="shared" si="12"/>
        <v>0.81718661596991582</v>
      </c>
      <c r="W10" s="60">
        <f t="shared" si="3"/>
        <v>0.23935266908492384</v>
      </c>
      <c r="X10" s="60">
        <f t="shared" si="3"/>
        <v>-0.1945147303529734</v>
      </c>
      <c r="Y10" s="193">
        <f t="shared" si="3"/>
        <v>-0.16643424455975536</v>
      </c>
      <c r="Z10" s="192">
        <f t="shared" si="13"/>
        <v>0.85507888560567602</v>
      </c>
      <c r="AA10" s="60">
        <f t="shared" si="4"/>
        <v>-2.0194166107403731E-2</v>
      </c>
      <c r="AB10" s="60">
        <f t="shared" si="4"/>
        <v>0.14887258639842088</v>
      </c>
      <c r="AC10" s="193">
        <f t="shared" si="4"/>
        <v>0.19206574830128553</v>
      </c>
      <c r="AI10" s="194">
        <v>0.8604957870010006</v>
      </c>
      <c r="AJ10" s="195">
        <v>-0.1150420711694501</v>
      </c>
      <c r="AK10" s="196">
        <v>1.1605686981563886E-2</v>
      </c>
      <c r="AL10" s="123">
        <v>0.73831868891076147</v>
      </c>
      <c r="AM10" s="37">
        <v>0.43120679142970381</v>
      </c>
      <c r="AN10" s="90">
        <v>0.15089263131689856</v>
      </c>
      <c r="AP10" s="123">
        <v>0</v>
      </c>
      <c r="AQ10" s="37">
        <v>0</v>
      </c>
      <c r="AR10" s="37">
        <v>0</v>
      </c>
      <c r="AS10" s="37">
        <v>-1.7347234759768071E-16</v>
      </c>
      <c r="AT10" s="37">
        <v>-8.0230960763927328E-18</v>
      </c>
      <c r="AU10" s="90">
        <v>-1.1102230246251565E-16</v>
      </c>
    </row>
    <row r="11" spans="1:47" ht="14.45" x14ac:dyDescent="0.35">
      <c r="A11" s="123">
        <v>0.68789272835115534</v>
      </c>
      <c r="B11" s="37">
        <v>3.5303982803739795E-2</v>
      </c>
      <c r="C11" s="37">
        <v>0.11603236905909446</v>
      </c>
      <c r="D11" s="90">
        <v>0.11762701672483196</v>
      </c>
      <c r="E11" s="173">
        <f t="shared" si="5"/>
        <v>0.50174240265325287</v>
      </c>
      <c r="G11" s="123">
        <f t="shared" si="6"/>
        <v>0.97113658653329049</v>
      </c>
      <c r="H11" s="37">
        <f t="shared" si="0"/>
        <v>4.9840604411146003E-2</v>
      </c>
      <c r="I11" s="37">
        <f t="shared" si="0"/>
        <v>0.16380937633330739</v>
      </c>
      <c r="J11" s="90">
        <f t="shared" si="0"/>
        <v>0.16606062951131315</v>
      </c>
      <c r="L11" s="37">
        <f t="shared" si="7"/>
        <v>0.6750246031626741</v>
      </c>
      <c r="M11" s="37">
        <f t="shared" si="8"/>
        <v>-0.22044881491696705</v>
      </c>
      <c r="N11" s="37">
        <f t="shared" si="9"/>
        <v>0.56885218090625922</v>
      </c>
      <c r="O11" s="37">
        <f t="shared" si="10"/>
        <v>0.41491119701084467</v>
      </c>
      <c r="Q11" s="123">
        <f t="shared" si="11"/>
        <v>0.47814542507487962</v>
      </c>
      <c r="R11" s="37">
        <f t="shared" si="2"/>
        <v>-0.15615222292916153</v>
      </c>
      <c r="S11" s="37">
        <f t="shared" si="2"/>
        <v>0.40293948779026628</v>
      </c>
      <c r="T11" s="90">
        <f t="shared" si="2"/>
        <v>0.29389727386761333</v>
      </c>
      <c r="V11" s="192">
        <f t="shared" si="12"/>
        <v>0.68789272835115534</v>
      </c>
      <c r="W11" s="60">
        <f t="shared" si="3"/>
        <v>3.5303982803739795E-2</v>
      </c>
      <c r="X11" s="60">
        <f t="shared" si="3"/>
        <v>0.11603236905909446</v>
      </c>
      <c r="Y11" s="193">
        <f t="shared" si="3"/>
        <v>0.11762701672483196</v>
      </c>
      <c r="Z11" s="192">
        <f t="shared" si="13"/>
        <v>0.47814542507487962</v>
      </c>
      <c r="AA11" s="60">
        <f t="shared" si="4"/>
        <v>-0.15615222292916153</v>
      </c>
      <c r="AB11" s="60">
        <f t="shared" si="4"/>
        <v>0.40293948779026628</v>
      </c>
      <c r="AC11" s="193">
        <f t="shared" si="4"/>
        <v>0.29389727386761333</v>
      </c>
      <c r="AI11" s="194">
        <v>0.64178906622912479</v>
      </c>
      <c r="AJ11" s="195">
        <v>0.32154746844579774</v>
      </c>
      <c r="AK11" s="196">
        <v>4.3814865308338655E-2</v>
      </c>
      <c r="AL11" s="123">
        <v>0.30134924156350584</v>
      </c>
      <c r="AM11" s="37">
        <v>0.64539442208262487</v>
      </c>
      <c r="AN11" s="90">
        <v>9.9299531574300506E-2</v>
      </c>
      <c r="AP11" s="123">
        <v>0</v>
      </c>
      <c r="AQ11" s="37">
        <v>0</v>
      </c>
      <c r="AR11" s="37">
        <v>0</v>
      </c>
      <c r="AS11" s="37">
        <v>-3.1918911957973251E-16</v>
      </c>
      <c r="AT11" s="37">
        <v>-3.664603343001005E-17</v>
      </c>
      <c r="AU11" s="90">
        <v>-1.6653345369377348E-16</v>
      </c>
    </row>
    <row r="12" spans="1:47" ht="14.45" x14ac:dyDescent="0.35">
      <c r="A12" s="91">
        <v>0.30145846294129131</v>
      </c>
      <c r="B12" s="92">
        <v>-0.74107631451599432</v>
      </c>
      <c r="C12" s="92">
        <v>-0.3441987786860507</v>
      </c>
      <c r="D12" s="93">
        <v>0.23397915226264601</v>
      </c>
      <c r="E12" s="174">
        <f t="shared" si="5"/>
        <v>0.81329035175805031</v>
      </c>
      <c r="G12" s="91">
        <f t="shared" si="6"/>
        <v>0.33427559488722935</v>
      </c>
      <c r="H12" s="92">
        <f t="shared" si="0"/>
        <v>-0.82175077612570924</v>
      </c>
      <c r="I12" s="92">
        <f t="shared" si="0"/>
        <v>-0.38166867296455587</v>
      </c>
      <c r="J12" s="93">
        <f t="shared" si="0"/>
        <v>0.25945040504315714</v>
      </c>
      <c r="L12" s="37">
        <f t="shared" si="7"/>
        <v>6.9733333287272242E-2</v>
      </c>
      <c r="M12" s="37">
        <f t="shared" si="8"/>
        <v>-0.92647056921596826</v>
      </c>
      <c r="N12" s="37">
        <f t="shared" si="9"/>
        <v>-0.20285037387292923</v>
      </c>
      <c r="O12" s="37">
        <f t="shared" si="10"/>
        <v>0.30925923175371572</v>
      </c>
      <c r="Q12" s="91">
        <f t="shared" si="11"/>
        <v>6.288734143348311E-2</v>
      </c>
      <c r="R12" s="92">
        <f t="shared" si="2"/>
        <v>-0.83551535926638809</v>
      </c>
      <c r="S12" s="92">
        <f t="shared" si="2"/>
        <v>-0.18293576572776515</v>
      </c>
      <c r="T12" s="93">
        <f t="shared" si="2"/>
        <v>0.2788980532256064</v>
      </c>
      <c r="V12" s="197">
        <f t="shared" si="12"/>
        <v>0.30145846294129131</v>
      </c>
      <c r="W12" s="198">
        <f t="shared" si="3"/>
        <v>-0.74107631451599432</v>
      </c>
      <c r="X12" s="198">
        <f t="shared" si="3"/>
        <v>-0.3441987786860507</v>
      </c>
      <c r="Y12" s="199">
        <f t="shared" si="3"/>
        <v>0.23397915226264601</v>
      </c>
      <c r="Z12" s="197">
        <f t="shared" si="13"/>
        <v>6.288734143348311E-2</v>
      </c>
      <c r="AA12" s="198">
        <f t="shared" si="4"/>
        <v>-0.83551535926638809</v>
      </c>
      <c r="AB12" s="198">
        <f t="shared" si="4"/>
        <v>-0.18293576572776515</v>
      </c>
      <c r="AC12" s="199">
        <f t="shared" si="4"/>
        <v>0.2788980532256064</v>
      </c>
      <c r="AI12" s="200">
        <v>0.29787837167899389</v>
      </c>
      <c r="AJ12" s="201">
        <v>0.59564132520222801</v>
      </c>
      <c r="AK12" s="202">
        <v>-0.5334811818405415</v>
      </c>
      <c r="AL12" s="91">
        <v>-2.2248379303483948E-2</v>
      </c>
      <c r="AM12" s="92">
        <v>0.65180584852740908</v>
      </c>
      <c r="AN12" s="93">
        <v>-0.55025124209274456</v>
      </c>
      <c r="AP12" s="91">
        <v>0</v>
      </c>
      <c r="AQ12" s="92">
        <v>0</v>
      </c>
      <c r="AR12" s="92">
        <v>0</v>
      </c>
      <c r="AS12" s="92">
        <v>-1.5959455978986625E-16</v>
      </c>
      <c r="AT12" s="92">
        <v>-1.1340754724198376E-16</v>
      </c>
      <c r="AU12" s="93">
        <v>-1.1102230246251565E-16</v>
      </c>
    </row>
    <row r="14" spans="1:47" ht="14.45" x14ac:dyDescent="0.35">
      <c r="AE14" t="s">
        <v>462</v>
      </c>
      <c r="AI14" t="s">
        <v>463</v>
      </c>
    </row>
    <row r="15" spans="1:47" ht="14.45" x14ac:dyDescent="0.35">
      <c r="A15">
        <v>1</v>
      </c>
      <c r="B15">
        <v>2</v>
      </c>
      <c r="C15">
        <v>3</v>
      </c>
      <c r="D15">
        <v>4</v>
      </c>
      <c r="F15">
        <v>1</v>
      </c>
      <c r="G15">
        <v>2</v>
      </c>
      <c r="I15" s="47" t="s">
        <v>207</v>
      </c>
      <c r="J15" s="47" t="s">
        <v>464</v>
      </c>
      <c r="K15" s="47" t="s">
        <v>465</v>
      </c>
      <c r="L15" s="47" t="s">
        <v>466</v>
      </c>
      <c r="Q15">
        <f>F15</f>
        <v>1</v>
      </c>
      <c r="R15">
        <f>G15</f>
        <v>2</v>
      </c>
      <c r="V15" s="156">
        <f t="array" ref="V15:AC23">[1]!ELIM(V4:AC12)</f>
        <v>1</v>
      </c>
      <c r="W15" s="157">
        <v>0</v>
      </c>
      <c r="X15" s="157">
        <v>0</v>
      </c>
      <c r="Y15" s="157">
        <v>0</v>
      </c>
      <c r="Z15" s="156">
        <v>0.80764742816043267</v>
      </c>
      <c r="AA15" s="157">
        <v>-0.28674962959879441</v>
      </c>
      <c r="AB15" s="157">
        <v>0.41171323712138969</v>
      </c>
      <c r="AC15" s="158">
        <v>0.30979427381702762</v>
      </c>
      <c r="AE15" s="156">
        <f t="array" ref="AE15:AH23">A4:D12</f>
        <v>-0.18443788055245225</v>
      </c>
      <c r="AF15" s="157">
        <v>0.76673944089161006</v>
      </c>
      <c r="AG15" s="157">
        <v>-0.27758481196302998</v>
      </c>
      <c r="AH15" s="158">
        <v>0.11515839253464147</v>
      </c>
      <c r="AI15" s="156">
        <f t="array" ref="AI15:AL23">[1]!VARIMAX(AE15:AH23,100)</f>
        <v>9.3044211001315102E-2</v>
      </c>
      <c r="AJ15" s="157">
        <v>0.75088947279199736</v>
      </c>
      <c r="AK15" s="157">
        <v>-0.28778265042245305</v>
      </c>
      <c r="AL15" s="158">
        <v>0.23855901946960667</v>
      </c>
      <c r="AS15" s="156">
        <f t="array" ref="AS15:AU17">AS4:AU6</f>
        <v>0.78088365547411032</v>
      </c>
      <c r="AT15" s="157">
        <v>0.60727235196507812</v>
      </c>
      <c r="AU15" s="158">
        <v>0.14642748086405946</v>
      </c>
    </row>
    <row r="16" spans="1:47" ht="14.45" x14ac:dyDescent="0.35">
      <c r="A16" s="189">
        <f t="shared" ref="A16:D24" si="14">G4</f>
        <v>-0.21854586186362432</v>
      </c>
      <c r="B16" s="190">
        <f t="shared" si="14"/>
        <v>0.90853208371604444</v>
      </c>
      <c r="C16" s="190">
        <f t="shared" si="14"/>
        <v>-0.32891839674691975</v>
      </c>
      <c r="D16" s="191">
        <f t="shared" si="14"/>
        <v>0.13645456167642001</v>
      </c>
      <c r="F16" s="156">
        <f>INDEX(A16:D24,,F15)</f>
        <v>-0.21854586186362432</v>
      </c>
      <c r="G16" s="158">
        <f>INDEX(A16:D24,,G15)</f>
        <v>0.90853208371604444</v>
      </c>
      <c r="I16" s="156">
        <f>F16^2-G16^2</f>
        <v>-0.77766825340370327</v>
      </c>
      <c r="J16" s="157">
        <f>2*F16*G16</f>
        <v>-0.39711185453295483</v>
      </c>
      <c r="K16" s="157">
        <f>I16^2-J16^2</f>
        <v>0.44707008734136378</v>
      </c>
      <c r="L16" s="158">
        <f>I16*J16</f>
        <v>0.30882128232054845</v>
      </c>
      <c r="N16" t="s">
        <v>390</v>
      </c>
      <c r="O16" s="172">
        <f>L25*B26-2*I25*J25</f>
        <v>10.797704160579647</v>
      </c>
      <c r="Q16" s="156">
        <f t="array" ref="Q16:R24">MMULT(F16:G24,N20:O21)</f>
        <v>-4.4582702254963413E-2</v>
      </c>
      <c r="R16" s="158">
        <v>0.93338374934363266</v>
      </c>
      <c r="V16" s="123">
        <v>0</v>
      </c>
      <c r="W16" s="37">
        <v>1</v>
      </c>
      <c r="X16" s="37">
        <v>0</v>
      </c>
      <c r="Y16" s="37">
        <v>0</v>
      </c>
      <c r="Z16" s="123">
        <v>0.26173481198139081</v>
      </c>
      <c r="AA16" s="37">
        <v>0.95186333980877469</v>
      </c>
      <c r="AB16" s="37">
        <v>3.1896495098089381E-2</v>
      </c>
      <c r="AC16" s="90">
        <v>0.15631277659106499</v>
      </c>
      <c r="AE16" s="123">
        <v>0.69848518848974062</v>
      </c>
      <c r="AF16" s="37">
        <v>-0.30363015858216247</v>
      </c>
      <c r="AG16" s="37">
        <v>-0.19538523477692776</v>
      </c>
      <c r="AH16" s="90">
        <v>-0.26479923502506097</v>
      </c>
      <c r="AI16" s="123">
        <v>0.65869691024767973</v>
      </c>
      <c r="AJ16" s="37">
        <v>-0.49931312319314547</v>
      </c>
      <c r="AK16" s="37">
        <v>6.975101896830023E-2</v>
      </c>
      <c r="AL16" s="90">
        <v>-1.7505352582024167E-2</v>
      </c>
      <c r="AS16" s="123">
        <v>-0.5958545055507557</v>
      </c>
      <c r="AT16" s="37">
        <v>0.79448189476308995</v>
      </c>
      <c r="AU16" s="90">
        <v>-0.11728566454820877</v>
      </c>
    </row>
    <row r="17" spans="1:47" ht="14.45" x14ac:dyDescent="0.35">
      <c r="A17" s="194">
        <f t="shared" si="14"/>
        <v>0.84187424842751124</v>
      </c>
      <c r="B17" s="195">
        <f t="shared" si="14"/>
        <v>-0.36596110521538799</v>
      </c>
      <c r="C17" s="195">
        <f t="shared" si="14"/>
        <v>-0.23549504039923524</v>
      </c>
      <c r="D17" s="196">
        <f t="shared" si="14"/>
        <v>-0.31915874616169831</v>
      </c>
      <c r="F17" s="123">
        <f>INDEX(A17:D25,,F15)</f>
        <v>0.84187424842751124</v>
      </c>
      <c r="G17" s="90">
        <f>INDEX(A16:D24,,G15)</f>
        <v>-0.36596110521538799</v>
      </c>
      <c r="I17" s="123">
        <f t="shared" ref="I17:I24" si="15">F17^2-G17^2</f>
        <v>0.57482471963491866</v>
      </c>
      <c r="J17" s="37">
        <f t="shared" ref="J17:J24" si="16">2*F17*G17</f>
        <v>-0.61618646081381223</v>
      </c>
      <c r="K17" s="37">
        <f t="shared" ref="K17:K24" si="17">I17^2-J17^2</f>
        <v>-4.9262296186888932E-2</v>
      </c>
      <c r="L17" s="90">
        <f t="shared" ref="L17:L24" si="18">I17*J17</f>
        <v>-0.3541992095801324</v>
      </c>
      <c r="N17" t="s">
        <v>392</v>
      </c>
      <c r="O17" s="173">
        <f>K25*B26-(I25^2-J25^2)</f>
        <v>11.513191876374965</v>
      </c>
      <c r="Q17" s="123">
        <v>0.75847108252874218</v>
      </c>
      <c r="R17" s="90">
        <v>-0.51710869037711338</v>
      </c>
      <c r="V17" s="123">
        <v>0</v>
      </c>
      <c r="W17" s="37">
        <v>0</v>
      </c>
      <c r="X17" s="37">
        <v>1</v>
      </c>
      <c r="Y17" s="37">
        <v>0</v>
      </c>
      <c r="Z17" s="123">
        <v>-0.32309337400384441</v>
      </c>
      <c r="AA17" s="37">
        <v>0.10187725547327901</v>
      </c>
      <c r="AB17" s="37">
        <v>0.90316426617607948</v>
      </c>
      <c r="AC17" s="90">
        <v>-0.2636778428208707</v>
      </c>
      <c r="AE17" s="123">
        <v>0.75409390641255702</v>
      </c>
      <c r="AF17" s="37">
        <v>0.34865162907379821</v>
      </c>
      <c r="AG17" s="37">
        <v>-0.20204851885939915</v>
      </c>
      <c r="AH17" s="90">
        <v>-0.30587511636421028</v>
      </c>
      <c r="AI17" s="123">
        <v>0.89343770771827546</v>
      </c>
      <c r="AJ17" s="37">
        <v>0.10660633892082662</v>
      </c>
      <c r="AK17" s="37">
        <v>0.1033744945787235</v>
      </c>
      <c r="AL17" s="90">
        <v>6.5701093811782518E-2</v>
      </c>
      <c r="AS17" s="91">
        <v>-0.18755832380424223</v>
      </c>
      <c r="AT17" s="92">
        <v>4.3369842578192342E-3</v>
      </c>
      <c r="AU17" s="93">
        <v>0.98224389320539462</v>
      </c>
    </row>
    <row r="18" spans="1:47" ht="14.45" x14ac:dyDescent="0.35">
      <c r="A18" s="194">
        <f t="shared" si="14"/>
        <v>0.83043202746503419</v>
      </c>
      <c r="B18" s="195">
        <f t="shared" si="14"/>
        <v>0.38394618594403762</v>
      </c>
      <c r="C18" s="195">
        <f t="shared" si="14"/>
        <v>-0.22250221058134792</v>
      </c>
      <c r="D18" s="196">
        <f t="shared" si="14"/>
        <v>-0.33683933907094721</v>
      </c>
      <c r="F18" s="123">
        <f>INDEX(A18:D26,,F15)</f>
        <v>0.83043202746503419</v>
      </c>
      <c r="G18" s="90">
        <f>INDEX(A16:D24,,G15)</f>
        <v>0.38394618594403762</v>
      </c>
      <c r="I18" s="123">
        <f t="shared" si="15"/>
        <v>0.54220267853871384</v>
      </c>
      <c r="J18" s="37">
        <f t="shared" si="16"/>
        <v>0.63768241926194835</v>
      </c>
      <c r="K18" s="37">
        <f t="shared" si="17"/>
        <v>-0.11265512322121546</v>
      </c>
      <c r="L18" s="90">
        <f t="shared" si="18"/>
        <v>0.34575311578087553</v>
      </c>
      <c r="N18" t="s">
        <v>467</v>
      </c>
      <c r="O18" s="174">
        <f>0.25*ATAN(O16/O17)</f>
        <v>0.18833504210414834</v>
      </c>
      <c r="Q18" s="123">
        <v>0.88763156215296024</v>
      </c>
      <c r="R18" s="90">
        <v>0.22168048134771884</v>
      </c>
      <c r="V18" s="123">
        <v>0</v>
      </c>
      <c r="W18" s="37">
        <v>0</v>
      </c>
      <c r="X18" s="37">
        <v>0</v>
      </c>
      <c r="Y18" s="37">
        <v>1</v>
      </c>
      <c r="Z18" s="123">
        <v>-0.41810428323292376</v>
      </c>
      <c r="AA18" s="37">
        <v>-3.6767608982240567E-2</v>
      </c>
      <c r="AB18" s="37">
        <v>0.11734194596182354</v>
      </c>
      <c r="AC18" s="90">
        <v>0.90003767642799537</v>
      </c>
      <c r="AE18" s="123">
        <v>0.36597842708944173</v>
      </c>
      <c r="AF18" s="37">
        <v>0.16252503821235492</v>
      </c>
      <c r="AG18" s="37">
        <v>-0.19730233536452252</v>
      </c>
      <c r="AH18" s="90">
        <v>0.84984515757982271</v>
      </c>
      <c r="AI18" s="123">
        <v>4.6860080201476362E-2</v>
      </c>
      <c r="AJ18" s="37">
        <v>-5.6519618337628119E-4</v>
      </c>
      <c r="AK18" s="37">
        <v>7.7072404609851805E-2</v>
      </c>
      <c r="AL18" s="90">
        <v>0.95571086549614936</v>
      </c>
    </row>
    <row r="19" spans="1:47" ht="14.45" x14ac:dyDescent="0.35">
      <c r="A19" s="194">
        <f t="shared" si="14"/>
        <v>0.38124415825932645</v>
      </c>
      <c r="B19" s="195">
        <f t="shared" si="14"/>
        <v>0.16930429993402657</v>
      </c>
      <c r="C19" s="195">
        <f t="shared" si="14"/>
        <v>-0.20553223141281923</v>
      </c>
      <c r="D19" s="196">
        <f t="shared" si="14"/>
        <v>0.88529398939982307</v>
      </c>
      <c r="F19" s="123">
        <f>INDEX(A19:D27,,F15)</f>
        <v>0.38124415825932645</v>
      </c>
      <c r="G19" s="90">
        <f>INDEX(A16:D24,,G15)</f>
        <v>0.16930429993402657</v>
      </c>
      <c r="I19" s="123">
        <f t="shared" si="15"/>
        <v>0.11668316223071154</v>
      </c>
      <c r="J19" s="37">
        <f t="shared" si="16"/>
        <v>0.12909255063606501</v>
      </c>
      <c r="K19" s="37">
        <f t="shared" si="17"/>
        <v>-3.0499262815664608E-3</v>
      </c>
      <c r="L19" s="90">
        <f t="shared" si="18"/>
        <v>1.5062927028644318E-2</v>
      </c>
      <c r="Q19" s="123">
        <v>0.40620050528160723</v>
      </c>
      <c r="R19" s="90">
        <v>9.4932627120396199E-2</v>
      </c>
      <c r="V19" s="123">
        <v>0</v>
      </c>
      <c r="W19" s="37">
        <v>0</v>
      </c>
      <c r="X19" s="37">
        <v>0</v>
      </c>
      <c r="Y19" s="37">
        <v>0</v>
      </c>
      <c r="Z19" s="123">
        <v>1.5265566588595902E-16</v>
      </c>
      <c r="AA19" s="37">
        <v>-8.3266726846886741E-17</v>
      </c>
      <c r="AB19" s="37">
        <v>1.1449174941446927E-16</v>
      </c>
      <c r="AC19" s="90">
        <v>2.7755575615628914E-17</v>
      </c>
      <c r="AE19" s="123">
        <v>0.57816295036903198</v>
      </c>
      <c r="AF19" s="37">
        <v>4.4133810816552592E-2</v>
      </c>
      <c r="AG19" s="37">
        <v>0.45272186814106236</v>
      </c>
      <c r="AH19" s="90">
        <v>0.15789519627173182</v>
      </c>
      <c r="AI19" s="123">
        <v>0.26628706702688987</v>
      </c>
      <c r="AJ19" s="37">
        <v>-8.3966477967249376E-2</v>
      </c>
      <c r="AK19" s="37">
        <v>0.6666913418866387</v>
      </c>
      <c r="AL19" s="90">
        <v>0.20897764593568968</v>
      </c>
      <c r="AS19" s="156">
        <f t="array" ref="AS19:AU21">MINVERSE(AS15:AU17)</f>
        <v>0.7808836554741091</v>
      </c>
      <c r="AT19" s="157">
        <v>-0.59585450555075492</v>
      </c>
      <c r="AU19" s="158">
        <v>-0.18755832380424181</v>
      </c>
    </row>
    <row r="20" spans="1:47" ht="14.45" x14ac:dyDescent="0.35">
      <c r="A20" s="194">
        <f t="shared" si="14"/>
        <v>0.76842333599823143</v>
      </c>
      <c r="B20" s="195">
        <f t="shared" si="14"/>
        <v>5.865725245162072E-2</v>
      </c>
      <c r="C20" s="195">
        <f t="shared" si="14"/>
        <v>0.6017024231218191</v>
      </c>
      <c r="D20" s="196">
        <f t="shared" si="14"/>
        <v>0.20985494380049169</v>
      </c>
      <c r="F20" s="123">
        <f>INDEX(A20:D28,,F15)</f>
        <v>0.76842333599823143</v>
      </c>
      <c r="G20" s="90">
        <f>INDEX(A16:D24,,G15)</f>
        <v>5.865725245162072E-2</v>
      </c>
      <c r="I20" s="123">
        <f t="shared" si="15"/>
        <v>0.58703375004147773</v>
      </c>
      <c r="J20" s="37">
        <f t="shared" si="16"/>
        <v>9.0147203218729668E-2</v>
      </c>
      <c r="K20" s="37">
        <f t="shared" si="17"/>
        <v>0.33648210543960116</v>
      </c>
      <c r="L20" s="90">
        <f t="shared" si="18"/>
        <v>5.2919450761242048E-2</v>
      </c>
      <c r="N20" s="156">
        <f>COS(O18)</f>
        <v>0.98231731598119665</v>
      </c>
      <c r="O20" s="158">
        <f>-N21</f>
        <v>-0.1872236382604982</v>
      </c>
      <c r="Q20" s="123">
        <v>0.76581757316945698</v>
      </c>
      <c r="R20" s="90">
        <v>-8.6246977898750632E-2</v>
      </c>
      <c r="V20" s="123">
        <v>0</v>
      </c>
      <c r="W20" s="37">
        <v>0</v>
      </c>
      <c r="X20" s="37">
        <v>0</v>
      </c>
      <c r="Y20" s="37">
        <v>0</v>
      </c>
      <c r="Z20" s="123">
        <v>6.9388939039072284E-18</v>
      </c>
      <c r="AA20" s="37">
        <v>1.3010426069826053E-17</v>
      </c>
      <c r="AB20" s="37">
        <v>-6.9388939039072284E-18</v>
      </c>
      <c r="AC20" s="90">
        <v>-2.7755575615628914E-17</v>
      </c>
      <c r="AE20" s="123">
        <v>0.29966683800482935</v>
      </c>
      <c r="AF20" s="37">
        <v>3.0388016666011732E-2</v>
      </c>
      <c r="AG20" s="37">
        <v>0.77085649526279787</v>
      </c>
      <c r="AH20" s="90">
        <v>6.3738785375869411E-2</v>
      </c>
      <c r="AI20" s="123">
        <v>-2.5793478802084414E-2</v>
      </c>
      <c r="AJ20" s="37">
        <v>1.8056347172927621E-2</v>
      </c>
      <c r="AK20" s="37">
        <v>0.82807395009893447</v>
      </c>
      <c r="AL20" s="90">
        <v>-4.8043858632978206E-2</v>
      </c>
      <c r="AS20" s="123">
        <v>0.60727235196507789</v>
      </c>
      <c r="AT20" s="37">
        <v>0.79448189476309028</v>
      </c>
      <c r="AU20" s="90">
        <v>4.3369842578186426E-3</v>
      </c>
    </row>
    <row r="21" spans="1:47" ht="14.45" x14ac:dyDescent="0.35">
      <c r="A21" s="194">
        <f t="shared" si="14"/>
        <v>0.36101660589276868</v>
      </c>
      <c r="B21" s="195">
        <f t="shared" si="14"/>
        <v>3.6609251492818316E-2</v>
      </c>
      <c r="C21" s="195">
        <f t="shared" si="14"/>
        <v>0.92867131179088125</v>
      </c>
      <c r="D21" s="196">
        <f t="shared" si="14"/>
        <v>7.6787809132731533E-2</v>
      </c>
      <c r="F21" s="123">
        <f>INDEX(A21:D29,,F15)</f>
        <v>0.36101660589276868</v>
      </c>
      <c r="G21" s="90">
        <f>INDEX(A16:D24,,G15)</f>
        <v>3.6609251492818316E-2</v>
      </c>
      <c r="I21" s="123">
        <f t="shared" si="15"/>
        <v>0.12899275243547023</v>
      </c>
      <c r="J21" s="37">
        <f t="shared" si="16"/>
        <v>2.6433095436424088E-2</v>
      </c>
      <c r="K21" s="37">
        <f t="shared" si="17"/>
        <v>1.5940421646527408E-2</v>
      </c>
      <c r="L21" s="90">
        <f t="shared" si="18"/>
        <v>3.4096777357338105E-3</v>
      </c>
      <c r="N21" s="91">
        <f>SIN(O18)</f>
        <v>0.1872236382604982</v>
      </c>
      <c r="O21" s="93">
        <f>N20</f>
        <v>0.98231731598119665</v>
      </c>
      <c r="Q21" s="123">
        <v>0.36148698058370499</v>
      </c>
      <c r="R21" s="90">
        <v>-3.1628940761194664E-2</v>
      </c>
      <c r="V21" s="123">
        <v>0</v>
      </c>
      <c r="W21" s="37">
        <v>0</v>
      </c>
      <c r="X21" s="37">
        <v>0</v>
      </c>
      <c r="Y21" s="37">
        <v>0</v>
      </c>
      <c r="Z21" s="123">
        <v>-1.1102230246251565E-16</v>
      </c>
      <c r="AA21" s="37">
        <v>3.5388358909926865E-16</v>
      </c>
      <c r="AB21" s="37">
        <v>-1.7347234759768071E-16</v>
      </c>
      <c r="AC21" s="90">
        <v>0</v>
      </c>
      <c r="AE21" s="123">
        <v>0.81718661596991582</v>
      </c>
      <c r="AF21" s="37">
        <v>0.23935266908492384</v>
      </c>
      <c r="AG21" s="37">
        <v>-0.1945147303529734</v>
      </c>
      <c r="AH21" s="90">
        <v>-0.16643424455975536</v>
      </c>
      <c r="AI21" s="123">
        <v>0.85514419325934388</v>
      </c>
      <c r="AJ21" s="37">
        <v>-1.9811067237213646E-2</v>
      </c>
      <c r="AK21" s="37">
        <v>0.14882496420674807</v>
      </c>
      <c r="AL21" s="90">
        <v>0.19185167182882343</v>
      </c>
      <c r="AS21" s="91">
        <v>0.14642748086405916</v>
      </c>
      <c r="AT21" s="92">
        <v>-0.11728566454820934</v>
      </c>
      <c r="AU21" s="93">
        <v>0.98224389320539451</v>
      </c>
    </row>
    <row r="22" spans="1:47" ht="14.45" x14ac:dyDescent="0.35">
      <c r="A22" s="194">
        <f t="shared" si="14"/>
        <v>0.91904620467667064</v>
      </c>
      <c r="B22" s="195">
        <f t="shared" si="14"/>
        <v>0.26918718173160661</v>
      </c>
      <c r="C22" s="195">
        <f t="shared" si="14"/>
        <v>-0.21876034334266117</v>
      </c>
      <c r="D22" s="196">
        <f t="shared" si="14"/>
        <v>-0.18717971856321144</v>
      </c>
      <c r="F22" s="123">
        <f>INDEX(A22:D30,,F15)</f>
        <v>0.91904620467667064</v>
      </c>
      <c r="G22" s="90">
        <f>INDEX(A16:D24,,G15)</f>
        <v>0.26918718173160661</v>
      </c>
      <c r="I22" s="123">
        <f t="shared" si="15"/>
        <v>0.77218418752198781</v>
      </c>
      <c r="J22" s="37">
        <f t="shared" si="16"/>
        <v>0.4947909154360845</v>
      </c>
      <c r="K22" s="37">
        <f t="shared" si="17"/>
        <v>0.3514503694609139</v>
      </c>
      <c r="L22" s="90">
        <f t="shared" si="18"/>
        <v>0.3820697210292735</v>
      </c>
      <c r="Q22" s="123">
        <v>0.95319320457757395</v>
      </c>
      <c r="R22" s="90">
        <v>9.2360055686065617E-2</v>
      </c>
      <c r="V22" s="123">
        <v>0</v>
      </c>
      <c r="W22" s="37">
        <v>0</v>
      </c>
      <c r="X22" s="37">
        <v>0</v>
      </c>
      <c r="Y22" s="37">
        <v>0</v>
      </c>
      <c r="Z22" s="123">
        <v>-1.5265566588595902E-16</v>
      </c>
      <c r="AA22" s="37">
        <v>-1.474514954580286E-17</v>
      </c>
      <c r="AB22" s="37">
        <v>6.2450045135165055E-17</v>
      </c>
      <c r="AC22" s="90">
        <v>5.5511151231257827E-17</v>
      </c>
      <c r="AE22" s="123">
        <v>0.68789272835115534</v>
      </c>
      <c r="AF22" s="37">
        <v>3.5303982803739795E-2</v>
      </c>
      <c r="AG22" s="37">
        <v>0.11603236905909446</v>
      </c>
      <c r="AH22" s="90">
        <v>0.11762701672483196</v>
      </c>
      <c r="AI22" s="123">
        <v>0.47828862013992957</v>
      </c>
      <c r="AJ22" s="37">
        <v>-0.15613230069330614</v>
      </c>
      <c r="AK22" s="37">
        <v>0.40266502254007863</v>
      </c>
      <c r="AL22" s="90">
        <v>0.29405098673683805</v>
      </c>
    </row>
    <row r="23" spans="1:47" ht="14.45" x14ac:dyDescent="0.35">
      <c r="A23" s="194">
        <f t="shared" si="14"/>
        <v>0.97113658653329049</v>
      </c>
      <c r="B23" s="195">
        <f t="shared" si="14"/>
        <v>4.9840604411146003E-2</v>
      </c>
      <c r="C23" s="195">
        <f t="shared" si="14"/>
        <v>0.16380937633330739</v>
      </c>
      <c r="D23" s="196">
        <f t="shared" si="14"/>
        <v>0.16606062951131315</v>
      </c>
      <c r="F23" s="123">
        <f>INDEX(A23:D31,,F15)</f>
        <v>0.97113658653329049</v>
      </c>
      <c r="G23" s="90">
        <f>INDEX(A16:D24,,G15)</f>
        <v>4.9840604411146003E-2</v>
      </c>
      <c r="I23" s="123">
        <f t="shared" si="15"/>
        <v>0.94062218385546281</v>
      </c>
      <c r="J23" s="37">
        <f t="shared" si="16"/>
        <v>9.6804068877192784E-2</v>
      </c>
      <c r="K23" s="37">
        <f t="shared" si="17"/>
        <v>0.87539906500983977</v>
      </c>
      <c r="L23" s="90">
        <f t="shared" si="18"/>
        <v>9.1056054673359713E-2</v>
      </c>
      <c r="Q23" s="123">
        <v>0.96329562442548</v>
      </c>
      <c r="R23" s="90">
        <v>-0.13286043622660626</v>
      </c>
      <c r="V23" s="91">
        <v>0</v>
      </c>
      <c r="W23" s="92">
        <v>0</v>
      </c>
      <c r="X23" s="92">
        <v>0</v>
      </c>
      <c r="Y23" s="92">
        <v>0</v>
      </c>
      <c r="Z23" s="91">
        <v>2.7755575615628914E-17</v>
      </c>
      <c r="AA23" s="92">
        <v>9.540979117872439E-17</v>
      </c>
      <c r="AB23" s="92">
        <v>-2.0816681711721685E-17</v>
      </c>
      <c r="AC23" s="93">
        <v>5.5511151231257827E-17</v>
      </c>
      <c r="AE23" s="91">
        <v>0.30145846294129131</v>
      </c>
      <c r="AF23" s="92">
        <v>-0.74107631451599432</v>
      </c>
      <c r="AG23" s="92">
        <v>-0.3441987786860507</v>
      </c>
      <c r="AH23" s="93">
        <v>0.23397915226264601</v>
      </c>
      <c r="AI23" s="91">
        <v>6.3333904536896662E-2</v>
      </c>
      <c r="AJ23" s="92">
        <v>-0.83493103442524585</v>
      </c>
      <c r="AK23" s="92">
        <v>-0.1840969221434437</v>
      </c>
      <c r="AL23" s="93">
        <v>0.27978144917964382</v>
      </c>
    </row>
    <row r="24" spans="1:47" ht="14.45" x14ac:dyDescent="0.35">
      <c r="A24" s="200">
        <f t="shared" si="14"/>
        <v>0.33427559488722935</v>
      </c>
      <c r="B24" s="201">
        <f t="shared" si="14"/>
        <v>-0.82175077612570924</v>
      </c>
      <c r="C24" s="201">
        <f t="shared" si="14"/>
        <v>-0.38166867296455587</v>
      </c>
      <c r="D24" s="202">
        <f t="shared" si="14"/>
        <v>0.25945040504315714</v>
      </c>
      <c r="F24" s="91">
        <f>INDEX(A24:D32,,F15)</f>
        <v>0.33427559488722935</v>
      </c>
      <c r="G24" s="93">
        <f>INDEX(A16:D24,,G15)</f>
        <v>-0.82175077612570924</v>
      </c>
      <c r="I24" s="91">
        <f t="shared" si="15"/>
        <v>-0.56353416472599438</v>
      </c>
      <c r="J24" s="92">
        <f t="shared" si="16"/>
        <v>-0.54938245907692773</v>
      </c>
      <c r="K24" s="92">
        <f t="shared" si="17"/>
        <v>1.574966847201198E-2</v>
      </c>
      <c r="L24" s="93">
        <f t="shared" si="18"/>
        <v>0.30959578519102926</v>
      </c>
      <c r="Q24" s="91">
        <v>0.1745135351179975</v>
      </c>
      <c r="R24" s="93">
        <v>-0.86980430986575141</v>
      </c>
    </row>
    <row r="25" spans="1:47" ht="14.45" x14ac:dyDescent="0.35">
      <c r="I25">
        <f>SUM(I16:I24)</f>
        <v>2.3213410161290446</v>
      </c>
      <c r="J25">
        <f>SUM(J16:J24)</f>
        <v>-8.7730521557250529E-2</v>
      </c>
      <c r="K25">
        <f>SUM(K16:K24)</f>
        <v>1.877124371680587</v>
      </c>
      <c r="L25">
        <f>SUM(L16:L24)</f>
        <v>1.1544888049405744</v>
      </c>
      <c r="Z25" t="s">
        <v>623</v>
      </c>
    </row>
    <row r="26" spans="1:47" ht="14.45" x14ac:dyDescent="0.35">
      <c r="A26" s="47" t="s">
        <v>53</v>
      </c>
      <c r="B26">
        <f>COUNT(A16:A24)</f>
        <v>9</v>
      </c>
      <c r="I26" s="47" t="s">
        <v>462</v>
      </c>
      <c r="J26" s="47" t="s">
        <v>389</v>
      </c>
      <c r="K26" s="47" t="s">
        <v>469</v>
      </c>
      <c r="L26" s="47" t="s">
        <v>470</v>
      </c>
      <c r="N26" s="47"/>
      <c r="Z26" s="156">
        <f t="array" ref="Z26:AC29">MINVERSE(Z15:AC18)</f>
        <v>0.80764742816043245</v>
      </c>
      <c r="AA26" s="157">
        <v>0.2617348119813907</v>
      </c>
      <c r="AB26" s="157">
        <v>-0.32309337400384447</v>
      </c>
      <c r="AC26" s="158">
        <v>-0.4181042832329237</v>
      </c>
    </row>
    <row r="27" spans="1:47" ht="14.45" x14ac:dyDescent="0.35">
      <c r="Z27" s="123">
        <v>-0.28674962959879469</v>
      </c>
      <c r="AA27" s="37">
        <v>0.95186333980877535</v>
      </c>
      <c r="AB27" s="37">
        <v>0.10187725547327915</v>
      </c>
      <c r="AC27" s="90">
        <v>-3.6767608982240498E-2</v>
      </c>
    </row>
    <row r="28" spans="1:47" ht="14.45" x14ac:dyDescent="0.35">
      <c r="A28">
        <v>1</v>
      </c>
      <c r="B28">
        <v>2</v>
      </c>
      <c r="C28">
        <v>3</v>
      </c>
      <c r="D28">
        <v>4</v>
      </c>
      <c r="F28">
        <v>1</v>
      </c>
      <c r="G28">
        <v>3</v>
      </c>
      <c r="I28" s="47" t="s">
        <v>207</v>
      </c>
      <c r="J28" s="47" t="s">
        <v>464</v>
      </c>
      <c r="K28" s="47" t="s">
        <v>465</v>
      </c>
      <c r="L28" s="47" t="s">
        <v>466</v>
      </c>
      <c r="Q28">
        <f>F28</f>
        <v>1</v>
      </c>
      <c r="R28">
        <f>G28</f>
        <v>3</v>
      </c>
      <c r="Z28" s="123">
        <v>0.41171323712138969</v>
      </c>
      <c r="AA28" s="37">
        <v>3.1896495098089409E-2</v>
      </c>
      <c r="AB28" s="37">
        <v>0.9031642661760797</v>
      </c>
      <c r="AC28" s="90">
        <v>0.11734194596182355</v>
      </c>
    </row>
    <row r="29" spans="1:47" ht="14.45" x14ac:dyDescent="0.35">
      <c r="A29" s="189">
        <f t="array" ref="A29:A37">IF(A28=$Q15,$Q16:$Q24,IF(A28=$R15,$R16:$R24,A16:A24))</f>
        <v>-4.4582702254963413E-2</v>
      </c>
      <c r="B29" s="190">
        <f t="array" ref="B29:B37">IF(B28=$Q15,$Q16:$Q24,IF(B28=$R15,$R16:$R24,B16:B24))</f>
        <v>0.93338374934363266</v>
      </c>
      <c r="C29" s="190">
        <f t="array" ref="C29:C37">IF(C28=$Q15,$Q16:$Q24,IF(C28=$R15,$R16:$R24,C16:C24))</f>
        <v>-0.32891839674691975</v>
      </c>
      <c r="D29" s="191">
        <f t="array" ref="D29:D37">IF(D28=$Q15,$Q16:$Q24,IF(D28=$R15,$R16:$R24,D16:D24))</f>
        <v>0.13645456167642001</v>
      </c>
      <c r="F29" s="156">
        <f>INDEX(A29:D37,,F28)</f>
        <v>-4.4582702254963413E-2</v>
      </c>
      <c r="G29" s="158">
        <f>INDEX(A29:D37,,G28)</f>
        <v>-0.32891839674691975</v>
      </c>
      <c r="I29" s="156">
        <f>F29^2-G29^2</f>
        <v>-0.10619969437820939</v>
      </c>
      <c r="J29" s="157">
        <f>2*F29*G29</f>
        <v>2.9328141896695699E-2</v>
      </c>
      <c r="K29" s="157">
        <f>I29^2-J29^2</f>
        <v>1.0418235178912362E-2</v>
      </c>
      <c r="L29" s="158">
        <f t="shared" ref="L29:L37" si="19">I29*J29</f>
        <v>-3.1146397061098414E-3</v>
      </c>
      <c r="N29" t="s">
        <v>390</v>
      </c>
      <c r="O29" s="172">
        <f>L38*B39-2*I38*J38</f>
        <v>-9.8637469142433538</v>
      </c>
      <c r="Q29" s="156">
        <f t="array" ref="Q29:R37">MMULT(F29:G37,N33:O34)</f>
        <v>5.1999756084740043E-2</v>
      </c>
      <c r="R29" s="158">
        <v>-0.32782762913770153</v>
      </c>
      <c r="Z29" s="91">
        <v>0.3097942738170274</v>
      </c>
      <c r="AA29" s="92">
        <v>0.15631277659106493</v>
      </c>
      <c r="AB29" s="92">
        <v>-0.26367784282087048</v>
      </c>
      <c r="AC29" s="93">
        <v>0.90003767642799493</v>
      </c>
    </row>
    <row r="30" spans="1:47" ht="14.45" x14ac:dyDescent="0.35">
      <c r="A30" s="194">
        <v>0.75847108252874218</v>
      </c>
      <c r="B30" s="195">
        <v>-0.51710869037711338</v>
      </c>
      <c r="C30" s="195">
        <v>-0.23549504039923524</v>
      </c>
      <c r="D30" s="196">
        <v>-0.31915874616169831</v>
      </c>
      <c r="F30" s="123">
        <f>INDEX(A30:D38,,F28)</f>
        <v>0.75847108252874218</v>
      </c>
      <c r="G30" s="90">
        <f>INDEX(A29:D37,,G28)</f>
        <v>-0.23549504039923524</v>
      </c>
      <c r="I30" s="123">
        <f t="shared" ref="I30:I37" si="20">F30^2-G30^2</f>
        <v>0.51982046897968459</v>
      </c>
      <c r="J30" s="37">
        <f t="shared" ref="J30:J37" si="21">2*F30*G30</f>
        <v>-0.35723235644351564</v>
      </c>
      <c r="K30" s="37">
        <f t="shared" ref="K30:K37" si="22">I30^2-J30^2</f>
        <v>0.14259836348007221</v>
      </c>
      <c r="L30" s="90">
        <f t="shared" si="19"/>
        <v>-0.18569669106118616</v>
      </c>
      <c r="N30" t="s">
        <v>392</v>
      </c>
      <c r="O30" s="173">
        <f>K38*B39-(I38^2-J38^2)</f>
        <v>4.2014335718362732</v>
      </c>
      <c r="Q30" s="123">
        <v>0.79415678456229433</v>
      </c>
      <c r="R30" s="90">
        <v>-7.1623053995910901E-3</v>
      </c>
    </row>
    <row r="31" spans="1:47" ht="15" customHeight="1" x14ac:dyDescent="0.35">
      <c r="A31" s="194">
        <v>0.88763156215296024</v>
      </c>
      <c r="B31" s="195">
        <v>0.22168048134771884</v>
      </c>
      <c r="C31" s="195">
        <v>-0.22250221058134792</v>
      </c>
      <c r="D31" s="196">
        <v>-0.33683933907094721</v>
      </c>
      <c r="F31" s="123">
        <f>INDEX(A31:D39,,F28)</f>
        <v>0.88763156215296024</v>
      </c>
      <c r="G31" s="90">
        <f>INDEX(A29:D37,,G28)</f>
        <v>-0.22250221058134792</v>
      </c>
      <c r="I31" s="123">
        <f t="shared" si="20"/>
        <v>0.73838255641651807</v>
      </c>
      <c r="J31" s="37">
        <f t="shared" si="21"/>
        <v>-0.39499996952161753</v>
      </c>
      <c r="K31" s="37">
        <f t="shared" si="22"/>
        <v>0.38918382369811377</v>
      </c>
      <c r="L31" s="90">
        <f t="shared" si="19"/>
        <v>-0.29166108727981865</v>
      </c>
      <c r="N31" t="s">
        <v>467</v>
      </c>
      <c r="O31" s="174">
        <f>0.25*ATAN(O29/O30)</f>
        <v>-0.29203095529931172</v>
      </c>
      <c r="Q31" s="123">
        <v>0.91410815024926584</v>
      </c>
      <c r="R31" s="90">
        <v>4.2465438789169779E-2</v>
      </c>
      <c r="Z31" t="s">
        <v>624</v>
      </c>
    </row>
    <row r="32" spans="1:47" ht="14.45" x14ac:dyDescent="0.35">
      <c r="A32" s="194">
        <v>0.40620050528160723</v>
      </c>
      <c r="B32" s="195">
        <v>9.4932627120396199E-2</v>
      </c>
      <c r="C32" s="195">
        <v>-0.20553223141281923</v>
      </c>
      <c r="D32" s="196">
        <v>0.88529398939982307</v>
      </c>
      <c r="F32" s="123">
        <f>INDEX(A32:D40,,F28)</f>
        <v>0.40620050528160723</v>
      </c>
      <c r="G32" s="90">
        <f>INDEX(A29:D37,,G28)</f>
        <v>-0.20553223141281923</v>
      </c>
      <c r="I32" s="123">
        <f t="shared" si="20"/>
        <v>0.12275535234150034</v>
      </c>
      <c r="J32" s="37">
        <f t="shared" si="21"/>
        <v>-0.1669745925030868</v>
      </c>
      <c r="K32" s="37">
        <f t="shared" si="22"/>
        <v>-1.2811638013085998E-2</v>
      </c>
      <c r="L32" s="90">
        <f t="shared" si="19"/>
        <v>-2.0497024934794862E-2</v>
      </c>
      <c r="Q32" s="123">
        <v>0.44817471442625662</v>
      </c>
      <c r="R32" s="90">
        <v>-7.9886006218292296E-2</v>
      </c>
      <c r="Z32" s="156">
        <f t="array" ref="Z32:AC40">MMULT(G4:J12,TRANSPOSE(Z26:AC29))</f>
        <v>0.11050558871453378</v>
      </c>
      <c r="AA32" s="157">
        <v>0.88893991696631458</v>
      </c>
      <c r="AB32" s="157">
        <v>-0.34205473371991668</v>
      </c>
      <c r="AC32" s="158">
        <v>0.28385365600353551</v>
      </c>
    </row>
    <row r="33" spans="1:29" ht="14.45" x14ac:dyDescent="0.35">
      <c r="A33" s="194">
        <v>0.76581757316945698</v>
      </c>
      <c r="B33" s="195">
        <v>-8.6246977898750632E-2</v>
      </c>
      <c r="C33" s="195">
        <v>0.6017024231218191</v>
      </c>
      <c r="D33" s="196">
        <v>0.20985494380049169</v>
      </c>
      <c r="F33" s="123">
        <f>INDEX(A33:D41,,F28)</f>
        <v>0.76581757316945698</v>
      </c>
      <c r="G33" s="90">
        <f>INDEX(A29:D37,,G28)</f>
        <v>0.6017024231218191</v>
      </c>
      <c r="I33" s="123">
        <f t="shared" si="20"/>
        <v>0.22443074938448804</v>
      </c>
      <c r="J33" s="37">
        <f t="shared" si="21"/>
        <v>0.92158857889066648</v>
      </c>
      <c r="K33" s="37">
        <f t="shared" si="22"/>
        <v>-0.79895634747243527</v>
      </c>
      <c r="L33" s="90">
        <f t="shared" si="19"/>
        <v>0.20683281538461765</v>
      </c>
      <c r="N33" s="156">
        <f>COS(O31)</f>
        <v>0.95766114345338604</v>
      </c>
      <c r="O33" s="158">
        <f>-N34</f>
        <v>0.28789778449920939</v>
      </c>
      <c r="Q33" s="123">
        <v>0.56016493825358182</v>
      </c>
      <c r="R33" s="90">
        <v>0.79670421319156226</v>
      </c>
      <c r="Z33" s="123">
        <v>0.79368133647614103</v>
      </c>
      <c r="AA33" s="37">
        <v>-0.6020089731670899</v>
      </c>
      <c r="AB33" s="37">
        <v>8.4796481775002791E-2</v>
      </c>
      <c r="AC33" s="90">
        <v>-2.1556647103258719E-2</v>
      </c>
    </row>
    <row r="34" spans="1:29" x14ac:dyDescent="0.25">
      <c r="A34" s="194">
        <v>0.36148698058370499</v>
      </c>
      <c r="B34" s="195">
        <v>-3.1628940761194664E-2</v>
      </c>
      <c r="C34" s="195">
        <v>0.92867131179088125</v>
      </c>
      <c r="D34" s="196">
        <v>7.6787809132731533E-2</v>
      </c>
      <c r="F34" s="123">
        <f>INDEX(A34:D42,,F28)</f>
        <v>0.36148698058370499</v>
      </c>
      <c r="G34" s="90">
        <f>INDEX(A29:D37,,G28)</f>
        <v>0.92867131179088125</v>
      </c>
      <c r="I34" s="123">
        <f t="shared" si="20"/>
        <v>-0.73175756821187232</v>
      </c>
      <c r="J34" s="37">
        <f t="shared" si="21"/>
        <v>0.67140517690798829</v>
      </c>
      <c r="K34" s="37">
        <f t="shared" si="22"/>
        <v>8.4684227056505912E-2</v>
      </c>
      <c r="L34" s="90">
        <f t="shared" si="19"/>
        <v>-0.49130581953905145</v>
      </c>
      <c r="N34" s="91">
        <f>SIN(O31)</f>
        <v>-0.28789778449920939</v>
      </c>
      <c r="O34" s="93">
        <f>N33</f>
        <v>0.95766114345338604</v>
      </c>
      <c r="Q34" s="123">
        <v>7.88196219767337E-2</v>
      </c>
      <c r="R34" s="90">
        <v>0.99342373117736871</v>
      </c>
      <c r="Z34" s="123">
        <v>0.98391133440017498</v>
      </c>
      <c r="AA34" s="37">
        <v>0.11705508513498968</v>
      </c>
      <c r="AB34" s="37">
        <v>0.11366496660946403</v>
      </c>
      <c r="AC34" s="90">
        <v>7.2779588131401896E-2</v>
      </c>
    </row>
    <row r="35" spans="1:29" x14ac:dyDescent="0.25">
      <c r="A35" s="194">
        <v>0.95319320457757395</v>
      </c>
      <c r="B35" s="195">
        <v>9.2360055686065617E-2</v>
      </c>
      <c r="C35" s="195">
        <v>-0.21876034334266117</v>
      </c>
      <c r="D35" s="196">
        <v>-0.18717971856321144</v>
      </c>
      <c r="F35" s="123">
        <f>INDEX(A35:D43,,F28)</f>
        <v>0.95319320457757395</v>
      </c>
      <c r="G35" s="90">
        <f>INDEX(A29:D37,,G28)</f>
        <v>-0.21876034334266117</v>
      </c>
      <c r="I35" s="123">
        <f t="shared" si="20"/>
        <v>0.86072119743346576</v>
      </c>
      <c r="J35" s="37">
        <f t="shared" si="21"/>
        <v>-0.4170417454105631</v>
      </c>
      <c r="K35" s="37">
        <f t="shared" si="22"/>
        <v>0.56691716229621014</v>
      </c>
      <c r="L35" s="90">
        <f t="shared" si="19"/>
        <v>-0.35895667048952246</v>
      </c>
      <c r="Q35" s="123">
        <v>0.97581671241239532</v>
      </c>
      <c r="R35" s="90">
        <v>6.4923931249796979E-2</v>
      </c>
      <c r="Z35" s="123">
        <v>4.8484586255485518E-2</v>
      </c>
      <c r="AA35" s="37">
        <v>-1.6562676725943408E-3</v>
      </c>
      <c r="AB35" s="37">
        <v>8.0616232808487981E-2</v>
      </c>
      <c r="AC35" s="90">
        <v>0.99556392295060492</v>
      </c>
    </row>
    <row r="36" spans="1:29" x14ac:dyDescent="0.25">
      <c r="A36" s="194">
        <v>0.96329562442548</v>
      </c>
      <c r="B36" s="195">
        <v>-0.13286043622660626</v>
      </c>
      <c r="C36" s="195">
        <v>0.16380937633330739</v>
      </c>
      <c r="D36" s="196">
        <v>0.16606062951131315</v>
      </c>
      <c r="F36" s="123">
        <f>INDEX(A36:D44,,F28)</f>
        <v>0.96329562442548</v>
      </c>
      <c r="G36" s="90">
        <f>INDEX(A29:D37,,G28)</f>
        <v>0.16380937633330739</v>
      </c>
      <c r="I36" s="123">
        <f t="shared" si="20"/>
        <v>0.90110494826256826</v>
      </c>
      <c r="J36" s="37">
        <f t="shared" si="21"/>
        <v>0.31559371092348359</v>
      </c>
      <c r="K36" s="37">
        <f t="shared" si="22"/>
        <v>0.71239073740883052</v>
      </c>
      <c r="L36" s="90">
        <f t="shared" si="19"/>
        <v>0.28438305455369761</v>
      </c>
      <c r="Q36" s="123">
        <v>0.87535043264439216</v>
      </c>
      <c r="R36" s="90">
        <v>0.43420455073761932</v>
      </c>
      <c r="Z36" s="123">
        <v>0.35382045910589399</v>
      </c>
      <c r="AA36" s="37">
        <v>-0.1109274917873307</v>
      </c>
      <c r="AB36" s="37">
        <v>0.88630193481918518</v>
      </c>
      <c r="AC36" s="90">
        <v>0.27744378641381573</v>
      </c>
    </row>
    <row r="37" spans="1:29" x14ac:dyDescent="0.25">
      <c r="A37" s="200">
        <v>0.1745135351179975</v>
      </c>
      <c r="B37" s="201">
        <v>-0.86980430986575141</v>
      </c>
      <c r="C37" s="201">
        <v>-0.38166867296455587</v>
      </c>
      <c r="D37" s="202">
        <v>0.25945040504315714</v>
      </c>
      <c r="F37" s="91">
        <f>INDEX(A37:D45,,F28)</f>
        <v>0.1745135351179975</v>
      </c>
      <c r="G37" s="93">
        <f>INDEX(A29:D37,,G28)</f>
        <v>-0.38166867296455587</v>
      </c>
      <c r="I37" s="91">
        <f t="shared" si="20"/>
        <v>-0.11521600198314455</v>
      </c>
      <c r="J37" s="92">
        <f t="shared" si="21"/>
        <v>-0.13321269872567904</v>
      </c>
      <c r="K37" s="92">
        <f t="shared" si="22"/>
        <v>-4.4708959887985594E-3</v>
      </c>
      <c r="L37" s="93">
        <f t="shared" si="19"/>
        <v>1.5348234560557873E-2</v>
      </c>
      <c r="Q37" s="91">
        <v>0.27700639694844303</v>
      </c>
      <c r="R37" s="93">
        <v>-0.31526719764597655</v>
      </c>
      <c r="Z37" s="123">
        <v>-3.0996810536804031E-2</v>
      </c>
      <c r="AA37" s="37">
        <v>2.3112806716317675E-2</v>
      </c>
      <c r="AB37" s="37">
        <v>0.99755619705964249</v>
      </c>
      <c r="AC37" s="90">
        <v>-5.8194755864626274E-2</v>
      </c>
    </row>
    <row r="38" spans="1:29" x14ac:dyDescent="0.25">
      <c r="I38">
        <f>SUM(I29:I37)</f>
        <v>2.4140420082449987</v>
      </c>
      <c r="J38">
        <f>SUM(J29:J37)</f>
        <v>0.46845424601437197</v>
      </c>
      <c r="K38">
        <f>SUM(K29:K37)</f>
        <v>1.0899536676443251</v>
      </c>
      <c r="L38">
        <f>SUM(L29:L37)</f>
        <v>-0.84466782851161015</v>
      </c>
      <c r="Z38" s="123">
        <v>0.96166161946047379</v>
      </c>
      <c r="AA38" s="37">
        <v>-2.2711301623059083E-2</v>
      </c>
      <c r="AB38" s="37">
        <v>0.16742905822983456</v>
      </c>
      <c r="AC38" s="90">
        <v>0.21600610383856236</v>
      </c>
    </row>
    <row r="39" spans="1:29" x14ac:dyDescent="0.25">
      <c r="A39" s="47" t="s">
        <v>53</v>
      </c>
      <c r="B39">
        <f>COUNT(A29:A37)</f>
        <v>9</v>
      </c>
      <c r="I39" s="47" t="s">
        <v>462</v>
      </c>
      <c r="J39" s="47" t="s">
        <v>389</v>
      </c>
      <c r="K39" s="47" t="s">
        <v>469</v>
      </c>
      <c r="L39" s="47" t="s">
        <v>470</v>
      </c>
      <c r="N39" s="47"/>
      <c r="Z39" s="123">
        <v>0.6750246031626741</v>
      </c>
      <c r="AA39" s="37">
        <v>-0.22044881491696722</v>
      </c>
      <c r="AB39" s="37">
        <v>0.56885218090625922</v>
      </c>
      <c r="AC39" s="90">
        <v>0.41491119701084439</v>
      </c>
    </row>
    <row r="40" spans="1:29" x14ac:dyDescent="0.25">
      <c r="Z40" s="91">
        <v>6.9733333287272339E-2</v>
      </c>
      <c r="AA40" s="92">
        <v>-0.92647056921596882</v>
      </c>
      <c r="AB40" s="92">
        <v>-0.20285037387292923</v>
      </c>
      <c r="AC40" s="93">
        <v>0.3092592317537155</v>
      </c>
    </row>
    <row r="41" spans="1:29" x14ac:dyDescent="0.25">
      <c r="A41">
        <v>1</v>
      </c>
      <c r="B41">
        <v>2</v>
      </c>
      <c r="C41">
        <v>3</v>
      </c>
      <c r="D41">
        <v>4</v>
      </c>
      <c r="F41">
        <v>1</v>
      </c>
      <c r="G41">
        <v>4</v>
      </c>
      <c r="I41" s="47" t="s">
        <v>207</v>
      </c>
      <c r="J41" s="47" t="s">
        <v>464</v>
      </c>
      <c r="K41" s="47" t="s">
        <v>465</v>
      </c>
      <c r="L41" s="47" t="s">
        <v>466</v>
      </c>
      <c r="Q41">
        <f>F41</f>
        <v>1</v>
      </c>
      <c r="R41">
        <f>G41</f>
        <v>4</v>
      </c>
    </row>
    <row r="42" spans="1:29" x14ac:dyDescent="0.25">
      <c r="A42" s="189">
        <f t="array" ref="A42:A50">IF(A41=$Q28,$Q29:$Q37,IF(A41=$R28,$R29:$R37,A29:A37))</f>
        <v>5.1999756084740043E-2</v>
      </c>
      <c r="B42" s="190">
        <f t="array" ref="B42:B50">IF(B41=$Q28,$Q29:$Q37,IF(B41=$R28,$R29:$R37,B29:B37))</f>
        <v>0.93338374934363266</v>
      </c>
      <c r="C42" s="190">
        <f t="array" ref="C42:C50">IF(C41=$Q28,$Q29:$Q37,IF(C41=$R28,$R29:$R37,C29:C37))</f>
        <v>-0.32782762913770153</v>
      </c>
      <c r="D42" s="191">
        <f t="array" ref="D42:D50">IF(D41=$Q28,$Q29:$Q37,IF(D41=$R28,$R29:$R37,D29:D37))</f>
        <v>0.13645456167642001</v>
      </c>
      <c r="F42" s="156">
        <f>INDEX(A42:D50,,F41)</f>
        <v>5.1999756084740043E-2</v>
      </c>
      <c r="G42" s="158">
        <f>INDEX(A42:D50,,G41)</f>
        <v>0.13645456167642001</v>
      </c>
      <c r="I42" s="156">
        <f>F42^2-G42^2</f>
        <v>-1.5915872769431454E-2</v>
      </c>
      <c r="J42" s="157">
        <f>2*F42*G42</f>
        <v>1.4191207847647913E-2</v>
      </c>
      <c r="K42" s="157">
        <f>I42^2-J42^2</f>
        <v>5.1924625837585951E-5</v>
      </c>
      <c r="L42" s="158">
        <f t="shared" ref="L42:L50" si="23">I42*J42</f>
        <v>-2.2586545854772137E-4</v>
      </c>
      <c r="N42" t="s">
        <v>390</v>
      </c>
      <c r="O42" s="172">
        <f>L51*B52-2*I51*J51</f>
        <v>-11.086600445766452</v>
      </c>
      <c r="Q42" s="156">
        <f t="array" ref="Q42:R50">MMULT(F42:G50,N46:O47)</f>
        <v>4.4525469351076596E-3</v>
      </c>
      <c r="R42" s="158">
        <v>0.145958887571011</v>
      </c>
    </row>
    <row r="43" spans="1:29" x14ac:dyDescent="0.25">
      <c r="A43" s="194">
        <v>0.79415678456229433</v>
      </c>
      <c r="B43" s="195">
        <v>-0.51710869037711338</v>
      </c>
      <c r="C43" s="195">
        <v>-7.1623053995910901E-3</v>
      </c>
      <c r="D43" s="196">
        <v>-0.31915874616169831</v>
      </c>
      <c r="F43" s="123">
        <f>INDEX(A43:D51,,F41)</f>
        <v>0.79415678456229433</v>
      </c>
      <c r="G43" s="90">
        <f>INDEX(A42:D50,,G41)</f>
        <v>-0.31915874616169831</v>
      </c>
      <c r="I43" s="123">
        <f t="shared" ref="I43:I50" si="24">F43^2-G43^2</f>
        <v>0.5288226932148149</v>
      </c>
      <c r="J43" s="37">
        <f t="shared" ref="J43:J50" si="25">2*F43*G43</f>
        <v>-0.50692416723341571</v>
      </c>
      <c r="K43" s="37">
        <f t="shared" ref="K43:K50" si="26">I43^2-J43^2</f>
        <v>2.2681329533678241E-2</v>
      </c>
      <c r="L43" s="90">
        <f t="shared" si="23"/>
        <v>-0.26807300337205214</v>
      </c>
      <c r="N43" t="s">
        <v>392</v>
      </c>
      <c r="O43" s="173">
        <f>K51*B52-(I51^2-J51^2)</f>
        <v>2.6711371794561938</v>
      </c>
      <c r="Q43" s="123">
        <v>0.85488179504886008</v>
      </c>
      <c r="R43" s="90">
        <v>-4.1526138899112275E-2</v>
      </c>
    </row>
    <row r="44" spans="1:29" x14ac:dyDescent="0.25">
      <c r="A44" s="194">
        <v>0.91410815024926584</v>
      </c>
      <c r="B44" s="195">
        <v>0.22168048134771884</v>
      </c>
      <c r="C44" s="195">
        <v>4.2465438789169779E-2</v>
      </c>
      <c r="D44" s="196">
        <v>-0.33683933907094721</v>
      </c>
      <c r="F44" s="123">
        <f>INDEX(A44:D52,,F41)</f>
        <v>0.91410815024926584</v>
      </c>
      <c r="G44" s="90">
        <f>INDEX(A42:D50,,G41)</f>
        <v>-0.33683933907094721</v>
      </c>
      <c r="I44" s="123">
        <f t="shared" si="24"/>
        <v>0.72213297000638188</v>
      </c>
      <c r="J44" s="37">
        <f t="shared" si="25"/>
        <v>-0.61581517033865762</v>
      </c>
      <c r="K44" s="37">
        <f t="shared" si="26"/>
        <v>0.14224770235100814</v>
      </c>
      <c r="L44" s="90">
        <f t="shared" si="23"/>
        <v>-0.44470043793164077</v>
      </c>
      <c r="N44" t="s">
        <v>467</v>
      </c>
      <c r="O44" s="174">
        <f>0.25*ATAN(O42/O43)</f>
        <v>-0.33359213908225654</v>
      </c>
      <c r="Q44" s="123">
        <v>0.97400983002612218</v>
      </c>
      <c r="R44" s="90">
        <v>-1.8955255481567679E-2</v>
      </c>
    </row>
    <row r="45" spans="1:29" x14ac:dyDescent="0.25">
      <c r="A45" s="194">
        <v>0.44817471442625662</v>
      </c>
      <c r="B45" s="195">
        <v>9.4932627120396199E-2</v>
      </c>
      <c r="C45" s="195">
        <v>-7.9886006218292296E-2</v>
      </c>
      <c r="D45" s="196">
        <v>0.88529398939982307</v>
      </c>
      <c r="F45" s="123">
        <f>INDEX(A45:D53,,F41)</f>
        <v>0.44817471442625662</v>
      </c>
      <c r="G45" s="90">
        <f>INDEX(A42:D50,,G41)</f>
        <v>0.88529398939982307</v>
      </c>
      <c r="I45" s="123">
        <f t="shared" si="24"/>
        <v>-0.58288487301639735</v>
      </c>
      <c r="J45" s="37">
        <f t="shared" si="25"/>
        <v>0.79353276176509435</v>
      </c>
      <c r="K45" s="37">
        <f t="shared" si="26"/>
        <v>-0.28993946880319632</v>
      </c>
      <c r="L45" s="90">
        <f t="shared" si="23"/>
        <v>-0.46253824307579811</v>
      </c>
      <c r="Q45" s="123">
        <v>0.13358784751216146</v>
      </c>
      <c r="R45" s="90">
        <v>0.9832397008438879</v>
      </c>
    </row>
    <row r="46" spans="1:29" x14ac:dyDescent="0.25">
      <c r="A46" s="194">
        <v>0.56016493825358182</v>
      </c>
      <c r="B46" s="195">
        <v>-8.6246977898750632E-2</v>
      </c>
      <c r="C46" s="195">
        <v>0.79670421319156226</v>
      </c>
      <c r="D46" s="196">
        <v>0.20985494380049169</v>
      </c>
      <c r="F46" s="123">
        <f>INDEX(A46:D54,,F41)</f>
        <v>0.56016493825358182</v>
      </c>
      <c r="G46" s="90">
        <f>INDEX(A42:D50,,G41)</f>
        <v>0.20985494380049169</v>
      </c>
      <c r="I46" s="123">
        <f t="shared" si="24"/>
        <v>0.26974566061113164</v>
      </c>
      <c r="J46" s="37">
        <f t="shared" si="25"/>
        <v>0.23510676327242261</v>
      </c>
      <c r="K46" s="37">
        <f t="shared" si="26"/>
        <v>1.7487531282100857E-2</v>
      </c>
      <c r="L46" s="90">
        <f t="shared" si="23"/>
        <v>6.3419029173064578E-2</v>
      </c>
      <c r="N46" s="156">
        <f>COS(O44)</f>
        <v>0.94487223480033056</v>
      </c>
      <c r="O46" s="158">
        <f>-N47</f>
        <v>0.32743924612579495</v>
      </c>
      <c r="Q46" s="123">
        <v>0.46056955247064696</v>
      </c>
      <c r="R46" s="90">
        <v>0.38170609482052364</v>
      </c>
    </row>
    <row r="47" spans="1:29" x14ac:dyDescent="0.25">
      <c r="A47" s="194">
        <v>7.88196219767337E-2</v>
      </c>
      <c r="B47" s="195">
        <v>-3.1628940761194664E-2</v>
      </c>
      <c r="C47" s="195">
        <v>0.99342373117736871</v>
      </c>
      <c r="D47" s="196">
        <v>7.6787809132731533E-2</v>
      </c>
      <c r="F47" s="123">
        <f>INDEX(A47:D55,,F41)</f>
        <v>7.88196219767337E-2</v>
      </c>
      <c r="G47" s="90">
        <f>INDEX(A42:D50,,G41)</f>
        <v>7.6787809132731533E-2</v>
      </c>
      <c r="I47" s="123">
        <f t="shared" si="24"/>
        <v>3.1616517715039351E-4</v>
      </c>
      <c r="J47" s="37">
        <f t="shared" si="25"/>
        <v>1.2104772176526958E-2</v>
      </c>
      <c r="K47" s="37">
        <f t="shared" si="26"/>
        <v>-1.4642554902637864E-4</v>
      </c>
      <c r="L47" s="90">
        <f t="shared" si="23"/>
        <v>3.8271074395568002E-6</v>
      </c>
      <c r="N47" s="91">
        <f>SIN(O44)</f>
        <v>-0.32743924612579495</v>
      </c>
      <c r="O47" s="93">
        <f>N46</f>
        <v>0.94487223480033056</v>
      </c>
      <c r="Q47" s="123">
        <v>4.9331130029200573E-2</v>
      </c>
      <c r="R47" s="90">
        <v>9.8363306420647098E-2</v>
      </c>
    </row>
    <row r="48" spans="1:29" x14ac:dyDescent="0.25">
      <c r="A48" s="194">
        <v>0.97581671241239532</v>
      </c>
      <c r="B48" s="195">
        <v>9.2360055686065617E-2</v>
      </c>
      <c r="C48" s="195">
        <v>6.4923931249796979E-2</v>
      </c>
      <c r="D48" s="196">
        <v>-0.18717971856321144</v>
      </c>
      <c r="F48" s="123">
        <f>INDEX(A48:D56,,F41)</f>
        <v>0.97581671241239532</v>
      </c>
      <c r="G48" s="90">
        <f>INDEX(A42:D50,,G41)</f>
        <v>-0.18717971856321144</v>
      </c>
      <c r="I48" s="123">
        <f t="shared" si="24"/>
        <v>0.91718200918193238</v>
      </c>
      <c r="J48" s="37">
        <f t="shared" si="25"/>
        <v>-0.36530619519726076</v>
      </c>
      <c r="K48" s="37">
        <f t="shared" si="26"/>
        <v>0.70777422171750703</v>
      </c>
      <c r="L48" s="90">
        <f t="shared" si="23"/>
        <v>-0.33505227007763078</v>
      </c>
      <c r="Q48" s="123">
        <v>0.98331210374898792</v>
      </c>
      <c r="R48" s="90">
        <v>0.14265976968114785</v>
      </c>
    </row>
    <row r="49" spans="1:18" x14ac:dyDescent="0.25">
      <c r="A49" s="194">
        <v>0.87535043264439216</v>
      </c>
      <c r="B49" s="195">
        <v>-0.13286043622660626</v>
      </c>
      <c r="C49" s="195">
        <v>0.43420455073761932</v>
      </c>
      <c r="D49" s="196">
        <v>0.16606062951131315</v>
      </c>
      <c r="F49" s="123">
        <f>INDEX(A49:D57,,F41)</f>
        <v>0.87535043264439216</v>
      </c>
      <c r="G49" s="90">
        <f>INDEX(A42:D50,,G41)</f>
        <v>0.16606062951131315</v>
      </c>
      <c r="I49" s="123">
        <f t="shared" si="24"/>
        <v>0.73866224725703089</v>
      </c>
      <c r="J49" s="37">
        <f t="shared" si="25"/>
        <v>0.29072248777585613</v>
      </c>
      <c r="K49" s="37">
        <f t="shared" si="26"/>
        <v>0.46110235062422422</v>
      </c>
      <c r="L49" s="90">
        <f t="shared" si="23"/>
        <v>0.21474572614866858</v>
      </c>
      <c r="Q49" s="123">
        <v>0.77271955218778376</v>
      </c>
      <c r="R49" s="90">
        <v>0.44353016387967237</v>
      </c>
    </row>
    <row r="50" spans="1:18" x14ac:dyDescent="0.25">
      <c r="A50" s="200">
        <v>0.27700639694844303</v>
      </c>
      <c r="B50" s="201">
        <v>-0.86980430986575141</v>
      </c>
      <c r="C50" s="201">
        <v>-0.31526719764597655</v>
      </c>
      <c r="D50" s="202">
        <v>0.25945040504315714</v>
      </c>
      <c r="F50" s="91">
        <f>INDEX(A50:D58,,F41)</f>
        <v>0.27700639694844303</v>
      </c>
      <c r="G50" s="93">
        <f>INDEX(A42:D50,,G41)</f>
        <v>0.25945040504315714</v>
      </c>
      <c r="I50" s="91">
        <f t="shared" si="24"/>
        <v>9.4180312733000843E-3</v>
      </c>
      <c r="J50" s="92">
        <f t="shared" si="25"/>
        <v>0.14373884377563823</v>
      </c>
      <c r="K50" s="92">
        <f t="shared" si="26"/>
        <v>-2.0572155896892472E-2</v>
      </c>
      <c r="L50" s="93">
        <f t="shared" si="23"/>
        <v>1.3537369258669559E-3</v>
      </c>
      <c r="Q50" s="91">
        <v>0.17678140830429931</v>
      </c>
      <c r="R50" s="93">
        <v>0.33585024982179973</v>
      </c>
    </row>
    <row r="51" spans="1:18" x14ac:dyDescent="0.25">
      <c r="I51">
        <f>SUM(I42:I50)</f>
        <v>2.5874790309359135</v>
      </c>
      <c r="J51">
        <f>SUM(J42:J50)</f>
        <v>1.3513038438522362E-3</v>
      </c>
      <c r="K51">
        <f>SUM(K42:K50)</f>
        <v>1.040687009885241</v>
      </c>
      <c r="L51">
        <f>SUM(L42:L50)</f>
        <v>-1.23106750056063</v>
      </c>
    </row>
    <row r="52" spans="1:18" x14ac:dyDescent="0.25">
      <c r="A52" s="47" t="s">
        <v>53</v>
      </c>
      <c r="B52">
        <f>COUNT(A42:A50)</f>
        <v>9</v>
      </c>
      <c r="I52" s="47" t="s">
        <v>462</v>
      </c>
      <c r="J52" s="47" t="s">
        <v>389</v>
      </c>
      <c r="K52" s="47" t="s">
        <v>469</v>
      </c>
      <c r="L52" s="47" t="s">
        <v>470</v>
      </c>
      <c r="N52" s="47"/>
    </row>
    <row r="54" spans="1:18" x14ac:dyDescent="0.25">
      <c r="A54">
        <v>1</v>
      </c>
      <c r="B54">
        <v>2</v>
      </c>
      <c r="C54">
        <v>3</v>
      </c>
      <c r="D54">
        <v>4</v>
      </c>
      <c r="F54">
        <v>2</v>
      </c>
      <c r="G54">
        <v>3</v>
      </c>
      <c r="I54" s="47" t="s">
        <v>207</v>
      </c>
      <c r="J54" s="47" t="s">
        <v>464</v>
      </c>
      <c r="K54" s="47" t="s">
        <v>465</v>
      </c>
      <c r="L54" s="47" t="s">
        <v>466</v>
      </c>
      <c r="Q54">
        <f>F54</f>
        <v>2</v>
      </c>
      <c r="R54">
        <f>G54</f>
        <v>3</v>
      </c>
    </row>
    <row r="55" spans="1:18" x14ac:dyDescent="0.25">
      <c r="A55" s="189">
        <f t="array" ref="A55:A63">IF(A54=$Q41,$Q42:$Q50,IF(A54=$R41,$R42:$R50,A42:A50))</f>
        <v>4.4525469351076596E-3</v>
      </c>
      <c r="B55" s="190">
        <f t="array" ref="B55:B63">IF(B54=$Q41,$Q42:$Q50,IF(B54=$R41,$R42:$R50,B42:B50))</f>
        <v>0.93338374934363266</v>
      </c>
      <c r="C55" s="190">
        <f t="array" ref="C55:C63">IF(C54=$Q41,$Q42:$Q50,IF(C54=$R41,$R42:$R50,C42:C50))</f>
        <v>-0.32782762913770153</v>
      </c>
      <c r="D55" s="191">
        <f t="array" ref="D55:D63">IF(D54=$Q41,$Q42:$Q50,IF(D54=$R41,$R42:$R50,D42:D50))</f>
        <v>0.145958887571011</v>
      </c>
      <c r="F55" s="156">
        <f>INDEX(A55:D63,,F54)</f>
        <v>0.93338374934363266</v>
      </c>
      <c r="G55" s="158">
        <f>INDEX(A55:D63,,G54)</f>
        <v>-0.32782762913770153</v>
      </c>
      <c r="I55" s="156">
        <f>F55^2-G55^2</f>
        <v>0.7637342691127309</v>
      </c>
      <c r="J55" s="157">
        <f>2*F55*G55</f>
        <v>-0.61197796324596354</v>
      </c>
      <c r="K55" s="157">
        <f>I55^2-J55^2</f>
        <v>0.20877300631847939</v>
      </c>
      <c r="L55" s="158">
        <f t="shared" ref="L55:L63" si="27">I55*J55</f>
        <v>-0.46738854247275363</v>
      </c>
      <c r="N55" t="s">
        <v>390</v>
      </c>
      <c r="O55" s="172">
        <f>L64*B65-2*I64*J64</f>
        <v>0.54453366214637799</v>
      </c>
      <c r="Q55" s="156">
        <f t="array" ref="Q55:R63">MMULT(F55:G63,N59:O60)</f>
        <v>0.93057377257990526</v>
      </c>
      <c r="R55" s="158">
        <v>-0.33572106241823185</v>
      </c>
    </row>
    <row r="56" spans="1:18" x14ac:dyDescent="0.25">
      <c r="A56" s="194">
        <v>0.85488179504886008</v>
      </c>
      <c r="B56" s="195">
        <v>-0.51710869037711338</v>
      </c>
      <c r="C56" s="195">
        <v>-7.1623053995910901E-3</v>
      </c>
      <c r="D56" s="196">
        <v>-4.1526138899112275E-2</v>
      </c>
      <c r="F56" s="123">
        <f>INDEX(A56:D64,,F54)</f>
        <v>-0.51710869037711338</v>
      </c>
      <c r="G56" s="90">
        <f>INDEX(A55:D63,,G54)</f>
        <v>-7.1623053995910901E-3</v>
      </c>
      <c r="I56" s="123">
        <f t="shared" ref="I56:I63" si="28">F56^2-G56^2</f>
        <v>0.26735009904489632</v>
      </c>
      <c r="J56" s="37">
        <f t="shared" ref="J56:J63" si="29">2*F56*G56</f>
        <v>7.407380730526953E-3</v>
      </c>
      <c r="K56" s="37">
        <f t="shared" ref="K56:K63" si="30">I56^2-J56^2</f>
        <v>7.1421206170028895E-2</v>
      </c>
      <c r="L56" s="90">
        <f t="shared" si="27"/>
        <v>1.9803639719696373E-3</v>
      </c>
      <c r="N56" t="s">
        <v>392</v>
      </c>
      <c r="O56" s="173">
        <f>K64*B65-(I64^2-J64^2)</f>
        <v>16.067237612272361</v>
      </c>
      <c r="Q56" s="123">
        <v>-0.51715080415285974</v>
      </c>
      <c r="R56" s="90">
        <v>-2.7824532737751925E-3</v>
      </c>
    </row>
    <row r="57" spans="1:18" x14ac:dyDescent="0.25">
      <c r="A57" s="194">
        <v>0.97400983002612218</v>
      </c>
      <c r="B57" s="195">
        <v>0.22168048134771884</v>
      </c>
      <c r="C57" s="195">
        <v>4.2465438789169779E-2</v>
      </c>
      <c r="D57" s="196">
        <v>-1.8955255481567679E-2</v>
      </c>
      <c r="F57" s="123">
        <f>INDEX(A57:D65,,F54)</f>
        <v>0.22168048134771884</v>
      </c>
      <c r="G57" s="90">
        <f>INDEX(A55:D63,,G54)</f>
        <v>4.2465438789169779E-2</v>
      </c>
      <c r="I57" s="123">
        <f t="shared" si="28"/>
        <v>4.7338922318999596E-2</v>
      </c>
      <c r="J57" s="37">
        <f t="shared" si="29"/>
        <v>1.8827517822850495E-2</v>
      </c>
      <c r="K57" s="37">
        <f t="shared" si="30"/>
        <v>1.8864981389545251E-3</v>
      </c>
      <c r="L57" s="90">
        <f t="shared" si="27"/>
        <v>8.9127440367549999E-4</v>
      </c>
      <c r="N57" t="s">
        <v>467</v>
      </c>
      <c r="O57" s="174">
        <f>0.25*ATAN(O55/O56)</f>
        <v>8.4694913946623228E-3</v>
      </c>
      <c r="Q57" s="123">
        <v>0.2220321869401006</v>
      </c>
      <c r="R57" s="90">
        <v>4.0586417244064171E-2</v>
      </c>
    </row>
    <row r="58" spans="1:18" x14ac:dyDescent="0.25">
      <c r="A58" s="194">
        <v>0.13358784751216146</v>
      </c>
      <c r="B58" s="195">
        <v>9.4932627120396199E-2</v>
      </c>
      <c r="C58" s="195">
        <v>-7.9886006218292296E-2</v>
      </c>
      <c r="D58" s="196">
        <v>0.9832397008438879</v>
      </c>
      <c r="F58" s="123">
        <f>INDEX(A58:D66,,F54)</f>
        <v>9.4932627120396199E-2</v>
      </c>
      <c r="G58" s="90">
        <f>INDEX(A55:D63,,G54)</f>
        <v>-7.9886006218292296E-2</v>
      </c>
      <c r="I58" s="123">
        <f t="shared" si="28"/>
        <v>2.6304297024711473E-3</v>
      </c>
      <c r="J58" s="37">
        <f t="shared" si="29"/>
        <v>-1.5167576880917589E-2</v>
      </c>
      <c r="K58" s="37">
        <f t="shared" si="30"/>
        <v>-2.2313622801890329E-4</v>
      </c>
      <c r="L58" s="90">
        <f t="shared" si="27"/>
        <v>-3.9897244742080309E-5</v>
      </c>
      <c r="Q58" s="123">
        <v>9.4252636520329891E-2</v>
      </c>
      <c r="R58" s="90">
        <v>-8.0687162488563169E-2</v>
      </c>
    </row>
    <row r="59" spans="1:18" x14ac:dyDescent="0.25">
      <c r="A59" s="194">
        <v>0.46056955247064696</v>
      </c>
      <c r="B59" s="195">
        <v>-8.6246977898750632E-2</v>
      </c>
      <c r="C59" s="195">
        <v>0.79670421319156226</v>
      </c>
      <c r="D59" s="196">
        <v>0.38170609482052364</v>
      </c>
      <c r="F59" s="123">
        <f>INDEX(A59:D67,,F54)</f>
        <v>-8.6246977898750632E-2</v>
      </c>
      <c r="G59" s="90">
        <f>INDEX(A55:D63,,G54)</f>
        <v>0.79670421319156226</v>
      </c>
      <c r="I59" s="123">
        <f t="shared" si="28"/>
        <v>-0.62729906212051878</v>
      </c>
      <c r="J59" s="37">
        <f t="shared" si="29"/>
        <v>-0.13742666133394837</v>
      </c>
      <c r="K59" s="37">
        <f t="shared" si="30"/>
        <v>0.37461802609188671</v>
      </c>
      <c r="L59" s="90">
        <f t="shared" si="27"/>
        <v>8.620761576513998E-2</v>
      </c>
      <c r="N59" s="156">
        <f>COS(O57)</f>
        <v>0.99996413407215401</v>
      </c>
      <c r="O59" s="158">
        <f>-N60</f>
        <v>-8.4693901390311289E-3</v>
      </c>
      <c r="Q59" s="123">
        <v>-7.9496285763935207E-2</v>
      </c>
      <c r="R59" s="90">
        <v>0.79740609795987427</v>
      </c>
    </row>
    <row r="60" spans="1:18" x14ac:dyDescent="0.25">
      <c r="A60" s="194">
        <v>4.9331130029200573E-2</v>
      </c>
      <c r="B60" s="195">
        <v>-3.1628940761194664E-2</v>
      </c>
      <c r="C60" s="195">
        <v>0.99342373117736871</v>
      </c>
      <c r="D60" s="196">
        <v>9.8363306420647098E-2</v>
      </c>
      <c r="F60" s="123">
        <f>INDEX(A60:D68,,F54)</f>
        <v>-3.1628940761194664E-2</v>
      </c>
      <c r="G60" s="90">
        <f>INDEX(A55:D63,,G54)</f>
        <v>0.99342373117736871</v>
      </c>
      <c r="I60" s="123">
        <f t="shared" si="28"/>
        <v>-0.98589031977268982</v>
      </c>
      <c r="J60" s="37">
        <f t="shared" si="29"/>
        <v>-6.2841880688347937E-2</v>
      </c>
      <c r="K60" s="37">
        <f t="shared" si="30"/>
        <v>0.96803062065304801</v>
      </c>
      <c r="L60" s="90">
        <f t="shared" si="27"/>
        <v>6.1955201846952565E-2</v>
      </c>
      <c r="N60" s="91">
        <f>SIN(O57)</f>
        <v>8.4693901390311289E-3</v>
      </c>
      <c r="O60" s="93">
        <f>N59</f>
        <v>0.99996413407215401</v>
      </c>
      <c r="Q60" s="123">
        <v>-2.3214113207174356E-2</v>
      </c>
      <c r="R60" s="90">
        <v>0.99365597895249669</v>
      </c>
    </row>
    <row r="61" spans="1:18" x14ac:dyDescent="0.25">
      <c r="A61" s="194">
        <v>0.98331210374898792</v>
      </c>
      <c r="B61" s="195">
        <v>9.2360055686065617E-2</v>
      </c>
      <c r="C61" s="195">
        <v>6.4923931249796979E-2</v>
      </c>
      <c r="D61" s="196">
        <v>0.14265976968114785</v>
      </c>
      <c r="F61" s="123">
        <f>INDEX(A61:D69,,F54)</f>
        <v>9.2360055686065617E-2</v>
      </c>
      <c r="G61" s="90">
        <f>INDEX(A55:D63,,G54)</f>
        <v>6.4923931249796979E-2</v>
      </c>
      <c r="I61" s="123">
        <f t="shared" si="28"/>
        <v>4.3152630374047769E-3</v>
      </c>
      <c r="J61" s="37">
        <f t="shared" si="29"/>
        <v>1.199275581117909E-2</v>
      </c>
      <c r="K61" s="37">
        <f t="shared" si="30"/>
        <v>-1.2520469686457794E-4</v>
      </c>
      <c r="L61" s="90">
        <f t="shared" si="27"/>
        <v>5.1751895868602466E-5</v>
      </c>
      <c r="Q61" s="123">
        <v>9.2906609210086699E-2</v>
      </c>
      <c r="R61" s="90">
        <v>6.4139369347895367E-2</v>
      </c>
    </row>
    <row r="62" spans="1:18" x14ac:dyDescent="0.25">
      <c r="A62" s="194">
        <v>0.77271955218778376</v>
      </c>
      <c r="B62" s="195">
        <v>-0.13286043622660626</v>
      </c>
      <c r="C62" s="195">
        <v>0.43420455073761932</v>
      </c>
      <c r="D62" s="196">
        <v>0.44353016387967237</v>
      </c>
      <c r="F62" s="123">
        <f>INDEX(A62:D70,,F54)</f>
        <v>-0.13286043622660626</v>
      </c>
      <c r="G62" s="90">
        <f>INDEX(A55:D63,,G54)</f>
        <v>0.43420455073761932</v>
      </c>
      <c r="I62" s="123">
        <f t="shared" si="28"/>
        <v>-0.17088169636693373</v>
      </c>
      <c r="J62" s="37">
        <f t="shared" si="29"/>
        <v>-0.11537721204515539</v>
      </c>
      <c r="K62" s="37">
        <f t="shared" si="30"/>
        <v>1.5888653093928187E-2</v>
      </c>
      <c r="L62" s="90">
        <f t="shared" si="27"/>
        <v>1.9715853716363571E-2</v>
      </c>
      <c r="Q62" s="123">
        <v>-0.12917822332344733</v>
      </c>
      <c r="R62" s="90">
        <v>0.43531422445697715</v>
      </c>
    </row>
    <row r="63" spans="1:18" x14ac:dyDescent="0.25">
      <c r="A63" s="200">
        <v>0.17678140830429931</v>
      </c>
      <c r="B63" s="201">
        <v>-0.86980430986575141</v>
      </c>
      <c r="C63" s="201">
        <v>-0.31526719764597655</v>
      </c>
      <c r="D63" s="202">
        <v>0.33585024982179973</v>
      </c>
      <c r="F63" s="91">
        <f>INDEX(A63:D71,,F54)</f>
        <v>-0.86980430986575141</v>
      </c>
      <c r="G63" s="93">
        <f>INDEX(A55:D63,,G54)</f>
        <v>-0.31526719764597655</v>
      </c>
      <c r="I63" s="91">
        <f t="shared" si="28"/>
        <v>0.65716613154948889</v>
      </c>
      <c r="J63" s="92">
        <f t="shared" si="29"/>
        <v>0.54844153454353617</v>
      </c>
      <c r="K63" s="92">
        <f t="shared" si="30"/>
        <v>0.13107920764325137</v>
      </c>
      <c r="L63" s="93">
        <f t="shared" si="27"/>
        <v>0.36041720163704105</v>
      </c>
      <c r="Q63" s="91">
        <v>-0.87244323442203642</v>
      </c>
      <c r="R63" s="93">
        <v>-0.30788917825054979</v>
      </c>
    </row>
    <row r="64" spans="1:18" x14ac:dyDescent="0.25">
      <c r="I64">
        <f>SUM(I55:I63)</f>
        <v>-4.1535963494150896E-2</v>
      </c>
      <c r="J64">
        <f>SUM(J55:J63)</f>
        <v>-0.35612210528624011</v>
      </c>
      <c r="K64">
        <f>SUM(K55:K63)</f>
        <v>1.7713488771846937</v>
      </c>
      <c r="L64">
        <f>SUM(L55:L63)</f>
        <v>6.3790823519515205E-2</v>
      </c>
    </row>
    <row r="65" spans="1:18" x14ac:dyDescent="0.25">
      <c r="A65" s="47" t="s">
        <v>53</v>
      </c>
      <c r="B65">
        <f>COUNT(A55:A63)</f>
        <v>9</v>
      </c>
      <c r="I65" s="47" t="s">
        <v>462</v>
      </c>
      <c r="J65" s="47" t="s">
        <v>389</v>
      </c>
      <c r="K65" s="47" t="s">
        <v>469</v>
      </c>
      <c r="L65" s="47" t="s">
        <v>470</v>
      </c>
      <c r="N65" s="47"/>
    </row>
    <row r="67" spans="1:18" x14ac:dyDescent="0.25">
      <c r="A67">
        <v>1</v>
      </c>
      <c r="B67">
        <v>2</v>
      </c>
      <c r="C67">
        <v>3</v>
      </c>
      <c r="D67">
        <v>4</v>
      </c>
      <c r="F67">
        <v>2</v>
      </c>
      <c r="G67">
        <v>4</v>
      </c>
      <c r="I67" s="47" t="s">
        <v>207</v>
      </c>
      <c r="J67" s="47" t="s">
        <v>464</v>
      </c>
      <c r="K67" s="47" t="s">
        <v>465</v>
      </c>
      <c r="L67" s="47" t="s">
        <v>466</v>
      </c>
      <c r="Q67">
        <f>F67</f>
        <v>2</v>
      </c>
      <c r="R67">
        <f>G67</f>
        <v>4</v>
      </c>
    </row>
    <row r="68" spans="1:18" x14ac:dyDescent="0.25">
      <c r="A68" s="189">
        <f t="array" ref="A68:A76">IF(A67=$Q54,$Q55:$Q63,IF(A67=$R54,$R55:$R63,A55:A63))</f>
        <v>4.4525469351076596E-3</v>
      </c>
      <c r="B68" s="190">
        <f t="array" ref="B68:B76">IF(B67=$Q54,$Q55:$Q63,IF(B67=$R54,$R55:$R63,B55:B63))</f>
        <v>0.93057377257990526</v>
      </c>
      <c r="C68" s="190">
        <f t="array" ref="C68:C76">IF(C67=$Q54,$Q55:$Q63,IF(C67=$R54,$R55:$R63,C55:C63))</f>
        <v>-0.33572106241823185</v>
      </c>
      <c r="D68" s="191">
        <f t="array" ref="D68:D76">IF(D67=$Q54,$Q55:$Q63,IF(D67=$R54,$R55:$R63,D55:D63))</f>
        <v>0.145958887571011</v>
      </c>
      <c r="F68" s="156">
        <f>INDEX(A68:D76,,F67)</f>
        <v>0.93057377257990526</v>
      </c>
      <c r="G68" s="158">
        <f>INDEX(A68:D76,,G67)</f>
        <v>0.145958887571011</v>
      </c>
      <c r="I68" s="156">
        <f>F68^2-G68^2</f>
        <v>0.84466354935263011</v>
      </c>
      <c r="J68" s="157">
        <f>2*F68*G68</f>
        <v>0.27165102529704388</v>
      </c>
      <c r="K68" s="157">
        <f>I68^2-J68^2</f>
        <v>0.6396622320600478</v>
      </c>
      <c r="L68" s="158">
        <f t="shared" ref="L68:L76" si="31">I68*J68</f>
        <v>0.22945371921268221</v>
      </c>
      <c r="N68" t="s">
        <v>390</v>
      </c>
      <c r="O68" s="172">
        <f>L77*B78-2*I77*J77</f>
        <v>-2.3414049740249849</v>
      </c>
      <c r="Q68" s="156">
        <f t="array" ref="Q68:R76">MMULT(F68:G76,N72:O73)</f>
        <v>0.92429651414294389</v>
      </c>
      <c r="R68" s="158">
        <v>0.1815144540188659</v>
      </c>
    </row>
    <row r="69" spans="1:18" x14ac:dyDescent="0.25">
      <c r="A69" s="194">
        <v>0.85488179504886008</v>
      </c>
      <c r="B69" s="195">
        <v>-0.51715080415285974</v>
      </c>
      <c r="C69" s="195">
        <v>-2.7824532737751925E-3</v>
      </c>
      <c r="D69" s="196">
        <v>-4.1526138899112275E-2</v>
      </c>
      <c r="F69" s="123">
        <f>INDEX(A69:D77,,F67)</f>
        <v>-0.51715080415285974</v>
      </c>
      <c r="G69" s="90">
        <f>INDEX(A68:D76,,G67)</f>
        <v>-4.1526138899112275E-2</v>
      </c>
      <c r="I69" s="123">
        <f t="shared" ref="I69:I76" si="32">F69^2-G69^2</f>
        <v>0.26572053402408113</v>
      </c>
      <c r="J69" s="37">
        <f t="shared" ref="J69:J76" si="33">2*F69*G69</f>
        <v>4.2950552250078523E-2</v>
      </c>
      <c r="K69" s="37">
        <f t="shared" ref="K69:K76" si="34">I69^2-J69^2</f>
        <v>6.8762652263456125E-2</v>
      </c>
      <c r="L69" s="90">
        <f t="shared" si="31"/>
        <v>1.1412843680520065E-2</v>
      </c>
      <c r="N69" t="s">
        <v>392</v>
      </c>
      <c r="O69" s="173">
        <f>K77*B78-(I77^2-J77^2)</f>
        <v>15.15037521173514</v>
      </c>
      <c r="Q69" s="123">
        <v>-0.5151794739266885</v>
      </c>
      <c r="R69" s="90">
        <v>-6.1314631960392468E-2</v>
      </c>
    </row>
    <row r="70" spans="1:18" x14ac:dyDescent="0.25">
      <c r="A70" s="194">
        <v>0.97400983002612218</v>
      </c>
      <c r="B70" s="195">
        <v>0.2220321869401006</v>
      </c>
      <c r="C70" s="195">
        <v>4.0586417244064171E-2</v>
      </c>
      <c r="D70" s="196">
        <v>-1.8955255481567679E-2</v>
      </c>
      <c r="F70" s="123">
        <f>INDEX(A70:D78,,F67)</f>
        <v>0.2220321869401006</v>
      </c>
      <c r="G70" s="90">
        <f>INDEX(A68:D76,,G67)</f>
        <v>-1.8955255481567679E-2</v>
      </c>
      <c r="I70" s="123">
        <f t="shared" si="32"/>
        <v>4.8938990327032278E-2</v>
      </c>
      <c r="J70" s="37">
        <f t="shared" si="33"/>
        <v>-8.4173536571616036E-3</v>
      </c>
      <c r="K70" s="37">
        <f t="shared" si="34"/>
        <v>2.3241729316396272E-3</v>
      </c>
      <c r="L70" s="90">
        <f t="shared" si="31"/>
        <v>-4.1193678920704147E-4</v>
      </c>
      <c r="N70" t="s">
        <v>467</v>
      </c>
      <c r="O70" s="174">
        <f>0.25*ATAN(O68/O69)</f>
        <v>-3.8332828769234308E-2</v>
      </c>
      <c r="Q70" s="123">
        <v>0.22259550985541784</v>
      </c>
      <c r="R70" s="90">
        <v>-1.0432293131515285E-2</v>
      </c>
    </row>
    <row r="71" spans="1:18" x14ac:dyDescent="0.25">
      <c r="A71" s="194">
        <v>0.13358784751216146</v>
      </c>
      <c r="B71" s="195">
        <v>9.4252636520329891E-2</v>
      </c>
      <c r="C71" s="195">
        <v>-8.0687162488563169E-2</v>
      </c>
      <c r="D71" s="196">
        <v>0.9832397008438879</v>
      </c>
      <c r="F71" s="123">
        <f>INDEX(A71:D79,,F67)</f>
        <v>9.4252636520329891E-2</v>
      </c>
      <c r="G71" s="90">
        <f>INDEX(A68:D76,,G67)</f>
        <v>0.9832397008438879</v>
      </c>
      <c r="I71" s="123">
        <f t="shared" si="32"/>
        <v>-0.95787674982454474</v>
      </c>
      <c r="J71" s="37">
        <f t="shared" si="33"/>
        <v>0.18534586827199373</v>
      </c>
      <c r="K71" s="37">
        <f t="shared" si="34"/>
        <v>0.88317477696893432</v>
      </c>
      <c r="L71" s="90">
        <f t="shared" si="31"/>
        <v>-0.17753849789378556</v>
      </c>
      <c r="Q71" s="123">
        <v>5.6502267951193862E-2</v>
      </c>
      <c r="R71" s="90">
        <v>0.98612948567770919</v>
      </c>
    </row>
    <row r="72" spans="1:18" x14ac:dyDescent="0.25">
      <c r="A72" s="194">
        <v>0.46056955247064696</v>
      </c>
      <c r="B72" s="195">
        <v>-7.9496285763935207E-2</v>
      </c>
      <c r="C72" s="195">
        <v>0.79740609795987427</v>
      </c>
      <c r="D72" s="196">
        <v>0.38170609482052364</v>
      </c>
      <c r="F72" s="123">
        <f>INDEX(A72:D80,,F67)</f>
        <v>-7.9496285763935207E-2</v>
      </c>
      <c r="G72" s="90">
        <f>INDEX(A68:D76,,G67)</f>
        <v>0.38170609482052364</v>
      </c>
      <c r="I72" s="123">
        <f t="shared" si="32"/>
        <v>-0.13937988337287333</v>
      </c>
      <c r="J72" s="37">
        <f t="shared" si="33"/>
        <v>-6.0688433583376195E-2</v>
      </c>
      <c r="K72" s="37">
        <f t="shared" si="34"/>
        <v>1.5743665918231908E-2</v>
      </c>
      <c r="L72" s="90">
        <f t="shared" si="31"/>
        <v>8.4587467949333427E-3</v>
      </c>
      <c r="N72" s="156">
        <f>COS(O70)</f>
        <v>0.99926538707958845</v>
      </c>
      <c r="O72" s="158">
        <f>-N73</f>
        <v>3.832344171235625E-2</v>
      </c>
      <c r="Q72" s="123">
        <v>-9.406617804139375E-2</v>
      </c>
      <c r="R72" s="90">
        <v>0.37837911731764567</v>
      </c>
    </row>
    <row r="73" spans="1:18" x14ac:dyDescent="0.25">
      <c r="A73" s="194">
        <v>4.9331130029200573E-2</v>
      </c>
      <c r="B73" s="195">
        <v>-2.3214113207174356E-2</v>
      </c>
      <c r="C73" s="195">
        <v>0.99365597895249669</v>
      </c>
      <c r="D73" s="196">
        <v>9.8363306420647098E-2</v>
      </c>
      <c r="F73" s="123">
        <f>INDEX(A73:D81,,F67)</f>
        <v>-2.3214113207174356E-2</v>
      </c>
      <c r="G73" s="90">
        <f>INDEX(A68:D76,,G67)</f>
        <v>9.8363306420647098E-2</v>
      </c>
      <c r="I73" s="123">
        <f t="shared" si="32"/>
        <v>-9.1364449980066084E-3</v>
      </c>
      <c r="J73" s="37">
        <f t="shared" si="33"/>
        <v>-4.5668338613617633E-3</v>
      </c>
      <c r="K73" s="37">
        <f t="shared" si="34"/>
        <v>6.2618655684319586E-5</v>
      </c>
      <c r="L73" s="90">
        <f t="shared" si="31"/>
        <v>4.1724626389365889E-5</v>
      </c>
      <c r="N73" s="91">
        <f>SIN(O70)</f>
        <v>-3.832344171235625E-2</v>
      </c>
      <c r="O73" s="93">
        <f>N72</f>
        <v>0.99926538707958845</v>
      </c>
      <c r="Q73" s="123">
        <v>-2.6966680259922774E-2</v>
      </c>
      <c r="R73" s="90">
        <v>9.7401402750456903E-2</v>
      </c>
    </row>
    <row r="74" spans="1:18" x14ac:dyDescent="0.25">
      <c r="A74" s="194">
        <v>0.98331210374898792</v>
      </c>
      <c r="B74" s="195">
        <v>9.2906609210086699E-2</v>
      </c>
      <c r="C74" s="195">
        <v>6.4139369347895367E-2</v>
      </c>
      <c r="D74" s="196">
        <v>0.14265976968114785</v>
      </c>
      <c r="F74" s="123">
        <f>INDEX(A74:D82,,F67)</f>
        <v>9.2906609210086699E-2</v>
      </c>
      <c r="G74" s="90">
        <f>INDEX(A68:D76,,G67)</f>
        <v>0.14265976968114785</v>
      </c>
      <c r="I74" s="123">
        <f t="shared" si="32"/>
        <v>-1.1720171850562384E-2</v>
      </c>
      <c r="J74" s="37">
        <f t="shared" si="33"/>
        <v>2.6508070943534755E-2</v>
      </c>
      <c r="K74" s="37">
        <f t="shared" si="34"/>
        <v>-5.6531539694075668E-4</v>
      </c>
      <c r="L74" s="90">
        <f t="shared" si="31"/>
        <v>-3.1067914688512669E-4</v>
      </c>
      <c r="Q74" s="123">
        <v>8.7371145446495699E-2</v>
      </c>
      <c r="R74" s="90">
        <v>0.14611547099387256</v>
      </c>
    </row>
    <row r="75" spans="1:18" x14ac:dyDescent="0.25">
      <c r="A75" s="194">
        <v>0.77271955218778376</v>
      </c>
      <c r="B75" s="195">
        <v>-0.12917822332344733</v>
      </c>
      <c r="C75" s="195">
        <v>0.43531422445697715</v>
      </c>
      <c r="D75" s="196">
        <v>0.44353016387967237</v>
      </c>
      <c r="F75" s="123">
        <f>INDEX(A75:D83,,F67)</f>
        <v>-0.12917822332344733</v>
      </c>
      <c r="G75" s="90">
        <f>INDEX(A68:D76,,G67)</f>
        <v>0.44353016387967237</v>
      </c>
      <c r="I75" s="123">
        <f t="shared" si="32"/>
        <v>-0.18003199289012661</v>
      </c>
      <c r="J75" s="37">
        <f t="shared" si="33"/>
        <v>-0.11458887712066702</v>
      </c>
      <c r="K75" s="37">
        <f t="shared" si="34"/>
        <v>1.9280907704215269E-2</v>
      </c>
      <c r="L75" s="90">
        <f t="shared" si="31"/>
        <v>2.0629663911075517E-2</v>
      </c>
      <c r="Q75" s="123">
        <v>-0.14608092971467254</v>
      </c>
      <c r="R75" s="90">
        <v>0.43825378677865223</v>
      </c>
    </row>
    <row r="76" spans="1:18" x14ac:dyDescent="0.25">
      <c r="A76" s="200">
        <v>0.17678140830429931</v>
      </c>
      <c r="B76" s="201">
        <v>-0.87244323442203642</v>
      </c>
      <c r="C76" s="201">
        <v>-0.30788917825054979</v>
      </c>
      <c r="D76" s="202">
        <v>0.33585024982179973</v>
      </c>
      <c r="F76" s="91">
        <f>INDEX(A76:D84,,F67)</f>
        <v>-0.87244323442203642</v>
      </c>
      <c r="G76" s="93">
        <f>INDEX(A68:D76,,G67)</f>
        <v>0.33585024982179973</v>
      </c>
      <c r="I76" s="91">
        <f t="shared" si="32"/>
        <v>0.64836180698341916</v>
      </c>
      <c r="J76" s="92">
        <f t="shared" si="33"/>
        <v>-0.58602055647195983</v>
      </c>
      <c r="K76" s="92">
        <f t="shared" si="34"/>
        <v>7.6952940147099025E-2</v>
      </c>
      <c r="L76" s="93">
        <f t="shared" si="31"/>
        <v>-0.37995334692358873</v>
      </c>
      <c r="Q76" s="91">
        <v>-0.8846732638228304</v>
      </c>
      <c r="R76" s="93">
        <v>0.30216850244724475</v>
      </c>
    </row>
    <row r="77" spans="1:18" x14ac:dyDescent="0.25">
      <c r="I77">
        <f>SUM(I68:I76)</f>
        <v>0.50953963775104893</v>
      </c>
      <c r="J77">
        <f>SUM(J68:J76)</f>
        <v>-0.24782653793187548</v>
      </c>
      <c r="K77">
        <f>SUM(K68:K76)</f>
        <v>1.7053986512523678</v>
      </c>
      <c r="L77">
        <f>SUM(L68:L76)</f>
        <v>-0.28821776252786596</v>
      </c>
    </row>
    <row r="78" spans="1:18" x14ac:dyDescent="0.25">
      <c r="A78" s="47" t="s">
        <v>53</v>
      </c>
      <c r="B78">
        <f>COUNT(A68:A76)</f>
        <v>9</v>
      </c>
      <c r="I78" s="47" t="s">
        <v>462</v>
      </c>
      <c r="J78" s="47" t="s">
        <v>389</v>
      </c>
      <c r="K78" s="47" t="s">
        <v>469</v>
      </c>
      <c r="L78" s="47" t="s">
        <v>470</v>
      </c>
      <c r="N78" s="47"/>
    </row>
    <row r="80" spans="1:18" x14ac:dyDescent="0.25">
      <c r="A80">
        <v>1</v>
      </c>
      <c r="B80">
        <v>2</v>
      </c>
      <c r="C80">
        <v>3</v>
      </c>
      <c r="D80">
        <v>4</v>
      </c>
      <c r="F80">
        <v>3</v>
      </c>
      <c r="G80">
        <v>4</v>
      </c>
      <c r="I80" s="47" t="s">
        <v>207</v>
      </c>
      <c r="J80" s="47" t="s">
        <v>464</v>
      </c>
      <c r="K80" s="47" t="s">
        <v>465</v>
      </c>
      <c r="L80" s="47" t="s">
        <v>466</v>
      </c>
      <c r="Q80">
        <f>F80</f>
        <v>3</v>
      </c>
      <c r="R80">
        <f>G80</f>
        <v>4</v>
      </c>
    </row>
    <row r="81" spans="1:18" x14ac:dyDescent="0.25">
      <c r="A81" s="189">
        <f t="array" ref="A81:A89">IF(A80=$Q67,$Q68:$Q76,IF(A80=$R67,$R68:$R76,A68:A76))</f>
        <v>4.4525469351076596E-3</v>
      </c>
      <c r="B81" s="190">
        <f t="array" ref="B81:B89">IF(B80=$Q67,$Q68:$Q76,IF(B80=$R67,$R68:$R76,B68:B76))</f>
        <v>0.92429651414294389</v>
      </c>
      <c r="C81" s="190">
        <f t="array" ref="C81:C89">IF(C80=$Q67,$Q68:$Q76,IF(C80=$R67,$R68:$R76,C68:C76))</f>
        <v>-0.33572106241823185</v>
      </c>
      <c r="D81" s="191">
        <f t="array" ref="D81:D89">IF(D80=$Q67,$Q68:$Q76,IF(D80=$R67,$R68:$R76,D68:D76))</f>
        <v>0.1815144540188659</v>
      </c>
      <c r="F81" s="156">
        <f>INDEX(A81:D89,,F80)</f>
        <v>-0.33572106241823185</v>
      </c>
      <c r="G81" s="158">
        <f>INDEX(A81:D89,,G80)</f>
        <v>0.1815144540188659</v>
      </c>
      <c r="I81" s="156">
        <f>F81^2-G81^2</f>
        <v>7.9761134733459332E-2</v>
      </c>
      <c r="J81" s="157">
        <f>2*F81*G81</f>
        <v>-0.12187645069495791</v>
      </c>
      <c r="K81" s="157">
        <f>I81^2-J81^2</f>
        <v>-8.4920306200314526E-3</v>
      </c>
      <c r="L81" s="158">
        <f t="shared" ref="L81:L89" si="35">I81*J81</f>
        <v>-9.7210040047163507E-3</v>
      </c>
      <c r="N81" t="s">
        <v>390</v>
      </c>
      <c r="O81" s="172">
        <f>L90*B91-2*I90*J90</f>
        <v>4.8318562652780992</v>
      </c>
      <c r="Q81" s="156">
        <f t="array" ref="Q81:R89">MMULT(F81:G89,N85:O86)</f>
        <v>-0.3193364437090902</v>
      </c>
      <c r="R81" s="158">
        <v>0.20899847963137047</v>
      </c>
    </row>
    <row r="82" spans="1:18" x14ac:dyDescent="0.25">
      <c r="A82" s="194">
        <v>0.85488179504886008</v>
      </c>
      <c r="B82" s="195">
        <v>-0.5151794739266885</v>
      </c>
      <c r="C82" s="195">
        <v>-2.7824532737751925E-3</v>
      </c>
      <c r="D82" s="196">
        <v>-6.1314631960392468E-2</v>
      </c>
      <c r="F82" s="123">
        <f>INDEX(A82:D90,,F80)</f>
        <v>-2.7824532737751925E-3</v>
      </c>
      <c r="G82" s="90">
        <f>INDEX(A81:D89,,G80)</f>
        <v>-6.1314631960392468E-2</v>
      </c>
      <c r="I82" s="123">
        <f t="shared" ref="I82:I89" si="36">F82^2-G82^2</f>
        <v>-3.7517420462176393E-3</v>
      </c>
      <c r="J82" s="37">
        <f t="shared" ref="J82:J89" si="37">2*F82*G82</f>
        <v>3.4121019685703013E-4</v>
      </c>
      <c r="K82" s="37">
        <f t="shared" ref="K82:K89" si="38">I82^2-J82^2</f>
        <v>1.3959143982918105E-5</v>
      </c>
      <c r="L82" s="90">
        <f t="shared" si="35"/>
        <v>-1.2801326421467178E-6</v>
      </c>
      <c r="N82" t="s">
        <v>392</v>
      </c>
      <c r="O82" s="173">
        <f>K90*B91-(I90^2-J90^2)</f>
        <v>13.859432194425755</v>
      </c>
      <c r="Q82" s="123">
        <v>-7.9087473318959975E-3</v>
      </c>
      <c r="R82" s="90">
        <v>-6.0866064882653226E-2</v>
      </c>
    </row>
    <row r="83" spans="1:18" x14ac:dyDescent="0.25">
      <c r="A83" s="194">
        <v>0.97400983002612218</v>
      </c>
      <c r="B83" s="195">
        <v>0.22259550985541784</v>
      </c>
      <c r="C83" s="195">
        <v>4.0586417244064171E-2</v>
      </c>
      <c r="D83" s="196">
        <v>-1.0432293131515285E-2</v>
      </c>
      <c r="F83" s="123">
        <f>INDEX(A83:D91,,F80)</f>
        <v>4.0586417244064171E-2</v>
      </c>
      <c r="G83" s="90">
        <f>INDEX(A81:D89,,G80)</f>
        <v>-1.0432293131515285E-2</v>
      </c>
      <c r="I83" s="123">
        <f t="shared" si="36"/>
        <v>1.5384245247274085E-3</v>
      </c>
      <c r="J83" s="37">
        <f t="shared" si="37"/>
        <v>-8.4681880369612836E-4</v>
      </c>
      <c r="K83" s="37">
        <f t="shared" si="38"/>
        <v>1.6496479319894109E-6</v>
      </c>
      <c r="L83" s="90">
        <f t="shared" si="35"/>
        <v>-1.302766815606449E-6</v>
      </c>
      <c r="N83" t="s">
        <v>467</v>
      </c>
      <c r="O83" s="174">
        <f>0.25*ATAN(O81/O82)</f>
        <v>8.3864134356402817E-2</v>
      </c>
      <c r="Q83" s="123">
        <v>3.9569904780412647E-2</v>
      </c>
      <c r="R83" s="90">
        <v>-1.3795384748538432E-2</v>
      </c>
    </row>
    <row r="84" spans="1:18" x14ac:dyDescent="0.25">
      <c r="A84" s="194">
        <v>0.13358784751216146</v>
      </c>
      <c r="B84" s="195">
        <v>5.6502267951193862E-2</v>
      </c>
      <c r="C84" s="195">
        <v>-8.0687162488563169E-2</v>
      </c>
      <c r="D84" s="196">
        <v>0.98612948567770919</v>
      </c>
      <c r="F84" s="123">
        <f>INDEX(A84:D92,,F80)</f>
        <v>-8.0687162488563169E-2</v>
      </c>
      <c r="G84" s="90">
        <f>INDEX(A81:D89,,G80)</f>
        <v>0.98612948567770919</v>
      </c>
      <c r="I84" s="123">
        <f t="shared" si="36"/>
        <v>-0.96594094433252742</v>
      </c>
      <c r="J84" s="37">
        <f t="shared" si="37"/>
        <v>-0.1591359800912811</v>
      </c>
      <c r="K84" s="37">
        <f t="shared" si="38"/>
        <v>0.90771764777840214</v>
      </c>
      <c r="L84" s="90">
        <f t="shared" si="35"/>
        <v>0.15371595888665435</v>
      </c>
      <c r="Q84" s="123">
        <v>2.2004033132459883E-3</v>
      </c>
      <c r="R84" s="90">
        <v>0.98942252801252617</v>
      </c>
    </row>
    <row r="85" spans="1:18" x14ac:dyDescent="0.25">
      <c r="A85" s="194">
        <v>0.46056955247064696</v>
      </c>
      <c r="B85" s="195">
        <v>-9.406617804139375E-2</v>
      </c>
      <c r="C85" s="195">
        <v>0.79740609795987427</v>
      </c>
      <c r="D85" s="196">
        <v>0.37837911731764567</v>
      </c>
      <c r="F85" s="123">
        <f>INDEX(A85:D93,,F80)</f>
        <v>0.79740609795987427</v>
      </c>
      <c r="G85" s="90">
        <f>INDEX(A81:D89,,G80)</f>
        <v>0.37837911731764567</v>
      </c>
      <c r="I85" s="123">
        <f t="shared" si="36"/>
        <v>0.49268572864151194</v>
      </c>
      <c r="J85" s="37">
        <f t="shared" si="37"/>
        <v>0.60344363097953069</v>
      </c>
      <c r="K85" s="37">
        <f t="shared" si="38"/>
        <v>-0.12140498856274248</v>
      </c>
      <c r="L85" s="90">
        <f t="shared" si="35"/>
        <v>0.29730806502322971</v>
      </c>
      <c r="N85" s="156">
        <f>COS(O83)</f>
        <v>0.99648546407636396</v>
      </c>
      <c r="O85" s="158">
        <f>-N86</f>
        <v>-8.3765863479782224E-2</v>
      </c>
      <c r="Q85" s="123">
        <v>0.82629883906769819</v>
      </c>
      <c r="R85" s="90">
        <v>0.31025387997742643</v>
      </c>
    </row>
    <row r="86" spans="1:18" x14ac:dyDescent="0.25">
      <c r="A86" s="194">
        <v>4.9331130029200573E-2</v>
      </c>
      <c r="B86" s="195">
        <v>-2.6966680259922774E-2</v>
      </c>
      <c r="C86" s="195">
        <v>0.99365597895249669</v>
      </c>
      <c r="D86" s="196">
        <v>9.7401402750456903E-2</v>
      </c>
      <c r="F86" s="123">
        <f>INDEX(A86:D94,,F80)</f>
        <v>0.99365597895249669</v>
      </c>
      <c r="G86" s="90">
        <f>INDEX(A81:D89,,G80)</f>
        <v>9.7401402750456903E-2</v>
      </c>
      <c r="I86" s="123">
        <f t="shared" si="36"/>
        <v>0.97786517125028782</v>
      </c>
      <c r="J86" s="37">
        <f t="shared" si="37"/>
        <v>0.19356697240270332</v>
      </c>
      <c r="K86" s="37">
        <f t="shared" si="38"/>
        <v>0.91875212033920584</v>
      </c>
      <c r="L86" s="90">
        <f t="shared" si="35"/>
        <v>0.18928240061696922</v>
      </c>
      <c r="N86" s="91">
        <f>SIN(O83)</f>
        <v>8.3765863479782224E-2</v>
      </c>
      <c r="O86" s="93">
        <f>N85</f>
        <v>0.99648546407636396</v>
      </c>
      <c r="Q86" s="123">
        <v>0.99832265192426639</v>
      </c>
      <c r="R86" s="90">
        <v>1.382463094267368E-2</v>
      </c>
    </row>
    <row r="87" spans="1:18" x14ac:dyDescent="0.25">
      <c r="A87" s="194">
        <v>0.98331210374898792</v>
      </c>
      <c r="B87" s="195">
        <v>8.7371145446495699E-2</v>
      </c>
      <c r="C87" s="195">
        <v>6.4139369347895367E-2</v>
      </c>
      <c r="D87" s="196">
        <v>0.14611547099387256</v>
      </c>
      <c r="F87" s="123">
        <f>INDEX(A87:D95,,F80)</f>
        <v>6.4139369347895367E-2</v>
      </c>
      <c r="G87" s="90">
        <f>INDEX(A81:D89,,G80)</f>
        <v>0.14611547099387256</v>
      </c>
      <c r="I87" s="123">
        <f t="shared" si="36"/>
        <v>-1.7235872163415475E-2</v>
      </c>
      <c r="J87" s="37">
        <f t="shared" si="37"/>
        <v>1.8743508323035368E-2</v>
      </c>
      <c r="K87" s="37">
        <f t="shared" si="38"/>
        <v>-5.42438150220957E-5</v>
      </c>
      <c r="L87" s="90">
        <f t="shared" si="35"/>
        <v>-3.2306071334975157E-4</v>
      </c>
      <c r="Q87" s="123">
        <v>7.6153437825759632E-2</v>
      </c>
      <c r="R87" s="90">
        <v>0.14022925326559046</v>
      </c>
    </row>
    <row r="88" spans="1:18" x14ac:dyDescent="0.25">
      <c r="A88" s="194">
        <v>0.77271955218778376</v>
      </c>
      <c r="B88" s="195">
        <v>-0.14608092971467254</v>
      </c>
      <c r="C88" s="195">
        <v>0.43531422445697715</v>
      </c>
      <c r="D88" s="196">
        <v>0.43825378677865223</v>
      </c>
      <c r="F88" s="123">
        <f>INDEX(A88:D96,,F80)</f>
        <v>0.43531422445697715</v>
      </c>
      <c r="G88" s="90">
        <f>INDEX(A81:D89,,G80)</f>
        <v>0.43825378677865223</v>
      </c>
      <c r="I88" s="123">
        <f t="shared" si="36"/>
        <v>-2.567907611248893E-3</v>
      </c>
      <c r="J88" s="37">
        <f t="shared" si="37"/>
        <v>0.38155621461376482</v>
      </c>
      <c r="K88" s="37">
        <f t="shared" si="38"/>
        <v>-0.14557855076088544</v>
      </c>
      <c r="L88" s="90">
        <f t="shared" si="35"/>
        <v>-9.7980110762600271E-4</v>
      </c>
      <c r="Q88" s="123">
        <v>0.47049500384985149</v>
      </c>
      <c r="R88" s="90">
        <v>0.40024905620467871</v>
      </c>
    </row>
    <row r="89" spans="1:18" x14ac:dyDescent="0.25">
      <c r="A89" s="200">
        <v>0.17678140830429931</v>
      </c>
      <c r="B89" s="201">
        <v>-0.8846732638228304</v>
      </c>
      <c r="C89" s="201">
        <v>-0.30788917825054979</v>
      </c>
      <c r="D89" s="202">
        <v>0.30216850244724475</v>
      </c>
      <c r="F89" s="91">
        <f>INDEX(A89:D97,,F80)</f>
        <v>-0.30788917825054979</v>
      </c>
      <c r="G89" s="93">
        <f>INDEX(A81:D89,,G80)</f>
        <v>0.30216850244724475</v>
      </c>
      <c r="I89" s="91">
        <f t="shared" si="36"/>
        <v>3.4899422125882623E-3</v>
      </c>
      <c r="J89" s="92">
        <f t="shared" si="37"/>
        <v>-0.18606882382336284</v>
      </c>
      <c r="K89" s="92">
        <f t="shared" si="38"/>
        <v>-3.4609427502362435E-2</v>
      </c>
      <c r="L89" s="93">
        <f t="shared" si="35"/>
        <v>-6.493694427078025E-4</v>
      </c>
      <c r="Q89" s="91">
        <v>-0.28149568514920331</v>
      </c>
      <c r="R89" s="93">
        <v>0.32689712326264048</v>
      </c>
    </row>
    <row r="90" spans="1:18" x14ac:dyDescent="0.25">
      <c r="I90">
        <f>SUM(I81:I89)</f>
        <v>0.56584393520916532</v>
      </c>
      <c r="J90">
        <f>SUM(J81:J89)</f>
        <v>0.72972346310259317</v>
      </c>
      <c r="K90">
        <f>SUM(K81:K89)</f>
        <v>1.5163461356484786</v>
      </c>
      <c r="L90">
        <f>SUM(L81:L89)</f>
        <v>0.6286306063589957</v>
      </c>
    </row>
    <row r="91" spans="1:18" x14ac:dyDescent="0.25">
      <c r="A91" s="47" t="s">
        <v>53</v>
      </c>
      <c r="B91">
        <f>COUNT(A81:A89)</f>
        <v>9</v>
      </c>
      <c r="I91" s="47" t="s">
        <v>462</v>
      </c>
      <c r="J91" s="47" t="s">
        <v>389</v>
      </c>
      <c r="K91" s="47" t="s">
        <v>469</v>
      </c>
      <c r="L91" s="47" t="s">
        <v>470</v>
      </c>
      <c r="N91" s="47"/>
    </row>
    <row r="93" spans="1:18" x14ac:dyDescent="0.25">
      <c r="A93">
        <v>1</v>
      </c>
      <c r="B93">
        <v>2</v>
      </c>
      <c r="C93">
        <v>3</v>
      </c>
      <c r="D93">
        <v>4</v>
      </c>
      <c r="F93">
        <v>1</v>
      </c>
      <c r="G93">
        <v>2</v>
      </c>
      <c r="I93" s="47" t="s">
        <v>207</v>
      </c>
      <c r="J93" s="47" t="s">
        <v>464</v>
      </c>
      <c r="K93" s="47" t="s">
        <v>465</v>
      </c>
      <c r="L93" s="47" t="s">
        <v>466</v>
      </c>
      <c r="Q93">
        <f>F93</f>
        <v>1</v>
      </c>
      <c r="R93">
        <f>G93</f>
        <v>2</v>
      </c>
    </row>
    <row r="94" spans="1:18" x14ac:dyDescent="0.25">
      <c r="A94" s="189">
        <f t="array" ref="A94:A102">IF(A93=$Q80,$Q81:$Q89,IF(A93=$R80,$R81:$R89,A81:A89))</f>
        <v>4.4525469351076596E-3</v>
      </c>
      <c r="B94" s="190">
        <f t="array" ref="B94:B102">IF(B93=$Q80,$Q81:$Q89,IF(B93=$R80,$R81:$R89,B81:B89))</f>
        <v>0.92429651414294389</v>
      </c>
      <c r="C94" s="190">
        <f t="array" ref="C94:C102">IF(C93=$Q80,$Q81:$Q89,IF(C93=$R80,$R81:$R89,C81:C89))</f>
        <v>-0.3193364437090902</v>
      </c>
      <c r="D94" s="191">
        <f t="array" ref="D94:D102">IF(D93=$Q80,$Q81:$Q89,IF(D93=$R80,$R81:$R89,D81:D89))</f>
        <v>0.20899847963137047</v>
      </c>
      <c r="F94" s="156">
        <f>INDEX(A94:D102,,F93)</f>
        <v>4.4525469351076596E-3</v>
      </c>
      <c r="G94" s="158">
        <f>INDEX(A94:D102,,G93)</f>
        <v>0.92429651414294389</v>
      </c>
      <c r="I94" s="156">
        <f>F94^2-G94^2</f>
        <v>-0.85430422088258795</v>
      </c>
      <c r="J94" s="157">
        <f>2*F94*G94</f>
        <v>8.230947222355716E-3</v>
      </c>
      <c r="K94" s="157">
        <f>I94^2-J94^2</f>
        <v>0.72976795332562849</v>
      </c>
      <c r="L94" s="158">
        <f t="shared" ref="L94:L102" si="39">I94*J94</f>
        <v>-7.031732953920301E-3</v>
      </c>
      <c r="N94" t="s">
        <v>390</v>
      </c>
      <c r="O94" s="172">
        <f>L103*B104-2*I103*J103</f>
        <v>4.6919645680574167</v>
      </c>
      <c r="Q94" s="156">
        <f t="array" ref="Q94:R102">MMULT(F94:G102,N98:O99)</f>
        <v>5.6050778989653348E-2</v>
      </c>
      <c r="R94" s="158">
        <v>0.92260618977202824</v>
      </c>
    </row>
    <row r="95" spans="1:18" x14ac:dyDescent="0.25">
      <c r="A95" s="194">
        <v>0.85488179504886008</v>
      </c>
      <c r="B95" s="195">
        <v>-0.5151794739266885</v>
      </c>
      <c r="C95" s="195">
        <v>-7.9087473318959975E-3</v>
      </c>
      <c r="D95" s="196">
        <v>-6.0866064882653226E-2</v>
      </c>
      <c r="F95" s="123">
        <f>INDEX(A95:D103,,F93)</f>
        <v>0.85488179504886008</v>
      </c>
      <c r="G95" s="90">
        <f>INDEX(A94:D102,,G93)</f>
        <v>-0.5151794739266885</v>
      </c>
      <c r="I95" s="123">
        <f t="shared" ref="I95:I102" si="40">F95^2-G95^2</f>
        <v>0.46541299315058171</v>
      </c>
      <c r="J95" s="37">
        <f t="shared" ref="J95:J102" si="41">2*F95*G95</f>
        <v>-0.88083510688554978</v>
      </c>
      <c r="K95" s="37">
        <f t="shared" ref="K95:K102" si="42">I95^2-J95^2</f>
        <v>-0.55926123132869454</v>
      </c>
      <c r="L95" s="90">
        <f t="shared" si="39"/>
        <v>-0.40995210356771628</v>
      </c>
      <c r="N95" t="s">
        <v>392</v>
      </c>
      <c r="O95" s="173">
        <f>K103*B104-(I103^2-J103^2)</f>
        <v>20.647801117381437</v>
      </c>
      <c r="Q95" s="123">
        <v>0.82478491947920984</v>
      </c>
      <c r="R95" s="90">
        <v>-0.56210551541593512</v>
      </c>
    </row>
    <row r="96" spans="1:18" x14ac:dyDescent="0.25">
      <c r="A96" s="194">
        <v>0.97400983002612218</v>
      </c>
      <c r="B96" s="195">
        <v>0.22259550985541784</v>
      </c>
      <c r="C96" s="195">
        <v>3.9569904780412647E-2</v>
      </c>
      <c r="D96" s="196">
        <v>-1.3795384748538432E-2</v>
      </c>
      <c r="F96" s="123">
        <f>INDEX(A96:D104,,F93)</f>
        <v>0.97400983002612218</v>
      </c>
      <c r="G96" s="90">
        <f>INDEX(A94:D102,,G93)</f>
        <v>0.22259550985541784</v>
      </c>
      <c r="I96" s="123">
        <f t="shared" si="40"/>
        <v>0.89914638797972202</v>
      </c>
      <c r="J96" s="37">
        <f t="shared" si="41"/>
        <v>0.43362042943770707</v>
      </c>
      <c r="K96" s="37">
        <f t="shared" si="42"/>
        <v>0.62043755019123936</v>
      </c>
      <c r="L96" s="90">
        <f t="shared" si="39"/>
        <v>0.38988824288313023</v>
      </c>
      <c r="N96" t="s">
        <v>467</v>
      </c>
      <c r="O96" s="174">
        <f>0.25*ATAN(O94/O95)</f>
        <v>5.5860889498378162E-2</v>
      </c>
      <c r="Q96" s="123">
        <v>0.98491847343526207</v>
      </c>
      <c r="R96" s="90">
        <v>0.16786753909336335</v>
      </c>
    </row>
    <row r="97" spans="1:18" x14ac:dyDescent="0.25">
      <c r="A97" s="194">
        <v>0.13358784751216146</v>
      </c>
      <c r="B97" s="195">
        <v>5.6502267951193862E-2</v>
      </c>
      <c r="C97" s="195">
        <v>2.2004033132459883E-3</v>
      </c>
      <c r="D97" s="196">
        <v>0.98942252801252617</v>
      </c>
      <c r="F97" s="123">
        <f>INDEX(A97:D105,,F93)</f>
        <v>0.13358784751216146</v>
      </c>
      <c r="G97" s="90">
        <f>INDEX(A94:D102,,G93)</f>
        <v>5.6502267951193862E-2</v>
      </c>
      <c r="I97" s="123">
        <f t="shared" si="40"/>
        <v>1.4653206719303995E-2</v>
      </c>
      <c r="J97" s="37">
        <f t="shared" si="41"/>
        <v>1.5096032710310747E-2</v>
      </c>
      <c r="K97" s="37">
        <f t="shared" si="42"/>
        <v>-1.3173736432116275E-5</v>
      </c>
      <c r="L97" s="90">
        <f t="shared" si="39"/>
        <v>2.2120528794555833E-4</v>
      </c>
      <c r="Q97" s="123">
        <v>0.13653410105477085</v>
      </c>
      <c r="R97" s="90">
        <v>4.8955679300022391E-2</v>
      </c>
    </row>
    <row r="98" spans="1:18" x14ac:dyDescent="0.25">
      <c r="A98" s="194">
        <v>0.46056955247064696</v>
      </c>
      <c r="B98" s="195">
        <v>-9.406617804139375E-2</v>
      </c>
      <c r="C98" s="195">
        <v>0.82629883906769819</v>
      </c>
      <c r="D98" s="196">
        <v>0.31025387997742643</v>
      </c>
      <c r="F98" s="123">
        <f>INDEX(A98:D106,,F93)</f>
        <v>0.46056955247064696</v>
      </c>
      <c r="G98" s="90">
        <f>INDEX(A94:D102,,G93)</f>
        <v>-9.406617804139375E-2</v>
      </c>
      <c r="I98" s="123">
        <f t="shared" si="40"/>
        <v>0.20327586681169682</v>
      </c>
      <c r="J98" s="37">
        <f t="shared" si="41"/>
        <v>-8.6648035046297839E-2</v>
      </c>
      <c r="K98" s="37">
        <f t="shared" si="42"/>
        <v>3.3813196050662249E-2</v>
      </c>
      <c r="L98" s="90">
        <f t="shared" si="39"/>
        <v>-1.7613454431566478E-2</v>
      </c>
      <c r="N98" s="156">
        <f>COS(O96)</f>
        <v>0.99844018618416885</v>
      </c>
      <c r="O98" s="158">
        <f>-N99</f>
        <v>-5.5831842281285377E-2</v>
      </c>
      <c r="Q98" s="123">
        <v>0.45459926170314169</v>
      </c>
      <c r="R98" s="90">
        <v>-0.1196338989303857</v>
      </c>
    </row>
    <row r="99" spans="1:18" x14ac:dyDescent="0.25">
      <c r="A99" s="194">
        <v>4.9331130029200573E-2</v>
      </c>
      <c r="B99" s="195">
        <v>-2.6966680259922774E-2</v>
      </c>
      <c r="C99" s="195">
        <v>0.99832265192426639</v>
      </c>
      <c r="D99" s="196">
        <v>1.382463094267368E-2</v>
      </c>
      <c r="F99" s="123">
        <f>INDEX(A99:D107,,F93)</f>
        <v>4.9331130029200573E-2</v>
      </c>
      <c r="G99" s="90">
        <f>INDEX(A94:D102,,G93)</f>
        <v>-2.6966680259922774E-2</v>
      </c>
      <c r="I99" s="123">
        <f t="shared" si="40"/>
        <v>1.7063585457169858E-3</v>
      </c>
      <c r="J99" s="37">
        <f t="shared" si="41"/>
        <v>-2.6605936207162533E-3</v>
      </c>
      <c r="K99" s="37">
        <f t="shared" si="42"/>
        <v>-4.167098928054636E-6</v>
      </c>
      <c r="L99" s="90">
        <f t="shared" si="39"/>
        <v>-4.5399266613892756E-6</v>
      </c>
      <c r="N99" s="91">
        <f>SIN(O96)</f>
        <v>5.5831842281285377E-2</v>
      </c>
      <c r="O99" s="93">
        <f>N98</f>
        <v>0.99844018618416885</v>
      </c>
      <c r="Q99" s="123">
        <v>4.7748583211908606E-2</v>
      </c>
      <c r="R99" s="90">
        <v>-2.9678865130834155E-2</v>
      </c>
    </row>
    <row r="100" spans="1:18" x14ac:dyDescent="0.25">
      <c r="A100" s="194">
        <v>0.98331210374898792</v>
      </c>
      <c r="B100" s="195">
        <v>8.7371145446495699E-2</v>
      </c>
      <c r="C100" s="195">
        <v>7.6153437825759632E-2</v>
      </c>
      <c r="D100" s="196">
        <v>0.14022925326559046</v>
      </c>
      <c r="F100" s="123">
        <f>INDEX(A100:D108,,F93)</f>
        <v>0.98331210374898792</v>
      </c>
      <c r="G100" s="90">
        <f>INDEX(A94:D102,,G93)</f>
        <v>8.7371145446495699E-2</v>
      </c>
      <c r="I100" s="123">
        <f t="shared" si="40"/>
        <v>0.95926897632262764</v>
      </c>
      <c r="J100" s="37">
        <f t="shared" si="41"/>
        <v>0.17182620967190498</v>
      </c>
      <c r="K100" s="37">
        <f t="shared" si="42"/>
        <v>0.89067272260484853</v>
      </c>
      <c r="L100" s="90">
        <f t="shared" si="39"/>
        <v>0.16482755225736548</v>
      </c>
      <c r="Q100" s="123">
        <v>0.98665641195679021</v>
      </c>
      <c r="R100" s="90">
        <v>3.2334736436930842E-2</v>
      </c>
    </row>
    <row r="101" spans="1:18" x14ac:dyDescent="0.25">
      <c r="A101" s="194">
        <v>0.77271955218778376</v>
      </c>
      <c r="B101" s="195">
        <v>-0.14608092971467254</v>
      </c>
      <c r="C101" s="195">
        <v>0.47049500384985149</v>
      </c>
      <c r="D101" s="196">
        <v>0.40024905620467871</v>
      </c>
      <c r="F101" s="123">
        <f>INDEX(A101:D109,,F93)</f>
        <v>0.77271955218778376</v>
      </c>
      <c r="G101" s="90">
        <f>INDEX(A94:D102,,G93)</f>
        <v>-0.14608092971467254</v>
      </c>
      <c r="I101" s="123">
        <f t="shared" si="40"/>
        <v>0.575755868306986</v>
      </c>
      <c r="J101" s="37">
        <f t="shared" si="41"/>
        <v>-0.22575918118459376</v>
      </c>
      <c r="K101" s="37">
        <f t="shared" si="42"/>
        <v>0.28052761200079318</v>
      </c>
      <c r="L101" s="90">
        <f t="shared" si="39"/>
        <v>-0.12998217339120996</v>
      </c>
      <c r="Q101" s="123">
        <v>0.76335828612638523</v>
      </c>
      <c r="R101" s="90">
        <v>-0.18899542682768794</v>
      </c>
    </row>
    <row r="102" spans="1:18" x14ac:dyDescent="0.25">
      <c r="A102" s="200">
        <v>0.17678140830429931</v>
      </c>
      <c r="B102" s="201">
        <v>-0.8846732638228304</v>
      </c>
      <c r="C102" s="201">
        <v>-0.28149568514920331</v>
      </c>
      <c r="D102" s="202">
        <v>0.32689712326264048</v>
      </c>
      <c r="F102" s="91">
        <f>INDEX(A102:D110,,F93)</f>
        <v>0.17678140830429931</v>
      </c>
      <c r="G102" s="93">
        <f>INDEX(A94:D102,,G93)</f>
        <v>-0.8846732638228304</v>
      </c>
      <c r="I102" s="91">
        <f t="shared" si="40"/>
        <v>-0.75139511740088794</v>
      </c>
      <c r="J102" s="92">
        <f t="shared" si="41"/>
        <v>-0.31278757093552179</v>
      </c>
      <c r="K102" s="92">
        <f t="shared" si="42"/>
        <v>0.46675855792215004</v>
      </c>
      <c r="L102" s="93">
        <f t="shared" si="39"/>
        <v>0.23502705358463497</v>
      </c>
      <c r="Q102" s="91">
        <v>0.12711272408501795</v>
      </c>
      <c r="R102" s="93">
        <v>-0.89316336995013235</v>
      </c>
    </row>
    <row r="103" spans="1:18" x14ac:dyDescent="0.25">
      <c r="I103">
        <f>SUM(I94:I102)</f>
        <v>1.5135203195531595</v>
      </c>
      <c r="J103">
        <f>SUM(J94:J102)</f>
        <v>-0.87991686863040097</v>
      </c>
      <c r="K103">
        <f>SUM(K94:K102)</f>
        <v>2.4626990199312671</v>
      </c>
      <c r="L103">
        <f>SUM(L94:L102)</f>
        <v>0.22538004974200185</v>
      </c>
    </row>
    <row r="104" spans="1:18" x14ac:dyDescent="0.25">
      <c r="A104" s="47" t="s">
        <v>53</v>
      </c>
      <c r="B104">
        <f>COUNT(A94:A102)</f>
        <v>9</v>
      </c>
      <c r="I104" s="47" t="s">
        <v>462</v>
      </c>
      <c r="J104" s="47" t="s">
        <v>389</v>
      </c>
      <c r="K104" s="47" t="s">
        <v>469</v>
      </c>
      <c r="L104" s="47" t="s">
        <v>470</v>
      </c>
      <c r="N104" s="47"/>
    </row>
    <row r="106" spans="1:18" x14ac:dyDescent="0.25">
      <c r="A106">
        <v>1</v>
      </c>
      <c r="B106">
        <v>2</v>
      </c>
      <c r="C106">
        <v>3</v>
      </c>
      <c r="D106">
        <v>4</v>
      </c>
      <c r="F106">
        <v>1</v>
      </c>
      <c r="G106">
        <v>3</v>
      </c>
      <c r="I106" s="47" t="s">
        <v>207</v>
      </c>
      <c r="J106" s="47" t="s">
        <v>464</v>
      </c>
      <c r="K106" s="47" t="s">
        <v>465</v>
      </c>
      <c r="L106" s="47" t="s">
        <v>466</v>
      </c>
      <c r="Q106">
        <f>F106</f>
        <v>1</v>
      </c>
      <c r="R106">
        <f>G106</f>
        <v>3</v>
      </c>
    </row>
    <row r="107" spans="1:18" x14ac:dyDescent="0.25">
      <c r="A107" s="189">
        <f t="array" ref="A107:A115">IF(A106=$Q93,$Q94:$Q102,IF(A106=$R93,$R94:$R102,A94:A102))</f>
        <v>5.6050778989653348E-2</v>
      </c>
      <c r="B107" s="190">
        <f t="array" ref="B107:B115">IF(B106=$Q93,$Q94:$Q102,IF(B106=$R93,$R94:$R102,B94:B102))</f>
        <v>0.92260618977202824</v>
      </c>
      <c r="C107" s="190">
        <f t="array" ref="C107:C115">IF(C106=$Q93,$Q94:$Q102,IF(C106=$R93,$R94:$R102,C94:C102))</f>
        <v>-0.3193364437090902</v>
      </c>
      <c r="D107" s="191">
        <f t="array" ref="D107:D115">IF(D106=$Q93,$Q94:$Q102,IF(D106=$R93,$R94:$R102,D94:D102))</f>
        <v>0.20899847963137047</v>
      </c>
      <c r="F107" s="156">
        <f>INDEX(A107:D115,,F106)</f>
        <v>5.6050778989653348E-2</v>
      </c>
      <c r="G107" s="158">
        <f>INDEX(A107:D115,,G106)</f>
        <v>-0.3193364437090902</v>
      </c>
      <c r="I107" s="156">
        <f>F107^2-G107^2</f>
        <v>-9.8834074455421972E-2</v>
      </c>
      <c r="J107" s="157">
        <f>2*F107*G107</f>
        <v>-3.5798112859360187E-2</v>
      </c>
      <c r="K107" s="157">
        <f>I107^2-J107^2</f>
        <v>8.4866693891684046E-3</v>
      </c>
      <c r="L107" s="158">
        <f t="shared" ref="L107:L115" si="43">I107*J107</f>
        <v>3.5380733517056035E-3</v>
      </c>
      <c r="N107" t="s">
        <v>390</v>
      </c>
      <c r="O107" s="172">
        <f>L116*B117-2*I116*J116</f>
        <v>-4.320241163658344</v>
      </c>
      <c r="Q107" s="156">
        <f t="array" ref="Q107:R115">MMULT(F107:G115,N111:O112)</f>
        <v>7.0156376946175478E-2</v>
      </c>
      <c r="R107" s="158">
        <v>-0.31653678598213836</v>
      </c>
    </row>
    <row r="108" spans="1:18" x14ac:dyDescent="0.25">
      <c r="A108" s="194">
        <v>0.82478491947920984</v>
      </c>
      <c r="B108" s="195">
        <v>-0.56210551541593512</v>
      </c>
      <c r="C108" s="195">
        <v>-7.9087473318959975E-3</v>
      </c>
      <c r="D108" s="196">
        <v>-6.0866064882653226E-2</v>
      </c>
      <c r="F108" s="123">
        <f>INDEX(A108:D116,,F106)</f>
        <v>0.82478491947920984</v>
      </c>
      <c r="G108" s="90">
        <f>INDEX(A107:D115,,G106)</f>
        <v>-7.9087473318959975E-3</v>
      </c>
      <c r="I108" s="123">
        <f t="shared" ref="I108:I115" si="44">F108^2-G108^2</f>
        <v>0.68020761511596683</v>
      </c>
      <c r="J108" s="37">
        <f t="shared" ref="J108:J115" si="45">2*F108*G108</f>
        <v>-1.3046031062638512E-2</v>
      </c>
      <c r="K108" s="37">
        <f t="shared" ref="K108:K115" si="46">I108^2-J108^2</f>
        <v>0.46251220073526395</v>
      </c>
      <c r="L108" s="90">
        <f t="shared" si="43"/>
        <v>-8.8740096758461642E-3</v>
      </c>
      <c r="N108" t="s">
        <v>392</v>
      </c>
      <c r="O108" s="173">
        <f>K116*B117-(I116^2-J116^2)</f>
        <v>24.092219937058598</v>
      </c>
      <c r="Q108" s="123">
        <v>0.82432429425616227</v>
      </c>
      <c r="R108" s="90">
        <v>2.8673499677689604E-2</v>
      </c>
    </row>
    <row r="109" spans="1:18" x14ac:dyDescent="0.25">
      <c r="A109" s="194">
        <v>0.98491847343526207</v>
      </c>
      <c r="B109" s="195">
        <v>0.16786753909336335</v>
      </c>
      <c r="C109" s="195">
        <v>3.9569904780412647E-2</v>
      </c>
      <c r="D109" s="196">
        <v>-1.3795384748538432E-2</v>
      </c>
      <c r="F109" s="123">
        <f>INDEX(A109:D117,,F106)</f>
        <v>0.98491847343526207</v>
      </c>
      <c r="G109" s="90">
        <f>INDEX(A107:D115,,G106)</f>
        <v>3.9569904780412647E-2</v>
      </c>
      <c r="I109" s="123">
        <f t="shared" si="44"/>
        <v>0.96849862194971603</v>
      </c>
      <c r="J109" s="37">
        <f t="shared" si="45"/>
        <v>7.7946260420605401E-2</v>
      </c>
      <c r="K109" s="37">
        <f t="shared" si="46"/>
        <v>0.93191396120494219</v>
      </c>
      <c r="L109" s="90">
        <f t="shared" si="43"/>
        <v>7.5490845803490025E-2</v>
      </c>
      <c r="N109" t="s">
        <v>467</v>
      </c>
      <c r="O109" s="174">
        <f>0.25*ATAN(O107/O108)</f>
        <v>-4.4358794343300374E-2</v>
      </c>
      <c r="Q109" s="123">
        <v>0.98219492129867403</v>
      </c>
      <c r="R109" s="90">
        <v>8.3206449590578727E-2</v>
      </c>
    </row>
    <row r="110" spans="1:18" x14ac:dyDescent="0.25">
      <c r="A110" s="194">
        <v>0.13653410105477085</v>
      </c>
      <c r="B110" s="195">
        <v>4.8955679300022391E-2</v>
      </c>
      <c r="C110" s="195">
        <v>2.2004033132459883E-3</v>
      </c>
      <c r="D110" s="196">
        <v>0.98942252801252617</v>
      </c>
      <c r="F110" s="123">
        <f>INDEX(A110:D118,,F106)</f>
        <v>0.13653410105477085</v>
      </c>
      <c r="G110" s="90">
        <f>INDEX(A107:D115,,G106)</f>
        <v>2.2004033132459883E-3</v>
      </c>
      <c r="I110" s="123">
        <f t="shared" si="44"/>
        <v>1.8636718976093435E-2</v>
      </c>
      <c r="J110" s="37">
        <f t="shared" si="45"/>
        <v>6.0086017666396074E-4</v>
      </c>
      <c r="K110" s="37">
        <f t="shared" si="46"/>
        <v>3.4696626124198051E-4</v>
      </c>
      <c r="L110" s="90">
        <f t="shared" si="43"/>
        <v>1.1198062256412091E-5</v>
      </c>
      <c r="Q110" s="123">
        <v>0.13630221859389136</v>
      </c>
      <c r="R110" s="90">
        <v>8.2527408755144575E-3</v>
      </c>
    </row>
    <row r="111" spans="1:18" x14ac:dyDescent="0.25">
      <c r="A111" s="194">
        <v>0.45459926170314169</v>
      </c>
      <c r="B111" s="195">
        <v>-0.1196338989303857</v>
      </c>
      <c r="C111" s="195">
        <v>0.82629883906769819</v>
      </c>
      <c r="D111" s="196">
        <v>0.31025387997742643</v>
      </c>
      <c r="F111" s="123">
        <f>INDEX(A111:D119,,F106)</f>
        <v>0.45459926170314169</v>
      </c>
      <c r="G111" s="90">
        <f>INDEX(A107:D115,,G106)</f>
        <v>0.82629883906769819</v>
      </c>
      <c r="I111" s="123">
        <f t="shared" si="44"/>
        <v>-0.47610928270358432</v>
      </c>
      <c r="J111" s="37">
        <f t="shared" si="45"/>
        <v>0.75126968437267738</v>
      </c>
      <c r="K111" s="37">
        <f t="shared" si="46"/>
        <v>-0.33772608958090067</v>
      </c>
      <c r="L111" s="90">
        <f t="shared" si="43"/>
        <v>-0.35768647054362362</v>
      </c>
      <c r="N111" s="156">
        <f>COS(O109)</f>
        <v>0.99901630999885926</v>
      </c>
      <c r="O111" s="158">
        <f>-N112</f>
        <v>4.4344248288399495E-2</v>
      </c>
      <c r="Q111" s="123">
        <v>0.41751047607484409</v>
      </c>
      <c r="R111" s="90">
        <v>0.84564487969444024</v>
      </c>
    </row>
    <row r="112" spans="1:18" x14ac:dyDescent="0.25">
      <c r="A112" s="194">
        <v>4.7748583211908606E-2</v>
      </c>
      <c r="B112" s="195">
        <v>-2.9678865130834155E-2</v>
      </c>
      <c r="C112" s="195">
        <v>0.99832265192426639</v>
      </c>
      <c r="D112" s="196">
        <v>1.382463094267368E-2</v>
      </c>
      <c r="F112" s="123">
        <f>INDEX(A112:D120,,F106)</f>
        <v>4.7748583211908606E-2</v>
      </c>
      <c r="G112" s="90">
        <f>INDEX(A107:D115,,G106)</f>
        <v>0.99832265192426639</v>
      </c>
      <c r="I112" s="123">
        <f t="shared" si="44"/>
        <v>-0.99436819014635536</v>
      </c>
      <c r="J112" s="37">
        <f t="shared" si="45"/>
        <v>9.5336984435478209E-2</v>
      </c>
      <c r="K112" s="37">
        <f t="shared" si="46"/>
        <v>0.97967895697368768</v>
      </c>
      <c r="L112" s="90">
        <f t="shared" si="43"/>
        <v>-9.4800064667117712E-2</v>
      </c>
      <c r="N112" s="91">
        <f>SIN(O109)</f>
        <v>-4.4344248288399495E-2</v>
      </c>
      <c r="O112" s="93">
        <f>N111</f>
        <v>0.99901630999885926</v>
      </c>
      <c r="Q112" s="123">
        <v>3.4317458591713243E-3</v>
      </c>
      <c r="R112" s="90">
        <v>0.99945798694302435</v>
      </c>
    </row>
    <row r="113" spans="1:18" x14ac:dyDescent="0.25">
      <c r="A113" s="194">
        <v>0.98665641195679021</v>
      </c>
      <c r="B113" s="195">
        <v>3.2334736436930842E-2</v>
      </c>
      <c r="C113" s="195">
        <v>7.6153437825759632E-2</v>
      </c>
      <c r="D113" s="196">
        <v>0.14022925326559046</v>
      </c>
      <c r="F113" s="123">
        <f>INDEX(A113:D121,,F106)</f>
        <v>0.98665641195679021</v>
      </c>
      <c r="G113" s="90">
        <f>INDEX(A107:D115,,G106)</f>
        <v>7.6153437825759632E-2</v>
      </c>
      <c r="I113" s="123">
        <f t="shared" si="44"/>
        <v>0.96769152916276546</v>
      </c>
      <c r="J113" s="37">
        <f t="shared" si="45"/>
        <v>0.15027455544667701</v>
      </c>
      <c r="K113" s="37">
        <f t="shared" si="46"/>
        <v>0.91384445359867494</v>
      </c>
      <c r="L113" s="90">
        <f t="shared" si="43"/>
        <v>0.14541941435444966</v>
      </c>
      <c r="Q113" s="123">
        <v>0.98230888095482627</v>
      </c>
      <c r="R113" s="90">
        <v>0.11983106335757121</v>
      </c>
    </row>
    <row r="114" spans="1:18" x14ac:dyDescent="0.25">
      <c r="A114" s="194">
        <v>0.76335828612638523</v>
      </c>
      <c r="B114" s="195">
        <v>-0.18899542682768794</v>
      </c>
      <c r="C114" s="195">
        <v>0.47049500384985149</v>
      </c>
      <c r="D114" s="196">
        <v>0.40024905620467871</v>
      </c>
      <c r="F114" s="123">
        <f>INDEX(A114:D122,,F106)</f>
        <v>0.76335828612638523</v>
      </c>
      <c r="G114" s="90">
        <f>INDEX(A107:D115,,G106)</f>
        <v>0.47049500384985149</v>
      </c>
      <c r="I114" s="123">
        <f t="shared" si="44"/>
        <v>0.36135032435014047</v>
      </c>
      <c r="J114" s="37">
        <f t="shared" si="45"/>
        <v>0.71831251953969932</v>
      </c>
      <c r="K114" s="37">
        <f t="shared" si="46"/>
        <v>-0.38539881881951921</v>
      </c>
      <c r="L114" s="90">
        <f t="shared" si="43"/>
        <v>0.25956246192043697</v>
      </c>
      <c r="Q114" s="123">
        <v>0.74174363094386553</v>
      </c>
      <c r="R114" s="90">
        <v>0.5038827319919732</v>
      </c>
    </row>
    <row r="115" spans="1:18" x14ac:dyDescent="0.25">
      <c r="A115" s="200">
        <v>0.12711272408501795</v>
      </c>
      <c r="B115" s="201">
        <v>-0.89316336995013235</v>
      </c>
      <c r="C115" s="201">
        <v>-0.28149568514920331</v>
      </c>
      <c r="D115" s="202">
        <v>0.32689712326264048</v>
      </c>
      <c r="F115" s="91">
        <f>INDEX(A115:D123,,F106)</f>
        <v>0.12711272408501795</v>
      </c>
      <c r="G115" s="93">
        <f>INDEX(A107:D115,,G106)</f>
        <v>-0.28149568514920331</v>
      </c>
      <c r="I115" s="91">
        <f t="shared" si="44"/>
        <v>-6.3082176133305495E-2</v>
      </c>
      <c r="J115" s="92">
        <f t="shared" si="45"/>
        <v>-7.1563366714987531E-2</v>
      </c>
      <c r="K115" s="92">
        <f t="shared" si="46"/>
        <v>-1.1419545098704078E-3</v>
      </c>
      <c r="L115" s="93">
        <f t="shared" si="43"/>
        <v>4.5143729038071749E-3</v>
      </c>
      <c r="Q115" s="91">
        <v>0.13947039912368714</v>
      </c>
      <c r="R115" s="93">
        <v>-0.27558206246091688</v>
      </c>
    </row>
    <row r="116" spans="1:18" x14ac:dyDescent="0.25">
      <c r="I116">
        <f>SUM(I107:I115)</f>
        <v>1.3639910861160149</v>
      </c>
      <c r="J116">
        <f>SUM(J107:J115)</f>
        <v>1.6733333537548152</v>
      </c>
      <c r="K116">
        <f>SUM(K107:K115)</f>
        <v>2.5725163452526894</v>
      </c>
      <c r="L116">
        <f>SUM(L107:L115)</f>
        <v>2.7175821509558318E-2</v>
      </c>
    </row>
    <row r="117" spans="1:18" x14ac:dyDescent="0.25">
      <c r="A117" s="47" t="s">
        <v>53</v>
      </c>
      <c r="B117">
        <f>COUNT(A107:A115)</f>
        <v>9</v>
      </c>
      <c r="I117" s="47" t="s">
        <v>462</v>
      </c>
      <c r="J117" s="47" t="s">
        <v>389</v>
      </c>
      <c r="K117" s="47" t="s">
        <v>469</v>
      </c>
      <c r="L117" s="47" t="s">
        <v>470</v>
      </c>
      <c r="N117" s="47"/>
    </row>
    <row r="119" spans="1:18" x14ac:dyDescent="0.25">
      <c r="A119">
        <v>1</v>
      </c>
      <c r="B119">
        <v>2</v>
      </c>
      <c r="C119">
        <v>3</v>
      </c>
      <c r="D119">
        <v>4</v>
      </c>
      <c r="F119">
        <v>1</v>
      </c>
      <c r="G119">
        <v>4</v>
      </c>
      <c r="I119" s="47" t="s">
        <v>207</v>
      </c>
      <c r="J119" s="47" t="s">
        <v>464</v>
      </c>
      <c r="K119" s="47" t="s">
        <v>465</v>
      </c>
      <c r="L119" s="47" t="s">
        <v>466</v>
      </c>
      <c r="Q119">
        <f>F119</f>
        <v>1</v>
      </c>
      <c r="R119">
        <f>G119</f>
        <v>4</v>
      </c>
    </row>
    <row r="120" spans="1:18" x14ac:dyDescent="0.25">
      <c r="A120" s="189">
        <f t="array" ref="A120:A128">IF(A119=$Q106,$Q107:$Q115,IF(A119=$R106,$R107:$R115,A107:A115))</f>
        <v>7.0156376946175478E-2</v>
      </c>
      <c r="B120" s="190">
        <f t="array" ref="B120:B128">IF(B119=$Q106,$Q107:$Q115,IF(B119=$R106,$R107:$R115,B107:B115))</f>
        <v>0.92260618977202824</v>
      </c>
      <c r="C120" s="190">
        <f t="array" ref="C120:C128">IF(C119=$Q106,$Q107:$Q115,IF(C119=$R106,$R107:$R115,C107:C115))</f>
        <v>-0.31653678598213836</v>
      </c>
      <c r="D120" s="191">
        <f t="array" ref="D120:D128">IF(D119=$Q106,$Q107:$Q115,IF(D119=$R106,$R107:$R115,D107:D115))</f>
        <v>0.20899847963137047</v>
      </c>
      <c r="F120" s="156">
        <f>INDEX(A120:D128,,F119)</f>
        <v>7.0156376946175478E-2</v>
      </c>
      <c r="G120" s="158">
        <f>INDEX(A120:D128,,G119)</f>
        <v>0.20899847963137047</v>
      </c>
      <c r="I120" s="156">
        <f>F120^2-G120^2</f>
        <v>-3.8758447262010512E-2</v>
      </c>
      <c r="J120" s="157">
        <f>2*F120*G120</f>
        <v>2.932515223639201E-2</v>
      </c>
      <c r="K120" s="157">
        <f>I120^2-J120^2</f>
        <v>6.4225268047448281E-4</v>
      </c>
      <c r="L120" s="158">
        <f t="shared" ref="L120:L128" si="47">I120*J120</f>
        <v>-1.1365973664046293E-3</v>
      </c>
      <c r="N120" t="s">
        <v>390</v>
      </c>
      <c r="O120" s="172">
        <f>L129*B130-2*I129*J129</f>
        <v>-4.1218089655045826</v>
      </c>
      <c r="Q120" s="156">
        <f t="array" ref="Q120:R128">MMULT(F120:G128,N124:O125)</f>
        <v>6.0866529242717189E-2</v>
      </c>
      <c r="R120" s="158">
        <v>0.21189041349807144</v>
      </c>
    </row>
    <row r="121" spans="1:18" x14ac:dyDescent="0.25">
      <c r="A121" s="194">
        <v>0.82432429425616227</v>
      </c>
      <c r="B121" s="195">
        <v>-0.56210551541593512</v>
      </c>
      <c r="C121" s="195">
        <v>2.8673499677689604E-2</v>
      </c>
      <c r="D121" s="196">
        <v>-6.0866064882653226E-2</v>
      </c>
      <c r="F121" s="123">
        <f>INDEX(A121:D129,,F119)</f>
        <v>0.82432429425616227</v>
      </c>
      <c r="G121" s="90">
        <f>INDEX(A120:D128,,G119)</f>
        <v>-6.0866064882653226E-2</v>
      </c>
      <c r="I121" s="123">
        <f t="shared" ref="I121:I128" si="48">F121^2-G121^2</f>
        <v>0.67580586424662059</v>
      </c>
      <c r="J121" s="37">
        <f t="shared" ref="J121:J128" si="49">2*F121*G121</f>
        <v>-0.10034675195708581</v>
      </c>
      <c r="K121" s="37">
        <f t="shared" ref="K121:K128" si="50">I121^2-J121^2</f>
        <v>0.44664409552178486</v>
      </c>
      <c r="L121" s="90">
        <f t="shared" si="47"/>
        <v>-6.7814923430699642E-2</v>
      </c>
      <c r="N121" t="s">
        <v>392</v>
      </c>
      <c r="O121" s="173">
        <f>K129*B130-(I129^2-J129^2)</f>
        <v>23.103724129602345</v>
      </c>
      <c r="Q121" s="123">
        <v>0.82620706981735137</v>
      </c>
      <c r="R121" s="90">
        <v>-2.4435583460306505E-2</v>
      </c>
    </row>
    <row r="122" spans="1:18" x14ac:dyDescent="0.25">
      <c r="A122" s="194">
        <v>0.98219492129867403</v>
      </c>
      <c r="B122" s="195">
        <v>0.16786753909336335</v>
      </c>
      <c r="C122" s="195">
        <v>8.3206449590578727E-2</v>
      </c>
      <c r="D122" s="196">
        <v>-1.3795384748538432E-2</v>
      </c>
      <c r="F122" s="123">
        <f>INDEX(A122:D130,,F119)</f>
        <v>0.98219492129867403</v>
      </c>
      <c r="G122" s="90">
        <f>INDEX(A120:D128,,G119)</f>
        <v>-1.3795384748538432E-2</v>
      </c>
      <c r="I122" s="123">
        <f t="shared" si="48"/>
        <v>0.96451655078454834</v>
      </c>
      <c r="J122" s="37">
        <f t="shared" si="49"/>
        <v>-2.7099513674751267E-2</v>
      </c>
      <c r="K122" s="37">
        <f t="shared" si="50"/>
        <v>0.92955779309591424</v>
      </c>
      <c r="L122" s="90">
        <f t="shared" si="47"/>
        <v>-2.6137929457509795E-2</v>
      </c>
      <c r="N122" t="s">
        <v>467</v>
      </c>
      <c r="O122" s="174">
        <f>0.25*ATAN(O120/O121)</f>
        <v>-4.413677676718282E-2</v>
      </c>
      <c r="Q122" s="123">
        <v>0.98184707784643954</v>
      </c>
      <c r="R122" s="90">
        <v>2.955489451303029E-2</v>
      </c>
    </row>
    <row r="123" spans="1:18" x14ac:dyDescent="0.25">
      <c r="A123" s="194">
        <v>0.13630221859389136</v>
      </c>
      <c r="B123" s="195">
        <v>4.8955679300022391E-2</v>
      </c>
      <c r="C123" s="195">
        <v>8.2527408755144575E-3</v>
      </c>
      <c r="D123" s="196">
        <v>0.98942252801252617</v>
      </c>
      <c r="F123" s="123">
        <f>INDEX(A123:D131,,F119)</f>
        <v>0.13630221859389136</v>
      </c>
      <c r="G123" s="90">
        <f>INDEX(A120:D128,,G119)</f>
        <v>0.98942252801252617</v>
      </c>
      <c r="I123" s="123">
        <f t="shared" si="48"/>
        <v>-0.96037864414508123</v>
      </c>
      <c r="J123" s="37">
        <f t="shared" si="49"/>
        <v>0.26972097138976786</v>
      </c>
      <c r="K123" s="37">
        <f t="shared" si="50"/>
        <v>0.84957773772250456</v>
      </c>
      <c r="L123" s="90">
        <f t="shared" si="47"/>
        <v>-0.2590342608007995</v>
      </c>
      <c r="Q123" s="123">
        <v>9.2513733971531426E-2</v>
      </c>
      <c r="R123" s="90">
        <v>0.99447294722328161</v>
      </c>
    </row>
    <row r="124" spans="1:18" x14ac:dyDescent="0.25">
      <c r="A124" s="194">
        <v>0.41751047607484409</v>
      </c>
      <c r="B124" s="195">
        <v>-0.1196338989303857</v>
      </c>
      <c r="C124" s="195">
        <v>0.84564487969444024</v>
      </c>
      <c r="D124" s="196">
        <v>0.31025387997742643</v>
      </c>
      <c r="F124" s="123">
        <f>INDEX(A124:D132,,F119)</f>
        <v>0.41751047607484409</v>
      </c>
      <c r="G124" s="90">
        <f>INDEX(A120:D128,,G119)</f>
        <v>0.31025387997742643</v>
      </c>
      <c r="I124" s="123">
        <f t="shared" si="48"/>
        <v>7.8057527591195622E-2</v>
      </c>
      <c r="J124" s="37">
        <f t="shared" si="49"/>
        <v>0.25906849026688572</v>
      </c>
      <c r="K124" s="37">
        <f t="shared" si="50"/>
        <v>-6.1023505035513195E-2</v>
      </c>
      <c r="L124" s="90">
        <f t="shared" si="47"/>
        <v>2.0222245827016826E-2</v>
      </c>
      <c r="N124" s="156">
        <f>COS(O122)</f>
        <v>0.99902613057964007</v>
      </c>
      <c r="O124" s="158">
        <f>-N125</f>
        <v>4.4122448017669798E-2</v>
      </c>
      <c r="Q124" s="123">
        <v>0.4034147146979305</v>
      </c>
      <c r="R124" s="90">
        <v>0.32837331748861326</v>
      </c>
    </row>
    <row r="125" spans="1:18" x14ac:dyDescent="0.25">
      <c r="A125" s="194">
        <v>3.4317458591713243E-3</v>
      </c>
      <c r="B125" s="195">
        <v>-2.9678865130834155E-2</v>
      </c>
      <c r="C125" s="195">
        <v>0.99945798694302435</v>
      </c>
      <c r="D125" s="196">
        <v>1.382463094267368E-2</v>
      </c>
      <c r="F125" s="123">
        <f>INDEX(A125:D133,,F119)</f>
        <v>3.4317458591713243E-3</v>
      </c>
      <c r="G125" s="90">
        <f>INDEX(A120:D128,,G119)</f>
        <v>1.382463094267368E-2</v>
      </c>
      <c r="I125" s="123">
        <f t="shared" si="48"/>
        <v>-1.7934354105919104E-4</v>
      </c>
      <c r="J125" s="37">
        <f t="shared" si="49"/>
        <v>9.4885239984184323E-5</v>
      </c>
      <c r="K125" s="37">
        <f t="shared" si="50"/>
        <v>2.3160896952793489E-8</v>
      </c>
      <c r="L125" s="90">
        <f t="shared" si="47"/>
        <v>-1.7017054933014756E-8</v>
      </c>
      <c r="N125" s="91">
        <f>SIN(O122)</f>
        <v>-4.4122448017669798E-2</v>
      </c>
      <c r="O125" s="93">
        <f>N124</f>
        <v>0.99902613057964007</v>
      </c>
      <c r="Q125" s="123">
        <v>2.8184272266890418E-3</v>
      </c>
      <c r="R125" s="90">
        <v>1.3962584585631989E-2</v>
      </c>
    </row>
    <row r="126" spans="1:18" x14ac:dyDescent="0.25">
      <c r="A126" s="194">
        <v>0.98230888095482627</v>
      </c>
      <c r="B126" s="195">
        <v>3.2334736436930842E-2</v>
      </c>
      <c r="C126" s="195">
        <v>0.11983106335757121</v>
      </c>
      <c r="D126" s="196">
        <v>0.14022925326559046</v>
      </c>
      <c r="F126" s="123">
        <f>INDEX(A126:D134,,F119)</f>
        <v>0.98230888095482627</v>
      </c>
      <c r="G126" s="90">
        <f>INDEX(A120:D128,,G119)</f>
        <v>0.14022925326559046</v>
      </c>
      <c r="I126" s="123">
        <f t="shared" si="48"/>
        <v>0.94526649413129793</v>
      </c>
      <c r="J126" s="37">
        <f t="shared" si="49"/>
        <v>0.27549688170490616</v>
      </c>
      <c r="K126" s="37">
        <f t="shared" si="50"/>
        <v>0.81763021309814798</v>
      </c>
      <c r="L126" s="90">
        <f t="shared" si="47"/>
        <v>0.26041797151330154</v>
      </c>
      <c r="Q126" s="123">
        <v>0.9751649824365487</v>
      </c>
      <c r="R126" s="90">
        <v>0.18343456082121992</v>
      </c>
    </row>
    <row r="127" spans="1:18" x14ac:dyDescent="0.25">
      <c r="A127" s="194">
        <v>0.74174363094386553</v>
      </c>
      <c r="B127" s="195">
        <v>-0.18899542682768794</v>
      </c>
      <c r="C127" s="195">
        <v>0.5038827319919732</v>
      </c>
      <c r="D127" s="196">
        <v>0.40024905620467871</v>
      </c>
      <c r="F127" s="123">
        <f>INDEX(A127:D135,,F119)</f>
        <v>0.74174363094386553</v>
      </c>
      <c r="G127" s="90">
        <f>INDEX(A120:D128,,G119)</f>
        <v>0.40024905620467871</v>
      </c>
      <c r="I127" s="123">
        <f t="shared" si="48"/>
        <v>0.38998430705305337</v>
      </c>
      <c r="J127" s="37">
        <f t="shared" si="49"/>
        <v>0.59376437646222735</v>
      </c>
      <c r="K127" s="37">
        <f t="shared" si="50"/>
        <v>-0.20046837500792741</v>
      </c>
      <c r="L127" s="90">
        <f t="shared" si="47"/>
        <v>0.23155878890741005</v>
      </c>
      <c r="Q127" s="123">
        <v>0.72336130132743015</v>
      </c>
      <c r="R127" s="90">
        <v>0.43258681068707139</v>
      </c>
    </row>
    <row r="128" spans="1:18" x14ac:dyDescent="0.25">
      <c r="A128" s="200">
        <v>0.13947039912368714</v>
      </c>
      <c r="B128" s="201">
        <v>-0.89316336995013235</v>
      </c>
      <c r="C128" s="201">
        <v>-0.27558206246091688</v>
      </c>
      <c r="D128" s="202">
        <v>0.32689712326264048</v>
      </c>
      <c r="F128" s="91">
        <f>INDEX(A128:D136,,F119)</f>
        <v>0.13947039912368714</v>
      </c>
      <c r="G128" s="93">
        <f>INDEX(A120:D128,,G119)</f>
        <v>0.32689712326264048</v>
      </c>
      <c r="I128" s="91">
        <f t="shared" si="48"/>
        <v>-8.740973696566938E-2</v>
      </c>
      <c r="J128" s="92">
        <f t="shared" si="49"/>
        <v>9.1184944507651244E-2</v>
      </c>
      <c r="K128" s="92">
        <f t="shared" si="50"/>
        <v>-6.7423198845592818E-4</v>
      </c>
      <c r="L128" s="93">
        <f t="shared" si="47"/>
        <v>-7.9704520146429546E-3</v>
      </c>
      <c r="Q128" s="91">
        <v>0.12491107183865352</v>
      </c>
      <c r="R128" s="93">
        <v>0.33273254358602994</v>
      </c>
    </row>
    <row r="129" spans="1:18" x14ac:dyDescent="0.25">
      <c r="I129">
        <f>SUM(I120:I128)</f>
        <v>1.9669045718928957</v>
      </c>
      <c r="J129">
        <f>SUM(J120:J128)</f>
        <v>1.3912094361759775</v>
      </c>
      <c r="K129">
        <f>SUM(K120:K128)</f>
        <v>2.7818860032478265</v>
      </c>
      <c r="L129">
        <f>SUM(L120:L128)</f>
        <v>0.15010482616061696</v>
      </c>
    </row>
    <row r="130" spans="1:18" x14ac:dyDescent="0.25">
      <c r="A130" s="47" t="s">
        <v>53</v>
      </c>
      <c r="B130">
        <f>COUNT(A120:A128)</f>
        <v>9</v>
      </c>
      <c r="I130" s="47" t="s">
        <v>462</v>
      </c>
      <c r="J130" s="47" t="s">
        <v>389</v>
      </c>
      <c r="K130" s="47" t="s">
        <v>469</v>
      </c>
      <c r="L130" s="47" t="s">
        <v>470</v>
      </c>
      <c r="N130" s="47"/>
    </row>
    <row r="132" spans="1:18" x14ac:dyDescent="0.25">
      <c r="A132">
        <v>1</v>
      </c>
      <c r="B132">
        <v>2</v>
      </c>
      <c r="C132">
        <v>3</v>
      </c>
      <c r="D132">
        <v>4</v>
      </c>
      <c r="F132">
        <v>2</v>
      </c>
      <c r="G132">
        <v>3</v>
      </c>
      <c r="I132" s="47" t="s">
        <v>207</v>
      </c>
      <c r="J132" s="47" t="s">
        <v>464</v>
      </c>
      <c r="K132" s="47" t="s">
        <v>465</v>
      </c>
      <c r="L132" s="47" t="s">
        <v>466</v>
      </c>
      <c r="Q132">
        <f>F132</f>
        <v>2</v>
      </c>
      <c r="R132">
        <f>G132</f>
        <v>3</v>
      </c>
    </row>
    <row r="133" spans="1:18" x14ac:dyDescent="0.25">
      <c r="A133" s="189">
        <f t="array" ref="A133:A141">IF(A132=$Q119,$Q120:$Q128,IF(A132=$R119,$R120:$R128,A120:A128))</f>
        <v>6.0866529242717189E-2</v>
      </c>
      <c r="B133" s="190">
        <f t="array" ref="B133:B141">IF(B132=$Q119,$Q120:$Q128,IF(B132=$R119,$R120:$R128,B120:B128))</f>
        <v>0.92260618977202824</v>
      </c>
      <c r="C133" s="190">
        <f t="array" ref="C133:C141">IF(C132=$Q119,$Q120:$Q128,IF(C132=$R119,$R120:$R128,C120:C128))</f>
        <v>-0.31653678598213836</v>
      </c>
      <c r="D133" s="191">
        <f t="array" ref="D133:D141">IF(D132=$Q119,$Q120:$Q128,IF(D132=$R119,$R120:$R128,D120:D128))</f>
        <v>0.21189041349807144</v>
      </c>
      <c r="F133" s="156">
        <f>INDEX(A133:D141,,F132)</f>
        <v>0.92260618977202824</v>
      </c>
      <c r="G133" s="158">
        <f>INDEX(A133:D141,,G132)</f>
        <v>-0.31653678598213836</v>
      </c>
      <c r="I133" s="156">
        <f>F133^2-G133^2</f>
        <v>0.75100664452575783</v>
      </c>
      <c r="J133" s="157">
        <f>2*F133*G133</f>
        <v>-0.58407759607532928</v>
      </c>
      <c r="K133" s="157">
        <f>I133^2-J133^2</f>
        <v>0.22286434188470244</v>
      </c>
      <c r="L133" s="158">
        <f t="shared" ref="L133:L141" si="51">I133*J133</f>
        <v>-0.43864615557120396</v>
      </c>
      <c r="N133" t="s">
        <v>390</v>
      </c>
      <c r="O133" s="172">
        <f>L142*B143-2*I142*J142</f>
        <v>1.2179398934628571</v>
      </c>
      <c r="Q133" s="156">
        <f t="array" ref="Q133:R141">MMULT(F133:G141,N137:O138)</f>
        <v>0.91735485826523577</v>
      </c>
      <c r="R133" s="158">
        <v>-0.3314480084458663</v>
      </c>
    </row>
    <row r="134" spans="1:18" x14ac:dyDescent="0.25">
      <c r="A134" s="194">
        <v>0.82620706981735137</v>
      </c>
      <c r="B134" s="195">
        <v>-0.56210551541593512</v>
      </c>
      <c r="C134" s="195">
        <v>2.8673499677689604E-2</v>
      </c>
      <c r="D134" s="196">
        <v>-2.4435583460306505E-2</v>
      </c>
      <c r="F134" s="123">
        <f>INDEX(A134:D142,,F132)</f>
        <v>-0.56210551541593512</v>
      </c>
      <c r="G134" s="90">
        <f>INDEX(A133:D141,,G132)</f>
        <v>2.8673499677689604E-2</v>
      </c>
      <c r="I134" s="123">
        <f t="shared" ref="I134:I141" si="52">F134^2-G134^2</f>
        <v>0.31514044087724763</v>
      </c>
      <c r="J134" s="37">
        <f t="shared" ref="J134:J141" si="53">2*F134*G134</f>
        <v>-3.223506463021273E-2</v>
      </c>
      <c r="K134" s="37">
        <f t="shared" ref="K134:K141" si="54">I134^2-J134^2</f>
        <v>9.8274398084592013E-2</v>
      </c>
      <c r="L134" s="90">
        <f t="shared" si="51"/>
        <v>-1.0158572479271811E-2</v>
      </c>
      <c r="N134" t="s">
        <v>392</v>
      </c>
      <c r="O134" s="173">
        <f>K142*B143-(I142^2-J142^2)</f>
        <v>18.759950870168748</v>
      </c>
      <c r="Q134" s="123">
        <v>-0.56156697103428688</v>
      </c>
      <c r="R134" s="90">
        <v>3.7779850292939253E-2</v>
      </c>
    </row>
    <row r="135" spans="1:18" x14ac:dyDescent="0.25">
      <c r="A135" s="194">
        <v>0.98184707784643954</v>
      </c>
      <c r="B135" s="195">
        <v>0.16786753909336335</v>
      </c>
      <c r="C135" s="195">
        <v>8.3206449590578727E-2</v>
      </c>
      <c r="D135" s="196">
        <v>2.955489451303029E-2</v>
      </c>
      <c r="F135" s="123">
        <f>INDEX(A135:D143,,F132)</f>
        <v>0.16786753909336335</v>
      </c>
      <c r="G135" s="90">
        <f>INDEX(A133:D141,,G132)</f>
        <v>8.3206449590578727E-2</v>
      </c>
      <c r="I135" s="123">
        <f t="shared" si="52"/>
        <v>2.1256197427792355E-2</v>
      </c>
      <c r="J135" s="37">
        <f t="shared" si="53"/>
        <v>2.7935323858932885E-2</v>
      </c>
      <c r="K135" s="37">
        <f t="shared" si="54"/>
        <v>-3.2855639001417854E-4</v>
      </c>
      <c r="L135" s="90">
        <f t="shared" si="51"/>
        <v>5.9379875915479554E-4</v>
      </c>
      <c r="N135" t="s">
        <v>467</v>
      </c>
      <c r="O135" s="174">
        <f>0.25*ATAN(O133/O134)</f>
        <v>1.6207838806261959E-2</v>
      </c>
      <c r="Q135" s="123">
        <v>0.169194028353785</v>
      </c>
      <c r="R135" s="90">
        <v>8.0474870016359681E-2</v>
      </c>
    </row>
    <row r="136" spans="1:18" x14ac:dyDescent="0.25">
      <c r="A136" s="194">
        <v>9.2513733971531426E-2</v>
      </c>
      <c r="B136" s="195">
        <v>4.8955679300022391E-2</v>
      </c>
      <c r="C136" s="195">
        <v>8.2527408755144575E-3</v>
      </c>
      <c r="D136" s="196">
        <v>0.99447294722328161</v>
      </c>
      <c r="F136" s="123">
        <f>INDEX(A136:D144,,F132)</f>
        <v>4.8955679300022391E-2</v>
      </c>
      <c r="G136" s="90">
        <f>INDEX(A133:D141,,G132)</f>
        <v>8.2527408755144575E-3</v>
      </c>
      <c r="I136" s="123">
        <f t="shared" si="52"/>
        <v>2.3285508037682538E-3</v>
      </c>
      <c r="J136" s="37">
        <f t="shared" si="53"/>
        <v>8.0803707129574356E-4</v>
      </c>
      <c r="K136" s="37">
        <f t="shared" si="54"/>
        <v>4.7692249371415783E-6</v>
      </c>
      <c r="L136" s="90">
        <f t="shared" si="51"/>
        <v>1.8815553718402494E-6</v>
      </c>
      <c r="Q136" s="123">
        <v>4.9083002495838371E-2</v>
      </c>
      <c r="R136" s="90">
        <v>7.4582259069132838E-3</v>
      </c>
    </row>
    <row r="137" spans="1:18" x14ac:dyDescent="0.25">
      <c r="A137" s="194">
        <v>0.4034147146979305</v>
      </c>
      <c r="B137" s="195">
        <v>-0.1196338989303857</v>
      </c>
      <c r="C137" s="195">
        <v>0.84564487969444024</v>
      </c>
      <c r="D137" s="196">
        <v>0.32837331748861326</v>
      </c>
      <c r="F137" s="123">
        <f>INDEX(A137:D145,,F132)</f>
        <v>-0.1196338989303857</v>
      </c>
      <c r="G137" s="90">
        <f>INDEX(A133:D141,,G132)</f>
        <v>0.84564487969444024</v>
      </c>
      <c r="I137" s="123">
        <f t="shared" si="52"/>
        <v>-0.70080299278013858</v>
      </c>
      <c r="J137" s="37">
        <f t="shared" si="53"/>
        <v>-0.20233558813672567</v>
      </c>
      <c r="K137" s="37">
        <f t="shared" si="54"/>
        <v>0.45018514446296426</v>
      </c>
      <c r="L137" s="90">
        <f t="shared" si="51"/>
        <v>0.14179738571214684</v>
      </c>
      <c r="N137" s="156">
        <f>COS(O135)</f>
        <v>0.99986865585592988</v>
      </c>
      <c r="O137" s="158">
        <f>-N138</f>
        <v>-1.6207129198476552E-2</v>
      </c>
      <c r="Q137" s="123">
        <v>-0.10591270989709096</v>
      </c>
      <c r="R137" s="90">
        <v>0.84747273124801181</v>
      </c>
    </row>
    <row r="138" spans="1:18" x14ac:dyDescent="0.25">
      <c r="A138" s="194">
        <v>2.8184272266890418E-3</v>
      </c>
      <c r="B138" s="195">
        <v>-2.9678865130834155E-2</v>
      </c>
      <c r="C138" s="195">
        <v>0.99945798694302435</v>
      </c>
      <c r="D138" s="196">
        <v>1.3962584585631989E-2</v>
      </c>
      <c r="F138" s="123">
        <f>INDEX(A138:D146,,F132)</f>
        <v>-2.9678865130834155E-2</v>
      </c>
      <c r="G138" s="90">
        <f>INDEX(A133:D141,,G132)</f>
        <v>0.99945798694302435</v>
      </c>
      <c r="I138" s="123">
        <f t="shared" si="52"/>
        <v>-0.99803543262874839</v>
      </c>
      <c r="J138" s="37">
        <f t="shared" si="53"/>
        <v>-5.9325557596834048E-2</v>
      </c>
      <c r="K138" s="37">
        <f t="shared" si="54"/>
        <v>0.99255520299827771</v>
      </c>
      <c r="L138" s="90">
        <f t="shared" si="51"/>
        <v>5.9209008542097999E-2</v>
      </c>
      <c r="N138" s="91">
        <f>SIN(O135)</f>
        <v>1.6207129198476552E-2</v>
      </c>
      <c r="O138" s="93">
        <f>N137</f>
        <v>0.99986865585592988</v>
      </c>
      <c r="Q138" s="123">
        <v>-1.3476622262861688E-2</v>
      </c>
      <c r="R138" s="90">
        <v>0.99980772319083488</v>
      </c>
    </row>
    <row r="139" spans="1:18" x14ac:dyDescent="0.25">
      <c r="A139" s="194">
        <v>0.9751649824365487</v>
      </c>
      <c r="B139" s="195">
        <v>3.2334736436930842E-2</v>
      </c>
      <c r="C139" s="195">
        <v>0.11983106335757121</v>
      </c>
      <c r="D139" s="196">
        <v>0.18343456082121992</v>
      </c>
      <c r="F139" s="123">
        <f>INDEX(A139:D147,,F132)</f>
        <v>3.2334736436930842E-2</v>
      </c>
      <c r="G139" s="90">
        <f>INDEX(A133:D141,,G132)</f>
        <v>0.11983106335757121</v>
      </c>
      <c r="I139" s="123">
        <f t="shared" si="52"/>
        <v>-1.3313948564960463E-2</v>
      </c>
      <c r="J139" s="37">
        <f t="shared" si="53"/>
        <v>7.749411701248452E-3</v>
      </c>
      <c r="K139" s="37">
        <f t="shared" si="54"/>
        <v>1.1720784467496634E-4</v>
      </c>
      <c r="L139" s="90">
        <f t="shared" si="51"/>
        <v>-1.0317526879912464E-4</v>
      </c>
      <c r="Q139" s="123">
        <v>3.4272606984476789E-2</v>
      </c>
      <c r="R139" s="90">
        <v>0.11929127099808948</v>
      </c>
    </row>
    <row r="140" spans="1:18" x14ac:dyDescent="0.25">
      <c r="A140" s="194">
        <v>0.72336130132743015</v>
      </c>
      <c r="B140" s="195">
        <v>-0.18899542682768794</v>
      </c>
      <c r="C140" s="195">
        <v>0.5038827319919732</v>
      </c>
      <c r="D140" s="196">
        <v>0.43258681068707139</v>
      </c>
      <c r="F140" s="123">
        <f>INDEX(A140:D148,,F132)</f>
        <v>-0.18899542682768794</v>
      </c>
      <c r="G140" s="90">
        <f>INDEX(A133:D141,,G132)</f>
        <v>0.5038827319919732</v>
      </c>
      <c r="I140" s="123">
        <f t="shared" si="52"/>
        <v>-0.21817853623791478</v>
      </c>
      <c r="J140" s="37">
        <f t="shared" si="53"/>
        <v>-0.19046306400784893</v>
      </c>
      <c r="K140" s="37">
        <f t="shared" si="54"/>
        <v>1.1325694923661131E-2</v>
      </c>
      <c r="L140" s="90">
        <f t="shared" si="51"/>
        <v>4.1554952512620751E-2</v>
      </c>
      <c r="Q140" s="123">
        <v>-0.18080411084684284</v>
      </c>
      <c r="R140" s="90">
        <v>0.50687962324634561</v>
      </c>
    </row>
    <row r="141" spans="1:18" x14ac:dyDescent="0.25">
      <c r="A141" s="200">
        <v>0.12491107183865352</v>
      </c>
      <c r="B141" s="201">
        <v>-0.89316336995013235</v>
      </c>
      <c r="C141" s="201">
        <v>-0.27558206246091688</v>
      </c>
      <c r="D141" s="202">
        <v>0.33273254358602994</v>
      </c>
      <c r="F141" s="91">
        <f>INDEX(A141:D149,,F132)</f>
        <v>-0.89316336995013235</v>
      </c>
      <c r="G141" s="93">
        <f>INDEX(A133:D141,,G132)</f>
        <v>-0.27558206246091688</v>
      </c>
      <c r="I141" s="91">
        <f t="shared" si="52"/>
        <v>0.72179533227046422</v>
      </c>
      <c r="J141" s="92">
        <f t="shared" si="53"/>
        <v>0.49227960721080077</v>
      </c>
      <c r="K141" s="92">
        <f t="shared" si="54"/>
        <v>0.27864929001180955</v>
      </c>
      <c r="L141" s="93">
        <f t="shared" si="51"/>
        <v>0.35532512265669358</v>
      </c>
      <c r="Q141" s="91">
        <v>-0.89751245226287824</v>
      </c>
      <c r="R141" s="93">
        <v>-0.26107025223867336</v>
      </c>
    </row>
    <row r="142" spans="1:18" x14ac:dyDescent="0.25">
      <c r="I142">
        <f>SUM(I133:I141)</f>
        <v>-0.11880374430673202</v>
      </c>
      <c r="J142">
        <f>SUM(J133:J141)</f>
        <v>-0.5396644906046727</v>
      </c>
      <c r="K142">
        <f>SUM(K133:K141)</f>
        <v>2.053647493045605</v>
      </c>
      <c r="L142">
        <f>SUM(L133:L141)</f>
        <v>0.14957424641881087</v>
      </c>
    </row>
    <row r="143" spans="1:18" x14ac:dyDescent="0.25">
      <c r="A143" s="47" t="s">
        <v>53</v>
      </c>
      <c r="B143">
        <f>COUNT(A133:A141)</f>
        <v>9</v>
      </c>
      <c r="I143" s="47" t="s">
        <v>462</v>
      </c>
      <c r="J143" s="47" t="s">
        <v>389</v>
      </c>
      <c r="K143" s="47" t="s">
        <v>469</v>
      </c>
      <c r="L143" s="47" t="s">
        <v>470</v>
      </c>
      <c r="N143" s="47"/>
    </row>
    <row r="145" spans="1:18" x14ac:dyDescent="0.25">
      <c r="A145">
        <v>1</v>
      </c>
      <c r="B145">
        <v>2</v>
      </c>
      <c r="C145">
        <v>3</v>
      </c>
      <c r="D145">
        <v>4</v>
      </c>
      <c r="F145">
        <v>2</v>
      </c>
      <c r="G145">
        <v>4</v>
      </c>
      <c r="I145" s="47" t="s">
        <v>207</v>
      </c>
      <c r="J145" s="47" t="s">
        <v>464</v>
      </c>
      <c r="K145" s="47" t="s">
        <v>465</v>
      </c>
      <c r="L145" s="47" t="s">
        <v>466</v>
      </c>
      <c r="Q145">
        <f>F145</f>
        <v>2</v>
      </c>
      <c r="R145">
        <f>G145</f>
        <v>4</v>
      </c>
    </row>
    <row r="146" spans="1:18" x14ac:dyDescent="0.25">
      <c r="A146" s="189">
        <f t="array" ref="A146:A154">IF(A145=$Q132,$Q133:$Q141,IF(A145=$R132,$R133:$R141,A133:A141))</f>
        <v>6.0866529242717189E-2</v>
      </c>
      <c r="B146" s="190">
        <f t="array" ref="B146:B154">IF(B145=$Q132,$Q133:$Q141,IF(B145=$R132,$R133:$R141,B133:B141))</f>
        <v>0.91735485826523577</v>
      </c>
      <c r="C146" s="190">
        <f t="array" ref="C146:C154">IF(C145=$Q132,$Q133:$Q141,IF(C145=$R132,$R133:$R141,C133:C141))</f>
        <v>-0.3314480084458663</v>
      </c>
      <c r="D146" s="191">
        <f t="array" ref="D146:D154">IF(D145=$Q132,$Q133:$Q141,IF(D145=$R132,$R133:$R141,D133:D141))</f>
        <v>0.21189041349807144</v>
      </c>
      <c r="F146" s="156">
        <f>INDEX(A146:D154,,F145)</f>
        <v>0.91735485826523577</v>
      </c>
      <c r="G146" s="158">
        <f>INDEX(A146:D154,,G145)</f>
        <v>0.21189041349807144</v>
      </c>
      <c r="I146" s="156">
        <f>F146^2-G146^2</f>
        <v>0.79664238865044712</v>
      </c>
      <c r="J146" s="157">
        <f>2*F146*G146</f>
        <v>0.38875740048457108</v>
      </c>
      <c r="K146" s="157">
        <f>I146^2-J146^2</f>
        <v>0.48350677896316879</v>
      </c>
      <c r="L146" s="158">
        <f t="shared" ref="L146:L154" si="55">I146*J146</f>
        <v>0.30970062412756721</v>
      </c>
      <c r="N146" t="s">
        <v>390</v>
      </c>
      <c r="O146" s="172">
        <f>L155*B156-2*I155*J155</f>
        <v>-1.1360130766278784</v>
      </c>
      <c r="Q146" s="156">
        <f t="array" ref="Q146:R154">MMULT(F146:G154,N150:O151)</f>
        <v>0.91314600614956465</v>
      </c>
      <c r="R146" s="158">
        <v>0.22935094237502887</v>
      </c>
    </row>
    <row r="147" spans="1:18" x14ac:dyDescent="0.25">
      <c r="A147" s="194">
        <v>0.82620706981735137</v>
      </c>
      <c r="B147" s="195">
        <v>-0.56156697103428688</v>
      </c>
      <c r="C147" s="195">
        <v>3.7779850292939253E-2</v>
      </c>
      <c r="D147" s="196">
        <v>-2.4435583460306505E-2</v>
      </c>
      <c r="F147" s="123">
        <f>INDEX(A147:D155,,F145)</f>
        <v>-0.56156697103428688</v>
      </c>
      <c r="G147" s="90">
        <f>INDEX(A146:D154,,G145)</f>
        <v>-2.4435583460306505E-2</v>
      </c>
      <c r="I147" s="123">
        <f t="shared" ref="I147:I154" si="56">F147^2-G147^2</f>
        <v>0.314760365217578</v>
      </c>
      <c r="J147" s="37">
        <f t="shared" ref="J147:J154" si="57">2*F147*G147</f>
        <v>2.7444433178519686E-2</v>
      </c>
      <c r="K147" s="37">
        <f t="shared" ref="K147:K154" si="58">I147^2-J147^2</f>
        <v>9.8320890599412847E-2</v>
      </c>
      <c r="L147" s="90">
        <f t="shared" si="55"/>
        <v>8.6384198104602714E-3</v>
      </c>
      <c r="N147" t="s">
        <v>392</v>
      </c>
      <c r="O147" s="173">
        <f>K155*B156-(I155^2-J155^2)</f>
        <v>14.858500436271681</v>
      </c>
      <c r="Q147" s="123">
        <v>-0.56099866765873729</v>
      </c>
      <c r="R147" s="90">
        <v>-3.5143357562858427E-2</v>
      </c>
    </row>
    <row r="148" spans="1:18" x14ac:dyDescent="0.25">
      <c r="A148" s="194">
        <v>0.98184707784643954</v>
      </c>
      <c r="B148" s="195">
        <v>0.169194028353785</v>
      </c>
      <c r="C148" s="195">
        <v>8.0474870016359681E-2</v>
      </c>
      <c r="D148" s="196">
        <v>2.955489451303029E-2</v>
      </c>
      <c r="F148" s="123">
        <f>INDEX(A148:D156,,F145)</f>
        <v>0.169194028353785</v>
      </c>
      <c r="G148" s="90">
        <f>INDEX(A146:D154,,G145)</f>
        <v>2.955489451303029E-2</v>
      </c>
      <c r="I148" s="123">
        <f t="shared" si="56"/>
        <v>2.7753127440905051E-2</v>
      </c>
      <c r="J148" s="37">
        <f t="shared" si="57"/>
        <v>1.0001023320461544E-2</v>
      </c>
      <c r="K148" s="37">
        <f t="shared" si="58"/>
        <v>6.702156152947013E-4</v>
      </c>
      <c r="L148" s="90">
        <f t="shared" si="55"/>
        <v>2.7755967475223263E-4</v>
      </c>
      <c r="N148" t="s">
        <v>467</v>
      </c>
      <c r="O148" s="174">
        <f>0.25*ATAN(O146/O147)</f>
        <v>-1.9076745267173404E-2</v>
      </c>
      <c r="Q148" s="123">
        <v>0.16859946555767105</v>
      </c>
      <c r="R148" s="90">
        <v>3.2776992447835086E-2</v>
      </c>
    </row>
    <row r="149" spans="1:18" x14ac:dyDescent="0.25">
      <c r="A149" s="194">
        <v>9.2513733971531426E-2</v>
      </c>
      <c r="B149" s="195">
        <v>4.9083002495838371E-2</v>
      </c>
      <c r="C149" s="195">
        <v>7.4582259069132838E-3</v>
      </c>
      <c r="D149" s="196">
        <v>0.99447294722328161</v>
      </c>
      <c r="F149" s="123">
        <f>INDEX(A149:D157,,F145)</f>
        <v>4.9083002495838371E-2</v>
      </c>
      <c r="G149" s="90">
        <f>INDEX(A146:D154,,G145)</f>
        <v>0.99447294722328161</v>
      </c>
      <c r="I149" s="123">
        <f t="shared" si="56"/>
        <v>-0.98656730162495343</v>
      </c>
      <c r="J149" s="37">
        <f t="shared" si="57"/>
        <v>9.762343630120815E-2</v>
      </c>
      <c r="K149" s="37">
        <f t="shared" si="58"/>
        <v>0.96378470532028582</v>
      </c>
      <c r="L149" s="90">
        <f t="shared" si="55"/>
        <v>-9.6312090127038452E-2</v>
      </c>
      <c r="Q149" s="123">
        <v>3.0103915139108536E-2</v>
      </c>
      <c r="R149" s="90">
        <v>0.99522828445852751</v>
      </c>
    </row>
    <row r="150" spans="1:18" x14ac:dyDescent="0.25">
      <c r="A150" s="194">
        <v>0.4034147146979305</v>
      </c>
      <c r="B150" s="195">
        <v>-0.10591270989709096</v>
      </c>
      <c r="C150" s="195">
        <v>0.84747273124801181</v>
      </c>
      <c r="D150" s="196">
        <v>0.32837331748861326</v>
      </c>
      <c r="F150" s="123">
        <f>INDEX(A150:D158,,F145)</f>
        <v>-0.10591270989709096</v>
      </c>
      <c r="G150" s="90">
        <f>INDEX(A146:D154,,G145)</f>
        <v>0.32837331748861326</v>
      </c>
      <c r="I150" s="123">
        <f t="shared" si="56"/>
        <v>-9.6611533520732262E-2</v>
      </c>
      <c r="J150" s="37">
        <f t="shared" si="57"/>
        <v>-6.9557815826233688E-2</v>
      </c>
      <c r="K150" s="37">
        <f t="shared" si="58"/>
        <v>4.4954986667113273E-3</v>
      </c>
      <c r="L150" s="90">
        <f t="shared" si="55"/>
        <v>6.7200872553250966E-3</v>
      </c>
      <c r="N150" s="156">
        <f>COS(O148)</f>
        <v>0.99981804441324607</v>
      </c>
      <c r="O150" s="158">
        <f>-N151</f>
        <v>1.9075588213011321E-2</v>
      </c>
      <c r="Q150" s="123">
        <v>-0.11215735267237016</v>
      </c>
      <c r="R150" s="90">
        <v>0.32629322088843427</v>
      </c>
    </row>
    <row r="151" spans="1:18" x14ac:dyDescent="0.25">
      <c r="A151" s="194">
        <v>2.8184272266890418E-3</v>
      </c>
      <c r="B151" s="195">
        <v>-1.3476622262861688E-2</v>
      </c>
      <c r="C151" s="195">
        <v>0.99980772319083488</v>
      </c>
      <c r="D151" s="196">
        <v>1.3962584585631989E-2</v>
      </c>
      <c r="F151" s="123">
        <f>INDEX(A151:D159,,F145)</f>
        <v>-1.3476622262861688E-2</v>
      </c>
      <c r="G151" s="90">
        <f>INDEX(A146:D154,,G145)</f>
        <v>1.3962584585631989E-2</v>
      </c>
      <c r="I151" s="123">
        <f t="shared" si="56"/>
        <v>-1.3334420695068752E-5</v>
      </c>
      <c r="J151" s="37">
        <f t="shared" si="57"/>
        <v>-3.76336956547635E-4</v>
      </c>
      <c r="K151" s="37">
        <f t="shared" si="58"/>
        <v>-1.4145169808826343E-7</v>
      </c>
      <c r="L151" s="90">
        <f t="shared" si="55"/>
        <v>5.0182353017079737E-9</v>
      </c>
      <c r="N151" s="91">
        <f>SIN(O148)</f>
        <v>-1.9075588213011321E-2</v>
      </c>
      <c r="O151" s="93">
        <f>N150</f>
        <v>0.99981804441324607</v>
      </c>
      <c r="Q151" s="123">
        <v>-1.3740514630095244E-2</v>
      </c>
      <c r="R151" s="90">
        <v>1.370296951857246E-2</v>
      </c>
    </row>
    <row r="152" spans="1:18" x14ac:dyDescent="0.25">
      <c r="A152" s="194">
        <v>0.9751649824365487</v>
      </c>
      <c r="B152" s="195">
        <v>3.4272606984476789E-2</v>
      </c>
      <c r="C152" s="195">
        <v>0.11929127099808948</v>
      </c>
      <c r="D152" s="196">
        <v>0.18343456082121992</v>
      </c>
      <c r="F152" s="123">
        <f>INDEX(A152:D160,,F145)</f>
        <v>3.4272606984476789E-2</v>
      </c>
      <c r="G152" s="90">
        <f>INDEX(A146:D154,,G145)</f>
        <v>0.18343456082121992</v>
      </c>
      <c r="I152" s="123">
        <f t="shared" si="56"/>
        <v>-3.247362651416142E-2</v>
      </c>
      <c r="J152" s="37">
        <f t="shared" si="57"/>
        <v>1.2573561220791549E-2</v>
      </c>
      <c r="K152" s="37">
        <f t="shared" si="58"/>
        <v>8.9644197720825441E-4</v>
      </c>
      <c r="L152" s="90">
        <f t="shared" si="55"/>
        <v>-4.0830913103692825E-4</v>
      </c>
      <c r="Q152" s="123">
        <v>3.076724874590317E-2</v>
      </c>
      <c r="R152" s="90">
        <v>0.184054954015897</v>
      </c>
    </row>
    <row r="153" spans="1:18" x14ac:dyDescent="0.25">
      <c r="A153" s="194">
        <v>0.72336130132743015</v>
      </c>
      <c r="B153" s="195">
        <v>-0.18080411084684284</v>
      </c>
      <c r="C153" s="195">
        <v>0.50687962324634561</v>
      </c>
      <c r="D153" s="196">
        <v>0.43258681068707139</v>
      </c>
      <c r="F153" s="123">
        <f>INDEX(A153:D161,,F145)</f>
        <v>-0.18080411084684284</v>
      </c>
      <c r="G153" s="90">
        <f>INDEX(A146:D154,,G145)</f>
        <v>0.43258681068707139</v>
      </c>
      <c r="I153" s="123">
        <f t="shared" si="56"/>
        <v>-0.1544412222812947</v>
      </c>
      <c r="J153" s="37">
        <f t="shared" si="57"/>
        <v>-0.15642694734069496</v>
      </c>
      <c r="K153" s="37">
        <f t="shared" si="58"/>
        <v>-6.172987145882762E-4</v>
      </c>
      <c r="L153" s="90">
        <f t="shared" si="55"/>
        <v>2.415876894502865E-2</v>
      </c>
      <c r="Q153" s="123">
        <v>-0.18902306039581265</v>
      </c>
      <c r="R153" s="90">
        <v>0.42905915433437675</v>
      </c>
    </row>
    <row r="154" spans="1:18" x14ac:dyDescent="0.25">
      <c r="A154" s="200">
        <v>0.12491107183865352</v>
      </c>
      <c r="B154" s="201">
        <v>-0.89751245226287824</v>
      </c>
      <c r="C154" s="201">
        <v>-0.26107025223867336</v>
      </c>
      <c r="D154" s="202">
        <v>0.33273254358602994</v>
      </c>
      <c r="F154" s="91">
        <f>INDEX(A154:D162,,F145)</f>
        <v>-0.89751245226287824</v>
      </c>
      <c r="G154" s="93">
        <f>INDEX(A146:D154,,G145)</f>
        <v>0.33273254358602994</v>
      </c>
      <c r="I154" s="91">
        <f t="shared" si="56"/>
        <v>0.69481765640569604</v>
      </c>
      <c r="J154" s="92">
        <f t="shared" si="57"/>
        <v>-0.59726320228312546</v>
      </c>
      <c r="K154" s="92">
        <f t="shared" si="58"/>
        <v>0.1260482428516102</v>
      </c>
      <c r="L154" s="93">
        <f t="shared" si="55"/>
        <v>-0.4149890184677224</v>
      </c>
      <c r="Q154" s="91">
        <v>-0.9036962138445227</v>
      </c>
      <c r="R154" s="93">
        <v>0.31555142308541295</v>
      </c>
    </row>
    <row r="155" spans="1:18" x14ac:dyDescent="0.25">
      <c r="I155">
        <f>SUM(I146:I154)</f>
        <v>0.56386651935278942</v>
      </c>
      <c r="J155">
        <f>SUM(J146:J154)</f>
        <v>-0.28722444790104967</v>
      </c>
      <c r="K155">
        <f>SUM(K146:K154)</f>
        <v>1.6771053338274053</v>
      </c>
      <c r="L155">
        <f>SUM(L146:L154)</f>
        <v>-0.16221395289442903</v>
      </c>
    </row>
    <row r="156" spans="1:18" x14ac:dyDescent="0.25">
      <c r="A156" s="47" t="s">
        <v>53</v>
      </c>
      <c r="B156">
        <f>COUNT(A146:A154)</f>
        <v>9</v>
      </c>
      <c r="I156" s="47" t="s">
        <v>462</v>
      </c>
      <c r="J156" s="47" t="s">
        <v>389</v>
      </c>
      <c r="K156" s="47" t="s">
        <v>469</v>
      </c>
      <c r="L156" s="47" t="s">
        <v>470</v>
      </c>
      <c r="N156" s="47"/>
    </row>
    <row r="158" spans="1:18" x14ac:dyDescent="0.25">
      <c r="A158">
        <v>1</v>
      </c>
      <c r="B158">
        <v>2</v>
      </c>
      <c r="C158">
        <v>3</v>
      </c>
      <c r="D158">
        <v>4</v>
      </c>
      <c r="F158">
        <v>3</v>
      </c>
      <c r="G158">
        <v>4</v>
      </c>
      <c r="I158" s="47" t="s">
        <v>207</v>
      </c>
      <c r="J158" s="47" t="s">
        <v>464</v>
      </c>
      <c r="K158" s="47" t="s">
        <v>465</v>
      </c>
      <c r="L158" s="47" t="s">
        <v>466</v>
      </c>
      <c r="Q158">
        <f>F158</f>
        <v>3</v>
      </c>
      <c r="R158">
        <f>G158</f>
        <v>4</v>
      </c>
    </row>
    <row r="159" spans="1:18" x14ac:dyDescent="0.25">
      <c r="A159" s="189">
        <f t="array" ref="A159:A167">IF(A158=$Q145,$Q146:$Q154,IF(A158=$R145,$R146:$R154,A146:A154))</f>
        <v>6.0866529242717189E-2</v>
      </c>
      <c r="B159" s="190">
        <f t="array" ref="B159:B167">IF(B158=$Q145,$Q146:$Q154,IF(B158=$R145,$R146:$R154,B146:B154))</f>
        <v>0.91314600614956465</v>
      </c>
      <c r="C159" s="190">
        <f t="array" ref="C159:C167">IF(C158=$Q145,$Q146:$Q154,IF(C158=$R145,$R146:$R154,C146:C154))</f>
        <v>-0.3314480084458663</v>
      </c>
      <c r="D159" s="191">
        <f t="array" ref="D159:D167">IF(D158=$Q145,$Q146:$Q154,IF(D158=$R145,$R146:$R154,D146:D154))</f>
        <v>0.22935094237502887</v>
      </c>
      <c r="F159" s="156">
        <f>INDEX(A159:D167,,F158)</f>
        <v>-0.3314480084458663</v>
      </c>
      <c r="G159" s="158">
        <f>INDEX(A159:D167,,G158)</f>
        <v>0.22935094237502887</v>
      </c>
      <c r="I159" s="156">
        <f>F159^2-G159^2</f>
        <v>5.7255927534417252E-2</v>
      </c>
      <c r="J159" s="157">
        <f>2*F159*G159</f>
        <v>-0.15203582617077194</v>
      </c>
      <c r="K159" s="157">
        <f>I159^2-J159^2</f>
        <v>-1.9836651201602742E-2</v>
      </c>
      <c r="L159" s="158">
        <f t="shared" ref="L159:L167" si="59">I159*J159</f>
        <v>-8.7049522458689764E-3</v>
      </c>
      <c r="N159" t="s">
        <v>390</v>
      </c>
      <c r="O159" s="172">
        <f>L168*B169-2*I168*J168</f>
        <v>2.3327509168426408</v>
      </c>
      <c r="Q159" s="156">
        <f t="array" ref="Q159:R167">MMULT(F159:G167,N163:O164)</f>
        <v>-0.32315268570748806</v>
      </c>
      <c r="R159" s="158">
        <v>0.24089827477813597</v>
      </c>
    </row>
    <row r="160" spans="1:18" x14ac:dyDescent="0.25">
      <c r="A160" s="194">
        <v>0.82620706981735137</v>
      </c>
      <c r="B160" s="195">
        <v>-0.56099866765873729</v>
      </c>
      <c r="C160" s="195">
        <v>3.7779850292939253E-2</v>
      </c>
      <c r="D160" s="196">
        <v>-3.5143357562858427E-2</v>
      </c>
      <c r="F160" s="123">
        <f>INDEX(A160:D168,,F158)</f>
        <v>3.7779850292939253E-2</v>
      </c>
      <c r="G160" s="90">
        <f>INDEX(A159:D167,,G158)</f>
        <v>-3.5143357562858427E-2</v>
      </c>
      <c r="I160" s="123">
        <f t="shared" ref="I160:I167" si="60">F160^2-G160^2</f>
        <v>1.9226150736598364E-4</v>
      </c>
      <c r="J160" s="37">
        <f t="shared" ref="J160:J167" si="61">2*F160*G160</f>
        <v>-2.6554215750320517E-3</v>
      </c>
      <c r="K160" s="37">
        <f t="shared" ref="K160:K167" si="62">I160^2-J160^2</f>
        <v>-7.0142992539310625E-6</v>
      </c>
      <c r="L160" s="90">
        <f t="shared" si="59"/>
        <v>-5.1053535470781668E-7</v>
      </c>
      <c r="N160" t="s">
        <v>392</v>
      </c>
      <c r="O160" s="173">
        <f>K168*B169-(I168^2-J168^2)</f>
        <v>16.421857892480599</v>
      </c>
      <c r="Q160" s="123">
        <v>3.6516854142220542E-2</v>
      </c>
      <c r="R160" s="90">
        <v>-3.6453971422927459E-2</v>
      </c>
    </row>
    <row r="161" spans="1:18" x14ac:dyDescent="0.25">
      <c r="A161" s="194">
        <v>0.98184707784643954</v>
      </c>
      <c r="B161" s="195">
        <v>0.16859946555767105</v>
      </c>
      <c r="C161" s="195">
        <v>8.0474870016359681E-2</v>
      </c>
      <c r="D161" s="196">
        <v>3.2776992447835086E-2</v>
      </c>
      <c r="F161" s="123">
        <f>INDEX(A161:D169,,F158)</f>
        <v>8.0474870016359681E-2</v>
      </c>
      <c r="G161" s="90">
        <f>INDEX(A159:D167,,G158)</f>
        <v>3.2776992447835086E-2</v>
      </c>
      <c r="I161" s="123">
        <f t="shared" si="60"/>
        <v>5.4018734702245483E-3</v>
      </c>
      <c r="J161" s="37">
        <f t="shared" si="61"/>
        <v>5.275448413533463E-3</v>
      </c>
      <c r="K161" s="37">
        <f t="shared" si="62"/>
        <v>1.3498810244630739E-6</v>
      </c>
      <c r="L161" s="90">
        <f t="shared" si="59"/>
        <v>2.8497304828604597E-5</v>
      </c>
      <c r="N161" t="s">
        <v>467</v>
      </c>
      <c r="O161" s="174">
        <f>0.25*ATAN(O159/O160)</f>
        <v>3.5276879377005944E-2</v>
      </c>
      <c r="Q161" s="123">
        <v>8.1580831604576479E-2</v>
      </c>
      <c r="R161" s="90">
        <v>2.9918286260766334E-2</v>
      </c>
    </row>
    <row r="162" spans="1:18" x14ac:dyDescent="0.25">
      <c r="A162" s="194">
        <v>9.2513733971531426E-2</v>
      </c>
      <c r="B162" s="195">
        <v>3.0103915139108536E-2</v>
      </c>
      <c r="C162" s="195">
        <v>7.4582259069132838E-3</v>
      </c>
      <c r="D162" s="196">
        <v>0.99522828445852751</v>
      </c>
      <c r="F162" s="123">
        <f>INDEX(A162:D170,,F158)</f>
        <v>7.4582259069132838E-3</v>
      </c>
      <c r="G162" s="90">
        <f>INDEX(A159:D167,,G158)</f>
        <v>0.99522828445852751</v>
      </c>
      <c r="I162" s="123">
        <f t="shared" si="60"/>
        <v>-0.99042371305258525</v>
      </c>
      <c r="J162" s="37">
        <f t="shared" si="61"/>
        <v>1.4845274748882906E-2</v>
      </c>
      <c r="K162" s="37">
        <f t="shared" si="62"/>
        <v>0.98071874919449986</v>
      </c>
      <c r="L162" s="90">
        <f t="shared" si="59"/>
        <v>-1.4703112138074393E-2</v>
      </c>
      <c r="Q162" s="123">
        <v>4.2554852405862258E-2</v>
      </c>
      <c r="R162" s="90">
        <v>0.99434604029817386</v>
      </c>
    </row>
    <row r="163" spans="1:18" x14ac:dyDescent="0.25">
      <c r="A163" s="194">
        <v>0.4034147146979305</v>
      </c>
      <c r="B163" s="195">
        <v>-0.11215735267237016</v>
      </c>
      <c r="C163" s="195">
        <v>0.84747273124801181</v>
      </c>
      <c r="D163" s="196">
        <v>0.32629322088843427</v>
      </c>
      <c r="F163" s="123">
        <f>INDEX(A163:D171,,F158)</f>
        <v>0.84747273124801181</v>
      </c>
      <c r="G163" s="90">
        <f>INDEX(A159:D167,,G158)</f>
        <v>0.32629322088843427</v>
      </c>
      <c r="I163" s="123">
        <f t="shared" si="60"/>
        <v>0.61174276421121632</v>
      </c>
      <c r="J163" s="37">
        <f t="shared" si="61"/>
        <v>0.55304921418806441</v>
      </c>
      <c r="K163" s="37">
        <f t="shared" si="62"/>
        <v>6.8365776250744248E-2</v>
      </c>
      <c r="L163" s="90">
        <f t="shared" si="59"/>
        <v>0.33832385503224754</v>
      </c>
      <c r="N163" s="156">
        <f>COS(O161)</f>
        <v>0.99937783541621084</v>
      </c>
      <c r="O163" s="158">
        <f>-N164</f>
        <v>-3.5269563065185243E-2</v>
      </c>
      <c r="Q163" s="123">
        <v>0.8584536830607693</v>
      </c>
      <c r="R163" s="90">
        <v>0.29620021986169043</v>
      </c>
    </row>
    <row r="164" spans="1:18" x14ac:dyDescent="0.25">
      <c r="A164" s="194">
        <v>2.8184272266890418E-3</v>
      </c>
      <c r="B164" s="195">
        <v>-1.3740514630095244E-2</v>
      </c>
      <c r="C164" s="195">
        <v>0.99980772319083488</v>
      </c>
      <c r="D164" s="196">
        <v>1.370296951857246E-2</v>
      </c>
      <c r="F164" s="123">
        <f>INDEX(A164:D172,,F158)</f>
        <v>0.99980772319083488</v>
      </c>
      <c r="G164" s="90">
        <f>INDEX(A159:D167,,G158)</f>
        <v>1.370296951857246E-2</v>
      </c>
      <c r="I164" s="123">
        <f t="shared" si="60"/>
        <v>0.99942771197841418</v>
      </c>
      <c r="J164" s="37">
        <f t="shared" si="61"/>
        <v>2.7400669510634683E-2</v>
      </c>
      <c r="K164" s="37">
        <f t="shared" si="62"/>
        <v>0.99810495478077699</v>
      </c>
      <c r="L164" s="90">
        <f t="shared" si="59"/>
        <v>2.7384988435690316E-2</v>
      </c>
      <c r="N164" s="91">
        <f>SIN(O161)</f>
        <v>3.5269563065185243E-2</v>
      </c>
      <c r="O164" s="93">
        <f>N163</f>
        <v>0.99937783541621084</v>
      </c>
      <c r="Q164" s="123">
        <v>0.99966897598248228</v>
      </c>
      <c r="R164" s="90">
        <v>-2.1568337529893157E-2</v>
      </c>
    </row>
    <row r="165" spans="1:18" x14ac:dyDescent="0.25">
      <c r="A165" s="194">
        <v>0.9751649824365487</v>
      </c>
      <c r="B165" s="195">
        <v>3.076724874590317E-2</v>
      </c>
      <c r="C165" s="195">
        <v>0.11929127099808948</v>
      </c>
      <c r="D165" s="196">
        <v>0.184054954015897</v>
      </c>
      <c r="F165" s="123">
        <f>INDEX(A165:D173,,F158)</f>
        <v>0.11929127099808948</v>
      </c>
      <c r="G165" s="90">
        <f>INDEX(A159:D167,,G158)</f>
        <v>0.184054954015897</v>
      </c>
      <c r="I165" s="123">
        <f t="shared" si="60"/>
        <v>-1.9645818761454333E-2</v>
      </c>
      <c r="J165" s="37">
        <f t="shared" si="61"/>
        <v>4.3912298796102534E-2</v>
      </c>
      <c r="K165" s="37">
        <f t="shared" si="62"/>
        <v>-1.542331790750277E-3</v>
      </c>
      <c r="L165" s="90">
        <f t="shared" si="59"/>
        <v>-8.6269306354705964E-4</v>
      </c>
      <c r="Q165" s="123">
        <v>0.12570859000224271</v>
      </c>
      <c r="R165" s="90">
        <v>0.17973309053644415</v>
      </c>
    </row>
    <row r="166" spans="1:18" x14ac:dyDescent="0.25">
      <c r="A166" s="194">
        <v>0.72336130132743015</v>
      </c>
      <c r="B166" s="195">
        <v>-0.18902306039581265</v>
      </c>
      <c r="C166" s="195">
        <v>0.50687962324634561</v>
      </c>
      <c r="D166" s="196">
        <v>0.42905915433437675</v>
      </c>
      <c r="F166" s="123">
        <f>INDEX(A166:D174,,F158)</f>
        <v>0.50687962324634561</v>
      </c>
      <c r="G166" s="90">
        <f>INDEX(A159:D167,,G158)</f>
        <v>0.42905915433437675</v>
      </c>
      <c r="I166" s="123">
        <f t="shared" si="60"/>
        <v>7.2835194544226739E-2</v>
      </c>
      <c r="J166" s="37">
        <f t="shared" si="61"/>
        <v>0.43496268499880908</v>
      </c>
      <c r="K166" s="37">
        <f t="shared" si="62"/>
        <v>-0.18388757177707785</v>
      </c>
      <c r="L166" s="90">
        <f t="shared" si="59"/>
        <v>3.1680591781367472E-2</v>
      </c>
      <c r="Q166" s="123">
        <v>0.52169698959900879</v>
      </c>
      <c r="R166" s="90">
        <v>0.41091478608565507</v>
      </c>
    </row>
    <row r="167" spans="1:18" x14ac:dyDescent="0.25">
      <c r="A167" s="200">
        <v>0.12491107183865352</v>
      </c>
      <c r="B167" s="201">
        <v>-0.9036962138445227</v>
      </c>
      <c r="C167" s="201">
        <v>-0.26107025223867336</v>
      </c>
      <c r="D167" s="202">
        <v>0.31555142308541295</v>
      </c>
      <c r="F167" s="91">
        <f>INDEX(A167:D175,,F158)</f>
        <v>-0.26107025223867336</v>
      </c>
      <c r="G167" s="93">
        <f>INDEX(A159:D167,,G158)</f>
        <v>0.31555142308541295</v>
      </c>
      <c r="I167" s="91">
        <f t="shared" si="60"/>
        <v>-3.1415024007264758E-2</v>
      </c>
      <c r="J167" s="92">
        <f t="shared" si="61"/>
        <v>-0.1647621792383622</v>
      </c>
      <c r="K167" s="92">
        <f t="shared" si="62"/>
        <v>-2.6159671973997174E-2</v>
      </c>
      <c r="L167" s="93">
        <f t="shared" si="59"/>
        <v>5.1760078162624073E-3</v>
      </c>
      <c r="Q167" s="91">
        <v>-0.24977846275702964</v>
      </c>
      <c r="R167" s="93">
        <v>0.32456293189138063</v>
      </c>
    </row>
    <row r="168" spans="1:18" x14ac:dyDescent="0.25">
      <c r="I168">
        <f>SUM(I159:I167)</f>
        <v>0.70537117742456057</v>
      </c>
      <c r="J168">
        <f>SUM(J159:J167)</f>
        <v>0.75999216367186095</v>
      </c>
      <c r="K168">
        <f>SUM(K159:K167)</f>
        <v>1.8157575890643638</v>
      </c>
      <c r="L168">
        <f>SUM(L159:L167)</f>
        <v>0.37832267238755118</v>
      </c>
    </row>
    <row r="169" spans="1:18" x14ac:dyDescent="0.25">
      <c r="A169" s="47" t="s">
        <v>53</v>
      </c>
      <c r="B169">
        <f>COUNT(A159:A167)</f>
        <v>9</v>
      </c>
      <c r="I169" s="47" t="s">
        <v>462</v>
      </c>
      <c r="J169" s="47" t="s">
        <v>389</v>
      </c>
      <c r="K169" s="47" t="s">
        <v>469</v>
      </c>
      <c r="L169" s="47" t="s">
        <v>470</v>
      </c>
      <c r="N169" s="47"/>
    </row>
    <row r="171" spans="1:18" x14ac:dyDescent="0.25">
      <c r="A171">
        <v>1</v>
      </c>
      <c r="B171">
        <v>2</v>
      </c>
      <c r="C171">
        <v>3</v>
      </c>
      <c r="D171">
        <v>4</v>
      </c>
      <c r="F171">
        <v>1</v>
      </c>
      <c r="G171">
        <v>2</v>
      </c>
      <c r="I171" s="47" t="s">
        <v>207</v>
      </c>
      <c r="J171" s="47" t="s">
        <v>464</v>
      </c>
      <c r="K171" s="47" t="s">
        <v>465</v>
      </c>
      <c r="L171" s="47" t="s">
        <v>466</v>
      </c>
      <c r="Q171">
        <f>F171</f>
        <v>1</v>
      </c>
      <c r="R171">
        <f>G171</f>
        <v>2</v>
      </c>
    </row>
    <row r="172" spans="1:18" x14ac:dyDescent="0.25">
      <c r="A172" s="189">
        <f t="array" ref="A172:A180">IF(A171=$Q158,$Q159:$Q167,IF(A171=$R158,$R159:$R167,A159:A167))</f>
        <v>6.0866529242717189E-2</v>
      </c>
      <c r="B172" s="190">
        <f t="array" ref="B172:B180">IF(B171=$Q158,$Q159:$Q167,IF(B171=$R158,$R159:$R167,B159:B167))</f>
        <v>0.91314600614956465</v>
      </c>
      <c r="C172" s="190">
        <f t="array" ref="C172:C180">IF(C171=$Q158,$Q159:$Q167,IF(C171=$R158,$R159:$R167,C159:C167))</f>
        <v>-0.32315268570748806</v>
      </c>
      <c r="D172" s="191">
        <f t="array" ref="D172:D180">IF(D171=$Q158,$Q159:$Q167,IF(D171=$R158,$R159:$R167,D159:D167))</f>
        <v>0.24089827477813597</v>
      </c>
      <c r="F172" s="156">
        <f>INDEX(A172:D180,,F171)</f>
        <v>6.0866529242717189E-2</v>
      </c>
      <c r="G172" s="158">
        <f>INDEX(A172:D180,,G171)</f>
        <v>0.91314600614956465</v>
      </c>
      <c r="I172" s="156">
        <f>F172^2-G172^2</f>
        <v>-0.8301308941648462</v>
      </c>
      <c r="J172" s="157">
        <f>2*F172*G172</f>
        <v>0.11116005617234577</v>
      </c>
      <c r="K172" s="157">
        <f>I172^2-J172^2</f>
        <v>0.67676074335868797</v>
      </c>
      <c r="L172" s="158">
        <f t="shared" ref="L172:L180" si="63">I172*J172</f>
        <v>-9.2277396825763927E-2</v>
      </c>
      <c r="N172" t="s">
        <v>390</v>
      </c>
      <c r="O172" s="172">
        <f>L181*B182-2*I181*J181</f>
        <v>2.2645341960095959</v>
      </c>
      <c r="Q172" s="156">
        <f t="array" ref="Q172:R180">MMULT(F172:G180,N176:O177)</f>
        <v>8.5503187416053048E-2</v>
      </c>
      <c r="R172" s="158">
        <v>0.9111693409408872</v>
      </c>
    </row>
    <row r="173" spans="1:18" x14ac:dyDescent="0.25">
      <c r="A173" s="194">
        <v>0.82620706981735137</v>
      </c>
      <c r="B173" s="195">
        <v>-0.56099866765873729</v>
      </c>
      <c r="C173" s="195">
        <v>3.6516854142220542E-2</v>
      </c>
      <c r="D173" s="196">
        <v>-3.6453971422927459E-2</v>
      </c>
      <c r="F173" s="123">
        <f>INDEX(A173:D181,,F171)</f>
        <v>0.82620706981735137</v>
      </c>
      <c r="G173" s="90">
        <f>INDEX(A172:D180,,G171)</f>
        <v>-0.56099866765873729</v>
      </c>
      <c r="I173" s="123">
        <f t="shared" ref="I173:I180" si="64">F173^2-G173^2</f>
        <v>0.36789861710129529</v>
      </c>
      <c r="J173" s="37">
        <f t="shared" ref="J173:J180" si="65">2*F173*G173</f>
        <v>-0.92700213075552695</v>
      </c>
      <c r="K173" s="37">
        <f t="shared" ref="K173:K180" si="66">I173^2-J173^2</f>
        <v>-0.72398355796024161</v>
      </c>
      <c r="L173" s="90">
        <f t="shared" si="63"/>
        <v>-0.34104280195491249</v>
      </c>
      <c r="N173" t="s">
        <v>392</v>
      </c>
      <c r="O173" s="173">
        <f>K181*B182-(I181^2-J181^2)</f>
        <v>20.880423835405036</v>
      </c>
      <c r="Q173" s="123">
        <v>0.810756398824239</v>
      </c>
      <c r="R173" s="90">
        <v>-0.58310521271602744</v>
      </c>
    </row>
    <row r="174" spans="1:18" x14ac:dyDescent="0.25">
      <c r="A174" s="194">
        <v>0.98184707784643954</v>
      </c>
      <c r="B174" s="195">
        <v>0.16859946555767105</v>
      </c>
      <c r="C174" s="195">
        <v>8.1580831604576479E-2</v>
      </c>
      <c r="D174" s="196">
        <v>2.9918286260766334E-2</v>
      </c>
      <c r="F174" s="123">
        <f>INDEX(A174:D182,,F171)</f>
        <v>0.98184707784643954</v>
      </c>
      <c r="G174" s="90">
        <f>INDEX(A172:D180,,G171)</f>
        <v>0.16859946555767105</v>
      </c>
      <c r="I174" s="123">
        <f t="shared" si="64"/>
        <v>0.93559790448925995</v>
      </c>
      <c r="J174" s="37">
        <f t="shared" si="65"/>
        <v>0.33107778516854153</v>
      </c>
      <c r="K174" s="37">
        <f t="shared" si="66"/>
        <v>0.76573093905258738</v>
      </c>
      <c r="L174" s="90">
        <f t="shared" si="63"/>
        <v>0.30975568202663284</v>
      </c>
      <c r="N174" t="s">
        <v>467</v>
      </c>
      <c r="O174" s="174">
        <f>0.25*ATAN(O172/O173)</f>
        <v>2.7007568267474288E-2</v>
      </c>
      <c r="Q174" s="123">
        <v>0.98604192373023125</v>
      </c>
      <c r="R174" s="90">
        <v>0.14202390189087707</v>
      </c>
    </row>
    <row r="175" spans="1:18" x14ac:dyDescent="0.25">
      <c r="A175" s="194">
        <v>9.2513733971531426E-2</v>
      </c>
      <c r="B175" s="195">
        <v>3.0103915139108536E-2</v>
      </c>
      <c r="C175" s="195">
        <v>4.2554852405862258E-2</v>
      </c>
      <c r="D175" s="196">
        <v>0.99434604029817386</v>
      </c>
      <c r="F175" s="123">
        <f>INDEX(A175:D183,,F171)</f>
        <v>9.2513733971531426E-2</v>
      </c>
      <c r="G175" s="90">
        <f>INDEX(A172:D180,,G171)</f>
        <v>3.0103915139108536E-2</v>
      </c>
      <c r="I175" s="123">
        <f t="shared" si="64"/>
        <v>7.6525452666526394E-3</v>
      </c>
      <c r="J175" s="37">
        <f t="shared" si="65"/>
        <v>5.5700511933620888E-3</v>
      </c>
      <c r="K175" s="37">
        <f t="shared" si="66"/>
        <v>2.7535978761493287E-5</v>
      </c>
      <c r="L175" s="90">
        <f t="shared" si="63"/>
        <v>4.2625068894775938E-5</v>
      </c>
      <c r="Q175" s="123">
        <v>9.3292930566988924E-2</v>
      </c>
      <c r="R175" s="90">
        <v>2.7594669526575605E-2</v>
      </c>
    </row>
    <row r="176" spans="1:18" x14ac:dyDescent="0.25">
      <c r="A176" s="194">
        <v>0.4034147146979305</v>
      </c>
      <c r="B176" s="195">
        <v>-0.11215735267237016</v>
      </c>
      <c r="C176" s="195">
        <v>0.8584536830607693</v>
      </c>
      <c r="D176" s="196">
        <v>0.29620021986169043</v>
      </c>
      <c r="F176" s="123">
        <f>INDEX(A176:D184,,F171)</f>
        <v>0.4034147146979305</v>
      </c>
      <c r="G176" s="90">
        <f>INDEX(A172:D180,,G171)</f>
        <v>-0.11215735267237016</v>
      </c>
      <c r="I176" s="123">
        <f t="shared" si="64"/>
        <v>0.15016416027633825</v>
      </c>
      <c r="J176" s="37">
        <f t="shared" si="65"/>
        <v>-9.0491852859198765E-2</v>
      </c>
      <c r="K176" s="37">
        <f t="shared" si="66"/>
        <v>1.4360499597606921E-2</v>
      </c>
      <c r="L176" s="90">
        <f t="shared" si="63"/>
        <v>-1.358863309645154E-2</v>
      </c>
      <c r="N176" s="156">
        <f>COS(O174)</f>
        <v>0.99963531779581305</v>
      </c>
      <c r="O176" s="158">
        <f>-N177</f>
        <v>-2.7004285127807285E-2</v>
      </c>
      <c r="Q176" s="123">
        <v>0.40023886739982828</v>
      </c>
      <c r="R176" s="90">
        <v>-0.12301037686223779</v>
      </c>
    </row>
    <row r="177" spans="1:18" x14ac:dyDescent="0.25">
      <c r="A177" s="194">
        <v>2.8184272266890418E-3</v>
      </c>
      <c r="B177" s="195">
        <v>-1.3740514630095244E-2</v>
      </c>
      <c r="C177" s="195">
        <v>0.99966897598248228</v>
      </c>
      <c r="D177" s="196">
        <v>-2.1568337529893157E-2</v>
      </c>
      <c r="F177" s="123">
        <f>INDEX(A177:D185,,F171)</f>
        <v>2.8184272266890418E-3</v>
      </c>
      <c r="G177" s="90">
        <f>INDEX(A172:D180,,G171)</f>
        <v>-1.3740514630095244E-2</v>
      </c>
      <c r="I177" s="123">
        <f t="shared" si="64"/>
        <v>-1.8085821026771936E-4</v>
      </c>
      <c r="J177" s="37">
        <f t="shared" si="65"/>
        <v>-7.7453281084359081E-5</v>
      </c>
      <c r="K177" s="37">
        <f t="shared" si="66"/>
        <v>2.6710681470509849E-8</v>
      </c>
      <c r="L177" s="90">
        <f t="shared" si="63"/>
        <v>1.4008061796279785E-8</v>
      </c>
      <c r="N177" s="91">
        <f>SIN(O174)</f>
        <v>2.7004285127807285E-2</v>
      </c>
      <c r="O177" s="93">
        <f>N176</f>
        <v>0.99963531779581305</v>
      </c>
      <c r="Q177" s="123">
        <v>2.4463466215617728E-3</v>
      </c>
      <c r="R177" s="90">
        <v>-1.3811613321374764E-2</v>
      </c>
    </row>
    <row r="178" spans="1:18" x14ac:dyDescent="0.25">
      <c r="A178" s="194">
        <v>0.9751649824365487</v>
      </c>
      <c r="B178" s="195">
        <v>3.076724874590317E-2</v>
      </c>
      <c r="C178" s="195">
        <v>0.12570859000224271</v>
      </c>
      <c r="D178" s="196">
        <v>0.17973309053644415</v>
      </c>
      <c r="F178" s="123">
        <f>INDEX(A178:D186,,F171)</f>
        <v>0.9751649824365487</v>
      </c>
      <c r="G178" s="90">
        <f>INDEX(A172:D180,,G171)</f>
        <v>3.076724874590317E-2</v>
      </c>
      <c r="I178" s="123">
        <f t="shared" si="64"/>
        <v>0.950000119375082</v>
      </c>
      <c r="J178" s="37">
        <f t="shared" si="65"/>
        <v>6.0006287165839181E-2</v>
      </c>
      <c r="K178" s="37">
        <f t="shared" si="66"/>
        <v>0.89889947231324085</v>
      </c>
      <c r="L178" s="90">
        <f t="shared" si="63"/>
        <v>5.7005979970802673E-2</v>
      </c>
      <c r="Q178" s="123">
        <v>0.97564020467904033</v>
      </c>
      <c r="R178" s="90">
        <v>4.422395245444001E-3</v>
      </c>
    </row>
    <row r="179" spans="1:18" x14ac:dyDescent="0.25">
      <c r="A179" s="194">
        <v>0.72336130132743015</v>
      </c>
      <c r="B179" s="195">
        <v>-0.18902306039581265</v>
      </c>
      <c r="C179" s="195">
        <v>0.52169698959900879</v>
      </c>
      <c r="D179" s="196">
        <v>0.41091478608565507</v>
      </c>
      <c r="F179" s="123">
        <f>INDEX(A179:D187,,F171)</f>
        <v>0.72336130132743015</v>
      </c>
      <c r="G179" s="90">
        <f>INDEX(A172:D180,,G171)</f>
        <v>-0.18902306039581265</v>
      </c>
      <c r="I179" s="123">
        <f t="shared" si="64"/>
        <v>0.48752185489671424</v>
      </c>
      <c r="J179" s="37">
        <f t="shared" si="65"/>
        <v>-0.27346393389761692</v>
      </c>
      <c r="K179" s="37">
        <f t="shared" si="66"/>
        <v>0.1628950358591727</v>
      </c>
      <c r="L179" s="90">
        <f t="shared" si="63"/>
        <v>-0.13331964430111864</v>
      </c>
      <c r="Q179" s="123">
        <v>0.71799307171497928</v>
      </c>
      <c r="R179" s="90">
        <v>-0.20848798188097298</v>
      </c>
    </row>
    <row r="180" spans="1:18" x14ac:dyDescent="0.25">
      <c r="A180" s="200">
        <v>0.12491107183865352</v>
      </c>
      <c r="B180" s="201">
        <v>-0.9036962138445227</v>
      </c>
      <c r="C180" s="201">
        <v>-0.24977846275702964</v>
      </c>
      <c r="D180" s="202">
        <v>0.32456293189138063</v>
      </c>
      <c r="F180" s="91">
        <f>INDEX(A180:D188,,F171)</f>
        <v>0.12491107183865352</v>
      </c>
      <c r="G180" s="93">
        <f>INDEX(A172:D180,,G171)</f>
        <v>-0.9036962138445227</v>
      </c>
      <c r="I180" s="91">
        <f t="shared" si="64"/>
        <v>-0.80106407104904398</v>
      </c>
      <c r="J180" s="92">
        <f t="shared" si="65"/>
        <v>-0.22576332537570473</v>
      </c>
      <c r="K180" s="92">
        <f t="shared" si="66"/>
        <v>0.59073456684097148</v>
      </c>
      <c r="L180" s="93">
        <f t="shared" si="63"/>
        <v>0.18085088851903197</v>
      </c>
      <c r="Q180" s="91">
        <v>0.10046184876607064</v>
      </c>
      <c r="R180" s="93">
        <v>-0.90673978611689343</v>
      </c>
    </row>
    <row r="181" spans="1:18" x14ac:dyDescent="0.25">
      <c r="I181">
        <f>SUM(I172:I180)</f>
        <v>1.2674593779811845</v>
      </c>
      <c r="J181">
        <f>SUM(J172:J180)</f>
        <v>-1.008984516469043</v>
      </c>
      <c r="K181">
        <f>SUM(K172:K180)</f>
        <v>2.3854252617514686</v>
      </c>
      <c r="L181">
        <f>SUM(L172:L180)</f>
        <v>-3.2573286584822531E-2</v>
      </c>
    </row>
    <row r="182" spans="1:18" x14ac:dyDescent="0.25">
      <c r="A182" s="47" t="s">
        <v>53</v>
      </c>
      <c r="B182">
        <f>COUNT(A172:A180)</f>
        <v>9</v>
      </c>
      <c r="I182" s="47" t="s">
        <v>462</v>
      </c>
      <c r="J182" s="47" t="s">
        <v>389</v>
      </c>
      <c r="K182" s="47" t="s">
        <v>469</v>
      </c>
      <c r="L182" s="47" t="s">
        <v>470</v>
      </c>
      <c r="N182" s="47"/>
    </row>
    <row r="184" spans="1:18" x14ac:dyDescent="0.25">
      <c r="A184">
        <v>1</v>
      </c>
      <c r="B184">
        <v>2</v>
      </c>
      <c r="C184">
        <v>3</v>
      </c>
      <c r="D184">
        <v>4</v>
      </c>
      <c r="F184">
        <v>1</v>
      </c>
      <c r="G184">
        <v>3</v>
      </c>
      <c r="I184" s="47" t="s">
        <v>207</v>
      </c>
      <c r="J184" s="47" t="s">
        <v>464</v>
      </c>
      <c r="K184" s="47" t="s">
        <v>465</v>
      </c>
      <c r="L184" s="47" t="s">
        <v>466</v>
      </c>
      <c r="Q184">
        <f>F184</f>
        <v>1</v>
      </c>
      <c r="R184">
        <f>G184</f>
        <v>3</v>
      </c>
    </row>
    <row r="185" spans="1:18" x14ac:dyDescent="0.25">
      <c r="A185" s="189">
        <f t="array" ref="A185:A193">IF(A184=$Q171,$Q172:$Q180,IF(A184=$R171,$R172:$R180,A172:A180))</f>
        <v>8.5503187416053048E-2</v>
      </c>
      <c r="B185" s="190">
        <f t="array" ref="B185:B193">IF(B184=$Q171,$Q172:$Q180,IF(B184=$R171,$R172:$R180,B172:B180))</f>
        <v>0.9111693409408872</v>
      </c>
      <c r="C185" s="190">
        <f t="array" ref="C185:C193">IF(C184=$Q171,$Q172:$Q180,IF(C184=$R171,$R172:$R180,C172:C180))</f>
        <v>-0.32315268570748806</v>
      </c>
      <c r="D185" s="191">
        <f t="array" ref="D185:D193">IF(D184=$Q171,$Q172:$Q180,IF(D184=$R171,$R172:$R180,D172:D180))</f>
        <v>0.24089827477813597</v>
      </c>
      <c r="F185" s="156">
        <f>INDEX(A185:D193,,F184)</f>
        <v>8.5503187416053048E-2</v>
      </c>
      <c r="G185" s="158">
        <f>INDEX(A185:D193,,G184)</f>
        <v>-0.32315268570748806</v>
      </c>
      <c r="I185" s="156">
        <f>F185^2-G185^2</f>
        <v>-9.711686322165787E-2</v>
      </c>
      <c r="J185" s="157">
        <f>2*F185*G185</f>
        <v>-5.5261169300096474E-2</v>
      </c>
      <c r="K185" s="157">
        <f>I185^2-J185^2</f>
        <v>6.3778882896002777E-3</v>
      </c>
      <c r="L185" s="158">
        <f t="shared" ref="L185:L193" si="67">I185*J185</f>
        <v>5.3667914203863482E-3</v>
      </c>
      <c r="N185" t="s">
        <v>390</v>
      </c>
      <c r="O185" s="172">
        <f>L194*B195-2*I194*J194</f>
        <v>-1.9999658240182128</v>
      </c>
      <c r="Q185" s="156">
        <f t="array" ref="Q185:R193">MMULT(F185:G193,N189:O190)</f>
        <v>9.2007581044587866E-2</v>
      </c>
      <c r="R185" s="158">
        <v>-0.32136125835045964</v>
      </c>
    </row>
    <row r="186" spans="1:18" x14ac:dyDescent="0.25">
      <c r="A186" s="194">
        <v>0.810756398824239</v>
      </c>
      <c r="B186" s="195">
        <v>-0.58310521271602744</v>
      </c>
      <c r="C186" s="195">
        <v>3.6516854142220542E-2</v>
      </c>
      <c r="D186" s="196">
        <v>-3.6453971422927459E-2</v>
      </c>
      <c r="F186" s="123">
        <f>INDEX(A186:D194,,F184)</f>
        <v>0.810756398824239</v>
      </c>
      <c r="G186" s="90">
        <f>INDEX(A185:D193,,G184)</f>
        <v>3.6516854142220542E-2</v>
      </c>
      <c r="I186" s="123">
        <f t="shared" ref="I186:I193" si="68">F186^2-G186^2</f>
        <v>0.65599245759800429</v>
      </c>
      <c r="J186" s="37">
        <f t="shared" ref="J186:J193" si="69">2*F186*G186</f>
        <v>5.9212546321473443E-2</v>
      </c>
      <c r="K186" s="37">
        <f t="shared" ref="K186:K193" si="70">I186^2-J186^2</f>
        <v>0.42681997878359679</v>
      </c>
      <c r="L186" s="90">
        <f t="shared" si="67"/>
        <v>3.8842983782059033E-2</v>
      </c>
      <c r="N186" t="s">
        <v>392</v>
      </c>
      <c r="O186" s="173">
        <f>K194*B195-(I194^2-J194^2)</f>
        <v>24.718826556552049</v>
      </c>
      <c r="Q186" s="123">
        <v>0.80985429267291276</v>
      </c>
      <c r="R186" s="90">
        <v>5.2871953908939846E-2</v>
      </c>
    </row>
    <row r="187" spans="1:18" x14ac:dyDescent="0.25">
      <c r="A187" s="194">
        <v>0.98604192373023125</v>
      </c>
      <c r="B187" s="195">
        <v>0.14202390189087707</v>
      </c>
      <c r="C187" s="195">
        <v>8.1580831604576479E-2</v>
      </c>
      <c r="D187" s="196">
        <v>2.9918286260766334E-2</v>
      </c>
      <c r="F187" s="123">
        <f>INDEX(A187:D195,,F184)</f>
        <v>0.98604192373023125</v>
      </c>
      <c r="G187" s="90">
        <f>INDEX(A185:D193,,G184)</f>
        <v>8.1580831604576479E-2</v>
      </c>
      <c r="I187" s="123">
        <f t="shared" si="68"/>
        <v>0.96562324326832094</v>
      </c>
      <c r="J187" s="37">
        <f t="shared" si="69"/>
        <v>0.16088424026977727</v>
      </c>
      <c r="K187" s="37">
        <f t="shared" si="70"/>
        <v>0.90654450917284746</v>
      </c>
      <c r="L187" s="90">
        <f t="shared" si="67"/>
        <v>0.15535356188006214</v>
      </c>
      <c r="N187" t="s">
        <v>467</v>
      </c>
      <c r="O187" s="174">
        <f>0.25*ATAN(O185/O186)</f>
        <v>-2.0183187296254072E-2</v>
      </c>
      <c r="Q187" s="123">
        <v>0.98419464359598241</v>
      </c>
      <c r="R187" s="90">
        <v>0.10146433341764312</v>
      </c>
    </row>
    <row r="188" spans="1:18" x14ac:dyDescent="0.25">
      <c r="A188" s="194">
        <v>9.3292930566988924E-2</v>
      </c>
      <c r="B188" s="195">
        <v>2.7594669526575605E-2</v>
      </c>
      <c r="C188" s="195">
        <v>4.2554852405862258E-2</v>
      </c>
      <c r="D188" s="196">
        <v>0.99434604029817386</v>
      </c>
      <c r="F188" s="123">
        <f>INDEX(A188:D196,,F184)</f>
        <v>9.3292930566988924E-2</v>
      </c>
      <c r="G188" s="90">
        <f>INDEX(A185:D193,,G184)</f>
        <v>4.2554852405862258E-2</v>
      </c>
      <c r="I188" s="123">
        <f t="shared" si="68"/>
        <v>6.8926554304922956E-3</v>
      </c>
      <c r="J188" s="37">
        <f t="shared" si="69"/>
        <v>7.9401337815771383E-3</v>
      </c>
      <c r="K188" s="37">
        <f t="shared" si="70"/>
        <v>-1.5537025585847538E-5</v>
      </c>
      <c r="L188" s="90">
        <f t="shared" si="67"/>
        <v>5.4728606228422986E-5</v>
      </c>
      <c r="Q188" s="123">
        <v>9.2415095014553625E-2</v>
      </c>
      <c r="R188" s="90">
        <v>4.4429005959088975E-2</v>
      </c>
    </row>
    <row r="189" spans="1:18" x14ac:dyDescent="0.25">
      <c r="A189" s="194">
        <v>0.40023886739982828</v>
      </c>
      <c r="B189" s="195">
        <v>-0.12301037686223779</v>
      </c>
      <c r="C189" s="195">
        <v>0.8584536830607693</v>
      </c>
      <c r="D189" s="196">
        <v>0.29620021986169043</v>
      </c>
      <c r="F189" s="123">
        <f>INDEX(A189:D197,,F184)</f>
        <v>0.40023886739982828</v>
      </c>
      <c r="G189" s="90">
        <f>INDEX(A185:D193,,G184)</f>
        <v>0.8584536830607693</v>
      </c>
      <c r="I189" s="123">
        <f t="shared" si="68"/>
        <v>-0.57675157498310237</v>
      </c>
      <c r="J189" s="37">
        <f t="shared" si="69"/>
        <v>0.68717305964690689</v>
      </c>
      <c r="K189" s="37">
        <f t="shared" si="70"/>
        <v>-0.13956443465900231</v>
      </c>
      <c r="L189" s="90">
        <f t="shared" si="67"/>
        <v>-0.3963281444373109</v>
      </c>
      <c r="N189" s="156">
        <f>COS(O187)</f>
        <v>0.99979632638948102</v>
      </c>
      <c r="O189" s="158">
        <f>-N190</f>
        <v>2.0181817016771301E-2</v>
      </c>
      <c r="Q189" s="123">
        <v>0.38283219415572911</v>
      </c>
      <c r="R189" s="90">
        <v>0.86635638628454015</v>
      </c>
    </row>
    <row r="190" spans="1:18" x14ac:dyDescent="0.25">
      <c r="A190" s="194">
        <v>2.4463466215617728E-3</v>
      </c>
      <c r="B190" s="195">
        <v>-1.3811613321374764E-2</v>
      </c>
      <c r="C190" s="195">
        <v>0.99966897598248228</v>
      </c>
      <c r="D190" s="196">
        <v>-2.1568337529893157E-2</v>
      </c>
      <c r="F190" s="123">
        <f>INDEX(A190:D198,,F184)</f>
        <v>2.4463466215617728E-3</v>
      </c>
      <c r="G190" s="90">
        <f>INDEX(A185:D193,,G184)</f>
        <v>0.99966897598248228</v>
      </c>
      <c r="I190" s="123">
        <f t="shared" si="68"/>
        <v>-0.99933207693007198</v>
      </c>
      <c r="J190" s="37">
        <f t="shared" si="69"/>
        <v>4.891073644149725E-3</v>
      </c>
      <c r="K190" s="37">
        <f t="shared" si="70"/>
        <v>0.99864067737997875</v>
      </c>
      <c r="L190" s="90">
        <f t="shared" si="67"/>
        <v>-4.8878067832260801E-3</v>
      </c>
      <c r="N190" s="91">
        <f>SIN(O187)</f>
        <v>-2.0181817016771301E-2</v>
      </c>
      <c r="O190" s="93">
        <f>N189</f>
        <v>0.99979632638948102</v>
      </c>
      <c r="Q190" s="123">
        <v>-1.7729287985308824E-2</v>
      </c>
      <c r="R190" s="90">
        <v>0.99951474151269604</v>
      </c>
    </row>
    <row r="191" spans="1:18" x14ac:dyDescent="0.25">
      <c r="A191" s="194">
        <v>0.97564020467904033</v>
      </c>
      <c r="B191" s="195">
        <v>4.422395245444001E-3</v>
      </c>
      <c r="C191" s="195">
        <v>0.12570859000224271</v>
      </c>
      <c r="D191" s="196">
        <v>0.17973309053644415</v>
      </c>
      <c r="F191" s="123">
        <f>INDEX(A191:D199,,F184)</f>
        <v>0.97564020467904033</v>
      </c>
      <c r="G191" s="90">
        <f>INDEX(A185:D193,,G184)</f>
        <v>0.12570859000224271</v>
      </c>
      <c r="I191" s="123">
        <f t="shared" si="68"/>
        <v>0.93607115938580776</v>
      </c>
      <c r="J191" s="37">
        <f t="shared" si="69"/>
        <v>0.2452927089594033</v>
      </c>
      <c r="K191" s="37">
        <f t="shared" si="70"/>
        <v>0.81606070236524775</v>
      </c>
      <c r="L191" s="90">
        <f t="shared" si="67"/>
        <v>0.22961143046451415</v>
      </c>
      <c r="Q191" s="123">
        <v>0.97290446475512427</v>
      </c>
      <c r="R191" s="90">
        <v>0.14537317856488141</v>
      </c>
    </row>
    <row r="192" spans="1:18" x14ac:dyDescent="0.25">
      <c r="A192" s="194">
        <v>0.71799307171497928</v>
      </c>
      <c r="B192" s="195">
        <v>-0.20848798188097298</v>
      </c>
      <c r="C192" s="195">
        <v>0.52169698959900879</v>
      </c>
      <c r="D192" s="196">
        <v>0.41091478608565507</v>
      </c>
      <c r="F192" s="123">
        <f>INDEX(A192:D200,,F184)</f>
        <v>0.71799307171497928</v>
      </c>
      <c r="G192" s="90">
        <f>INDEX(A185:D193,,G184)</f>
        <v>0.52169698959900879</v>
      </c>
      <c r="I192" s="123">
        <f t="shared" si="68"/>
        <v>0.24334630207404306</v>
      </c>
      <c r="J192" s="37">
        <f t="shared" si="69"/>
        <v>0.74914964813329987</v>
      </c>
      <c r="K192" s="37">
        <f t="shared" si="70"/>
        <v>-0.50200777256513562</v>
      </c>
      <c r="L192" s="90">
        <f t="shared" si="67"/>
        <v>0.18230279657330906</v>
      </c>
      <c r="Q192" s="123">
        <v>0.7073180422914479</v>
      </c>
      <c r="R192" s="90">
        <v>0.53608113848220151</v>
      </c>
    </row>
    <row r="193" spans="1:18" x14ac:dyDescent="0.25">
      <c r="A193" s="200">
        <v>0.10046184876607064</v>
      </c>
      <c r="B193" s="201">
        <v>-0.90673978611689343</v>
      </c>
      <c r="C193" s="201">
        <v>-0.24977846275702964</v>
      </c>
      <c r="D193" s="202">
        <v>0.32456293189138063</v>
      </c>
      <c r="F193" s="91">
        <f>INDEX(A193:D201,,F184)</f>
        <v>0.10046184876607064</v>
      </c>
      <c r="G193" s="93">
        <f>INDEX(A185:D193,,G184)</f>
        <v>-0.24977846275702964</v>
      </c>
      <c r="I193" s="91">
        <f t="shared" si="68"/>
        <v>-5.2296697399767993E-2</v>
      </c>
      <c r="J193" s="92">
        <f t="shared" si="69"/>
        <v>-5.018641230103664E-2</v>
      </c>
      <c r="K193" s="92">
        <f t="shared" si="70"/>
        <v>2.162685792732582E-4</v>
      </c>
      <c r="L193" s="93">
        <f t="shared" si="67"/>
        <v>2.6245836176873073E-3</v>
      </c>
      <c r="Q193" s="91">
        <v>0.10548237056870584</v>
      </c>
      <c r="R193" s="93">
        <v>-0.24770008682672665</v>
      </c>
    </row>
    <row r="194" spans="1:18" x14ac:dyDescent="0.25">
      <c r="I194">
        <f>SUM(I185:I193)</f>
        <v>1.082428605222068</v>
      </c>
      <c r="J194">
        <f>SUM(J185:J193)</f>
        <v>1.8090958291554544</v>
      </c>
      <c r="K194">
        <f>SUM(K185:K193)</f>
        <v>2.5130722803208201</v>
      </c>
      <c r="L194">
        <f>SUM(L185:L193)</f>
        <v>0.21294092512370946</v>
      </c>
    </row>
    <row r="195" spans="1:18" x14ac:dyDescent="0.25">
      <c r="A195" s="47" t="s">
        <v>53</v>
      </c>
      <c r="B195">
        <f>COUNT(A185:A193)</f>
        <v>9</v>
      </c>
      <c r="I195" s="47" t="s">
        <v>462</v>
      </c>
      <c r="J195" s="47" t="s">
        <v>389</v>
      </c>
      <c r="K195" s="47" t="s">
        <v>469</v>
      </c>
      <c r="L195" s="47" t="s">
        <v>470</v>
      </c>
      <c r="N195" s="47"/>
    </row>
    <row r="197" spans="1:18" x14ac:dyDescent="0.25">
      <c r="A197">
        <v>1</v>
      </c>
      <c r="B197">
        <v>2</v>
      </c>
      <c r="C197">
        <v>3</v>
      </c>
      <c r="D197">
        <v>4</v>
      </c>
      <c r="F197">
        <v>1</v>
      </c>
      <c r="G197">
        <v>4</v>
      </c>
      <c r="I197" s="47" t="s">
        <v>207</v>
      </c>
      <c r="J197" s="47" t="s">
        <v>464</v>
      </c>
      <c r="K197" s="47" t="s">
        <v>465</v>
      </c>
      <c r="L197" s="47" t="s">
        <v>466</v>
      </c>
      <c r="Q197">
        <f>F197</f>
        <v>1</v>
      </c>
      <c r="R197">
        <f>G197</f>
        <v>4</v>
      </c>
    </row>
    <row r="198" spans="1:18" x14ac:dyDescent="0.25">
      <c r="A198" s="189">
        <f t="array" ref="A198:A206">IF(A197=$Q184,$Q185:$Q193,IF(A197=$R184,$R185:$R193,A185:A193))</f>
        <v>9.2007581044587866E-2</v>
      </c>
      <c r="B198" s="190">
        <f t="array" ref="B198:B206">IF(B197=$Q184,$Q185:$Q193,IF(B197=$R184,$R185:$R193,B185:B193))</f>
        <v>0.9111693409408872</v>
      </c>
      <c r="C198" s="190">
        <f t="array" ref="C198:C206">IF(C197=$Q184,$Q185:$Q193,IF(C197=$R184,$R185:$R193,C185:C193))</f>
        <v>-0.32136125835045964</v>
      </c>
      <c r="D198" s="191">
        <f t="array" ref="D198:D206">IF(D197=$Q184,$Q185:$Q193,IF(D197=$R184,$R185:$R193,D185:D193))</f>
        <v>0.24089827477813597</v>
      </c>
      <c r="F198" s="156">
        <f>INDEX(A198:D206,,F197)</f>
        <v>9.2007581044587866E-2</v>
      </c>
      <c r="G198" s="158">
        <f>INDEX(A198:D206,,G197)</f>
        <v>0.24089827477813597</v>
      </c>
      <c r="I198" s="156">
        <f>F198^2-G198^2</f>
        <v>-4.9566583821405899E-2</v>
      </c>
      <c r="J198" s="157">
        <f>2*F198*G198</f>
        <v>4.4328935080301488E-2</v>
      </c>
      <c r="K198" s="157">
        <f>I198^2-J198^2</f>
        <v>4.917917463708732E-4</v>
      </c>
      <c r="L198" s="158">
        <f t="shared" ref="L198:L206" si="71">I198*J198</f>
        <v>-2.197233876371424E-3</v>
      </c>
      <c r="N198" t="s">
        <v>390</v>
      </c>
      <c r="O198" s="172">
        <f>L207*B208-2*I207*J207</f>
        <v>-2.0481481919538012</v>
      </c>
      <c r="Q198" s="156">
        <f t="array" ref="Q198:R206">MMULT(F198:G206,N202:O203)</f>
        <v>8.6730828652857653E-2</v>
      </c>
      <c r="R198" s="158">
        <v>0.24284797121233556</v>
      </c>
    </row>
    <row r="199" spans="1:18" x14ac:dyDescent="0.25">
      <c r="A199" s="194">
        <v>0.80985429267291276</v>
      </c>
      <c r="B199" s="195">
        <v>-0.58310521271602744</v>
      </c>
      <c r="C199" s="195">
        <v>5.2871953908939846E-2</v>
      </c>
      <c r="D199" s="196">
        <v>-3.6453971422927459E-2</v>
      </c>
      <c r="F199" s="123">
        <f>INDEX(A199:D207,,F197)</f>
        <v>0.80985429267291276</v>
      </c>
      <c r="G199" s="90">
        <f>INDEX(A198:D206,,G197)</f>
        <v>-3.6453971422927459E-2</v>
      </c>
      <c r="I199" s="123">
        <f t="shared" ref="I199:I206" si="72">F199^2-G199^2</f>
        <v>0.65453508332824017</v>
      </c>
      <c r="J199" s="37">
        <f t="shared" ref="J199:J206" si="73">2*F199*G199</f>
        <v>-5.9044810483666985E-2</v>
      </c>
      <c r="K199" s="37">
        <f t="shared" ref="K199:K206" si="74">I199^2-J199^2</f>
        <v>0.42492988566245415</v>
      </c>
      <c r="L199" s="90">
        <f t="shared" si="71"/>
        <v>-3.8646899950027118E-2</v>
      </c>
      <c r="N199" t="s">
        <v>392</v>
      </c>
      <c r="O199" s="173">
        <f>K207*B208-(I207^2-J207^2)</f>
        <v>23.411822635362832</v>
      </c>
      <c r="Q199" s="123">
        <v>0.81045678442170932</v>
      </c>
      <c r="R199" s="90">
        <v>-1.877945627728558E-2</v>
      </c>
    </row>
    <row r="200" spans="1:18" x14ac:dyDescent="0.25">
      <c r="A200" s="194">
        <v>0.98419464359598241</v>
      </c>
      <c r="B200" s="195">
        <v>0.14202390189087707</v>
      </c>
      <c r="C200" s="195">
        <v>0.10146433341764312</v>
      </c>
      <c r="D200" s="196">
        <v>2.9918286260766334E-2</v>
      </c>
      <c r="F200" s="123">
        <f>INDEX(A200:D208,,F197)</f>
        <v>0.98419464359598241</v>
      </c>
      <c r="G200" s="90">
        <f>INDEX(A198:D206,,G197)</f>
        <v>2.9918286260766334E-2</v>
      </c>
      <c r="I200" s="123">
        <f t="shared" si="72"/>
        <v>0.96774399263024169</v>
      </c>
      <c r="J200" s="37">
        <f t="shared" si="73"/>
        <v>5.8890834166835E-2</v>
      </c>
      <c r="K200" s="37">
        <f t="shared" si="74"/>
        <v>0.93306030492305569</v>
      </c>
      <c r="L200" s="90">
        <f t="shared" si="71"/>
        <v>5.6991250985938359E-2</v>
      </c>
      <c r="N200" t="s">
        <v>467</v>
      </c>
      <c r="O200" s="174">
        <f>0.25*ATAN(O198/O199)</f>
        <v>-2.1815334641741516E-2</v>
      </c>
      <c r="Q200" s="123">
        <v>0.98330783376650566</v>
      </c>
      <c r="R200" s="90">
        <v>5.1379999895154127E-2</v>
      </c>
    </row>
    <row r="201" spans="1:18" x14ac:dyDescent="0.25">
      <c r="A201" s="194">
        <v>9.2415095014553625E-2</v>
      </c>
      <c r="B201" s="195">
        <v>2.7594669526575605E-2</v>
      </c>
      <c r="C201" s="195">
        <v>4.4429005959088975E-2</v>
      </c>
      <c r="D201" s="196">
        <v>0.99434604029817386</v>
      </c>
      <c r="F201" s="123">
        <f>INDEX(A201:D209,,F197)</f>
        <v>9.2415095014553625E-2</v>
      </c>
      <c r="G201" s="90">
        <f>INDEX(A198:D206,,G197)</f>
        <v>0.99434604029817386</v>
      </c>
      <c r="I201" s="123">
        <f t="shared" si="72"/>
        <v>-0.98018349807010863</v>
      </c>
      <c r="J201" s="37">
        <f t="shared" si="73"/>
        <v>0.18378516758300181</v>
      </c>
      <c r="K201" s="37">
        <f t="shared" si="74"/>
        <v>0.92698270206544264</v>
      </c>
      <c r="L201" s="90">
        <f t="shared" si="71"/>
        <v>-0.18014318845490784</v>
      </c>
      <c r="Q201" s="123">
        <v>7.0702834215640151E-2</v>
      </c>
      <c r="R201" s="90">
        <v>0.9961253469704916</v>
      </c>
    </row>
    <row r="202" spans="1:18" x14ac:dyDescent="0.25">
      <c r="A202" s="194">
        <v>0.38283219415572911</v>
      </c>
      <c r="B202" s="195">
        <v>-0.12301037686223779</v>
      </c>
      <c r="C202" s="195">
        <v>0.86635638628454015</v>
      </c>
      <c r="D202" s="196">
        <v>0.29620021986169043</v>
      </c>
      <c r="F202" s="123">
        <f>INDEX(A202:D210,,F197)</f>
        <v>0.38283219415572911</v>
      </c>
      <c r="G202" s="90">
        <f>INDEX(A198:D206,,G197)</f>
        <v>0.29620021986169043</v>
      </c>
      <c r="I202" s="123">
        <f t="shared" si="72"/>
        <v>5.882591863597611E-2</v>
      </c>
      <c r="J202" s="37">
        <f t="shared" si="73"/>
        <v>0.22678996015812064</v>
      </c>
      <c r="K202" s="37">
        <f t="shared" si="74"/>
        <v>-4.7973197325155467E-2</v>
      </c>
      <c r="L202" s="90">
        <f t="shared" si="71"/>
        <v>1.3341127743717868E-2</v>
      </c>
      <c r="N202" s="156">
        <f>COS(O200)</f>
        <v>0.99976205502413518</v>
      </c>
      <c r="O202" s="158">
        <f>-N203</f>
        <v>2.181360433120088E-2</v>
      </c>
      <c r="Q202" s="123">
        <v>0.37627990675965284</v>
      </c>
      <c r="R202" s="90">
        <v>0.30448069051608284</v>
      </c>
    </row>
    <row r="203" spans="1:18" x14ac:dyDescent="0.25">
      <c r="A203" s="194">
        <v>-1.7729287985308824E-2</v>
      </c>
      <c r="B203" s="195">
        <v>-1.3811613321374764E-2</v>
      </c>
      <c r="C203" s="195">
        <v>0.99951474151269604</v>
      </c>
      <c r="D203" s="196">
        <v>-2.1568337529893157E-2</v>
      </c>
      <c r="F203" s="123">
        <f>INDEX(A203:D211,,F197)</f>
        <v>-1.7729287985308824E-2</v>
      </c>
      <c r="G203" s="90">
        <f>INDEX(A198:D206,,G197)</f>
        <v>-2.1568337529893157E-2</v>
      </c>
      <c r="I203" s="123">
        <f t="shared" si="72"/>
        <v>-1.5086553133738183E-4</v>
      </c>
      <c r="J203" s="37">
        <f t="shared" si="73"/>
        <v>7.6478253486364034E-4</v>
      </c>
      <c r="K203" s="37">
        <f t="shared" si="74"/>
        <v>-5.6213191708674468E-7</v>
      </c>
      <c r="L203" s="90">
        <f t="shared" si="71"/>
        <v>-1.1537932347975284E-7</v>
      </c>
      <c r="N203" s="91">
        <f>SIN(O200)</f>
        <v>-2.181360433120088E-2</v>
      </c>
      <c r="O203" s="93">
        <f>N202</f>
        <v>0.99976205502413518</v>
      </c>
      <c r="Q203" s="123">
        <v>-1.725458620934818E-2</v>
      </c>
      <c r="R203" s="90">
        <v>-2.1949945125525606E-2</v>
      </c>
    </row>
    <row r="204" spans="1:18" x14ac:dyDescent="0.25">
      <c r="A204" s="194">
        <v>0.97290446475512427</v>
      </c>
      <c r="B204" s="195">
        <v>4.422395245444001E-3</v>
      </c>
      <c r="C204" s="195">
        <v>0.14537317856488141</v>
      </c>
      <c r="D204" s="196">
        <v>0.17973309053644415</v>
      </c>
      <c r="F204" s="123">
        <f>INDEX(A204:D212,,F197)</f>
        <v>0.97290446475512427</v>
      </c>
      <c r="G204" s="90">
        <f>INDEX(A198:D206,,G197)</f>
        <v>0.17973309053644415</v>
      </c>
      <c r="I204" s="123">
        <f t="shared" si="72"/>
        <v>0.91423911370667321</v>
      </c>
      <c r="J204" s="37">
        <f t="shared" si="73"/>
        <v>0.34972625249428696</v>
      </c>
      <c r="K204" s="37">
        <f t="shared" si="74"/>
        <v>0.71352470534746559</v>
      </c>
      <c r="L204" s="90">
        <f t="shared" si="71"/>
        <v>0.3197334191203331</v>
      </c>
      <c r="Q204" s="123">
        <v>0.96875234050355341</v>
      </c>
      <c r="R204" s="90">
        <v>0.2009128769967814</v>
      </c>
    </row>
    <row r="205" spans="1:18" x14ac:dyDescent="0.25">
      <c r="A205" s="194">
        <v>0.7073180422914479</v>
      </c>
      <c r="B205" s="195">
        <v>-0.20848798188097298</v>
      </c>
      <c r="C205" s="195">
        <v>0.53608113848220151</v>
      </c>
      <c r="D205" s="196">
        <v>0.41091478608565507</v>
      </c>
      <c r="F205" s="123">
        <f>INDEX(A205:D213,,F197)</f>
        <v>0.7073180422914479</v>
      </c>
      <c r="G205" s="90">
        <f>INDEX(A198:D206,,G197)</f>
        <v>0.41091478608565507</v>
      </c>
      <c r="I205" s="123">
        <f t="shared" si="72"/>
        <v>0.33144785152718687</v>
      </c>
      <c r="J205" s="37">
        <f t="shared" si="73"/>
        <v>0.58129488408542929</v>
      </c>
      <c r="K205" s="37">
        <f t="shared" si="74"/>
        <v>-0.22804606398190458</v>
      </c>
      <c r="L205" s="90">
        <f t="shared" si="71"/>
        <v>0.19266894043386065</v>
      </c>
      <c r="Q205" s="123">
        <v>0.69818620695943368</v>
      </c>
      <c r="R205" s="90">
        <v>0.42624616688766265</v>
      </c>
    </row>
    <row r="206" spans="1:18" x14ac:dyDescent="0.25">
      <c r="A206" s="200">
        <v>0.10548237056870584</v>
      </c>
      <c r="B206" s="201">
        <v>-0.90673978611689343</v>
      </c>
      <c r="C206" s="201">
        <v>-0.24770008682672665</v>
      </c>
      <c r="D206" s="202">
        <v>0.32456293189138063</v>
      </c>
      <c r="F206" s="91">
        <f>INDEX(A206:D214,,F197)</f>
        <v>0.10548237056870584</v>
      </c>
      <c r="G206" s="93">
        <f>INDEX(A198:D206,,G197)</f>
        <v>0.32456293189138063</v>
      </c>
      <c r="I206" s="91">
        <f t="shared" si="72"/>
        <v>-9.4214566257135202E-2</v>
      </c>
      <c r="J206" s="92">
        <f t="shared" si="73"/>
        <v>6.8471334909264492E-2</v>
      </c>
      <c r="K206" s="92">
        <f t="shared" si="74"/>
        <v>4.1880607907634577E-3</v>
      </c>
      <c r="L206" s="93">
        <f t="shared" si="71"/>
        <v>-6.4509971195233938E-3</v>
      </c>
      <c r="Q206" s="91">
        <v>9.8377384191733613E-2</v>
      </c>
      <c r="R206" s="93">
        <v>0.32678665446788796</v>
      </c>
    </row>
    <row r="207" spans="1:18" x14ac:dyDescent="0.25">
      <c r="I207">
        <f>SUM(I198:I206)</f>
        <v>1.8026764461483309</v>
      </c>
      <c r="J207">
        <f>SUM(J198:J206)</f>
        <v>1.4550073405284363</v>
      </c>
      <c r="K207">
        <f>SUM(K198:K206)</f>
        <v>2.7271576270965752</v>
      </c>
      <c r="L207">
        <f>SUM(L198:L206)</f>
        <v>0.35529630350369673</v>
      </c>
    </row>
    <row r="208" spans="1:18" x14ac:dyDescent="0.25">
      <c r="A208" s="47" t="s">
        <v>53</v>
      </c>
      <c r="B208">
        <f>COUNT(A198:A206)</f>
        <v>9</v>
      </c>
      <c r="I208" s="47" t="s">
        <v>462</v>
      </c>
      <c r="J208" s="47" t="s">
        <v>389</v>
      </c>
      <c r="K208" s="47" t="s">
        <v>469</v>
      </c>
      <c r="L208" s="47" t="s">
        <v>470</v>
      </c>
      <c r="N208" s="47"/>
    </row>
    <row r="210" spans="1:18" x14ac:dyDescent="0.25">
      <c r="A210">
        <v>1</v>
      </c>
      <c r="B210">
        <v>2</v>
      </c>
      <c r="C210">
        <v>3</v>
      </c>
      <c r="D210">
        <v>4</v>
      </c>
      <c r="F210">
        <v>2</v>
      </c>
      <c r="G210">
        <v>3</v>
      </c>
      <c r="I210" s="47" t="s">
        <v>207</v>
      </c>
      <c r="J210" s="47" t="s">
        <v>464</v>
      </c>
      <c r="K210" s="47" t="s">
        <v>465</v>
      </c>
      <c r="L210" s="47" t="s">
        <v>466</v>
      </c>
      <c r="Q210">
        <f>F210</f>
        <v>2</v>
      </c>
      <c r="R210">
        <f>G210</f>
        <v>3</v>
      </c>
    </row>
    <row r="211" spans="1:18" x14ac:dyDescent="0.25">
      <c r="A211" s="189">
        <f t="array" ref="A211:A219">IF(A210=$Q197,$Q198:$Q206,IF(A210=$R197,$R198:$R206,A198:A206))</f>
        <v>8.6730828652857653E-2</v>
      </c>
      <c r="B211" s="190">
        <f t="array" ref="B211:B219">IF(B210=$Q197,$Q198:$Q206,IF(B210=$R197,$R198:$R206,B198:B206))</f>
        <v>0.9111693409408872</v>
      </c>
      <c r="C211" s="190">
        <f t="array" ref="C211:C219">IF(C210=$Q197,$Q198:$Q206,IF(C210=$R197,$R198:$R206,C198:C206))</f>
        <v>-0.32136125835045964</v>
      </c>
      <c r="D211" s="191">
        <f t="array" ref="D211:D219">IF(D210=$Q197,$Q198:$Q206,IF(D210=$R197,$R198:$R206,D198:D206))</f>
        <v>0.24284797121233556</v>
      </c>
      <c r="F211" s="156">
        <f>INDEX(A211:D219,,F210)</f>
        <v>0.9111693409408872</v>
      </c>
      <c r="G211" s="158">
        <f>INDEX(A211:D219,,G210)</f>
        <v>-0.32136125835045964</v>
      </c>
      <c r="I211" s="156">
        <f>F211^2-G211^2</f>
        <v>0.72695650950205981</v>
      </c>
      <c r="J211" s="157">
        <f>2*F211*G211</f>
        <v>-0.58562905195024495</v>
      </c>
      <c r="K211" s="157">
        <f>I211^2-J211^2</f>
        <v>0.18550438021927573</v>
      </c>
      <c r="L211" s="158">
        <f t="shared" ref="L211:L219" si="75">I211*J211</f>
        <v>-0.4257268514687505</v>
      </c>
      <c r="N211" t="s">
        <v>390</v>
      </c>
      <c r="O211" s="172">
        <f>L220*B221-2*I220*J220</f>
        <v>1.0004852586879043</v>
      </c>
      <c r="Q211" s="156">
        <f t="array" ref="Q211:R219">MMULT(F211:G219,N215:O216)</f>
        <v>0.9070693639416435</v>
      </c>
      <c r="R211" s="158">
        <v>-0.33275786277373492</v>
      </c>
    </row>
    <row r="212" spans="1:18" x14ac:dyDescent="0.25">
      <c r="A212" s="194">
        <v>0.81045678442170932</v>
      </c>
      <c r="B212" s="195">
        <v>-0.58310521271602744</v>
      </c>
      <c r="C212" s="195">
        <v>5.2871953908939846E-2</v>
      </c>
      <c r="D212" s="196">
        <v>-1.877945627728558E-2</v>
      </c>
      <c r="F212" s="123">
        <f>INDEX(A212:D220,,F210)</f>
        <v>-0.58310521271602744</v>
      </c>
      <c r="G212" s="90">
        <f>INDEX(A211:D219,,G210)</f>
        <v>5.2871953908939846E-2</v>
      </c>
      <c r="I212" s="123">
        <f t="shared" ref="I212:I219" si="76">F212^2-G212^2</f>
        <v>0.33721624558645458</v>
      </c>
      <c r="J212" s="37">
        <f t="shared" ref="J212:J219" si="77">2*F212*G212</f>
        <v>-6.1659823861568736E-2</v>
      </c>
      <c r="K212" s="37">
        <f t="shared" ref="K212:K219" si="78">I212^2-J212^2</f>
        <v>0.10991286240878437</v>
      </c>
      <c r="L212" s="90">
        <f t="shared" si="75"/>
        <v>-2.0792694306120296E-2</v>
      </c>
      <c r="N212" t="s">
        <v>392</v>
      </c>
      <c r="O212" s="173">
        <f>K220*B221-(I220^2-J220^2)</f>
        <v>19.935981506612915</v>
      </c>
      <c r="Q212" s="123">
        <v>-0.58239662753440113</v>
      </c>
      <c r="R212" s="90">
        <v>6.0177245228646772E-2</v>
      </c>
    </row>
    <row r="213" spans="1:18" x14ac:dyDescent="0.25">
      <c r="A213" s="194">
        <v>0.98330783376650566</v>
      </c>
      <c r="B213" s="195">
        <v>0.14202390189087707</v>
      </c>
      <c r="C213" s="195">
        <v>0.10146433341764312</v>
      </c>
      <c r="D213" s="196">
        <v>5.1379999895154127E-2</v>
      </c>
      <c r="F213" s="123">
        <f>INDEX(A213:D221,,F210)</f>
        <v>0.14202390189087707</v>
      </c>
      <c r="G213" s="90">
        <f>INDEX(A211:D219,,G210)</f>
        <v>0.10146433341764312</v>
      </c>
      <c r="I213" s="123">
        <f t="shared" si="76"/>
        <v>9.8757777524228259E-3</v>
      </c>
      <c r="J213" s="37">
        <f t="shared" si="77"/>
        <v>2.8820721069461173E-2</v>
      </c>
      <c r="K213" s="37">
        <f t="shared" si="78"/>
        <v>-7.3310297674843356E-4</v>
      </c>
      <c r="L213" s="90">
        <f t="shared" si="75"/>
        <v>2.8462703594656845E-4</v>
      </c>
      <c r="N213" t="s">
        <v>467</v>
      </c>
      <c r="O213" s="174">
        <f>0.25*ATAN(O211/O212)</f>
        <v>1.2535708485315763E-2</v>
      </c>
      <c r="Q213" s="123">
        <v>0.1432846369289168</v>
      </c>
      <c r="R213" s="90">
        <v>9.9676037663746525E-2</v>
      </c>
    </row>
    <row r="214" spans="1:18" x14ac:dyDescent="0.25">
      <c r="A214" s="194">
        <v>7.0702834215640151E-2</v>
      </c>
      <c r="B214" s="195">
        <v>2.7594669526575605E-2</v>
      </c>
      <c r="C214" s="195">
        <v>4.4429005959088975E-2</v>
      </c>
      <c r="D214" s="196">
        <v>0.9961253469704916</v>
      </c>
      <c r="F214" s="123">
        <f>INDEX(A214:D222,,F210)</f>
        <v>2.7594669526575605E-2</v>
      </c>
      <c r="G214" s="90">
        <f>INDEX(A211:D219,,G210)</f>
        <v>4.4429005959088975E-2</v>
      </c>
      <c r="I214" s="123">
        <f t="shared" si="76"/>
        <v>-1.2124707842318433E-3</v>
      </c>
      <c r="J214" s="37">
        <f t="shared" si="77"/>
        <v>2.452007473670637E-3</v>
      </c>
      <c r="K214" s="37">
        <f t="shared" si="78"/>
        <v>-4.5422552483208781E-6</v>
      </c>
      <c r="L214" s="90">
        <f t="shared" si="75"/>
        <v>-2.9729874245437781E-6</v>
      </c>
      <c r="Q214" s="123">
        <v>2.8149435867014436E-2</v>
      </c>
      <c r="R214" s="90">
        <v>4.4079605456066928E-2</v>
      </c>
    </row>
    <row r="215" spans="1:18" x14ac:dyDescent="0.25">
      <c r="A215" s="194">
        <v>0.37627990675965284</v>
      </c>
      <c r="B215" s="195">
        <v>-0.12301037686223779</v>
      </c>
      <c r="C215" s="195">
        <v>0.86635638628454015</v>
      </c>
      <c r="D215" s="196">
        <v>0.30448069051608284</v>
      </c>
      <c r="F215" s="123">
        <f>INDEX(A215:D223,,F210)</f>
        <v>-0.12301037686223779</v>
      </c>
      <c r="G215" s="90">
        <f>INDEX(A211:D219,,G210)</f>
        <v>0.86635638628454015</v>
      </c>
      <c r="I215" s="123">
        <f t="shared" si="76"/>
        <v>-0.73544183524021756</v>
      </c>
      <c r="J215" s="37">
        <f t="shared" si="77"/>
        <v>-0.21314165114773548</v>
      </c>
      <c r="K215" s="37">
        <f t="shared" si="78"/>
        <v>0.4954453295675163</v>
      </c>
      <c r="L215" s="90">
        <f t="shared" si="75"/>
        <v>0.1567532870862208</v>
      </c>
      <c r="N215" s="156">
        <f>COS(O213)</f>
        <v>0.99992142903530656</v>
      </c>
      <c r="O215" s="158">
        <f>-N216</f>
        <v>-1.253538016935973E-2</v>
      </c>
      <c r="Q215" s="123">
        <v>-0.11214060515403103</v>
      </c>
      <c r="R215" s="90">
        <v>0.86783029766624575</v>
      </c>
    </row>
    <row r="216" spans="1:18" x14ac:dyDescent="0.25">
      <c r="A216" s="194">
        <v>-1.725458620934818E-2</v>
      </c>
      <c r="B216" s="195">
        <v>-1.3811613321374764E-2</v>
      </c>
      <c r="C216" s="195">
        <v>0.99951474151269604</v>
      </c>
      <c r="D216" s="196">
        <v>-2.1949945125525606E-2</v>
      </c>
      <c r="F216" s="123">
        <f>INDEX(A216:D224,,F210)</f>
        <v>-1.3811613321374764E-2</v>
      </c>
      <c r="G216" s="90">
        <f>INDEX(A211:D219,,G210)</f>
        <v>0.99951474151269604</v>
      </c>
      <c r="I216" s="123">
        <f t="shared" si="76"/>
        <v>-0.9988389578386524</v>
      </c>
      <c r="J216" s="37">
        <f t="shared" si="77"/>
        <v>-2.7609822237574414E-2</v>
      </c>
      <c r="K216" s="37">
        <f t="shared" si="78"/>
        <v>0.99691696141221475</v>
      </c>
      <c r="L216" s="90">
        <f t="shared" si="75"/>
        <v>2.7577766069889278E-2</v>
      </c>
      <c r="N216" s="91">
        <f>SIN(O213)</f>
        <v>1.253538016935973E-2</v>
      </c>
      <c r="O216" s="93">
        <f>N215</f>
        <v>0.99992142903530656</v>
      </c>
      <c r="Q216" s="123">
        <v>-1.2812308598511655E-3</v>
      </c>
      <c r="R216" s="90">
        <v>0.99960934249896571</v>
      </c>
    </row>
    <row r="217" spans="1:18" x14ac:dyDescent="0.25">
      <c r="A217" s="194">
        <v>0.96875234050355341</v>
      </c>
      <c r="B217" s="195">
        <v>4.422395245444001E-3</v>
      </c>
      <c r="C217" s="195">
        <v>0.14537317856488141</v>
      </c>
      <c r="D217" s="196">
        <v>0.2009128769967814</v>
      </c>
      <c r="F217" s="123">
        <f>INDEX(A217:D225,,F210)</f>
        <v>4.422395245444001E-3</v>
      </c>
      <c r="G217" s="90">
        <f>INDEX(A211:D219,,G210)</f>
        <v>0.14537317856488141</v>
      </c>
      <c r="I217" s="123">
        <f t="shared" si="76"/>
        <v>-2.1113803466349973E-2</v>
      </c>
      <c r="J217" s="37">
        <f t="shared" si="77"/>
        <v>1.2857953074008265E-3</v>
      </c>
      <c r="K217" s="37">
        <f t="shared" si="78"/>
        <v>4.4413942724311813E-4</v>
      </c>
      <c r="L217" s="90">
        <f t="shared" si="75"/>
        <v>-2.71480294184161E-5</v>
      </c>
      <c r="Q217" s="123">
        <v>6.2443558333223166E-3</v>
      </c>
      <c r="R217" s="90">
        <v>0.14530632004834021</v>
      </c>
    </row>
    <row r="218" spans="1:18" x14ac:dyDescent="0.25">
      <c r="A218" s="194">
        <v>0.69818620695943368</v>
      </c>
      <c r="B218" s="195">
        <v>-0.20848798188097298</v>
      </c>
      <c r="C218" s="195">
        <v>0.53608113848220151</v>
      </c>
      <c r="D218" s="196">
        <v>0.42624616688766265</v>
      </c>
      <c r="F218" s="123">
        <f>INDEX(A218:D226,,F210)</f>
        <v>-0.20848798188097298</v>
      </c>
      <c r="G218" s="90">
        <f>INDEX(A211:D219,,G210)</f>
        <v>0.53608113848220151</v>
      </c>
      <c r="I218" s="123">
        <f t="shared" si="76"/>
        <v>-0.24391574844757241</v>
      </c>
      <c r="J218" s="37">
        <f t="shared" si="77"/>
        <v>-0.22353294937321719</v>
      </c>
      <c r="K218" s="37">
        <f t="shared" si="78"/>
        <v>9.5279128852501435E-3</v>
      </c>
      <c r="L218" s="90">
        <f t="shared" si="75"/>
        <v>5.452320664906158E-2</v>
      </c>
      <c r="Q218" s="123">
        <v>-0.201751619906612</v>
      </c>
      <c r="R218" s="90">
        <v>0.5386524941836176</v>
      </c>
    </row>
    <row r="219" spans="1:18" x14ac:dyDescent="0.25">
      <c r="A219" s="200">
        <v>9.8377384191733613E-2</v>
      </c>
      <c r="B219" s="201">
        <v>-0.90673978611689343</v>
      </c>
      <c r="C219" s="201">
        <v>-0.24770008682672665</v>
      </c>
      <c r="D219" s="202">
        <v>0.32678665446788796</v>
      </c>
      <c r="F219" s="91">
        <f>INDEX(A219:D227,,F210)</f>
        <v>-0.90673978611689343</v>
      </c>
      <c r="G219" s="93">
        <f>INDEX(A211:D219,,G210)</f>
        <v>-0.24770008682672665</v>
      </c>
      <c r="I219" s="91">
        <f t="shared" si="76"/>
        <v>0.76082170671334171</v>
      </c>
      <c r="J219" s="92">
        <f t="shared" si="77"/>
        <v>0.44919904750080408</v>
      </c>
      <c r="K219" s="92">
        <f t="shared" si="78"/>
        <v>0.37706988513057255</v>
      </c>
      <c r="L219" s="93">
        <f t="shared" si="75"/>
        <v>0.34176038597356923</v>
      </c>
      <c r="Q219" s="91">
        <v>-0.90977355745352873</v>
      </c>
      <c r="R219" s="93">
        <v>-0.23631429685829083</v>
      </c>
    </row>
    <row r="220" spans="1:18" x14ac:dyDescent="0.25">
      <c r="I220">
        <f>SUM(I211:I219)</f>
        <v>-0.1656525762227451</v>
      </c>
      <c r="J220">
        <f>SUM(J211:J219)</f>
        <v>-0.62981572721900414</v>
      </c>
      <c r="K220">
        <f>SUM(K211:K219)</f>
        <v>2.1740838258188604</v>
      </c>
      <c r="L220">
        <f>SUM(L211:L219)</f>
        <v>0.13434960602297374</v>
      </c>
    </row>
    <row r="221" spans="1:18" x14ac:dyDescent="0.25">
      <c r="A221" s="47" t="s">
        <v>53</v>
      </c>
      <c r="B221">
        <f>COUNT(A211:A219)</f>
        <v>9</v>
      </c>
      <c r="I221" s="47" t="s">
        <v>462</v>
      </c>
      <c r="J221" s="47" t="s">
        <v>389</v>
      </c>
      <c r="K221" s="47" t="s">
        <v>469</v>
      </c>
      <c r="L221" s="47" t="s">
        <v>470</v>
      </c>
      <c r="N221" s="47"/>
    </row>
    <row r="223" spans="1:18" x14ac:dyDescent="0.25">
      <c r="A223">
        <v>1</v>
      </c>
      <c r="B223">
        <v>2</v>
      </c>
      <c r="C223">
        <v>3</v>
      </c>
      <c r="D223">
        <v>4</v>
      </c>
      <c r="F223">
        <v>2</v>
      </c>
      <c r="G223">
        <v>4</v>
      </c>
      <c r="I223" s="47" t="s">
        <v>207</v>
      </c>
      <c r="J223" s="47" t="s">
        <v>464</v>
      </c>
      <c r="K223" s="47" t="s">
        <v>465</v>
      </c>
      <c r="L223" s="47" t="s">
        <v>466</v>
      </c>
      <c r="Q223">
        <f>F223</f>
        <v>2</v>
      </c>
      <c r="R223">
        <f>G223</f>
        <v>4</v>
      </c>
    </row>
    <row r="224" spans="1:18" x14ac:dyDescent="0.25">
      <c r="A224" s="189">
        <f t="array" ref="A224:A232">IF(A223=$Q210,$Q211:$Q219,IF(A223=$R210,$R211:$R219,A211:A219))</f>
        <v>8.6730828652857653E-2</v>
      </c>
      <c r="B224" s="190">
        <f t="array" ref="B224:B232">IF(B223=$Q210,$Q211:$Q219,IF(B223=$R210,$R211:$R219,B211:B219))</f>
        <v>0.9070693639416435</v>
      </c>
      <c r="C224" s="190">
        <f t="array" ref="C224:C232">IF(C223=$Q210,$Q211:$Q219,IF(C223=$R210,$R211:$R219,C211:C219))</f>
        <v>-0.33275786277373492</v>
      </c>
      <c r="D224" s="191">
        <f t="array" ref="D224:D232">IF(D223=$Q210,$Q211:$Q219,IF(D223=$R210,$R211:$R219,D211:D219))</f>
        <v>0.24284797121233556</v>
      </c>
      <c r="F224" s="156">
        <f>INDEX(A224:D232,,F223)</f>
        <v>0.9070693639416435</v>
      </c>
      <c r="G224" s="158">
        <f>INDEX(A224:D232,,G223)</f>
        <v>0.24284797121233556</v>
      </c>
      <c r="I224" s="156">
        <f>F224^2-G224^2</f>
        <v>0.76379969387955038</v>
      </c>
      <c r="J224" s="157">
        <f>2*F224*G224</f>
        <v>0.44055990956418356</v>
      </c>
      <c r="K224" s="157">
        <f>I224^2-J224^2</f>
        <v>0.38929693845529323</v>
      </c>
      <c r="L224" s="158">
        <f t="shared" ref="L224:L232" si="79">I224*J224</f>
        <v>0.33649952406072581</v>
      </c>
      <c r="N224" t="s">
        <v>390</v>
      </c>
      <c r="O224" s="172">
        <f>L233*B234-2*I233*J233</f>
        <v>-0.64238766348608078</v>
      </c>
      <c r="Q224" s="156">
        <f t="array" ref="Q224:R232">MMULT(F224:G232,N228:O229)</f>
        <v>0.9043325376338035</v>
      </c>
      <c r="R224" s="158">
        <v>0.25284902511231944</v>
      </c>
    </row>
    <row r="225" spans="1:18" x14ac:dyDescent="0.25">
      <c r="A225" s="194">
        <v>0.81045678442170932</v>
      </c>
      <c r="B225" s="195">
        <v>-0.58239662753440113</v>
      </c>
      <c r="C225" s="195">
        <v>6.0177245228646772E-2</v>
      </c>
      <c r="D225" s="196">
        <v>-1.877945627728558E-2</v>
      </c>
      <c r="F225" s="123">
        <f>INDEX(A225:D233,,F223)</f>
        <v>-0.58239662753440113</v>
      </c>
      <c r="G225" s="90">
        <f>INDEX(A224:D232,,G223)</f>
        <v>-1.877945627728558E-2</v>
      </c>
      <c r="I225" s="123">
        <f t="shared" ref="I225:I232" si="80">F225^2-G225^2</f>
        <v>0.33883316378537348</v>
      </c>
      <c r="J225" s="37">
        <f t="shared" ref="J225:J232" si="81">2*F225*G225</f>
        <v>2.1874184005641721E-2</v>
      </c>
      <c r="K225" s="37">
        <f t="shared" ref="K225:K232" si="82">I225^2-J225^2</f>
        <v>0.11432943295489306</v>
      </c>
      <c r="L225" s="90">
        <f t="shared" si="79"/>
        <v>7.4116989718549979E-3</v>
      </c>
      <c r="N225" t="s">
        <v>392</v>
      </c>
      <c r="O225" s="173">
        <f>K233*B234-(I233^2-J233^2)</f>
        <v>14.534433872637644</v>
      </c>
      <c r="Q225" s="123">
        <v>-0.58215375914279144</v>
      </c>
      <c r="R225" s="90">
        <v>-2.5209134404638782E-2</v>
      </c>
    </row>
    <row r="226" spans="1:18" x14ac:dyDescent="0.25">
      <c r="A226" s="194">
        <v>0.98330783376650566</v>
      </c>
      <c r="B226" s="195">
        <v>0.1432846369289168</v>
      </c>
      <c r="C226" s="195">
        <v>9.9676037663746525E-2</v>
      </c>
      <c r="D226" s="196">
        <v>5.1379999895154127E-2</v>
      </c>
      <c r="F226" s="123">
        <f>INDEX(A226:D234,,F223)</f>
        <v>0.1432846369289168</v>
      </c>
      <c r="G226" s="90">
        <f>INDEX(A224:D232,,G223)</f>
        <v>5.1379999895154127E-2</v>
      </c>
      <c r="I226" s="123">
        <f t="shared" si="80"/>
        <v>1.789058279062547E-2</v>
      </c>
      <c r="J226" s="37">
        <f t="shared" si="81"/>
        <v>1.4723929260769885E-2</v>
      </c>
      <c r="K226" s="37">
        <f t="shared" si="82"/>
        <v>1.0327885971206865E-4</v>
      </c>
      <c r="L226" s="90">
        <f t="shared" si="79"/>
        <v>2.6341967544311651E-4</v>
      </c>
      <c r="N226" t="s">
        <v>467</v>
      </c>
      <c r="O226" s="174">
        <f>0.25*ATAN(O224/O225)</f>
        <v>-1.1042223452956426E-2</v>
      </c>
      <c r="Q226" s="123">
        <v>0.14270856370934973</v>
      </c>
      <c r="R226" s="90">
        <v>5.2959016353138703E-2</v>
      </c>
    </row>
    <row r="227" spans="1:18" x14ac:dyDescent="0.25">
      <c r="A227" s="194">
        <v>7.0702834215640151E-2</v>
      </c>
      <c r="B227" s="195">
        <v>2.8149435867014436E-2</v>
      </c>
      <c r="C227" s="195">
        <v>4.4079605456066928E-2</v>
      </c>
      <c r="D227" s="196">
        <v>0.9961253469704916</v>
      </c>
      <c r="F227" s="123">
        <f>INDEX(A227:D235,,F223)</f>
        <v>2.8149435867014436E-2</v>
      </c>
      <c r="G227" s="90">
        <f>INDEX(A224:D232,,G223)</f>
        <v>0.9961253469704916</v>
      </c>
      <c r="I227" s="123">
        <f t="shared" si="80"/>
        <v>-0.99147331613745115</v>
      </c>
      <c r="J227" s="37">
        <f t="shared" si="81"/>
        <v>5.6080733140106712E-2</v>
      </c>
      <c r="K227" s="37">
        <f t="shared" si="82"/>
        <v>0.9798742879830622</v>
      </c>
      <c r="L227" s="90">
        <f t="shared" si="79"/>
        <v>-5.5602550457841057E-2</v>
      </c>
      <c r="Q227" s="123">
        <v>1.7148504602701564E-2</v>
      </c>
      <c r="R227" s="90">
        <v>0.9963754445020232</v>
      </c>
    </row>
    <row r="228" spans="1:18" x14ac:dyDescent="0.25">
      <c r="A228" s="194">
        <v>0.37627990675965284</v>
      </c>
      <c r="B228" s="195">
        <v>-0.11214060515403103</v>
      </c>
      <c r="C228" s="195">
        <v>0.86783029766624575</v>
      </c>
      <c r="D228" s="196">
        <v>0.30448069051608284</v>
      </c>
      <c r="F228" s="123">
        <f>INDEX(A228:D236,,F223)</f>
        <v>-0.11214060515403103</v>
      </c>
      <c r="G228" s="90">
        <f>INDEX(A224:D232,,G223)</f>
        <v>0.30448069051608284</v>
      </c>
      <c r="I228" s="123">
        <f t="shared" si="80"/>
        <v>-8.0132975572838328E-2</v>
      </c>
      <c r="J228" s="37">
        <f t="shared" si="81"/>
        <v>-6.8289297784381531E-2</v>
      </c>
      <c r="K228" s="37">
        <f t="shared" si="82"/>
        <v>1.7578655822731671E-3</v>
      </c>
      <c r="L228" s="90">
        <f t="shared" si="79"/>
        <v>5.4722246312421275E-3</v>
      </c>
      <c r="N228" s="156">
        <f>COS(O226)</f>
        <v>0.99993903527006722</v>
      </c>
      <c r="O228" s="158">
        <f>-N229</f>
        <v>1.1041999056654176E-2</v>
      </c>
      <c r="Q228" s="123">
        <v>-0.11549584402977132</v>
      </c>
      <c r="R228" s="90">
        <v>0.30322387147669239</v>
      </c>
    </row>
    <row r="229" spans="1:18" x14ac:dyDescent="0.25">
      <c r="A229" s="194">
        <v>-1.725458620934818E-2</v>
      </c>
      <c r="B229" s="195">
        <v>-1.2812308598511655E-3</v>
      </c>
      <c r="C229" s="195">
        <v>0.99960934249896571</v>
      </c>
      <c r="D229" s="196">
        <v>-2.1949945125525606E-2</v>
      </c>
      <c r="F229" s="123">
        <f>INDEX(A229:D237,,F223)</f>
        <v>-1.2812308598511655E-3</v>
      </c>
      <c r="G229" s="90">
        <f>INDEX(A224:D232,,G223)</f>
        <v>-2.1949945125525606E-2</v>
      </c>
      <c r="I229" s="123">
        <f t="shared" si="80"/>
        <v>-4.8015853849735034E-4</v>
      </c>
      <c r="J229" s="37">
        <f t="shared" si="81"/>
        <v>5.624589413372614E-5</v>
      </c>
      <c r="K229" s="37">
        <f t="shared" si="82"/>
        <v>2.2738862148500913E-7</v>
      </c>
      <c r="L229" s="90">
        <f t="shared" si="79"/>
        <v>-2.7006946323726633E-8</v>
      </c>
      <c r="N229" s="91">
        <f>SIN(O226)</f>
        <v>-1.1041999056654176E-2</v>
      </c>
      <c r="O229" s="93">
        <f>N228</f>
        <v>0.99993903527006722</v>
      </c>
      <c r="Q229" s="123">
        <v>-1.0387814765881484E-3</v>
      </c>
      <c r="R229" s="90">
        <v>-2.1962754302994821E-2</v>
      </c>
    </row>
    <row r="230" spans="1:18" x14ac:dyDescent="0.25">
      <c r="A230" s="194">
        <v>0.96875234050355341</v>
      </c>
      <c r="B230" s="195">
        <v>6.2443558333223166E-3</v>
      </c>
      <c r="C230" s="195">
        <v>0.14530632004834021</v>
      </c>
      <c r="D230" s="196">
        <v>0.2009128769967814</v>
      </c>
      <c r="F230" s="123">
        <f>INDEX(A230:D238,,F223)</f>
        <v>6.2443558333223166E-3</v>
      </c>
      <c r="G230" s="90">
        <f>INDEX(A224:D232,,G223)</f>
        <v>0.2009128769967814</v>
      </c>
      <c r="I230" s="123">
        <f t="shared" si="80"/>
        <v>-4.0326992163350665E-2</v>
      </c>
      <c r="J230" s="37">
        <f t="shared" si="81"/>
        <v>2.5091429909288418E-3</v>
      </c>
      <c r="K230" s="37">
        <f t="shared" si="82"/>
        <v>1.6199704983940186E-3</v>
      </c>
      <c r="L230" s="90">
        <f t="shared" si="79"/>
        <v>-1.0118618973191366E-4</v>
      </c>
      <c r="Q230" s="123">
        <v>4.0254953495871965E-3</v>
      </c>
      <c r="R230" s="90">
        <v>0.20096957856871625</v>
      </c>
    </row>
    <row r="231" spans="1:18" x14ac:dyDescent="0.25">
      <c r="A231" s="194">
        <v>0.69818620695943368</v>
      </c>
      <c r="B231" s="195">
        <v>-0.201751619906612</v>
      </c>
      <c r="C231" s="195">
        <v>0.5386524941836176</v>
      </c>
      <c r="D231" s="196">
        <v>0.42624616688766265</v>
      </c>
      <c r="F231" s="123">
        <f>INDEX(A231:D239,,F223)</f>
        <v>-0.201751619906612</v>
      </c>
      <c r="G231" s="90">
        <f>INDEX(A224:D232,,G223)</f>
        <v>0.42624616688766265</v>
      </c>
      <c r="I231" s="123">
        <f t="shared" si="80"/>
        <v>-0.14098207865148313</v>
      </c>
      <c r="J231" s="37">
        <f t="shared" si="81"/>
        <v>-0.17199170929714003</v>
      </c>
      <c r="K231" s="37">
        <f t="shared" si="82"/>
        <v>-9.7052015660589498E-3</v>
      </c>
      <c r="L231" s="90">
        <f t="shared" si="79"/>
        <v>2.4247748687532416E-2</v>
      </c>
      <c r="Q231" s="123">
        <v>-0.20644592994626693</v>
      </c>
      <c r="R231" s="90">
        <v>0.42399243970852618</v>
      </c>
    </row>
    <row r="232" spans="1:18" x14ac:dyDescent="0.25">
      <c r="A232" s="200">
        <v>9.8377384191733613E-2</v>
      </c>
      <c r="B232" s="201">
        <v>-0.90977355745352873</v>
      </c>
      <c r="C232" s="201">
        <v>-0.23631429685829083</v>
      </c>
      <c r="D232" s="202">
        <v>0.32678665446788796</v>
      </c>
      <c r="F232" s="91">
        <f>INDEX(A232:D240,,F223)</f>
        <v>-0.90977355745352873</v>
      </c>
      <c r="G232" s="93">
        <f>INDEX(A224:D232,,G223)</f>
        <v>0.32678665446788796</v>
      </c>
      <c r="I232" s="91">
        <f t="shared" si="80"/>
        <v>0.7208984083033344</v>
      </c>
      <c r="J232" s="92">
        <f t="shared" si="81"/>
        <v>-0.59460371432717496</v>
      </c>
      <c r="K232" s="92">
        <f t="shared" si="82"/>
        <v>0.16614093800260832</v>
      </c>
      <c r="L232" s="93">
        <f t="shared" si="79"/>
        <v>-0.42864887122971096</v>
      </c>
      <c r="Q232" s="91">
        <v>-0.91332647128466016</v>
      </c>
      <c r="R232" s="93">
        <v>0.31672101324458191</v>
      </c>
    </row>
    <row r="233" spans="1:18" x14ac:dyDescent="0.25">
      <c r="I233">
        <f>SUM(I224:I232)</f>
        <v>0.58802632769526308</v>
      </c>
      <c r="J233">
        <f>SUM(J224:J232)</f>
        <v>-0.29908057655293202</v>
      </c>
      <c r="K233">
        <f>SUM(K224:K232)</f>
        <v>1.6434177381587984</v>
      </c>
      <c r="L233">
        <f>SUM(L224:L232)</f>
        <v>-0.11045801885743178</v>
      </c>
    </row>
    <row r="234" spans="1:18" x14ac:dyDescent="0.25">
      <c r="A234" s="47" t="s">
        <v>53</v>
      </c>
      <c r="B234">
        <f>COUNT(A224:A232)</f>
        <v>9</v>
      </c>
      <c r="I234" s="47" t="s">
        <v>462</v>
      </c>
      <c r="J234" s="47" t="s">
        <v>389</v>
      </c>
      <c r="K234" s="47" t="s">
        <v>469</v>
      </c>
      <c r="L234" s="47" t="s">
        <v>470</v>
      </c>
      <c r="N234" s="47"/>
    </row>
    <row r="236" spans="1:18" x14ac:dyDescent="0.25">
      <c r="A236">
        <v>1</v>
      </c>
      <c r="B236">
        <v>2</v>
      </c>
      <c r="C236">
        <v>3</v>
      </c>
      <c r="D236">
        <v>4</v>
      </c>
      <c r="F236">
        <v>3</v>
      </c>
      <c r="G236">
        <v>4</v>
      </c>
      <c r="I236" s="47" t="s">
        <v>207</v>
      </c>
      <c r="J236" s="47" t="s">
        <v>464</v>
      </c>
      <c r="K236" s="47" t="s">
        <v>465</v>
      </c>
      <c r="L236" s="47" t="s">
        <v>466</v>
      </c>
      <c r="Q236">
        <f>F236</f>
        <v>3</v>
      </c>
      <c r="R236">
        <f>G236</f>
        <v>4</v>
      </c>
    </row>
    <row r="237" spans="1:18" x14ac:dyDescent="0.25">
      <c r="A237" s="189">
        <f t="array" ref="A237:A245">IF(A236=$Q223,$Q224:$Q232,IF(A236=$R223,$R224:$R232,A224:A232))</f>
        <v>8.6730828652857653E-2</v>
      </c>
      <c r="B237" s="190">
        <f t="array" ref="B237:B245">IF(B236=$Q223,$Q224:$Q232,IF(B236=$R223,$R224:$R232,B224:B232))</f>
        <v>0.9043325376338035</v>
      </c>
      <c r="C237" s="190">
        <f t="array" ref="C237:C245">IF(C236=$Q223,$Q224:$Q232,IF(C236=$R223,$R224:$R232,C224:C232))</f>
        <v>-0.33275786277373492</v>
      </c>
      <c r="D237" s="191">
        <f t="array" ref="D237:D245">IF(D236=$Q223,$Q224:$Q232,IF(D236=$R223,$R224:$R232,D224:D232))</f>
        <v>0.25284902511231944</v>
      </c>
      <c r="F237" s="156">
        <f>INDEX(A237:D245,,F236)</f>
        <v>-0.33275786277373492</v>
      </c>
      <c r="G237" s="158">
        <f>INDEX(A237:D245,,G236)</f>
        <v>0.25284902511231944</v>
      </c>
      <c r="I237" s="156">
        <f>F237^2-G237^2</f>
        <v>4.6795165737493455E-2</v>
      </c>
      <c r="J237" s="157">
        <f>2*F237*G237</f>
        <v>-0.16827500240159568</v>
      </c>
      <c r="K237" s="157">
        <f>I237^2-J237^2</f>
        <v>-2.6126688896857549E-2</v>
      </c>
      <c r="L237" s="158">
        <f t="shared" ref="L237:L245" si="83">I237*J237</f>
        <v>-7.8744566268597795E-3</v>
      </c>
      <c r="N237" t="s">
        <v>390</v>
      </c>
      <c r="O237" s="172">
        <f>L246*B247-2*I246*J246</f>
        <v>1.1895403156421711</v>
      </c>
      <c r="Q237" s="156">
        <f t="array" ref="Q237:R245">MMULT(F237:G245,N241:O242)</f>
        <v>-0.32827975898096573</v>
      </c>
      <c r="R237" s="158">
        <v>0.25863647187006172</v>
      </c>
    </row>
    <row r="238" spans="1:18" x14ac:dyDescent="0.25">
      <c r="A238" s="194">
        <v>0.81045678442170932</v>
      </c>
      <c r="B238" s="195">
        <v>-0.58215375914279144</v>
      </c>
      <c r="C238" s="195">
        <v>6.0177245228646772E-2</v>
      </c>
      <c r="D238" s="196">
        <v>-2.5209134404638782E-2</v>
      </c>
      <c r="F238" s="123">
        <f>INDEX(A238:D246,,F236)</f>
        <v>6.0177245228646772E-2</v>
      </c>
      <c r="G238" s="90">
        <f>INDEX(A237:D245,,G236)</f>
        <v>-2.5209134404638782E-2</v>
      </c>
      <c r="I238" s="123">
        <f t="shared" ref="I238:I245" si="84">F238^2-G238^2</f>
        <v>2.9858003858775481E-3</v>
      </c>
      <c r="J238" s="37">
        <f t="shared" ref="J238:J245" si="85">2*F238*G238</f>
        <v>-3.0340325261397284E-3</v>
      </c>
      <c r="K238" s="37">
        <f t="shared" ref="K238:K245" si="86">I238^2-J238^2</f>
        <v>-2.9034942536730698E-7</v>
      </c>
      <c r="L238" s="90">
        <f t="shared" si="83"/>
        <v>-9.0590154873130337E-6</v>
      </c>
      <c r="N238" t="s">
        <v>392</v>
      </c>
      <c r="O238" s="173">
        <f>K246*B247-(I246^2-J246^2)</f>
        <v>16.956198488958162</v>
      </c>
      <c r="Q238" s="123">
        <v>5.9726637693719109E-2</v>
      </c>
      <c r="R238" s="90">
        <v>-2.6258904214438297E-2</v>
      </c>
    </row>
    <row r="239" spans="1:18" x14ac:dyDescent="0.25">
      <c r="A239" s="194">
        <v>0.98330783376650566</v>
      </c>
      <c r="B239" s="195">
        <v>0.14270856370934973</v>
      </c>
      <c r="C239" s="195">
        <v>9.9676037663746525E-2</v>
      </c>
      <c r="D239" s="196">
        <v>5.2959016353138703E-2</v>
      </c>
      <c r="F239" s="123">
        <f>INDEX(A239:D247,,F236)</f>
        <v>9.9676037663746525E-2</v>
      </c>
      <c r="G239" s="90">
        <f>INDEX(A237:D245,,G236)</f>
        <v>5.2959016353138703E-2</v>
      </c>
      <c r="I239" s="123">
        <f t="shared" si="84"/>
        <v>7.1306550712526041E-3</v>
      </c>
      <c r="J239" s="37">
        <f t="shared" si="85"/>
        <v>1.0557489817300843E-2</v>
      </c>
      <c r="K239" s="37">
        <f t="shared" si="86"/>
        <v>-6.0614349497230513E-5</v>
      </c>
      <c r="L239" s="90">
        <f t="shared" si="83"/>
        <v>7.5281818305433979E-5</v>
      </c>
      <c r="N239" t="s">
        <v>467</v>
      </c>
      <c r="O239" s="174">
        <f>0.25*ATAN(O237/O238)</f>
        <v>1.7509741356868624E-2</v>
      </c>
      <c r="Q239" s="123">
        <v>0.10058800945999419</v>
      </c>
      <c r="R239" s="90">
        <v>5.1205685722512766E-2</v>
      </c>
    </row>
    <row r="240" spans="1:18" x14ac:dyDescent="0.25">
      <c r="A240" s="194">
        <v>7.0702834215640151E-2</v>
      </c>
      <c r="B240" s="195">
        <v>1.7148504602701564E-2</v>
      </c>
      <c r="C240" s="195">
        <v>4.4079605456066928E-2</v>
      </c>
      <c r="D240" s="196">
        <v>0.9963754445020232</v>
      </c>
      <c r="F240" s="123">
        <f>INDEX(A240:D248,,F236)</f>
        <v>4.4079605456066928E-2</v>
      </c>
      <c r="G240" s="90">
        <f>INDEX(A237:D245,,G236)</f>
        <v>0.9963754445020232</v>
      </c>
      <c r="I240" s="123">
        <f t="shared" si="84"/>
        <v>-0.99082101478944185</v>
      </c>
      <c r="J240" s="37">
        <f t="shared" si="85"/>
        <v>8.7839672959524981E-2</v>
      </c>
      <c r="K240" s="37">
        <f t="shared" si="86"/>
        <v>0.97401047520274298</v>
      </c>
      <c r="L240" s="90">
        <f t="shared" si="83"/>
        <v>-8.7033393900529235E-2</v>
      </c>
      <c r="Q240" s="123">
        <v>6.1518233285171531E-2</v>
      </c>
      <c r="R240" s="90">
        <v>0.99545092545902947</v>
      </c>
    </row>
    <row r="241" spans="1:18" x14ac:dyDescent="0.25">
      <c r="A241" s="194">
        <v>0.37627990675965284</v>
      </c>
      <c r="B241" s="195">
        <v>-0.11549584402977132</v>
      </c>
      <c r="C241" s="195">
        <v>0.86783029766624575</v>
      </c>
      <c r="D241" s="196">
        <v>0.30322387147669239</v>
      </c>
      <c r="F241" s="123">
        <f>INDEX(A241:D249,,F236)</f>
        <v>0.86783029766624575</v>
      </c>
      <c r="G241" s="90">
        <f>INDEX(A237:D245,,G236)</f>
        <v>0.30322387147669239</v>
      </c>
      <c r="I241" s="123">
        <f t="shared" si="84"/>
        <v>0.66118470931417106</v>
      </c>
      <c r="J241" s="37">
        <f t="shared" si="85"/>
        <v>0.52629372528625884</v>
      </c>
      <c r="K241" s="37">
        <f t="shared" si="86"/>
        <v>0.16018013455517677</v>
      </c>
      <c r="L241" s="90">
        <f t="shared" si="83"/>
        <v>0.34797736376726723</v>
      </c>
      <c r="N241" s="156">
        <f>COS(O239)</f>
        <v>0.99984670839535394</v>
      </c>
      <c r="O241" s="158">
        <f>-N242</f>
        <v>-1.7508846648941791E-2</v>
      </c>
      <c r="Q241" s="123">
        <v>0.87300636683333988</v>
      </c>
      <c r="R241" s="90">
        <v>0.28798268220372292</v>
      </c>
    </row>
    <row r="242" spans="1:18" x14ac:dyDescent="0.25">
      <c r="A242" s="194">
        <v>-1.725458620934818E-2</v>
      </c>
      <c r="B242" s="195">
        <v>-1.0387814765881484E-3</v>
      </c>
      <c r="C242" s="195">
        <v>0.99960934249896571</v>
      </c>
      <c r="D242" s="196">
        <v>-2.1962754302994821E-2</v>
      </c>
      <c r="F242" s="123">
        <f>INDEX(A242:D250,,F236)</f>
        <v>0.99960934249896571</v>
      </c>
      <c r="G242" s="90">
        <f>INDEX(A237:D245,,G236)</f>
        <v>-2.1962754302994821E-2</v>
      </c>
      <c r="I242" s="123">
        <f t="shared" si="84"/>
        <v>0.9987364750346408</v>
      </c>
      <c r="J242" s="37">
        <f t="shared" si="85"/>
        <v>-4.3908348776565964E-2</v>
      </c>
      <c r="K242" s="37">
        <f t="shared" si="86"/>
        <v>0.99554660347233503</v>
      </c>
      <c r="L242" s="90">
        <f t="shared" si="83"/>
        <v>-4.3852869481699072E-2</v>
      </c>
      <c r="N242" s="91">
        <f>SIN(O239)</f>
        <v>1.7508846648941791E-2</v>
      </c>
      <c r="O242" s="93">
        <f>N241</f>
        <v>0.99984670839535394</v>
      </c>
      <c r="Q242" s="123">
        <v>0.99907156828175536</v>
      </c>
      <c r="R242" s="90">
        <v>-3.9461394283809195E-2</v>
      </c>
    </row>
    <row r="243" spans="1:18" x14ac:dyDescent="0.25">
      <c r="A243" s="194">
        <v>0.96875234050355341</v>
      </c>
      <c r="B243" s="195">
        <v>4.0254953495871965E-3</v>
      </c>
      <c r="C243" s="195">
        <v>0.14530632004834021</v>
      </c>
      <c r="D243" s="196">
        <v>0.20096957856871625</v>
      </c>
      <c r="F243" s="123">
        <f>INDEX(A243:D251,,F236)</f>
        <v>0.14530632004834021</v>
      </c>
      <c r="G243" s="90">
        <f>INDEX(A237:D245,,G236)</f>
        <v>0.20096957856871625</v>
      </c>
      <c r="I243" s="123">
        <f t="shared" si="84"/>
        <v>-1.9274844864096738E-2</v>
      </c>
      <c r="J243" s="37">
        <f t="shared" si="85"/>
        <v>5.8404299806971871E-2</v>
      </c>
      <c r="K243" s="37">
        <f t="shared" si="86"/>
        <v>-3.0395425914076582E-3</v>
      </c>
      <c r="L243" s="90">
        <f t="shared" si="83"/>
        <v>-1.1257338181755779E-3</v>
      </c>
      <c r="Q243" s="123">
        <v>0.1488027913416369</v>
      </c>
      <c r="R243" s="90">
        <v>0.19839462554468396</v>
      </c>
    </row>
    <row r="244" spans="1:18" x14ac:dyDescent="0.25">
      <c r="A244" s="194">
        <v>0.69818620695943368</v>
      </c>
      <c r="B244" s="195">
        <v>-0.20644592994626693</v>
      </c>
      <c r="C244" s="195">
        <v>0.5386524941836176</v>
      </c>
      <c r="D244" s="196">
        <v>0.42399243970852618</v>
      </c>
      <c r="F244" s="123">
        <f>INDEX(A244:D252,,F236)</f>
        <v>0.5386524941836176</v>
      </c>
      <c r="G244" s="90">
        <f>INDEX(A237:D245,,G236)</f>
        <v>0.42399243970852618</v>
      </c>
      <c r="I244" s="123">
        <f t="shared" si="84"/>
        <v>0.11037692056024398</v>
      </c>
      <c r="J244" s="37">
        <f t="shared" si="85"/>
        <v>0.45676917032798947</v>
      </c>
      <c r="K244" s="37">
        <f t="shared" si="86"/>
        <v>-0.19645501036975746</v>
      </c>
      <c r="L244" s="90">
        <f t="shared" si="83"/>
        <v>5.0416774427661043E-2</v>
      </c>
      <c r="Q244" s="123">
        <v>0.54599354188560489</v>
      </c>
      <c r="R244" s="90">
        <v>0.41449626130935452</v>
      </c>
    </row>
    <row r="245" spans="1:18" x14ac:dyDescent="0.25">
      <c r="A245" s="200">
        <v>9.8377384191733613E-2</v>
      </c>
      <c r="B245" s="201">
        <v>-0.91332647128466016</v>
      </c>
      <c r="C245" s="201">
        <v>-0.23631429685829083</v>
      </c>
      <c r="D245" s="202">
        <v>0.31672101324458191</v>
      </c>
      <c r="F245" s="91">
        <f>INDEX(A245:D253,,F236)</f>
        <v>-0.23631429685829083</v>
      </c>
      <c r="G245" s="93">
        <f>INDEX(A237:D245,,G236)</f>
        <v>0.31672101324458191</v>
      </c>
      <c r="I245" s="91">
        <f t="shared" si="84"/>
        <v>-4.4467753331046217E-2</v>
      </c>
      <c r="J245" s="92">
        <f t="shared" si="85"/>
        <v>-0.14969140709027759</v>
      </c>
      <c r="K245" s="92">
        <f t="shared" si="86"/>
        <v>-2.0430136270356437E-2</v>
      </c>
      <c r="L245" s="93">
        <f t="shared" si="83"/>
        <v>6.6564405662676868E-3</v>
      </c>
      <c r="Q245" s="91">
        <v>-0.23073265220912778</v>
      </c>
      <c r="R245" s="93">
        <v>0.32081005335688084</v>
      </c>
    </row>
    <row r="246" spans="1:18" x14ac:dyDescent="0.25">
      <c r="I246">
        <f>SUM(I237:I245)</f>
        <v>0.77264611311909459</v>
      </c>
      <c r="J246">
        <f>SUM(J237:J245)</f>
        <v>0.77495556740346705</v>
      </c>
      <c r="K246">
        <f>SUM(K237:K245)</f>
        <v>1.8836249304029529</v>
      </c>
      <c r="L246">
        <f>SUM(L237:L245)</f>
        <v>0.26523034773675042</v>
      </c>
    </row>
    <row r="247" spans="1:18" x14ac:dyDescent="0.25">
      <c r="A247" s="47" t="s">
        <v>53</v>
      </c>
      <c r="B247">
        <f>COUNT(A237:A245)</f>
        <v>9</v>
      </c>
      <c r="I247" s="47" t="s">
        <v>462</v>
      </c>
      <c r="J247" s="47" t="s">
        <v>389</v>
      </c>
      <c r="K247" s="47" t="s">
        <v>469</v>
      </c>
      <c r="L247" s="47" t="s">
        <v>470</v>
      </c>
      <c r="N247" s="47"/>
    </row>
    <row r="249" spans="1:18" x14ac:dyDescent="0.25">
      <c r="A249">
        <v>1</v>
      </c>
      <c r="B249">
        <v>2</v>
      </c>
      <c r="C249">
        <v>3</v>
      </c>
      <c r="D249">
        <v>4</v>
      </c>
      <c r="F249">
        <v>1</v>
      </c>
      <c r="G249">
        <v>2</v>
      </c>
      <c r="I249" s="47" t="s">
        <v>207</v>
      </c>
      <c r="J249" s="47" t="s">
        <v>464</v>
      </c>
      <c r="K249" s="47" t="s">
        <v>465</v>
      </c>
      <c r="L249" s="47" t="s">
        <v>466</v>
      </c>
      <c r="Q249">
        <f>F249</f>
        <v>1</v>
      </c>
      <c r="R249">
        <f>G249</f>
        <v>2</v>
      </c>
    </row>
    <row r="250" spans="1:18" x14ac:dyDescent="0.25">
      <c r="A250" s="189">
        <f t="array" ref="A250:A258">IF(A249=$Q236,$Q237:$Q245,IF(A249=$R236,$R237:$R245,A237:A245))</f>
        <v>8.6730828652857653E-2</v>
      </c>
      <c r="B250" s="190">
        <f t="array" ref="B250:B258">IF(B249=$Q236,$Q237:$Q245,IF(B249=$R236,$R237:$R245,B237:B245))</f>
        <v>0.9043325376338035</v>
      </c>
      <c r="C250" s="190">
        <f t="array" ref="C250:C258">IF(C249=$Q236,$Q237:$Q245,IF(C249=$R236,$R237:$R245,C237:C245))</f>
        <v>-0.32827975898096573</v>
      </c>
      <c r="D250" s="191">
        <f t="array" ref="D250:D258">IF(D249=$Q236,$Q237:$Q245,IF(D249=$R236,$R237:$R245,D237:D245))</f>
        <v>0.25863647187006172</v>
      </c>
      <c r="F250" s="156">
        <f>INDEX(A250:D258,,F249)</f>
        <v>8.6730828652857653E-2</v>
      </c>
      <c r="G250" s="158">
        <f>INDEX(A250:D258,,G249)</f>
        <v>0.9043325376338035</v>
      </c>
      <c r="I250" s="156">
        <f>F250^2-G250^2</f>
        <v>-0.81029510198438326</v>
      </c>
      <c r="J250" s="157">
        <f>2*F250*G250</f>
        <v>0.15686702073344272</v>
      </c>
      <c r="K250" s="157">
        <f>I250^2-J250^2</f>
        <v>0.63197089010609564</v>
      </c>
      <c r="L250" s="158">
        <f t="shared" ref="L250:L258" si="87">I250*J250</f>
        <v>-0.12710857856319133</v>
      </c>
      <c r="N250" t="s">
        <v>390</v>
      </c>
      <c r="O250" s="172">
        <f>L259*B260-2*I259*J259</f>
        <v>1.1004889111409926</v>
      </c>
      <c r="Q250" s="156">
        <f t="array" ref="Q250:R258">MMULT(F250:G258,N254:O255)</f>
        <v>9.8792112934274312E-2</v>
      </c>
      <c r="R250" s="158">
        <v>0.90309450982939077</v>
      </c>
    </row>
    <row r="251" spans="1:18" x14ac:dyDescent="0.25">
      <c r="A251" s="194">
        <v>0.81045678442170932</v>
      </c>
      <c r="B251" s="195">
        <v>-0.58215375914279144</v>
      </c>
      <c r="C251" s="195">
        <v>5.9726637693719109E-2</v>
      </c>
      <c r="D251" s="196">
        <v>-2.6258904214438297E-2</v>
      </c>
      <c r="F251" s="123">
        <f>INDEX(A251:D259,,F249)</f>
        <v>0.81045678442170932</v>
      </c>
      <c r="G251" s="90">
        <f>INDEX(A250:D258,,G249)</f>
        <v>-0.58215375914279144</v>
      </c>
      <c r="I251" s="123">
        <f t="shared" ref="I251:I258" si="88">F251^2-G251^2</f>
        <v>0.31793720013109378</v>
      </c>
      <c r="J251" s="37">
        <f t="shared" ref="J251:J258" si="89">2*F251*G251</f>
        <v>-0.94362092734775405</v>
      </c>
      <c r="K251" s="37">
        <f t="shared" ref="K251:K258" si="90">I251^2-J251^2</f>
        <v>-0.78933639130143607</v>
      </c>
      <c r="L251" s="90">
        <f t="shared" si="87"/>
        <v>-0.30001219562605119</v>
      </c>
      <c r="N251" t="s">
        <v>392</v>
      </c>
      <c r="O251" s="173">
        <f>K259*B260-(I259^2-J259^2)</f>
        <v>20.59474935520338</v>
      </c>
      <c r="Q251" s="123">
        <v>0.80261531967221833</v>
      </c>
      <c r="R251" s="90">
        <v>-0.59291807809066088</v>
      </c>
    </row>
    <row r="252" spans="1:18" x14ac:dyDescent="0.25">
      <c r="A252" s="194">
        <v>0.98330783376650566</v>
      </c>
      <c r="B252" s="195">
        <v>0.14270856370934973</v>
      </c>
      <c r="C252" s="195">
        <v>0.10058800945999419</v>
      </c>
      <c r="D252" s="196">
        <v>5.1205685722512766E-2</v>
      </c>
      <c r="F252" s="123">
        <f>INDEX(A252:D260,,F249)</f>
        <v>0.98330783376650566</v>
      </c>
      <c r="G252" s="90">
        <f>INDEX(A250:D258,,G249)</f>
        <v>0.14270856370934973</v>
      </c>
      <c r="I252" s="123">
        <f t="shared" si="88"/>
        <v>0.94652856179059242</v>
      </c>
      <c r="J252" s="37">
        <f t="shared" si="89"/>
        <v>0.28065289728194009</v>
      </c>
      <c r="K252" s="37">
        <f t="shared" si="90"/>
        <v>0.81715026953262015</v>
      </c>
      <c r="L252" s="90">
        <f t="shared" si="87"/>
        <v>0.26564598322663763</v>
      </c>
      <c r="N252" t="s">
        <v>467</v>
      </c>
      <c r="O252" s="174">
        <f>0.25*ATAN(O250/O251)</f>
        <v>1.3346159966085161E-2</v>
      </c>
      <c r="Q252" s="123">
        <v>0.98512481645640715</v>
      </c>
      <c r="R252" s="90">
        <v>0.1295728602149909</v>
      </c>
    </row>
    <row r="253" spans="1:18" x14ac:dyDescent="0.25">
      <c r="A253" s="194">
        <v>7.0702834215640151E-2</v>
      </c>
      <c r="B253" s="195">
        <v>1.7148504602701564E-2</v>
      </c>
      <c r="C253" s="195">
        <v>6.1518233285171531E-2</v>
      </c>
      <c r="D253" s="196">
        <v>0.99545092545902947</v>
      </c>
      <c r="F253" s="123">
        <f>INDEX(A253:D261,,F249)</f>
        <v>7.0702834215640151E-2</v>
      </c>
      <c r="G253" s="90">
        <f>INDEX(A250:D258,,G249)</f>
        <v>1.7148504602701564E-2</v>
      </c>
      <c r="I253" s="123">
        <f t="shared" si="88"/>
        <v>4.7048195560154193E-3</v>
      </c>
      <c r="J253" s="37">
        <f t="shared" si="89"/>
        <v>2.4248957559419014E-3</v>
      </c>
      <c r="K253" s="37">
        <f t="shared" si="90"/>
        <v>1.6255207627480082E-5</v>
      </c>
      <c r="L253" s="90">
        <f t="shared" si="87"/>
        <v>1.1408696973854251E-5</v>
      </c>
      <c r="Q253" s="123">
        <v>7.0925397406569168E-2</v>
      </c>
      <c r="R253" s="90">
        <v>1.6203394056598278E-2</v>
      </c>
    </row>
    <row r="254" spans="1:18" x14ac:dyDescent="0.25">
      <c r="A254" s="194">
        <v>0.37627990675965284</v>
      </c>
      <c r="B254" s="195">
        <v>-0.11549584402977132</v>
      </c>
      <c r="C254" s="195">
        <v>0.87300636683333988</v>
      </c>
      <c r="D254" s="196">
        <v>0.28798268220372292</v>
      </c>
      <c r="F254" s="123">
        <f>INDEX(A254:D262,,F249)</f>
        <v>0.37627990675965284</v>
      </c>
      <c r="G254" s="90">
        <f>INDEX(A250:D258,,G249)</f>
        <v>-0.11549584402977132</v>
      </c>
      <c r="I254" s="123">
        <f t="shared" si="88"/>
        <v>0.12824727824290377</v>
      </c>
      <c r="J254" s="37">
        <f t="shared" si="89"/>
        <v>-8.6917530845299518E-2</v>
      </c>
      <c r="K254" s="37">
        <f t="shared" si="90"/>
        <v>8.8927072084691861E-3</v>
      </c>
      <c r="L254" s="90">
        <f t="shared" si="87"/>
        <v>-1.1146936762503298E-2</v>
      </c>
      <c r="N254" s="156">
        <f>COS(O252)</f>
        <v>0.99991094132901903</v>
      </c>
      <c r="O254" s="158">
        <f>-N255</f>
        <v>-1.3345763766643032E-2</v>
      </c>
      <c r="Q254" s="123">
        <v>0.37470501552078961</v>
      </c>
      <c r="R254" s="90">
        <v>-0.120507300869147</v>
      </c>
    </row>
    <row r="255" spans="1:18" x14ac:dyDescent="0.25">
      <c r="A255" s="194">
        <v>-1.725458620934818E-2</v>
      </c>
      <c r="B255" s="195">
        <v>-1.0387814765881484E-3</v>
      </c>
      <c r="C255" s="195">
        <v>0.99907156828175536</v>
      </c>
      <c r="D255" s="196">
        <v>-3.9461394283809195E-2</v>
      </c>
      <c r="F255" s="123">
        <f>INDEX(A255:D263,,F249)</f>
        <v>-1.725458620934818E-2</v>
      </c>
      <c r="G255" s="90">
        <f>INDEX(A250:D258,,G249)</f>
        <v>-1.0387814765881484E-3</v>
      </c>
      <c r="I255" s="123">
        <f t="shared" si="88"/>
        <v>2.9664167829972579E-4</v>
      </c>
      <c r="J255" s="37">
        <f t="shared" si="89"/>
        <v>3.584748908092841E-5</v>
      </c>
      <c r="K255" s="37">
        <f t="shared" si="90"/>
        <v>8.6711242831070723E-8</v>
      </c>
      <c r="L255" s="90">
        <f t="shared" si="87"/>
        <v>1.0633859323797698E-8</v>
      </c>
      <c r="N255" s="91">
        <f>SIN(O252)</f>
        <v>1.3345763766643032E-2</v>
      </c>
      <c r="O255" s="93">
        <f>N254</f>
        <v>0.99991094132901903</v>
      </c>
      <c r="Q255" s="123">
        <v>-1.7266912871023759E-2</v>
      </c>
      <c r="R255" s="90">
        <v>-8.0841333264926622E-4</v>
      </c>
    </row>
    <row r="256" spans="1:18" x14ac:dyDescent="0.25">
      <c r="A256" s="194">
        <v>0.96875234050355341</v>
      </c>
      <c r="B256" s="195">
        <v>4.0254953495871965E-3</v>
      </c>
      <c r="C256" s="195">
        <v>0.1488027913416369</v>
      </c>
      <c r="D256" s="196">
        <v>0.19839462554468396</v>
      </c>
      <c r="F256" s="123">
        <f>INDEX(A256:D264,,F249)</f>
        <v>0.96875234050355341</v>
      </c>
      <c r="G256" s="90">
        <f>INDEX(A250:D258,,G249)</f>
        <v>4.0254953495871965E-3</v>
      </c>
      <c r="I256" s="123">
        <f t="shared" si="88"/>
        <v>0.93846489261830313</v>
      </c>
      <c r="J256" s="37">
        <f t="shared" si="89"/>
        <v>7.7994160831975331E-3</v>
      </c>
      <c r="K256" s="37">
        <f t="shared" si="90"/>
        <v>0.88065552378584433</v>
      </c>
      <c r="L256" s="90">
        <f t="shared" si="87"/>
        <v>7.3194781770034396E-3</v>
      </c>
      <c r="Q256" s="123">
        <v>0.96871978801757774</v>
      </c>
      <c r="R256" s="90">
        <v>-8.9036030404216343E-3</v>
      </c>
    </row>
    <row r="257" spans="1:18" x14ac:dyDescent="0.25">
      <c r="A257" s="194">
        <v>0.69818620695943368</v>
      </c>
      <c r="B257" s="195">
        <v>-0.20644592994626693</v>
      </c>
      <c r="C257" s="195">
        <v>0.54599354188560489</v>
      </c>
      <c r="D257" s="196">
        <v>0.41449626130935452</v>
      </c>
      <c r="F257" s="123">
        <f>INDEX(A257:D265,,F249)</f>
        <v>0.69818620695943368</v>
      </c>
      <c r="G257" s="90">
        <f>INDEX(A250:D258,,G249)</f>
        <v>-0.20644592994626693</v>
      </c>
      <c r="I257" s="123">
        <f t="shared" si="88"/>
        <v>0.44484405759702222</v>
      </c>
      <c r="J257" s="37">
        <f t="shared" si="89"/>
        <v>-0.28827540154279413</v>
      </c>
      <c r="K257" s="37">
        <f t="shared" si="90"/>
        <v>0.11478352844472361</v>
      </c>
      <c r="L257" s="90">
        <f t="shared" si="87"/>
        <v>-0.12823759932770742</v>
      </c>
      <c r="Q257" s="123">
        <v>0.69536884881209671</v>
      </c>
      <c r="R257" s="90">
        <v>-0.21574537232932561</v>
      </c>
    </row>
    <row r="258" spans="1:18" x14ac:dyDescent="0.25">
      <c r="A258" s="200">
        <v>9.8377384191733613E-2</v>
      </c>
      <c r="B258" s="201">
        <v>-0.91332647128466016</v>
      </c>
      <c r="C258" s="201">
        <v>-0.23073265220912778</v>
      </c>
      <c r="D258" s="202">
        <v>0.32081005335688084</v>
      </c>
      <c r="F258" s="91">
        <f>INDEX(A258:D266,,F249)</f>
        <v>9.8377384191733613E-2</v>
      </c>
      <c r="G258" s="93">
        <f>INDEX(A250:D258,,G249)</f>
        <v>-0.91332647128466016</v>
      </c>
      <c r="I258" s="91">
        <f t="shared" si="88"/>
        <v>-0.82448713342888125</v>
      </c>
      <c r="J258" s="92">
        <f t="shared" si="89"/>
        <v>-0.17970133831610274</v>
      </c>
      <c r="K258" s="92">
        <f t="shared" si="90"/>
        <v>0.64748646219717543</v>
      </c>
      <c r="L258" s="93">
        <f t="shared" si="87"/>
        <v>0.14816144130157713</v>
      </c>
      <c r="Q258" s="91">
        <v>8.6179583505056168E-2</v>
      </c>
      <c r="R258" s="93">
        <v>-0.91455805297235904</v>
      </c>
    </row>
    <row r="259" spans="1:18" x14ac:dyDescent="0.25">
      <c r="I259">
        <f>SUM(I250:I258)</f>
        <v>1.1462412162009661</v>
      </c>
      <c r="J259">
        <f>SUM(J250:J258)</f>
        <v>-1.0507351207083473</v>
      </c>
      <c r="K259">
        <f>SUM(K250:K258)</f>
        <v>2.3116193318923628</v>
      </c>
      <c r="L259">
        <f>SUM(L250:L258)</f>
        <v>-0.14536698824340191</v>
      </c>
    </row>
    <row r="260" spans="1:18" x14ac:dyDescent="0.25">
      <c r="A260" s="47" t="s">
        <v>53</v>
      </c>
      <c r="B260">
        <f>COUNT(A250:A258)</f>
        <v>9</v>
      </c>
      <c r="I260" s="47" t="s">
        <v>462</v>
      </c>
      <c r="J260" s="47" t="s">
        <v>389</v>
      </c>
      <c r="K260" s="47" t="s">
        <v>469</v>
      </c>
      <c r="L260" s="47" t="s">
        <v>470</v>
      </c>
      <c r="N260" s="47"/>
    </row>
    <row r="262" spans="1:18" x14ac:dyDescent="0.25">
      <c r="A262">
        <v>1</v>
      </c>
      <c r="B262">
        <v>2</v>
      </c>
      <c r="C262">
        <v>3</v>
      </c>
      <c r="D262">
        <v>4</v>
      </c>
      <c r="F262">
        <v>1</v>
      </c>
      <c r="G262">
        <v>3</v>
      </c>
      <c r="I262" s="47" t="s">
        <v>207</v>
      </c>
      <c r="J262" s="47" t="s">
        <v>464</v>
      </c>
      <c r="K262" s="47" t="s">
        <v>465</v>
      </c>
      <c r="L262" s="47" t="s">
        <v>466</v>
      </c>
      <c r="Q262">
        <f>F262</f>
        <v>1</v>
      </c>
      <c r="R262">
        <f>G262</f>
        <v>3</v>
      </c>
    </row>
    <row r="263" spans="1:18" x14ac:dyDescent="0.25">
      <c r="A263" s="189">
        <f t="array" ref="A263:A271">IF(A262=$Q249,$Q250:$Q258,IF(A262=$R249,$R250:$R258,A250:A258))</f>
        <v>9.8792112934274312E-2</v>
      </c>
      <c r="B263" s="190">
        <f t="array" ref="B263:B271">IF(B262=$Q249,$Q250:$Q258,IF(B262=$R249,$R250:$R258,B250:B258))</f>
        <v>0.90309450982939077</v>
      </c>
      <c r="C263" s="190">
        <f t="array" ref="C263:C271">IF(C262=$Q249,$Q250:$Q258,IF(C262=$R249,$R250:$R258,C250:C258))</f>
        <v>-0.32827975898096573</v>
      </c>
      <c r="D263" s="191">
        <f t="array" ref="D263:D271">IF(D262=$Q249,$Q250:$Q258,IF(D262=$R249,$R250:$R258,D250:D258))</f>
        <v>0.25863647187006172</v>
      </c>
      <c r="F263" s="156">
        <f>INDEX(A263:D271,,F262)</f>
        <v>9.8792112934274312E-2</v>
      </c>
      <c r="G263" s="158">
        <f>INDEX(A263:D271,,G262)</f>
        <v>-0.32827975898096573</v>
      </c>
      <c r="I263" s="156">
        <f>F263^2-G263^2</f>
        <v>-9.8007718578582537E-2</v>
      </c>
      <c r="J263" s="157">
        <f>2*F263*G263</f>
        <v>-6.4862902046567833E-2</v>
      </c>
      <c r="K263" s="157">
        <f>I263^2-J263^2</f>
        <v>5.3983168390759782E-3</v>
      </c>
      <c r="L263" s="158">
        <f t="shared" ref="L263:L271" si="91">I263*J263</f>
        <v>6.3570650499701854E-3</v>
      </c>
      <c r="N263" t="s">
        <v>390</v>
      </c>
      <c r="O263" s="172">
        <f>L272*B273-2*I272*J272</f>
        <v>-0.87610643815660838</v>
      </c>
      <c r="Q263" s="156">
        <f t="array" ref="Q263:R271">MMULT(F263:G271,N267:O268)</f>
        <v>0.10169663779304622</v>
      </c>
      <c r="R263" s="158">
        <v>-0.32739162419984008</v>
      </c>
    </row>
    <row r="264" spans="1:18" x14ac:dyDescent="0.25">
      <c r="A264" s="194">
        <v>0.80261531967221833</v>
      </c>
      <c r="B264" s="195">
        <v>-0.59291807809066088</v>
      </c>
      <c r="C264" s="195">
        <v>5.9726637693719109E-2</v>
      </c>
      <c r="D264" s="196">
        <v>-2.6258904214438297E-2</v>
      </c>
      <c r="F264" s="123">
        <f>INDEX(A264:D272,,F262)</f>
        <v>0.80261531967221833</v>
      </c>
      <c r="G264" s="90">
        <f>INDEX(A263:D271,,G262)</f>
        <v>5.9726637693719109E-2</v>
      </c>
      <c r="I264" s="123">
        <f t="shared" ref="I264:I271" si="92">F264^2-G264^2</f>
        <v>0.64062408012234051</v>
      </c>
      <c r="J264" s="37">
        <f t="shared" ref="J264:J271" si="93">2*F264*G264</f>
        <v>9.5875028810982255E-2</v>
      </c>
      <c r="K264" s="37">
        <f t="shared" ref="K264:K271" si="94">I264^2-J264^2</f>
        <v>0.40120719088308826</v>
      </c>
      <c r="L264" s="90">
        <f t="shared" si="91"/>
        <v>6.14198521387384E-2</v>
      </c>
      <c r="N264" t="s">
        <v>392</v>
      </c>
      <c r="O264" s="173">
        <f>K272*B273-(I272^2-J272^2)</f>
        <v>24.711493558849863</v>
      </c>
      <c r="Q264" s="123">
        <v>0.80205467043226442</v>
      </c>
      <c r="R264" s="90">
        <v>6.683508255793319E-2</v>
      </c>
    </row>
    <row r="265" spans="1:18" x14ac:dyDescent="0.25">
      <c r="A265" s="194">
        <v>0.98512481645640715</v>
      </c>
      <c r="B265" s="195">
        <v>0.1295728602149909</v>
      </c>
      <c r="C265" s="195">
        <v>0.10058800945999419</v>
      </c>
      <c r="D265" s="196">
        <v>5.1205685722512766E-2</v>
      </c>
      <c r="F265" s="123">
        <f>INDEX(A265:D273,,F262)</f>
        <v>0.98512481645640715</v>
      </c>
      <c r="G265" s="90">
        <f>INDEX(A263:D271,,G262)</f>
        <v>0.10058800945999419</v>
      </c>
      <c r="I265" s="123">
        <f t="shared" si="92"/>
        <v>0.96035295635114593</v>
      </c>
      <c r="J265" s="37">
        <f t="shared" si="93"/>
        <v>0.19818348871398425</v>
      </c>
      <c r="K265" s="37">
        <f t="shared" si="94"/>
        <v>0.88300110557354006</v>
      </c>
      <c r="L265" s="90">
        <f t="shared" si="91"/>
        <v>0.19032609928645874</v>
      </c>
      <c r="N265" t="s">
        <v>467</v>
      </c>
      <c r="O265" s="174">
        <f>0.25*ATAN(O263/O264)</f>
        <v>-8.8596389425098128E-3</v>
      </c>
      <c r="Q265" s="123">
        <v>0.98419499212130512</v>
      </c>
      <c r="R265" s="90">
        <v>0.10931179775640759</v>
      </c>
    </row>
    <row r="266" spans="1:18" x14ac:dyDescent="0.25">
      <c r="A266" s="194">
        <v>7.0925397406569168E-2</v>
      </c>
      <c r="B266" s="195">
        <v>1.6203394056598278E-2</v>
      </c>
      <c r="C266" s="195">
        <v>6.1518233285171531E-2</v>
      </c>
      <c r="D266" s="196">
        <v>0.99545092545902947</v>
      </c>
      <c r="F266" s="123">
        <f>INDEX(A266:D274,,F262)</f>
        <v>7.0925397406569168E-2</v>
      </c>
      <c r="G266" s="90">
        <f>INDEX(A263:D271,,G262)</f>
        <v>6.1518233285171531E-2</v>
      </c>
      <c r="I266" s="123">
        <f t="shared" si="92"/>
        <v>1.2459189707509821E-3</v>
      </c>
      <c r="J266" s="37">
        <f t="shared" si="93"/>
        <v>8.7264102870016434E-3</v>
      </c>
      <c r="K266" s="37">
        <f t="shared" si="94"/>
        <v>-7.4597922415410917E-5</v>
      </c>
      <c r="L266" s="90">
        <f t="shared" si="91"/>
        <v>1.0872400123131869E-5</v>
      </c>
      <c r="Q266" s="123">
        <v>7.0377591638864492E-2</v>
      </c>
      <c r="R266" s="90">
        <v>6.2144184111803932E-2</v>
      </c>
    </row>
    <row r="267" spans="1:18" x14ac:dyDescent="0.25">
      <c r="A267" s="194">
        <v>0.37470501552078961</v>
      </c>
      <c r="B267" s="195">
        <v>-0.120507300869147</v>
      </c>
      <c r="C267" s="195">
        <v>0.87300636683333988</v>
      </c>
      <c r="D267" s="196">
        <v>0.28798268220372292</v>
      </c>
      <c r="F267" s="123">
        <f>INDEX(A267:D275,,F262)</f>
        <v>0.37470501552078961</v>
      </c>
      <c r="G267" s="90">
        <f>INDEX(A263:D271,,G262)</f>
        <v>0.87300636683333988</v>
      </c>
      <c r="I267" s="123">
        <f t="shared" si="92"/>
        <v>-0.62173626787511282</v>
      </c>
      <c r="J267" s="37">
        <f t="shared" si="93"/>
        <v>0.65423972846806955</v>
      </c>
      <c r="K267" s="37">
        <f t="shared" si="94"/>
        <v>-4.1473635514699292E-2</v>
      </c>
      <c r="L267" s="90">
        <f t="shared" si="91"/>
        <v>-0.40676456707336478</v>
      </c>
      <c r="N267" s="156">
        <f>COS(O265)</f>
        <v>0.99996075365561943</v>
      </c>
      <c r="O267" s="158">
        <f>-N268</f>
        <v>8.8595230393928841E-3</v>
      </c>
      <c r="Q267" s="123">
        <v>0.36695588969821274</v>
      </c>
      <c r="R267" s="90">
        <v>0.87629181224280317</v>
      </c>
    </row>
    <row r="268" spans="1:18" x14ac:dyDescent="0.25">
      <c r="A268" s="194">
        <v>-1.7266912871023759E-2</v>
      </c>
      <c r="B268" s="195">
        <v>-8.0841333264926622E-4</v>
      </c>
      <c r="C268" s="195">
        <v>0.99907156828175536</v>
      </c>
      <c r="D268" s="196">
        <v>-3.9461394283809195E-2</v>
      </c>
      <c r="F268" s="123">
        <f>INDEX(A268:D276,,F262)</f>
        <v>-1.7266912871023759E-2</v>
      </c>
      <c r="G268" s="90">
        <f>INDEX(A263:D271,,G262)</f>
        <v>0.99907156828175536</v>
      </c>
      <c r="I268" s="123">
        <f t="shared" si="92"/>
        <v>-0.99784585226887068</v>
      </c>
      <c r="J268" s="37">
        <f t="shared" si="93"/>
        <v>-3.4501763442876268E-2</v>
      </c>
      <c r="K268" s="37">
        <f t="shared" si="94"/>
        <v>0.99450597320952072</v>
      </c>
      <c r="L268" s="90">
        <f t="shared" si="91"/>
        <v>3.4427441547435836E-2</v>
      </c>
      <c r="N268" s="91">
        <f>SIN(O265)</f>
        <v>-8.8595230393928841E-3</v>
      </c>
      <c r="O268" s="93">
        <f>N267</f>
        <v>0.99996075365561943</v>
      </c>
      <c r="Q268" s="123">
        <v>-2.6117532785009424E-2</v>
      </c>
      <c r="R268" s="90">
        <v>0.99887938176252578</v>
      </c>
    </row>
    <row r="269" spans="1:18" x14ac:dyDescent="0.25">
      <c r="A269" s="194">
        <v>0.96871978801757774</v>
      </c>
      <c r="B269" s="195">
        <v>-8.9036030404216343E-3</v>
      </c>
      <c r="C269" s="195">
        <v>0.1488027913416369</v>
      </c>
      <c r="D269" s="196">
        <v>0.19839462554468396</v>
      </c>
      <c r="F269" s="123">
        <f>INDEX(A269:D277,,F262)</f>
        <v>0.96871978801757774</v>
      </c>
      <c r="G269" s="90">
        <f>INDEX(A263:D271,,G262)</f>
        <v>0.1488027913416369</v>
      </c>
      <c r="I269" s="123">
        <f t="shared" si="92"/>
        <v>0.91627575698575803</v>
      </c>
      <c r="J269" s="37">
        <f t="shared" si="93"/>
        <v>0.28829641696978869</v>
      </c>
      <c r="K269" s="37">
        <f t="shared" si="94"/>
        <v>0.75644643880220563</v>
      </c>
      <c r="L269" s="90">
        <f t="shared" si="91"/>
        <v>0.26415901769527489</v>
      </c>
      <c r="Q269" s="123">
        <v>0.96736344754895176</v>
      </c>
      <c r="R269" s="90">
        <v>0.15737934665670064</v>
      </c>
    </row>
    <row r="270" spans="1:18" x14ac:dyDescent="0.25">
      <c r="A270" s="194">
        <v>0.69536884881209671</v>
      </c>
      <c r="B270" s="195">
        <v>-0.21574537232932561</v>
      </c>
      <c r="C270" s="195">
        <v>0.54599354188560489</v>
      </c>
      <c r="D270" s="196">
        <v>0.41449626130935452</v>
      </c>
      <c r="F270" s="123">
        <f>INDEX(A270:D278,,F262)</f>
        <v>0.69536884881209671</v>
      </c>
      <c r="G270" s="90">
        <f>INDEX(A263:D271,,G262)</f>
        <v>0.54599354188560489</v>
      </c>
      <c r="I270" s="123">
        <f t="shared" si="92"/>
        <v>0.18542888811747282</v>
      </c>
      <c r="J270" s="37">
        <f t="shared" si="93"/>
        <v>0.75933380135966477</v>
      </c>
      <c r="K270" s="37">
        <f t="shared" si="94"/>
        <v>-0.54220394933883653</v>
      </c>
      <c r="L270" s="90">
        <f t="shared" si="91"/>
        <v>0.14080242249613661</v>
      </c>
      <c r="Q270" s="123">
        <v>0.69050431576308946</v>
      </c>
      <c r="R270" s="90">
        <v>0.55213274997195738</v>
      </c>
    </row>
    <row r="271" spans="1:18" x14ac:dyDescent="0.25">
      <c r="A271" s="200">
        <v>8.6179583505056168E-2</v>
      </c>
      <c r="B271" s="201">
        <v>-0.91455805297235904</v>
      </c>
      <c r="C271" s="201">
        <v>-0.23073265220912778</v>
      </c>
      <c r="D271" s="202">
        <v>0.32081005335688084</v>
      </c>
      <c r="F271" s="91">
        <f>INDEX(A271:D279,,F262)</f>
        <v>8.6179583505056168E-2</v>
      </c>
      <c r="G271" s="93">
        <f>INDEX(A263:D271,,G262)</f>
        <v>-0.23073265220912778</v>
      </c>
      <c r="I271" s="91">
        <f t="shared" si="92"/>
        <v>-4.581063618235337E-2</v>
      </c>
      <c r="J271" s="92">
        <f t="shared" si="93"/>
        <v>-3.9768887736799222E-2</v>
      </c>
      <c r="K271" s="92">
        <f t="shared" si="94"/>
        <v>5.1704995560980407E-4</v>
      </c>
      <c r="L271" s="93">
        <f t="shared" si="91"/>
        <v>1.8218380474873638E-3</v>
      </c>
      <c r="Q271" s="91">
        <v>8.8220382519630339E-2</v>
      </c>
      <c r="R271" s="93">
        <v>-0.22996008679041099</v>
      </c>
    </row>
    <row r="272" spans="1:18" x14ac:dyDescent="0.25">
      <c r="I272">
        <f>SUM(I263:I271)</f>
        <v>0.94052712564254892</v>
      </c>
      <c r="J272">
        <f>SUM(J263:J271)</f>
        <v>1.8655213213832478</v>
      </c>
      <c r="K272">
        <f>SUM(K263:K271)</f>
        <v>2.4573238924870888</v>
      </c>
      <c r="L272">
        <f>SUM(L263:L271)</f>
        <v>0.29256004158826038</v>
      </c>
    </row>
    <row r="273" spans="1:18" x14ac:dyDescent="0.25">
      <c r="A273" s="47" t="s">
        <v>53</v>
      </c>
      <c r="B273">
        <f>COUNT(A263:A271)</f>
        <v>9</v>
      </c>
      <c r="I273" s="47" t="s">
        <v>462</v>
      </c>
      <c r="J273" s="47" t="s">
        <v>389</v>
      </c>
      <c r="K273" s="47" t="s">
        <v>469</v>
      </c>
      <c r="L273" s="47" t="s">
        <v>470</v>
      </c>
      <c r="N273" s="47"/>
    </row>
    <row r="275" spans="1:18" x14ac:dyDescent="0.25">
      <c r="A275">
        <v>1</v>
      </c>
      <c r="B275">
        <v>2</v>
      </c>
      <c r="C275">
        <v>3</v>
      </c>
      <c r="D275">
        <v>4</v>
      </c>
      <c r="F275">
        <v>1</v>
      </c>
      <c r="G275">
        <v>4</v>
      </c>
      <c r="I275" s="47" t="s">
        <v>207</v>
      </c>
      <c r="J275" s="47" t="s">
        <v>464</v>
      </c>
      <c r="K275" s="47" t="s">
        <v>465</v>
      </c>
      <c r="L275" s="47" t="s">
        <v>466</v>
      </c>
      <c r="Q275">
        <f>F275</f>
        <v>1</v>
      </c>
      <c r="R275">
        <f>G275</f>
        <v>4</v>
      </c>
    </row>
    <row r="276" spans="1:18" x14ac:dyDescent="0.25">
      <c r="A276" s="189">
        <f t="array" ref="A276:A284">IF(A275=$Q262,$Q263:$Q271,IF(A275=$R262,$R263:$R271,A263:A271))</f>
        <v>0.10169663779304622</v>
      </c>
      <c r="B276" s="190">
        <f t="array" ref="B276:B284">IF(B275=$Q262,$Q263:$Q271,IF(B275=$R262,$R263:$R271,B263:B271))</f>
        <v>0.90309450982939077</v>
      </c>
      <c r="C276" s="190">
        <f t="array" ref="C276:C284">IF(C275=$Q262,$Q263:$Q271,IF(C275=$R262,$R263:$R271,C263:C271))</f>
        <v>-0.32739162419984008</v>
      </c>
      <c r="D276" s="191">
        <f t="array" ref="D276:D284">IF(D275=$Q262,$Q263:$Q271,IF(D275=$R262,$R263:$R271,D263:D271))</f>
        <v>0.25863647187006172</v>
      </c>
      <c r="F276" s="156">
        <f>INDEX(A276:D284,,F275)</f>
        <v>0.10169663779304622</v>
      </c>
      <c r="G276" s="158">
        <f>INDEX(A276:D284,,G275)</f>
        <v>0.25863647187006172</v>
      </c>
      <c r="I276" s="156">
        <f>F276^2-G276^2</f>
        <v>-5.6550618442983189E-2</v>
      </c>
      <c r="J276" s="157">
        <f>2*F276*G276</f>
        <v>5.2604919199682111E-2</v>
      </c>
      <c r="K276" s="157">
        <f>I276^2-J276^2</f>
        <v>4.3069492227878689E-4</v>
      </c>
      <c r="L276" s="158">
        <f t="shared" ref="L276:L284" si="95">I276*J276</f>
        <v>-2.9748407138851835E-3</v>
      </c>
      <c r="N276" t="s">
        <v>390</v>
      </c>
      <c r="O276" s="172">
        <f>L285*B286-2*I285*J285</f>
        <v>-1.0122377587507136</v>
      </c>
      <c r="Q276" s="156">
        <f t="array" ref="Q276:R284">MMULT(F276:G284,N280:O281)</f>
        <v>9.8879473993942674E-2</v>
      </c>
      <c r="R276" s="158">
        <v>0.25972654916755139</v>
      </c>
    </row>
    <row r="277" spans="1:18" x14ac:dyDescent="0.25">
      <c r="A277" s="194">
        <v>0.80205467043226442</v>
      </c>
      <c r="B277" s="195">
        <v>-0.59291807809066088</v>
      </c>
      <c r="C277" s="195">
        <v>6.683508255793319E-2</v>
      </c>
      <c r="D277" s="196">
        <v>-2.6258904214438297E-2</v>
      </c>
      <c r="F277" s="123">
        <f>INDEX(A277:D285,,F275)</f>
        <v>0.80205467043226442</v>
      </c>
      <c r="G277" s="90">
        <f>INDEX(A276:D284,,G275)</f>
        <v>-2.6258904214438297E-2</v>
      </c>
      <c r="I277" s="123">
        <f t="shared" ref="I277:I284" si="96">F277^2-G277^2</f>
        <v>0.64260216431166517</v>
      </c>
      <c r="J277" s="37">
        <f t="shared" ref="J277:J284" si="97">2*F277*G277</f>
        <v>-4.2122153531247417E-2</v>
      </c>
      <c r="K277" s="37">
        <f t="shared" ref="K277:K284" si="98">I277^2-J277^2</f>
        <v>0.41116326575992634</v>
      </c>
      <c r="L277" s="90">
        <f t="shared" si="95"/>
        <v>-2.7067787024647839E-2</v>
      </c>
      <c r="N277" t="s">
        <v>392</v>
      </c>
      <c r="O277" s="173">
        <f>K285*B286-(I285^2-J285^2)</f>
        <v>23.26724525855969</v>
      </c>
      <c r="Q277" s="123">
        <v>0.80229270412160225</v>
      </c>
      <c r="R277" s="90">
        <v>-1.7539707124081011E-2</v>
      </c>
    </row>
    <row r="278" spans="1:18" x14ac:dyDescent="0.25">
      <c r="A278" s="194">
        <v>0.98419499212130512</v>
      </c>
      <c r="B278" s="195">
        <v>0.1295728602149909</v>
      </c>
      <c r="C278" s="195">
        <v>0.10931179775640759</v>
      </c>
      <c r="D278" s="196">
        <v>5.1205685722512766E-2</v>
      </c>
      <c r="F278" s="123">
        <f>INDEX(A278:D286,,F275)</f>
        <v>0.98419499212130512</v>
      </c>
      <c r="G278" s="90">
        <f>INDEX(A276:D284,,G275)</f>
        <v>5.1205685722512766E-2</v>
      </c>
      <c r="I278" s="123">
        <f t="shared" si="96"/>
        <v>0.96601776026634312</v>
      </c>
      <c r="J278" s="37">
        <f t="shared" si="97"/>
        <v>0.10079275891246896</v>
      </c>
      <c r="K278" s="37">
        <f t="shared" si="98"/>
        <v>0.92303113290081495</v>
      </c>
      <c r="L278" s="90">
        <f t="shared" si="95"/>
        <v>9.736759521568876E-2</v>
      </c>
      <c r="N278" t="s">
        <v>467</v>
      </c>
      <c r="O278" s="174">
        <f>0.25*ATAN(O276/O277)</f>
        <v>-1.0869355833879905E-2</v>
      </c>
      <c r="Q278" s="123">
        <v>0.98358029301055194</v>
      </c>
      <c r="R278" s="90">
        <v>6.1900015898588109E-2</v>
      </c>
    </row>
    <row r="279" spans="1:18" x14ac:dyDescent="0.25">
      <c r="A279" s="194">
        <v>7.0377591638864492E-2</v>
      </c>
      <c r="B279" s="195">
        <v>1.6203394056598278E-2</v>
      </c>
      <c r="C279" s="195">
        <v>6.2144184111803932E-2</v>
      </c>
      <c r="D279" s="196">
        <v>0.99545092545902947</v>
      </c>
      <c r="F279" s="123">
        <f>INDEX(A279:D287,,F275)</f>
        <v>7.0377591638864492E-2</v>
      </c>
      <c r="G279" s="90">
        <f>INDEX(A276:D284,,G275)</f>
        <v>0.99545092545902947</v>
      </c>
      <c r="I279" s="123">
        <f t="shared" si="96"/>
        <v>-0.98596953959235145</v>
      </c>
      <c r="J279" s="37">
        <f t="shared" si="97"/>
        <v>0.14011487745697063</v>
      </c>
      <c r="K279" s="37">
        <f t="shared" si="98"/>
        <v>0.95250375411917165</v>
      </c>
      <c r="L279" s="90">
        <f t="shared" si="95"/>
        <v>-0.13814900121628806</v>
      </c>
      <c r="Q279" s="123">
        <v>5.9553737097559956E-2</v>
      </c>
      <c r="R279" s="90">
        <v>0.99615706733418286</v>
      </c>
    </row>
    <row r="280" spans="1:18" x14ac:dyDescent="0.25">
      <c r="A280" s="194">
        <v>0.36695588969821274</v>
      </c>
      <c r="B280" s="195">
        <v>-0.120507300869147</v>
      </c>
      <c r="C280" s="195">
        <v>0.87629181224280317</v>
      </c>
      <c r="D280" s="196">
        <v>0.28798268220372292</v>
      </c>
      <c r="F280" s="123">
        <f>INDEX(A280:D288,,F275)</f>
        <v>0.36695588969821274</v>
      </c>
      <c r="G280" s="90">
        <f>INDEX(A276:D284,,G275)</f>
        <v>0.28798268220372292</v>
      </c>
      <c r="I280" s="123">
        <f t="shared" si="96"/>
        <v>5.1722599734956423E-2</v>
      </c>
      <c r="J280" s="37">
        <f t="shared" si="97"/>
        <v>0.21135388273148961</v>
      </c>
      <c r="K280" s="37">
        <f t="shared" si="98"/>
        <v>-4.199523642233375E-2</v>
      </c>
      <c r="L280" s="90">
        <f t="shared" si="95"/>
        <v>1.0931772278949755E-2</v>
      </c>
      <c r="N280" s="156">
        <f>COS(O278)</f>
        <v>0.99994092913344867</v>
      </c>
      <c r="O280" s="158">
        <f>-N281</f>
        <v>1.086914181228108E-2</v>
      </c>
      <c r="Q280" s="123">
        <v>0.36380408868346881</v>
      </c>
      <c r="R280" s="90">
        <v>0.29195416642111499</v>
      </c>
    </row>
    <row r="281" spans="1:18" x14ac:dyDescent="0.25">
      <c r="A281" s="194">
        <v>-2.6117532785009424E-2</v>
      </c>
      <c r="B281" s="195">
        <v>-8.0841333264926622E-4</v>
      </c>
      <c r="C281" s="195">
        <v>0.99887938176252578</v>
      </c>
      <c r="D281" s="196">
        <v>-3.9461394283809195E-2</v>
      </c>
      <c r="F281" s="123">
        <f>INDEX(A281:D289,,F275)</f>
        <v>-2.6117532785009424E-2</v>
      </c>
      <c r="G281" s="90">
        <f>INDEX(A276:D284,,G275)</f>
        <v>-3.9461394283809195E-2</v>
      </c>
      <c r="I281" s="123">
        <f t="shared" si="96"/>
        <v>-8.7507612004620694E-4</v>
      </c>
      <c r="J281" s="37">
        <f t="shared" si="97"/>
        <v>2.0612685178991405E-3</v>
      </c>
      <c r="K281" s="37">
        <f t="shared" si="98"/>
        <v>-3.4830696870069956E-6</v>
      </c>
      <c r="L281" s="90">
        <f t="shared" si="95"/>
        <v>-1.8037668570165753E-6</v>
      </c>
      <c r="N281" s="91">
        <f>SIN(O278)</f>
        <v>-1.086914181228108E-2</v>
      </c>
      <c r="O281" s="93">
        <f>N280</f>
        <v>0.99994092913344867</v>
      </c>
      <c r="Q281" s="123">
        <v>-2.5687078509134573E-2</v>
      </c>
      <c r="R281" s="90">
        <v>-3.9742938432680695E-2</v>
      </c>
    </row>
    <row r="282" spans="1:18" x14ac:dyDescent="0.25">
      <c r="A282" s="194">
        <v>0.96736344754895176</v>
      </c>
      <c r="B282" s="195">
        <v>-8.9036030404216343E-3</v>
      </c>
      <c r="C282" s="195">
        <v>0.15737934665670064</v>
      </c>
      <c r="D282" s="196">
        <v>0.19839462554468396</v>
      </c>
      <c r="F282" s="123">
        <f>INDEX(A282:D290,,F275)</f>
        <v>0.96736344754895176</v>
      </c>
      <c r="G282" s="90">
        <f>INDEX(A276:D284,,G275)</f>
        <v>0.19839462554468396</v>
      </c>
      <c r="I282" s="123">
        <f t="shared" si="96"/>
        <v>0.89643161220877821</v>
      </c>
      <c r="J282" s="37">
        <f t="shared" si="97"/>
        <v>0.38383941788417758</v>
      </c>
      <c r="K282" s="37">
        <f t="shared" si="98"/>
        <v>0.65625693664556495</v>
      </c>
      <c r="L282" s="90">
        <f t="shared" si="95"/>
        <v>0.34408578820319224</v>
      </c>
      <c r="Q282" s="123">
        <v>0.96514992523199539</v>
      </c>
      <c r="R282" s="90">
        <v>0.2088973166976606</v>
      </c>
    </row>
    <row r="283" spans="1:18" x14ac:dyDescent="0.25">
      <c r="A283" s="194">
        <v>0.69050431576308946</v>
      </c>
      <c r="B283" s="195">
        <v>-0.21574537232932561</v>
      </c>
      <c r="C283" s="195">
        <v>0.55213274997195738</v>
      </c>
      <c r="D283" s="196">
        <v>0.41449626130935452</v>
      </c>
      <c r="F283" s="123">
        <f>INDEX(A283:D291,,F275)</f>
        <v>0.69050431576308946</v>
      </c>
      <c r="G283" s="90">
        <f>INDEX(A276:D284,,G275)</f>
        <v>0.41449626130935452</v>
      </c>
      <c r="I283" s="123">
        <f t="shared" si="96"/>
        <v>0.30498905944801968</v>
      </c>
      <c r="J283" s="37">
        <f t="shared" si="97"/>
        <v>0.5724229146035491</v>
      </c>
      <c r="K283" s="37">
        <f t="shared" si="98"/>
        <v>-0.23464966678023441</v>
      </c>
      <c r="L283" s="90">
        <f t="shared" si="95"/>
        <v>0.17458272633143054</v>
      </c>
      <c r="Q283" s="123">
        <v>0.68595830842996819</v>
      </c>
      <c r="R283" s="90">
        <v>0.42197696598603784</v>
      </c>
    </row>
    <row r="284" spans="1:18" x14ac:dyDescent="0.25">
      <c r="A284" s="200">
        <v>8.8220382519630339E-2</v>
      </c>
      <c r="B284" s="201">
        <v>-0.91455805297235904</v>
      </c>
      <c r="C284" s="201">
        <v>-0.22996008679041099</v>
      </c>
      <c r="D284" s="202">
        <v>0.32081005335688084</v>
      </c>
      <c r="F284" s="91">
        <f>INDEX(A284:D292,,F275)</f>
        <v>8.8220382519630339E-2</v>
      </c>
      <c r="G284" s="93">
        <f>INDEX(A276:D284,,G275)</f>
        <v>0.32081005335688084</v>
      </c>
      <c r="I284" s="91">
        <f t="shared" si="96"/>
        <v>-9.5136254442934831E-2</v>
      </c>
      <c r="J284" s="92">
        <f t="shared" si="97"/>
        <v>5.660397124657409E-2</v>
      </c>
      <c r="K284" s="92">
        <f t="shared" si="98"/>
        <v>5.8468973485478505E-3</v>
      </c>
      <c r="L284" s="93">
        <f t="shared" si="95"/>
        <v>-5.3850898109946395E-3</v>
      </c>
      <c r="Q284" s="91">
        <v>8.4728241300446011E-2</v>
      </c>
      <c r="R284" s="93">
        <v>0.32174998267737021</v>
      </c>
    </row>
    <row r="285" spans="1:18" x14ac:dyDescent="0.25">
      <c r="I285">
        <f>SUM(I276:I284)</f>
        <v>1.7232317073714469</v>
      </c>
      <c r="J285">
        <f>SUM(J276:J284)</f>
        <v>1.4776718570215637</v>
      </c>
      <c r="K285">
        <f>SUM(K276:K284)</f>
        <v>2.6725842954240497</v>
      </c>
      <c r="L285">
        <f>SUM(L276:L284)</f>
        <v>0.45338935949658865</v>
      </c>
    </row>
    <row r="286" spans="1:18" x14ac:dyDescent="0.25">
      <c r="A286" s="47" t="s">
        <v>53</v>
      </c>
      <c r="B286">
        <f>COUNT(A276:A284)</f>
        <v>9</v>
      </c>
      <c r="I286" s="47" t="s">
        <v>462</v>
      </c>
      <c r="J286" s="47" t="s">
        <v>389</v>
      </c>
      <c r="K286" s="47" t="s">
        <v>469</v>
      </c>
      <c r="L286" s="47" t="s">
        <v>470</v>
      </c>
      <c r="N286" s="47"/>
    </row>
    <row r="288" spans="1:18" x14ac:dyDescent="0.25">
      <c r="A288">
        <v>1</v>
      </c>
      <c r="B288">
        <v>2</v>
      </c>
      <c r="C288">
        <v>3</v>
      </c>
      <c r="D288">
        <v>4</v>
      </c>
      <c r="F288">
        <v>2</v>
      </c>
      <c r="G288">
        <v>3</v>
      </c>
      <c r="I288" s="47" t="s">
        <v>207</v>
      </c>
      <c r="J288" s="47" t="s">
        <v>464</v>
      </c>
      <c r="K288" s="47" t="s">
        <v>465</v>
      </c>
      <c r="L288" s="47" t="s">
        <v>466</v>
      </c>
      <c r="Q288">
        <f>F288</f>
        <v>2</v>
      </c>
      <c r="R288">
        <f>G288</f>
        <v>3</v>
      </c>
    </row>
    <row r="289" spans="1:18" x14ac:dyDescent="0.25">
      <c r="A289" s="189">
        <f t="array" ref="A289:A297">IF(A288=$Q275,$Q276:$Q284,IF(A288=$R275,$R276:$R284,A276:A284))</f>
        <v>9.8879473993942674E-2</v>
      </c>
      <c r="B289" s="190">
        <f t="array" ref="B289:B297">IF(B288=$Q275,$Q276:$Q284,IF(B288=$R275,$R276:$R284,B276:B284))</f>
        <v>0.90309450982939077</v>
      </c>
      <c r="C289" s="190">
        <f t="array" ref="C289:C297">IF(C288=$Q275,$Q276:$Q284,IF(C288=$R275,$R276:$R284,C276:C284))</f>
        <v>-0.32739162419984008</v>
      </c>
      <c r="D289" s="191">
        <f t="array" ref="D289:D297">IF(D288=$Q275,$Q276:$Q284,IF(D288=$R275,$R276:$R284,D276:D284))</f>
        <v>0.25972654916755139</v>
      </c>
      <c r="F289" s="156">
        <f>INDEX(A289:D297,,F288)</f>
        <v>0.90309450982939077</v>
      </c>
      <c r="G289" s="158">
        <f>INDEX(A289:D297,,G288)</f>
        <v>-0.32739162419984008</v>
      </c>
      <c r="I289" s="156">
        <f>F289^2-G289^2</f>
        <v>0.70839441808777825</v>
      </c>
      <c r="J289" s="157">
        <f>2*F289*G289</f>
        <v>-0.59133115675800541</v>
      </c>
      <c r="K289" s="157">
        <f>I289^2-J289^2</f>
        <v>0.1521501146251612</v>
      </c>
      <c r="L289" s="158">
        <f t="shared" ref="L289:L297" si="99">I289*J289</f>
        <v>-0.41889569068876004</v>
      </c>
      <c r="N289" t="s">
        <v>390</v>
      </c>
      <c r="O289" s="172">
        <f>L298*B299-2*I298*J298</f>
        <v>0.68952914387071806</v>
      </c>
      <c r="Q289" s="156">
        <f t="array" ref="Q289:R297">MMULT(F289:G297,N293:O294)</f>
        <v>0.90031073899632608</v>
      </c>
      <c r="R289" s="158">
        <v>-0.33497095773825841</v>
      </c>
    </row>
    <row r="290" spans="1:18" x14ac:dyDescent="0.25">
      <c r="A290" s="194">
        <v>0.80229270412160225</v>
      </c>
      <c r="B290" s="195">
        <v>-0.59291807809066088</v>
      </c>
      <c r="C290" s="195">
        <v>6.683508255793319E-2</v>
      </c>
      <c r="D290" s="196">
        <v>-1.7539707124081011E-2</v>
      </c>
      <c r="F290" s="123">
        <f>INDEX(A290:D298,,F288)</f>
        <v>-0.59291807809066088</v>
      </c>
      <c r="G290" s="90">
        <f>INDEX(A289:D297,,G288)</f>
        <v>6.683508255793319E-2</v>
      </c>
      <c r="I290" s="123">
        <f t="shared" ref="I290:I297" si="100">F290^2-G290^2</f>
        <v>0.34708491906619726</v>
      </c>
      <c r="J290" s="37">
        <f t="shared" ref="J290:J297" si="101">2*F290*G290</f>
        <v>-7.9255457398560797E-2</v>
      </c>
      <c r="K290" s="37">
        <f t="shared" ref="K290:K297" si="102">I290^2-J290^2</f>
        <v>0.11418651351573361</v>
      </c>
      <c r="L290" s="90">
        <f t="shared" si="99"/>
        <v>-2.7508374016733918E-2</v>
      </c>
      <c r="N290" t="s">
        <v>392</v>
      </c>
      <c r="O290" s="173">
        <f>K298*B299-(I298^2-J298^2)</f>
        <v>20.500469861004522</v>
      </c>
      <c r="Q290" s="123">
        <v>-0.59233535480061272</v>
      </c>
      <c r="R290" s="90">
        <v>7.1816453828360549E-2</v>
      </c>
    </row>
    <row r="291" spans="1:18" x14ac:dyDescent="0.25">
      <c r="A291" s="194">
        <v>0.98358029301055194</v>
      </c>
      <c r="B291" s="195">
        <v>0.1295728602149909</v>
      </c>
      <c r="C291" s="195">
        <v>0.10931179775640759</v>
      </c>
      <c r="D291" s="196">
        <v>6.1900015898588109E-2</v>
      </c>
      <c r="F291" s="123">
        <f>INDEX(A291:D299,,F288)</f>
        <v>0.1295728602149909</v>
      </c>
      <c r="G291" s="90">
        <f>INDEX(A289:D297,,G288)</f>
        <v>0.10931179775640759</v>
      </c>
      <c r="I291" s="123">
        <f t="shared" si="100"/>
        <v>4.8400569755558155E-3</v>
      </c>
      <c r="J291" s="37">
        <f t="shared" si="101"/>
        <v>2.8327684581080714E-2</v>
      </c>
      <c r="K291" s="37">
        <f t="shared" si="102"/>
        <v>-7.7903156219857146E-4</v>
      </c>
      <c r="L291" s="90">
        <f t="shared" si="99"/>
        <v>1.3710760735800463E-4</v>
      </c>
      <c r="N291" t="s">
        <v>467</v>
      </c>
      <c r="O291" s="174">
        <f>0.25*ATAN(O289/O290)</f>
        <v>8.4055305019390368E-3</v>
      </c>
      <c r="Q291" s="123">
        <v>0.13048709572068865</v>
      </c>
      <c r="R291" s="90">
        <v>0.10821882037525249</v>
      </c>
    </row>
    <row r="292" spans="1:18" x14ac:dyDescent="0.25">
      <c r="A292" s="194">
        <v>5.9553737097559956E-2</v>
      </c>
      <c r="B292" s="195">
        <v>1.6203394056598278E-2</v>
      </c>
      <c r="C292" s="195">
        <v>6.2144184111803932E-2</v>
      </c>
      <c r="D292" s="196">
        <v>0.99615706733418286</v>
      </c>
      <c r="F292" s="123">
        <f>INDEX(A292:D300,,F288)</f>
        <v>1.6203394056598278E-2</v>
      </c>
      <c r="G292" s="90">
        <f>INDEX(A289:D297,,G288)</f>
        <v>6.2144184111803932E-2</v>
      </c>
      <c r="I292" s="123">
        <f t="shared" si="100"/>
        <v>-3.5993496399683799E-3</v>
      </c>
      <c r="J292" s="37">
        <f t="shared" si="101"/>
        <v>2.0138934069787061E-3</v>
      </c>
      <c r="K292" s="37">
        <f t="shared" si="102"/>
        <v>8.8995511760682067E-6</v>
      </c>
      <c r="L292" s="90">
        <f t="shared" si="99"/>
        <v>-7.2487065093434993E-6</v>
      </c>
      <c r="Q292" s="123">
        <v>1.6725170335337183E-2</v>
      </c>
      <c r="R292" s="90">
        <v>6.2005792270796327E-2</v>
      </c>
    </row>
    <row r="293" spans="1:18" x14ac:dyDescent="0.25">
      <c r="A293" s="194">
        <v>0.36380408868346881</v>
      </c>
      <c r="B293" s="195">
        <v>-0.120507300869147</v>
      </c>
      <c r="C293" s="195">
        <v>0.87629181224280317</v>
      </c>
      <c r="D293" s="196">
        <v>0.29195416642111499</v>
      </c>
      <c r="F293" s="123">
        <f>INDEX(A293:D301,,F288)</f>
        <v>-0.120507300869147</v>
      </c>
      <c r="G293" s="90">
        <f>INDEX(A289:D297,,G288)</f>
        <v>0.87629181224280317</v>
      </c>
      <c r="I293" s="123">
        <f t="shared" si="100"/>
        <v>-0.75336533064100908</v>
      </c>
      <c r="J293" s="37">
        <f t="shared" si="101"/>
        <v>-0.21119912213422712</v>
      </c>
      <c r="K293" s="37">
        <f t="shared" si="102"/>
        <v>0.52295425222156877</v>
      </c>
      <c r="L293" s="90">
        <f t="shared" si="99"/>
        <v>0.15911009647774288</v>
      </c>
      <c r="N293" s="156">
        <f>COS(O291)</f>
        <v>0.99996467373648323</v>
      </c>
      <c r="O293" s="158">
        <f>-N294</f>
        <v>-8.4054315230440955E-3</v>
      </c>
      <c r="Q293" s="123">
        <v>-0.11313743297446971</v>
      </c>
      <c r="R293" s="90">
        <v>0.87727377199280876</v>
      </c>
    </row>
    <row r="294" spans="1:18" x14ac:dyDescent="0.25">
      <c r="A294" s="194">
        <v>-2.5687078509134573E-2</v>
      </c>
      <c r="B294" s="195">
        <v>-8.0841333264926622E-4</v>
      </c>
      <c r="C294" s="195">
        <v>0.99887938176252578</v>
      </c>
      <c r="D294" s="196">
        <v>-3.9742938432680695E-2</v>
      </c>
      <c r="F294" s="123">
        <f>INDEX(A294:D302,,F288)</f>
        <v>-8.0841333264926622E-4</v>
      </c>
      <c r="G294" s="90">
        <f>INDEX(A289:D297,,G288)</f>
        <v>0.99887938176252578</v>
      </c>
      <c r="I294" s="123">
        <f t="shared" si="100"/>
        <v>-0.99775936577816926</v>
      </c>
      <c r="J294" s="37">
        <f t="shared" si="101"/>
        <v>-1.6150148198505643E-3</v>
      </c>
      <c r="K294" s="37">
        <f t="shared" si="102"/>
        <v>0.99552114372518619</v>
      </c>
      <c r="L294" s="90">
        <f t="shared" si="99"/>
        <v>1.6113961623764434E-3</v>
      </c>
      <c r="N294" s="91">
        <f>SIN(O291)</f>
        <v>8.4054315230440955E-3</v>
      </c>
      <c r="O294" s="93">
        <f>N293</f>
        <v>0.99996467373648323</v>
      </c>
      <c r="Q294" s="123">
        <v>7.5876274687586859E-3</v>
      </c>
      <c r="R294" s="90">
        <v>0.99885089014917405</v>
      </c>
    </row>
    <row r="295" spans="1:18" x14ac:dyDescent="0.25">
      <c r="A295" s="194">
        <v>0.96514992523199539</v>
      </c>
      <c r="B295" s="195">
        <v>-8.9036030404216343E-3</v>
      </c>
      <c r="C295" s="195">
        <v>0.15737934665670064</v>
      </c>
      <c r="D295" s="196">
        <v>0.2088973166976606</v>
      </c>
      <c r="F295" s="123">
        <f>INDEX(A295:D303,,F288)</f>
        <v>-8.9036030404216343E-3</v>
      </c>
      <c r="G295" s="90">
        <f>INDEX(A289:D297,,G288)</f>
        <v>0.15737934665670064</v>
      </c>
      <c r="I295" s="123">
        <f t="shared" si="100"/>
        <v>-2.4688984606988547E-2</v>
      </c>
      <c r="J295" s="37">
        <f t="shared" si="101"/>
        <v>-2.8024864587843402E-3</v>
      </c>
      <c r="K295" s="37">
        <f t="shared" si="102"/>
        <v>6.0169203057244781E-4</v>
      </c>
      <c r="L295" s="90">
        <f t="shared" si="99"/>
        <v>6.9190545042220416E-5</v>
      </c>
      <c r="Q295" s="123">
        <v>-7.5804471879300636E-3</v>
      </c>
      <c r="R295" s="90">
        <v>0.15744862565809317</v>
      </c>
    </row>
    <row r="296" spans="1:18" x14ac:dyDescent="0.25">
      <c r="A296" s="194">
        <v>0.68595830842996819</v>
      </c>
      <c r="B296" s="195">
        <v>-0.21574537232932561</v>
      </c>
      <c r="C296" s="195">
        <v>0.55213274997195738</v>
      </c>
      <c r="D296" s="196">
        <v>0.42197696598603784</v>
      </c>
      <c r="F296" s="123">
        <f>INDEX(A296:D304,,F288)</f>
        <v>-0.21574537232932561</v>
      </c>
      <c r="G296" s="90">
        <f>INDEX(A289:D297,,G288)</f>
        <v>0.55213274997195738</v>
      </c>
      <c r="I296" s="123">
        <f t="shared" si="100"/>
        <v>-0.25830450791007664</v>
      </c>
      <c r="J296" s="37">
        <f t="shared" si="101"/>
        <v>-0.23824017143582879</v>
      </c>
      <c r="K296" s="37">
        <f t="shared" si="102"/>
        <v>9.9628395208937529E-3</v>
      </c>
      <c r="L296" s="90">
        <f t="shared" si="99"/>
        <v>6.1538510247144053E-2</v>
      </c>
      <c r="Q296" s="123">
        <v>-0.21109683682993088</v>
      </c>
      <c r="R296" s="90">
        <v>0.55392667813846341</v>
      </c>
    </row>
    <row r="297" spans="1:18" x14ac:dyDescent="0.25">
      <c r="A297" s="200">
        <v>8.4728241300446011E-2</v>
      </c>
      <c r="B297" s="201">
        <v>-0.91455805297235904</v>
      </c>
      <c r="C297" s="201">
        <v>-0.22996008679041099</v>
      </c>
      <c r="D297" s="202">
        <v>0.32174998267737021</v>
      </c>
      <c r="F297" s="91">
        <f>INDEX(A297:D305,,F288)</f>
        <v>-0.91455805297235904</v>
      </c>
      <c r="G297" s="93">
        <f>INDEX(A289:D297,,G288)</f>
        <v>-0.22996008679041099</v>
      </c>
      <c r="I297" s="91">
        <f t="shared" si="100"/>
        <v>0.78353479073993892</v>
      </c>
      <c r="J297" s="92">
        <f t="shared" si="101"/>
        <v>0.42062369847278597</v>
      </c>
      <c r="K297" s="92">
        <f t="shared" si="102"/>
        <v>0.43700247258295477</v>
      </c>
      <c r="L297" s="93">
        <f t="shared" si="99"/>
        <v>0.32957330156313352</v>
      </c>
      <c r="Q297" s="91">
        <v>-0.91645865881612842</v>
      </c>
      <c r="R297" s="93">
        <v>-0.222264708071679</v>
      </c>
    </row>
    <row r="298" spans="1:18" x14ac:dyDescent="0.25">
      <c r="I298">
        <f>SUM(I289:I297)</f>
        <v>-0.19386335370674179</v>
      </c>
      <c r="J298">
        <f>SUM(J289:J297)</f>
        <v>-0.67347813254441169</v>
      </c>
      <c r="K298">
        <f>SUM(K289:K297)</f>
        <v>2.2316088962110485</v>
      </c>
      <c r="L298">
        <f>SUM(L289:L297)</f>
        <v>0.10562828919079384</v>
      </c>
    </row>
    <row r="299" spans="1:18" x14ac:dyDescent="0.25">
      <c r="A299" s="47" t="s">
        <v>53</v>
      </c>
      <c r="B299">
        <f>COUNT(A289:A297)</f>
        <v>9</v>
      </c>
      <c r="I299" s="47" t="s">
        <v>462</v>
      </c>
      <c r="J299" s="47" t="s">
        <v>389</v>
      </c>
      <c r="K299" s="47" t="s">
        <v>469</v>
      </c>
      <c r="L299" s="47" t="s">
        <v>470</v>
      </c>
      <c r="N299" s="47"/>
    </row>
    <row r="301" spans="1:18" x14ac:dyDescent="0.25">
      <c r="A301">
        <v>1</v>
      </c>
      <c r="B301">
        <v>2</v>
      </c>
      <c r="C301">
        <v>3</v>
      </c>
      <c r="D301">
        <v>4</v>
      </c>
      <c r="F301">
        <v>2</v>
      </c>
      <c r="G301">
        <v>4</v>
      </c>
      <c r="I301" s="47" t="s">
        <v>207</v>
      </c>
      <c r="J301" s="47" t="s">
        <v>464</v>
      </c>
      <c r="K301" s="47" t="s">
        <v>465</v>
      </c>
      <c r="L301" s="47" t="s">
        <v>466</v>
      </c>
      <c r="Q301">
        <f>F301</f>
        <v>2</v>
      </c>
      <c r="R301">
        <f>G301</f>
        <v>4</v>
      </c>
    </row>
    <row r="302" spans="1:18" x14ac:dyDescent="0.25">
      <c r="A302" s="189">
        <f t="array" ref="A302:A310">IF(A301=$Q288,$Q289:$Q297,IF(A301=$R288,$R289:$R297,A289:A297))</f>
        <v>9.8879473993942674E-2</v>
      </c>
      <c r="B302" s="190">
        <f t="array" ref="B302:B310">IF(B301=$Q288,$Q289:$Q297,IF(B301=$R288,$R289:$R297,B289:B297))</f>
        <v>0.90031073899632608</v>
      </c>
      <c r="C302" s="190">
        <f t="array" ref="C302:C310">IF(C301=$Q288,$Q289:$Q297,IF(C301=$R288,$R289:$R297,C289:C297))</f>
        <v>-0.33497095773825841</v>
      </c>
      <c r="D302" s="191">
        <f t="array" ref="D302:D310">IF(D301=$Q288,$Q289:$Q297,IF(D301=$R288,$R289:$R297,D289:D297))</f>
        <v>0.25972654916755139</v>
      </c>
      <c r="F302" s="156">
        <f>INDEX(A302:D310,,F301)</f>
        <v>0.90031073899632608</v>
      </c>
      <c r="G302" s="158">
        <f>INDEX(A302:D310,,G301)</f>
        <v>0.25972654916755139</v>
      </c>
      <c r="I302" s="156">
        <f>F302^2-G302^2</f>
        <v>0.74310154640962633</v>
      </c>
      <c r="J302" s="157">
        <f>2*F302*G302</f>
        <v>0.4676692028360076</v>
      </c>
      <c r="K302" s="157">
        <f>I302^2-J302^2</f>
        <v>0.33348542499511113</v>
      </c>
      <c r="L302" s="158">
        <f t="shared" ref="L302:L310" si="103">I302*J302</f>
        <v>0.34752570783559444</v>
      </c>
      <c r="N302" t="s">
        <v>390</v>
      </c>
      <c r="O302" s="172">
        <f>L311*B312-2*I311*J311</f>
        <v>-0.39250975220594581</v>
      </c>
      <c r="Q302" s="156">
        <f t="array" ref="Q302:R310">MMULT(F302:G310,N306:O307)</f>
        <v>0.89851152861124972</v>
      </c>
      <c r="R302" s="158">
        <v>0.26588407257162017</v>
      </c>
    </row>
    <row r="303" spans="1:18" x14ac:dyDescent="0.25">
      <c r="A303" s="194">
        <v>0.80229270412160225</v>
      </c>
      <c r="B303" s="195">
        <v>-0.59233535480061272</v>
      </c>
      <c r="C303" s="195">
        <v>7.1816453828360549E-2</v>
      </c>
      <c r="D303" s="196">
        <v>-1.7539707124081011E-2</v>
      </c>
      <c r="F303" s="123">
        <f>INDEX(A303:D311,,F301)</f>
        <v>-0.59233535480061272</v>
      </c>
      <c r="G303" s="90">
        <f>INDEX(A302:D310,,G301)</f>
        <v>-1.7539707124081011E-2</v>
      </c>
      <c r="I303" s="123">
        <f t="shared" ref="I303:I310" si="104">F303^2-G303^2</f>
        <v>0.35055353122076921</v>
      </c>
      <c r="J303" s="37">
        <f t="shared" ref="J303:J310" si="105">2*F303*G303</f>
        <v>2.077877728488272E-2</v>
      </c>
      <c r="K303" s="37">
        <f t="shared" ref="K303:K310" si="106">I303^2-J303^2</f>
        <v>0.12245602066589606</v>
      </c>
      <c r="L303" s="90">
        <f t="shared" si="103"/>
        <v>7.2840737516655443E-3</v>
      </c>
      <c r="N303" t="s">
        <v>392</v>
      </c>
      <c r="O303" s="173">
        <f>K311*B312-(I311^2-J311^2)</f>
        <v>14.329655986057929</v>
      </c>
      <c r="Q303" s="123">
        <v>-0.59220139511640235</v>
      </c>
      <c r="R303" s="90">
        <v>-2.1594478344082832E-2</v>
      </c>
    </row>
    <row r="304" spans="1:18" x14ac:dyDescent="0.25">
      <c r="A304" s="194">
        <v>0.98358029301055194</v>
      </c>
      <c r="B304" s="195">
        <v>0.13048709572068865</v>
      </c>
      <c r="C304" s="195">
        <v>0.10821882037525249</v>
      </c>
      <c r="D304" s="196">
        <v>6.1900015898588109E-2</v>
      </c>
      <c r="F304" s="123">
        <f>INDEX(A304:D312,,F301)</f>
        <v>0.13048709572068865</v>
      </c>
      <c r="G304" s="90">
        <f>INDEX(A302:D310,,G301)</f>
        <v>6.1900015898588109E-2</v>
      </c>
      <c r="I304" s="123">
        <f t="shared" si="104"/>
        <v>1.3195270181374699E-2</v>
      </c>
      <c r="J304" s="37">
        <f t="shared" si="105"/>
        <v>1.615430659934243E-2</v>
      </c>
      <c r="K304" s="37">
        <f t="shared" si="106"/>
        <v>-8.684646654608211E-5</v>
      </c>
      <c r="L304" s="90">
        <f t="shared" si="103"/>
        <v>2.1316044017108767E-4</v>
      </c>
      <c r="N304" t="s">
        <v>467</v>
      </c>
      <c r="O304" s="174">
        <f>0.25*ATAN(O302/O303)</f>
        <v>-6.8461453527924702E-3</v>
      </c>
      <c r="Q304" s="123">
        <v>0.13006026459090367</v>
      </c>
      <c r="R304" s="90">
        <v>6.2791891932077917E-2</v>
      </c>
    </row>
    <row r="305" spans="1:18" x14ac:dyDescent="0.25">
      <c r="A305" s="194">
        <v>5.9553737097559956E-2</v>
      </c>
      <c r="B305" s="195">
        <v>1.6725170335337183E-2</v>
      </c>
      <c r="C305" s="195">
        <v>6.2005792270796327E-2</v>
      </c>
      <c r="D305" s="196">
        <v>0.99615706733418286</v>
      </c>
      <c r="F305" s="123">
        <f>INDEX(A305:D313,,F301)</f>
        <v>1.6725170335337183E-2</v>
      </c>
      <c r="G305" s="90">
        <f>INDEX(A302:D310,,G301)</f>
        <v>0.99615706733418286</v>
      </c>
      <c r="I305" s="123">
        <f t="shared" si="104"/>
        <v>-0.99204917147709371</v>
      </c>
      <c r="J305" s="37">
        <f t="shared" si="105"/>
        <v>3.3321793263828316E-2</v>
      </c>
      <c r="K305" s="37">
        <f t="shared" si="106"/>
        <v>0.98305121672207074</v>
      </c>
      <c r="L305" s="90">
        <f t="shared" si="103"/>
        <v>-3.3056857399511884E-2</v>
      </c>
      <c r="Q305" s="123">
        <v>9.9049955816043235E-3</v>
      </c>
      <c r="R305" s="90">
        <v>0.99624822468354457</v>
      </c>
    </row>
    <row r="306" spans="1:18" x14ac:dyDescent="0.25">
      <c r="A306" s="194">
        <v>0.36380408868346881</v>
      </c>
      <c r="B306" s="195">
        <v>-0.11313743297446971</v>
      </c>
      <c r="C306" s="195">
        <v>0.87727377199280876</v>
      </c>
      <c r="D306" s="196">
        <v>0.29195416642111499</v>
      </c>
      <c r="F306" s="123">
        <f>INDEX(A306:D314,,F301)</f>
        <v>-0.11313743297446971</v>
      </c>
      <c r="G306" s="90">
        <f>INDEX(A302:D310,,G301)</f>
        <v>0.29195416642111499</v>
      </c>
      <c r="I306" s="123">
        <f t="shared" si="104"/>
        <v>-7.2437156550595488E-2</v>
      </c>
      <c r="J306" s="37">
        <f t="shared" si="105"/>
        <v>-6.6061889870172141E-2</v>
      </c>
      <c r="K306" s="37">
        <f t="shared" si="106"/>
        <v>8.8296835591672625E-4</v>
      </c>
      <c r="L306" s="90">
        <f t="shared" si="103"/>
        <v>4.785335458553858E-3</v>
      </c>
      <c r="N306" s="156">
        <f>COS(O304)</f>
        <v>0.99997656523843614</v>
      </c>
      <c r="O306" s="158">
        <f>-N307</f>
        <v>6.8460918734475932E-3</v>
      </c>
      <c r="Q306" s="123">
        <v>-0.11513352667185876</v>
      </c>
      <c r="R306" s="90">
        <v>0.29117277528436813</v>
      </c>
    </row>
    <row r="307" spans="1:18" x14ac:dyDescent="0.25">
      <c r="A307" s="194">
        <v>-2.5687078509134573E-2</v>
      </c>
      <c r="B307" s="195">
        <v>7.5876274687586859E-3</v>
      </c>
      <c r="C307" s="195">
        <v>0.99885089014917405</v>
      </c>
      <c r="D307" s="196">
        <v>-3.9742938432680695E-2</v>
      </c>
      <c r="F307" s="123">
        <f>INDEX(A307:D315,,F301)</f>
        <v>7.5876274687586859E-3</v>
      </c>
      <c r="G307" s="90">
        <f>INDEX(A302:D310,,G301)</f>
        <v>-3.9742938432680695E-2</v>
      </c>
      <c r="I307" s="123">
        <f t="shared" si="104"/>
        <v>-1.5219290646591868E-3</v>
      </c>
      <c r="J307" s="37">
        <f t="shared" si="105"/>
        <v>-6.0310922268198668E-4</v>
      </c>
      <c r="K307" s="37">
        <f t="shared" si="106"/>
        <v>1.952527343370317E-6</v>
      </c>
      <c r="L307" s="90">
        <f t="shared" si="103"/>
        <v>9.1788945516372523E-7</v>
      </c>
      <c r="N307" s="91">
        <f>SIN(O304)</f>
        <v>-6.8460918734475932E-3</v>
      </c>
      <c r="O307" s="93">
        <f>N306</f>
        <v>0.99997656523843614</v>
      </c>
      <c r="Q307" s="123">
        <v>7.8595334623490238E-3</v>
      </c>
      <c r="R307" s="90">
        <v>-3.9690061471642057E-2</v>
      </c>
    </row>
    <row r="308" spans="1:18" x14ac:dyDescent="0.25">
      <c r="A308" s="194">
        <v>0.96514992523199539</v>
      </c>
      <c r="B308" s="195">
        <v>-7.5804471879300636E-3</v>
      </c>
      <c r="C308" s="195">
        <v>0.15744862565809317</v>
      </c>
      <c r="D308" s="196">
        <v>0.2088973166976606</v>
      </c>
      <c r="F308" s="123">
        <f>INDEX(A308:D316,,F301)</f>
        <v>-7.5804471879300636E-3</v>
      </c>
      <c r="G308" s="90">
        <f>INDEX(A302:D310,,G301)</f>
        <v>0.2088973166976606</v>
      </c>
      <c r="I308" s="123">
        <f t="shared" si="104"/>
        <v>-4.3580625743913706E-2</v>
      </c>
      <c r="J308" s="37">
        <f t="shared" si="105"/>
        <v>-3.1670701538538343E-3</v>
      </c>
      <c r="K308" s="37">
        <f t="shared" si="106"/>
        <v>1.8892406068716423E-3</v>
      </c>
      <c r="L308" s="90">
        <f t="shared" si="103"/>
        <v>1.3802289907982317E-4</v>
      </c>
      <c r="Q308" s="123">
        <v>-9.0103997641865288E-3</v>
      </c>
      <c r="R308" s="90">
        <v>0.20884052480096207</v>
      </c>
    </row>
    <row r="309" spans="1:18" x14ac:dyDescent="0.25">
      <c r="A309" s="194">
        <v>0.68595830842996819</v>
      </c>
      <c r="B309" s="195">
        <v>-0.21109683682993088</v>
      </c>
      <c r="C309" s="195">
        <v>0.55392667813846341</v>
      </c>
      <c r="D309" s="196">
        <v>0.42197696598603784</v>
      </c>
      <c r="F309" s="123">
        <f>INDEX(A309:D317,,F301)</f>
        <v>-0.21109683682993088</v>
      </c>
      <c r="G309" s="90">
        <f>INDEX(A302:D310,,G301)</f>
        <v>0.42197696598603784</v>
      </c>
      <c r="I309" s="123">
        <f t="shared" si="104"/>
        <v>-0.13350268530317927</v>
      </c>
      <c r="J309" s="37">
        <f t="shared" si="105"/>
        <v>-0.17815600546948784</v>
      </c>
      <c r="K309" s="37">
        <f t="shared" si="106"/>
        <v>-1.3916595301684462E-2</v>
      </c>
      <c r="L309" s="90">
        <f t="shared" si="103"/>
        <v>2.378430513306452E-2</v>
      </c>
      <c r="Q309" s="123">
        <v>-0.21398078290351197</v>
      </c>
      <c r="R309" s="90">
        <v>0.42052188871732266</v>
      </c>
    </row>
    <row r="310" spans="1:18" x14ac:dyDescent="0.25">
      <c r="A310" s="200">
        <v>8.4728241300446011E-2</v>
      </c>
      <c r="B310" s="201">
        <v>-0.91645865881612842</v>
      </c>
      <c r="C310" s="201">
        <v>-0.222264708071679</v>
      </c>
      <c r="D310" s="202">
        <v>0.32174998267737021</v>
      </c>
      <c r="F310" s="91">
        <f>INDEX(A310:D318,,F301)</f>
        <v>-0.91645865881612842</v>
      </c>
      <c r="G310" s="93">
        <f>INDEX(A302:D310,,G301)</f>
        <v>0.32174998267737021</v>
      </c>
      <c r="I310" s="91">
        <f t="shared" si="104"/>
        <v>0.73637342196616884</v>
      </c>
      <c r="J310" s="92">
        <f t="shared" si="105"/>
        <v>-0.58974111519723049</v>
      </c>
      <c r="K310" s="92">
        <f t="shared" si="106"/>
        <v>0.19445123362409233</v>
      </c>
      <c r="L310" s="93">
        <f t="shared" si="103"/>
        <v>-0.4342696830719292</v>
      </c>
      <c r="Q310" s="91">
        <v>-0.91863991176766535</v>
      </c>
      <c r="R310" s="93">
        <v>0.31546828236677121</v>
      </c>
    </row>
    <row r="311" spans="1:18" x14ac:dyDescent="0.25">
      <c r="I311">
        <f>SUM(I302:I310)</f>
        <v>0.60013220163849768</v>
      </c>
      <c r="J311">
        <f>SUM(J302:J310)</f>
        <v>-0.29980510992936515</v>
      </c>
      <c r="K311">
        <f>SUM(K302:K310)</f>
        <v>1.6222146157290713</v>
      </c>
      <c r="L311">
        <f>SUM(L302:L310)</f>
        <v>-8.359501706385658E-2</v>
      </c>
    </row>
    <row r="312" spans="1:18" x14ac:dyDescent="0.25">
      <c r="A312" s="47" t="s">
        <v>53</v>
      </c>
      <c r="B312">
        <f>COUNT(A302:A310)</f>
        <v>9</v>
      </c>
      <c r="I312" s="47" t="s">
        <v>462</v>
      </c>
      <c r="J312" s="47" t="s">
        <v>389</v>
      </c>
      <c r="K312" s="47" t="s">
        <v>469</v>
      </c>
      <c r="L312" s="47" t="s">
        <v>470</v>
      </c>
      <c r="N312" s="47"/>
    </row>
    <row r="314" spans="1:18" x14ac:dyDescent="0.25">
      <c r="A314">
        <v>1</v>
      </c>
      <c r="B314">
        <v>2</v>
      </c>
      <c r="C314">
        <v>3</v>
      </c>
      <c r="D314">
        <v>4</v>
      </c>
      <c r="F314">
        <v>3</v>
      </c>
      <c r="G314">
        <v>4</v>
      </c>
      <c r="I314" s="47" t="s">
        <v>207</v>
      </c>
      <c r="J314" s="47" t="s">
        <v>464</v>
      </c>
      <c r="K314" s="47" t="s">
        <v>465</v>
      </c>
      <c r="L314" s="47" t="s">
        <v>466</v>
      </c>
      <c r="Q314">
        <f>F314</f>
        <v>3</v>
      </c>
      <c r="R314">
        <f>G314</f>
        <v>4</v>
      </c>
    </row>
    <row r="315" spans="1:18" x14ac:dyDescent="0.25">
      <c r="A315" s="189">
        <f t="array" ref="A315:A323">IF(A314=$Q301,$Q302:$Q310,IF(A314=$R301,$R302:$R310,A302:A310))</f>
        <v>9.8879473993942674E-2</v>
      </c>
      <c r="B315" s="190">
        <f t="array" ref="B315:B323">IF(B314=$Q301,$Q302:$Q310,IF(B314=$R301,$R302:$R310,B302:B310))</f>
        <v>0.89851152861124972</v>
      </c>
      <c r="C315" s="190">
        <f t="array" ref="C315:C323">IF(C314=$Q301,$Q302:$Q310,IF(C314=$R301,$R302:$R310,C302:C310))</f>
        <v>-0.33497095773825841</v>
      </c>
      <c r="D315" s="191">
        <f t="array" ref="D315:D323">IF(D314=$Q301,$Q302:$Q310,IF(D314=$R301,$R302:$R310,D302:D310))</f>
        <v>0.26588407257162017</v>
      </c>
      <c r="F315" s="156">
        <f>INDEX(A315:D323,,F314)</f>
        <v>-0.33497095773825841</v>
      </c>
      <c r="G315" s="158">
        <f>INDEX(A315:D323,,G314)</f>
        <v>0.26588407257162017</v>
      </c>
      <c r="I315" s="156">
        <f>F315^2-G315^2</f>
        <v>4.1511202480815523E-2</v>
      </c>
      <c r="J315" s="157">
        <f>2*F315*G315</f>
        <v>-0.17812688487332842</v>
      </c>
      <c r="K315" s="157">
        <f>I315^2-J315^2</f>
        <v>-3.0006007183272732E-2</v>
      </c>
      <c r="L315" s="158">
        <f t="shared" ref="L315:L323" si="107">I315*J315</f>
        <v>-7.3942611852536519E-3</v>
      </c>
      <c r="N315" t="s">
        <v>390</v>
      </c>
      <c r="O315" s="172">
        <f>L324*B325-2*I324*J324</f>
        <v>0.61241932704464674</v>
      </c>
      <c r="Q315" s="156">
        <f t="array" ref="Q315:R323">MMULT(F315:G323,N319:O320)</f>
        <v>-0.33257772340060204</v>
      </c>
      <c r="R315" s="158">
        <v>0.26887160592563386</v>
      </c>
    </row>
    <row r="316" spans="1:18" x14ac:dyDescent="0.25">
      <c r="A316" s="194">
        <v>0.80229270412160225</v>
      </c>
      <c r="B316" s="195">
        <v>-0.59220139511640235</v>
      </c>
      <c r="C316" s="195">
        <v>7.1816453828360549E-2</v>
      </c>
      <c r="D316" s="196">
        <v>-2.1594478344082832E-2</v>
      </c>
      <c r="F316" s="123">
        <f>INDEX(A316:D324,,F314)</f>
        <v>7.1816453828360549E-2</v>
      </c>
      <c r="G316" s="90">
        <f>INDEX(A315:D323,,G314)</f>
        <v>-2.1594478344082832E-2</v>
      </c>
      <c r="I316" s="123">
        <f t="shared" ref="I316:I323" si="108">F316^2-G316^2</f>
        <v>4.6912815455279798E-3</v>
      </c>
      <c r="J316" s="37">
        <f t="shared" ref="J316:J323" si="109">2*F316*G316</f>
        <v>-3.1016777138907128E-3</v>
      </c>
      <c r="K316" s="37">
        <f t="shared" ref="K316:K323" si="110">I316^2-J316^2</f>
        <v>1.2387717898565073E-5</v>
      </c>
      <c r="L316" s="90">
        <f t="shared" si="107"/>
        <v>-1.4550843419350914E-5</v>
      </c>
      <c r="N316" t="s">
        <v>392</v>
      </c>
      <c r="O316" s="173">
        <f>K324*B325-(I324^2-J324^2)</f>
        <v>17.098041196198267</v>
      </c>
      <c r="Q316" s="123">
        <v>7.1620293981147443E-2</v>
      </c>
      <c r="R316" s="90">
        <v>-2.2236412154125088E-2</v>
      </c>
    </row>
    <row r="317" spans="1:18" x14ac:dyDescent="0.25">
      <c r="A317" s="194">
        <v>0.98358029301055194</v>
      </c>
      <c r="B317" s="195">
        <v>0.13006026459090367</v>
      </c>
      <c r="C317" s="195">
        <v>0.10821882037525249</v>
      </c>
      <c r="D317" s="196">
        <v>6.2791891932077917E-2</v>
      </c>
      <c r="F317" s="123">
        <f>INDEX(A317:D325,,F314)</f>
        <v>0.10821882037525249</v>
      </c>
      <c r="G317" s="90">
        <f>INDEX(A315:D323,,G314)</f>
        <v>6.2791891932077917E-2</v>
      </c>
      <c r="I317" s="123">
        <f t="shared" si="108"/>
        <v>7.7684913910014107E-3</v>
      </c>
      <c r="J317" s="37">
        <f t="shared" si="109"/>
        <v>1.3590528948039611E-2</v>
      </c>
      <c r="K317" s="37">
        <f t="shared" si="110"/>
        <v>-1.2435301859543962E-4</v>
      </c>
      <c r="L317" s="90">
        <f t="shared" si="107"/>
        <v>1.0557790713200118E-4</v>
      </c>
      <c r="N317" t="s">
        <v>467</v>
      </c>
      <c r="O317" s="174">
        <f>0.25*ATAN(O315/O316)</f>
        <v>8.9506982573041675E-3</v>
      </c>
      <c r="Q317" s="123">
        <v>0.10877650920203163</v>
      </c>
      <c r="R317" s="90">
        <v>6.182075558937504E-2</v>
      </c>
    </row>
    <row r="318" spans="1:18" x14ac:dyDescent="0.25">
      <c r="A318" s="194">
        <v>5.9553737097559956E-2</v>
      </c>
      <c r="B318" s="195">
        <v>9.9049955816043235E-3</v>
      </c>
      <c r="C318" s="195">
        <v>6.2005792270796327E-2</v>
      </c>
      <c r="D318" s="196">
        <v>0.99624822468354457</v>
      </c>
      <c r="F318" s="123">
        <f>INDEX(A318:D326,,F314)</f>
        <v>6.2005792270796327E-2</v>
      </c>
      <c r="G318" s="90">
        <f>INDEX(A315:D323,,G314)</f>
        <v>0.99624822468354457</v>
      </c>
      <c r="I318" s="123">
        <f t="shared" si="108"/>
        <v>-0.98866580690998518</v>
      </c>
      <c r="J318" s="37">
        <f t="shared" si="109"/>
        <v>0.12354632093975498</v>
      </c>
      <c r="K318" s="37">
        <f t="shared" si="110"/>
        <v>0.96219638433522314</v>
      </c>
      <c r="L318" s="90">
        <f t="shared" si="107"/>
        <v>-0.12214602308266286</v>
      </c>
      <c r="Q318" s="123">
        <v>7.0920306673564068E-2</v>
      </c>
      <c r="R318" s="90">
        <v>0.99565333001078804</v>
      </c>
    </row>
    <row r="319" spans="1:18" x14ac:dyDescent="0.25">
      <c r="A319" s="194">
        <v>0.36380408868346881</v>
      </c>
      <c r="B319" s="195">
        <v>-0.11513352667185876</v>
      </c>
      <c r="C319" s="195">
        <v>0.87727377199280876</v>
      </c>
      <c r="D319" s="196">
        <v>0.29117277528436813</v>
      </c>
      <c r="F319" s="123">
        <f>INDEX(A319:D327,,F314)</f>
        <v>0.87727377199280876</v>
      </c>
      <c r="G319" s="90">
        <f>INDEX(A315:D323,,G314)</f>
        <v>0.29117277528436813</v>
      </c>
      <c r="I319" s="123">
        <f t="shared" si="108"/>
        <v>0.68482768595968946</v>
      </c>
      <c r="J319" s="37">
        <f t="shared" si="109"/>
        <v>0.51087647775066425</v>
      </c>
      <c r="K319" s="37">
        <f t="shared" si="110"/>
        <v>0.20799418393797814</v>
      </c>
      <c r="L319" s="90">
        <f t="shared" si="107"/>
        <v>0.34986235606922417</v>
      </c>
      <c r="N319" s="156">
        <f>COS(O317)</f>
        <v>0.99995994276778655</v>
      </c>
      <c r="O319" s="158">
        <f>-N320</f>
        <v>-8.9505787435854838E-3</v>
      </c>
      <c r="Q319" s="123">
        <v>0.87984479568678042</v>
      </c>
      <c r="R319" s="90">
        <v>0.28330900373299045</v>
      </c>
    </row>
    <row r="320" spans="1:18" x14ac:dyDescent="0.25">
      <c r="A320" s="194">
        <v>-2.5687078509134573E-2</v>
      </c>
      <c r="B320" s="195">
        <v>7.8595334623490238E-3</v>
      </c>
      <c r="C320" s="195">
        <v>0.99885089014917405</v>
      </c>
      <c r="D320" s="196">
        <v>-3.9690061471642057E-2</v>
      </c>
      <c r="F320" s="123">
        <f>INDEX(A320:D328,,F314)</f>
        <v>0.99885089014917405</v>
      </c>
      <c r="G320" s="90">
        <f>INDEX(A315:D323,,G314)</f>
        <v>-3.9690061471642057E-2</v>
      </c>
      <c r="I320" s="123">
        <f t="shared" si="108"/>
        <v>0.99612779977217458</v>
      </c>
      <c r="J320" s="37">
        <f t="shared" si="109"/>
        <v>-7.928890646205021E-2</v>
      </c>
      <c r="K320" s="37">
        <f t="shared" si="110"/>
        <v>0.98598386279100581</v>
      </c>
      <c r="L320" s="90">
        <f t="shared" si="107"/>
        <v>-7.8981883940383829E-2</v>
      </c>
      <c r="N320" s="91">
        <f>SIN(O317)</f>
        <v>8.9505787435854838E-3</v>
      </c>
      <c r="O320" s="93">
        <f>N319</f>
        <v>0.99995994276778655</v>
      </c>
      <c r="Q320" s="123">
        <v>0.9984556299265811</v>
      </c>
      <c r="R320" s="90">
        <v>-4.8628765143013758E-2</v>
      </c>
    </row>
    <row r="321" spans="1:18" x14ac:dyDescent="0.25">
      <c r="A321" s="194">
        <v>0.96514992523199539</v>
      </c>
      <c r="B321" s="195">
        <v>-9.0103997641865288E-3</v>
      </c>
      <c r="C321" s="195">
        <v>0.15744862565809317</v>
      </c>
      <c r="D321" s="196">
        <v>0.20884052480096207</v>
      </c>
      <c r="F321" s="123">
        <f>INDEX(A321:D329,,F314)</f>
        <v>0.15744862565809317</v>
      </c>
      <c r="G321" s="90">
        <f>INDEX(A315:D323,,G314)</f>
        <v>0.20884052480096207</v>
      </c>
      <c r="I321" s="123">
        <f t="shared" si="108"/>
        <v>-1.8824295077518899E-2</v>
      </c>
      <c r="J321" s="37">
        <f t="shared" si="109"/>
        <v>6.5763307223252798E-2</v>
      </c>
      <c r="K321" s="37">
        <f t="shared" si="110"/>
        <v>-3.9704584917744307E-3</v>
      </c>
      <c r="L321" s="90">
        <f t="shared" si="107"/>
        <v>-1.2379479004440406E-3</v>
      </c>
      <c r="Q321" s="123">
        <v>0.15931156226401624</v>
      </c>
      <c r="R321" s="90">
        <v>0.20742290290554247</v>
      </c>
    </row>
    <row r="322" spans="1:18" x14ac:dyDescent="0.25">
      <c r="A322" s="194">
        <v>0.68595830842996819</v>
      </c>
      <c r="B322" s="195">
        <v>-0.21398078290351197</v>
      </c>
      <c r="C322" s="195">
        <v>0.55392667813846341</v>
      </c>
      <c r="D322" s="196">
        <v>0.42052188871732266</v>
      </c>
      <c r="F322" s="123">
        <f>INDEX(A322:D330,,F314)</f>
        <v>0.55392667813846341</v>
      </c>
      <c r="G322" s="90">
        <f>INDEX(A315:D323,,G314)</f>
        <v>0.42052188871732266</v>
      </c>
      <c r="I322" s="123">
        <f t="shared" si="108"/>
        <v>0.12999610586312854</v>
      </c>
      <c r="J322" s="37">
        <f t="shared" si="109"/>
        <v>0.46587658580339825</v>
      </c>
      <c r="K322" s="37">
        <f t="shared" si="110"/>
        <v>-0.20014200566025336</v>
      </c>
      <c r="L322" s="90">
        <f t="shared" si="107"/>
        <v>6.0562141967251445E-2</v>
      </c>
      <c r="Q322" s="123">
        <v>0.55766840364725367</v>
      </c>
      <c r="R322" s="90">
        <v>0.41554707942352442</v>
      </c>
    </row>
    <row r="323" spans="1:18" x14ac:dyDescent="0.25">
      <c r="A323" s="200">
        <v>8.4728241300446011E-2</v>
      </c>
      <c r="B323" s="201">
        <v>-0.91863991176766535</v>
      </c>
      <c r="C323" s="201">
        <v>-0.222264708071679</v>
      </c>
      <c r="D323" s="202">
        <v>0.31546828236677121</v>
      </c>
      <c r="F323" s="91">
        <f>INDEX(A323:D331,,F314)</f>
        <v>-0.222264708071679</v>
      </c>
      <c r="G323" s="93">
        <f>INDEX(A315:D323,,G314)</f>
        <v>0.31546828236677121</v>
      </c>
      <c r="I323" s="91">
        <f t="shared" si="108"/>
        <v>-5.01186367252522E-2</v>
      </c>
      <c r="J323" s="92">
        <f t="shared" si="109"/>
        <v>-0.14023493137224879</v>
      </c>
      <c r="K323" s="92">
        <f t="shared" si="110"/>
        <v>-1.7153958229781531E-2</v>
      </c>
      <c r="L323" s="93">
        <f t="shared" si="107"/>
        <v>7.0283835816364101E-3</v>
      </c>
      <c r="Q323" s="91">
        <v>-0.21943218106022747</v>
      </c>
      <c r="R323" s="93">
        <v>0.31744504335204404</v>
      </c>
    </row>
    <row r="324" spans="1:18" x14ac:dyDescent="0.25">
      <c r="I324">
        <f>SUM(I315:I323)</f>
        <v>0.80731382829958132</v>
      </c>
      <c r="J324">
        <f>SUM(J315:J323)</f>
        <v>0.77890082024359164</v>
      </c>
      <c r="K324">
        <f>SUM(K315:K323)</f>
        <v>1.904790036198428</v>
      </c>
      <c r="L324">
        <f>SUM(L315:L323)</f>
        <v>0.2077837925730803</v>
      </c>
    </row>
    <row r="325" spans="1:18" x14ac:dyDescent="0.25">
      <c r="A325" s="47" t="s">
        <v>53</v>
      </c>
      <c r="B325">
        <f>COUNT(A315:A323)</f>
        <v>9</v>
      </c>
      <c r="I325" s="47" t="s">
        <v>462</v>
      </c>
      <c r="J325" s="47" t="s">
        <v>389</v>
      </c>
      <c r="K325" s="47" t="s">
        <v>469</v>
      </c>
      <c r="L325" s="47" t="s">
        <v>470</v>
      </c>
      <c r="N325" s="47"/>
    </row>
    <row r="327" spans="1:18" x14ac:dyDescent="0.25">
      <c r="A327">
        <v>1</v>
      </c>
      <c r="B327">
        <v>2</v>
      </c>
      <c r="C327">
        <v>3</v>
      </c>
      <c r="D327">
        <v>4</v>
      </c>
      <c r="F327">
        <v>1</v>
      </c>
      <c r="G327">
        <v>2</v>
      </c>
      <c r="I327" s="47" t="s">
        <v>207</v>
      </c>
      <c r="J327" s="47" t="s">
        <v>464</v>
      </c>
      <c r="K327" s="47" t="s">
        <v>465</v>
      </c>
      <c r="L327" s="47" t="s">
        <v>466</v>
      </c>
      <c r="Q327">
        <f>F327</f>
        <v>1</v>
      </c>
      <c r="R327">
        <f>G327</f>
        <v>2</v>
      </c>
    </row>
    <row r="328" spans="1:18" x14ac:dyDescent="0.25">
      <c r="A328" s="189">
        <f t="array" ref="A328:A336">IF(A327=$Q314,$Q315:$Q323,IF(A327=$R314,$R315:$R323,A315:A323))</f>
        <v>9.8879473993942674E-2</v>
      </c>
      <c r="B328" s="190">
        <f t="array" ref="B328:B336">IF(B327=$Q314,$Q315:$Q323,IF(B327=$R314,$R315:$R323,B315:B323))</f>
        <v>0.89851152861124972</v>
      </c>
      <c r="C328" s="190">
        <f t="array" ref="C328:C336">IF(C327=$Q314,$Q315:$Q323,IF(C327=$R314,$R315:$R323,C315:C323))</f>
        <v>-0.33257772340060204</v>
      </c>
      <c r="D328" s="191">
        <f t="array" ref="D328:D336">IF(D327=$Q314,$Q315:$Q323,IF(D327=$R314,$R315:$R323,D315:D323))</f>
        <v>0.26887160592563386</v>
      </c>
      <c r="F328" s="156">
        <f>INDEX(A328:D336,,F327)</f>
        <v>9.8879473993942674E-2</v>
      </c>
      <c r="G328" s="158">
        <f>INDEX(A328:D336,,G327)</f>
        <v>0.89851152861124972</v>
      </c>
      <c r="I328" s="156">
        <f>F328^2-G328^2</f>
        <v>-0.7975458166700059</v>
      </c>
      <c r="J328" s="157">
        <f>2*F328*G328</f>
        <v>0.17768869465314749</v>
      </c>
      <c r="K328" s="157">
        <f>I328^2-J328^2</f>
        <v>0.60450605748028718</v>
      </c>
      <c r="L328" s="158">
        <f t="shared" ref="L328:L336" si="111">I328*J328</f>
        <v>-0.14171487509017183</v>
      </c>
      <c r="N328" t="s">
        <v>390</v>
      </c>
      <c r="O328" s="172">
        <f>L337*B338-2*I337*J337</f>
        <v>0.54370030674527214</v>
      </c>
      <c r="Q328" s="156">
        <f t="array" ref="Q328:R336">MMULT(F328:G336,N332:O333)</f>
        <v>0.10486797739277315</v>
      </c>
      <c r="R328" s="158">
        <v>0.89783229210259097</v>
      </c>
    </row>
    <row r="329" spans="1:18" x14ac:dyDescent="0.25">
      <c r="A329" s="194">
        <v>0.80229270412160225</v>
      </c>
      <c r="B329" s="195">
        <v>-0.59220139511640235</v>
      </c>
      <c r="C329" s="195">
        <v>7.1620293981147443E-2</v>
      </c>
      <c r="D329" s="196">
        <v>-2.2236412154125088E-2</v>
      </c>
      <c r="F329" s="123">
        <f>INDEX(A329:D337,,F327)</f>
        <v>0.80229270412160225</v>
      </c>
      <c r="G329" s="90">
        <f>INDEX(A328:D336,,G327)</f>
        <v>-0.59220139511640235</v>
      </c>
      <c r="I329" s="123">
        <f t="shared" ref="I329:I336" si="112">F329^2-G329^2</f>
        <v>0.29297109070893951</v>
      </c>
      <c r="J329" s="37">
        <f t="shared" ref="J329:J336" si="113">2*F329*G329</f>
        <v>-0.95023771734504769</v>
      </c>
      <c r="K329" s="37">
        <f t="shared" ref="K329:K336" si="114">I329^2-J329^2</f>
        <v>-0.81711965947394105</v>
      </c>
      <c r="L329" s="90">
        <f t="shared" si="111"/>
        <v>-0.27839218048335157</v>
      </c>
      <c r="N329" t="s">
        <v>392</v>
      </c>
      <c r="O329" s="173">
        <f>K337*B338-(I337^2-J337^2)</f>
        <v>20.381651898423154</v>
      </c>
      <c r="Q329" s="123">
        <v>0.79832645067819863</v>
      </c>
      <c r="R329" s="90">
        <v>-0.59753740770943853</v>
      </c>
    </row>
    <row r="330" spans="1:18" x14ac:dyDescent="0.25">
      <c r="A330" s="194">
        <v>0.98358029301055194</v>
      </c>
      <c r="B330" s="195">
        <v>0.13006026459090367</v>
      </c>
      <c r="C330" s="195">
        <v>0.10877650920203163</v>
      </c>
      <c r="D330" s="196">
        <v>6.182075558937504E-2</v>
      </c>
      <c r="F330" s="123">
        <f>INDEX(A330:D338,,F327)</f>
        <v>0.98358029301055194</v>
      </c>
      <c r="G330" s="90">
        <f>INDEX(A328:D336,,G327)</f>
        <v>0.13006026459090367</v>
      </c>
      <c r="I330" s="123">
        <f t="shared" si="112"/>
        <v>0.95051452037326734</v>
      </c>
      <c r="J330" s="37">
        <f t="shared" si="113"/>
        <v>0.2558494263107019</v>
      </c>
      <c r="K330" s="37">
        <f t="shared" si="114"/>
        <v>0.83801892449690718</v>
      </c>
      <c r="L330" s="90">
        <f t="shared" si="111"/>
        <v>0.24318859473749241</v>
      </c>
      <c r="N330" t="s">
        <v>467</v>
      </c>
      <c r="O330" s="174">
        <f>0.25*ATAN(O328/O329)</f>
        <v>6.6674109323231331E-3</v>
      </c>
      <c r="Q330" s="123">
        <v>0.98442558967625182</v>
      </c>
      <c r="R330" s="90">
        <v>0.12349948831773735</v>
      </c>
    </row>
    <row r="331" spans="1:18" x14ac:dyDescent="0.25">
      <c r="A331" s="194">
        <v>5.9553737097559956E-2</v>
      </c>
      <c r="B331" s="195">
        <v>9.9049955816043235E-3</v>
      </c>
      <c r="C331" s="195">
        <v>7.0920306673564068E-2</v>
      </c>
      <c r="D331" s="196">
        <v>0.99565333001078804</v>
      </c>
      <c r="F331" s="123">
        <f>INDEX(A331:D339,,F327)</f>
        <v>5.9553737097559956E-2</v>
      </c>
      <c r="G331" s="90">
        <f>INDEX(A328:D336,,G327)</f>
        <v>9.9049955816043235E-3</v>
      </c>
      <c r="I331" s="123">
        <f t="shared" si="112"/>
        <v>3.4485386648136877E-3</v>
      </c>
      <c r="J331" s="37">
        <f t="shared" si="113"/>
        <v>1.1797590056387137E-3</v>
      </c>
      <c r="K331" s="37">
        <f t="shared" si="114"/>
        <v>1.0500587611329326E-5</v>
      </c>
      <c r="L331" s="90">
        <f t="shared" si="111"/>
        <v>4.0684445461072533E-6</v>
      </c>
      <c r="Q331" s="123">
        <v>5.9618453577102298E-2</v>
      </c>
      <c r="R331" s="90">
        <v>9.5077091263767888E-3</v>
      </c>
    </row>
    <row r="332" spans="1:18" x14ac:dyDescent="0.25">
      <c r="A332" s="194">
        <v>0.36380408868346881</v>
      </c>
      <c r="B332" s="195">
        <v>-0.11513352667185876</v>
      </c>
      <c r="C332" s="195">
        <v>0.87984479568678042</v>
      </c>
      <c r="D332" s="196">
        <v>0.28330900373299045</v>
      </c>
      <c r="F332" s="123">
        <f>INDEX(A332:D340,,F327)</f>
        <v>0.36380408868346881</v>
      </c>
      <c r="G332" s="90">
        <f>INDEX(A328:D336,,G327)</f>
        <v>-0.11513352667185876</v>
      </c>
      <c r="I332" s="123">
        <f t="shared" si="112"/>
        <v>0.11909768597890964</v>
      </c>
      <c r="J332" s="37">
        <f t="shared" si="113"/>
        <v>-8.3772095495538851E-2</v>
      </c>
      <c r="K332" s="37">
        <f t="shared" si="114"/>
        <v>7.1664948218172894E-3</v>
      </c>
      <c r="L332" s="90">
        <f t="shared" si="111"/>
        <v>-9.9770627231229175E-3</v>
      </c>
      <c r="N332" s="156">
        <f>COS(O330)</f>
        <v>0.99997777289807088</v>
      </c>
      <c r="O332" s="158">
        <f>-N333</f>
        <v>-6.6673615331758005E-3</v>
      </c>
      <c r="Q332" s="123">
        <v>0.3630283655259966</v>
      </c>
      <c r="R332" s="90">
        <v>-0.1175565809737262</v>
      </c>
    </row>
    <row r="333" spans="1:18" x14ac:dyDescent="0.25">
      <c r="A333" s="194">
        <v>-2.5687078509134573E-2</v>
      </c>
      <c r="B333" s="195">
        <v>7.8595334623490238E-3</v>
      </c>
      <c r="C333" s="195">
        <v>0.9984556299265811</v>
      </c>
      <c r="D333" s="196">
        <v>-4.8628765143013758E-2</v>
      </c>
      <c r="F333" s="123">
        <f>INDEX(A333:D341,,F327)</f>
        <v>-2.5687078509134573E-2</v>
      </c>
      <c r="G333" s="90">
        <f>INDEX(A328:D336,,G327)</f>
        <v>7.8595334623490238E-3</v>
      </c>
      <c r="I333" s="123">
        <f t="shared" si="112"/>
        <v>5.9805373608865918E-4</v>
      </c>
      <c r="J333" s="37">
        <f t="shared" si="113"/>
        <v>-4.0377690618505929E-4</v>
      </c>
      <c r="K333" s="37">
        <f t="shared" si="114"/>
        <v>1.9463248128122541E-7</v>
      </c>
      <c r="L333" s="90">
        <f t="shared" si="111"/>
        <v>-2.4148028729029476E-7</v>
      </c>
      <c r="N333" s="91">
        <f>SIN(O330)</f>
        <v>6.6673615331758005E-3</v>
      </c>
      <c r="O333" s="93">
        <f>N332</f>
        <v>0.99997777289807088</v>
      </c>
      <c r="Q333" s="123">
        <v>-2.5634105208746715E-2</v>
      </c>
      <c r="R333" s="90">
        <v>8.0306238068491107E-3</v>
      </c>
    </row>
    <row r="334" spans="1:18" x14ac:dyDescent="0.25">
      <c r="A334" s="194">
        <v>0.96514992523199539</v>
      </c>
      <c r="B334" s="195">
        <v>-9.0103997641865288E-3</v>
      </c>
      <c r="C334" s="195">
        <v>0.15931156226401624</v>
      </c>
      <c r="D334" s="196">
        <v>0.20742290290554247</v>
      </c>
      <c r="F334" s="123">
        <f>INDEX(A334:D342,,F327)</f>
        <v>0.96514992523199539</v>
      </c>
      <c r="G334" s="90">
        <f>INDEX(A328:D336,,G327)</f>
        <v>-9.0103997641865288E-3</v>
      </c>
      <c r="I334" s="123">
        <f t="shared" si="112"/>
        <v>0.93143319087141585</v>
      </c>
      <c r="J334" s="37">
        <f t="shared" si="113"/>
        <v>-1.7392773317430034E-2</v>
      </c>
      <c r="K334" s="37">
        <f t="shared" si="114"/>
        <v>0.86726528049323581</v>
      </c>
      <c r="L334" s="90">
        <f t="shared" si="111"/>
        <v>-1.6200206349157076E-2</v>
      </c>
      <c r="Q334" s="123">
        <v>0.96506839715344406</v>
      </c>
      <c r="R334" s="90">
        <v>-1.5445202974351854E-2</v>
      </c>
    </row>
    <row r="335" spans="1:18" x14ac:dyDescent="0.25">
      <c r="A335" s="194">
        <v>0.68595830842996819</v>
      </c>
      <c r="B335" s="195">
        <v>-0.21398078290351197</v>
      </c>
      <c r="C335" s="195">
        <v>0.55766840364725367</v>
      </c>
      <c r="D335" s="196">
        <v>0.41554707942352442</v>
      </c>
      <c r="F335" s="123">
        <f>INDEX(A335:D343,,F327)</f>
        <v>0.68595830842996819</v>
      </c>
      <c r="G335" s="90">
        <f>INDEX(A328:D336,,G327)</f>
        <v>-0.21398078290351197</v>
      </c>
      <c r="I335" s="123">
        <f t="shared" si="112"/>
        <v>0.42475102545210347</v>
      </c>
      <c r="J335" s="37">
        <f t="shared" si="113"/>
        <v>-0.29356379175402664</v>
      </c>
      <c r="K335" s="37">
        <f t="shared" si="114"/>
        <v>9.4233733793611926E-2</v>
      </c>
      <c r="L335" s="90">
        <f t="shared" si="111"/>
        <v>-0.12469152158313057</v>
      </c>
      <c r="Q335" s="123">
        <v>0.68451637432395795</v>
      </c>
      <c r="R335" s="90">
        <v>-0.21854955876982779</v>
      </c>
    </row>
    <row r="336" spans="1:18" x14ac:dyDescent="0.25">
      <c r="A336" s="200">
        <v>8.4728241300446011E-2</v>
      </c>
      <c r="B336" s="201">
        <v>-0.91863991176766535</v>
      </c>
      <c r="C336" s="201">
        <v>-0.21943218106022747</v>
      </c>
      <c r="D336" s="202">
        <v>0.31744504335204404</v>
      </c>
      <c r="F336" s="91">
        <f>INDEX(A336:D344,,F327)</f>
        <v>8.4728241300446011E-2</v>
      </c>
      <c r="G336" s="93">
        <f>INDEX(A328:D336,,G327)</f>
        <v>-0.91863991176766535</v>
      </c>
      <c r="I336" s="91">
        <f t="shared" si="112"/>
        <v>-0.83672041261863739</v>
      </c>
      <c r="J336" s="92">
        <f t="shared" si="113"/>
        <v>-0.15566948822494237</v>
      </c>
      <c r="K336" s="92">
        <f t="shared" si="114"/>
        <v>0.67586805932848737</v>
      </c>
      <c r="L336" s="93">
        <f t="shared" si="111"/>
        <v>0.13025183841970589</v>
      </c>
      <c r="Q336" s="91">
        <v>7.860145362663061E-2</v>
      </c>
      <c r="R336" s="93">
        <v>-0.91918440688153058</v>
      </c>
    </row>
    <row r="337" spans="1:18" x14ac:dyDescent="0.25">
      <c r="I337">
        <f>SUM(I328:I336)</f>
        <v>1.0885478764968948</v>
      </c>
      <c r="J337">
        <f>SUM(J328:J336)</f>
        <v>-1.0663217630736825</v>
      </c>
      <c r="K337">
        <f>SUM(K328:K336)</f>
        <v>2.2699495861604984</v>
      </c>
      <c r="L337">
        <f>SUM(L328:L336)</f>
        <v>-0.1975315861074769</v>
      </c>
    </row>
    <row r="338" spans="1:18" x14ac:dyDescent="0.25">
      <c r="A338" s="47" t="s">
        <v>53</v>
      </c>
      <c r="B338">
        <f>COUNT(A328:A336)</f>
        <v>9</v>
      </c>
      <c r="I338" s="47" t="s">
        <v>462</v>
      </c>
      <c r="J338" s="47" t="s">
        <v>389</v>
      </c>
      <c r="K338" s="47" t="s">
        <v>469</v>
      </c>
      <c r="L338" s="47" t="s">
        <v>470</v>
      </c>
      <c r="N338" s="47"/>
    </row>
    <row r="340" spans="1:18" x14ac:dyDescent="0.25">
      <c r="A340">
        <v>1</v>
      </c>
      <c r="B340">
        <v>2</v>
      </c>
      <c r="C340">
        <v>3</v>
      </c>
      <c r="D340">
        <v>4</v>
      </c>
      <c r="F340">
        <v>1</v>
      </c>
      <c r="G340">
        <v>3</v>
      </c>
      <c r="I340" s="47" t="s">
        <v>207</v>
      </c>
      <c r="J340" s="47" t="s">
        <v>464</v>
      </c>
      <c r="K340" s="47" t="s">
        <v>465</v>
      </c>
      <c r="L340" s="47" t="s">
        <v>466</v>
      </c>
      <c r="Q340">
        <f>F340</f>
        <v>1</v>
      </c>
      <c r="R340">
        <f>G340</f>
        <v>3</v>
      </c>
    </row>
    <row r="341" spans="1:18" x14ac:dyDescent="0.25">
      <c r="A341" s="189">
        <f t="array" ref="A341:A349">IF(A340=$Q327,$Q328:$Q336,IF(A340=$R327,$R328:$R336,A328:A336))</f>
        <v>0.10486797739277315</v>
      </c>
      <c r="B341" s="190">
        <f t="array" ref="B341:B349">IF(B340=$Q327,$Q328:$Q336,IF(B340=$R327,$R328:$R336,B328:B336))</f>
        <v>0.89783229210259097</v>
      </c>
      <c r="C341" s="190">
        <f t="array" ref="C341:C349">IF(C340=$Q327,$Q328:$Q336,IF(C340=$R327,$R328:$R336,C328:C336))</f>
        <v>-0.33257772340060204</v>
      </c>
      <c r="D341" s="191">
        <f t="array" ref="D341:D349">IF(D340=$Q327,$Q328:$Q336,IF(D340=$R327,$R328:$R336,D328:D336))</f>
        <v>0.26887160592563386</v>
      </c>
      <c r="F341" s="156">
        <f>INDEX(A341:D349,,F340)</f>
        <v>0.10486797739277315</v>
      </c>
      <c r="G341" s="158">
        <f>INDEX(A341:D349,,G340)</f>
        <v>-0.33257772340060204</v>
      </c>
      <c r="I341" s="156">
        <f>F341^2-G341^2</f>
        <v>-9.9610649419876171E-2</v>
      </c>
      <c r="J341" s="157">
        <f>2*F341*G341</f>
        <v>-6.9753506357828593E-2</v>
      </c>
      <c r="K341" s="157">
        <f>I341^2-J341^2</f>
        <v>5.0567298286378426E-3</v>
      </c>
      <c r="L341" s="158">
        <f t="shared" ref="L341:L349" si="115">I341*J341</f>
        <v>6.9481920676167678E-3</v>
      </c>
      <c r="N341" t="s">
        <v>390</v>
      </c>
      <c r="O341" s="172">
        <f>L350*B351-2*I350*J350</f>
        <v>-0.36892395362766672</v>
      </c>
      <c r="Q341" s="156">
        <f t="array" ref="Q341:R349">MMULT(F341:G349,N345:O346)</f>
        <v>0.10611178030985033</v>
      </c>
      <c r="R341" s="158">
        <v>-0.33218296895574373</v>
      </c>
    </row>
    <row r="342" spans="1:18" x14ac:dyDescent="0.25">
      <c r="A342" s="194">
        <v>0.79832645067819863</v>
      </c>
      <c r="B342" s="195">
        <v>-0.59753740770943853</v>
      </c>
      <c r="C342" s="195">
        <v>7.1620293981147443E-2</v>
      </c>
      <c r="D342" s="196">
        <v>-2.2236412154125088E-2</v>
      </c>
      <c r="F342" s="123">
        <f>INDEX(A342:D350,,F340)</f>
        <v>0.79832645067819863</v>
      </c>
      <c r="G342" s="90">
        <f>INDEX(A341:D349,,G340)</f>
        <v>7.1620293981147443E-2</v>
      </c>
      <c r="I342" s="123">
        <f t="shared" ref="I342:I349" si="116">F342^2-G342^2</f>
        <v>0.63219565534250433</v>
      </c>
      <c r="J342" s="37">
        <f t="shared" ref="J342:J349" si="117">2*F342*G342</f>
        <v>0.11435275018099718</v>
      </c>
      <c r="K342" s="37">
        <f t="shared" ref="K342:K349" si="118">I342^2-J342^2</f>
        <v>0.38659479515998096</v>
      </c>
      <c r="L342" s="90">
        <f t="shared" si="115"/>
        <v>7.2293311840893187E-2</v>
      </c>
      <c r="N342" t="s">
        <v>392</v>
      </c>
      <c r="O342" s="173">
        <f>K350*B351-(I350^2-J350^2)</f>
        <v>24.64499291792098</v>
      </c>
      <c r="Q342" s="123">
        <v>0.79805285118255032</v>
      </c>
      <c r="R342" s="90">
        <v>7.4607205294116061E-2</v>
      </c>
    </row>
    <row r="343" spans="1:18" x14ac:dyDescent="0.25">
      <c r="A343" s="194">
        <v>0.98442558967625182</v>
      </c>
      <c r="B343" s="195">
        <v>0.12349948831773735</v>
      </c>
      <c r="C343" s="195">
        <v>0.10877650920203163</v>
      </c>
      <c r="D343" s="196">
        <v>6.182075558937504E-2</v>
      </c>
      <c r="F343" s="123">
        <f>INDEX(A343:D351,,F340)</f>
        <v>0.98442558967625182</v>
      </c>
      <c r="G343" s="90">
        <f>INDEX(A341:D349,,G340)</f>
        <v>0.10877650920203163</v>
      </c>
      <c r="I343" s="123">
        <f t="shared" si="116"/>
        <v>0.95726141265525644</v>
      </c>
      <c r="J343" s="37">
        <f t="shared" si="117"/>
        <v>0.21416475842826846</v>
      </c>
      <c r="K343" s="37">
        <f t="shared" si="118"/>
        <v>0.87048286840609856</v>
      </c>
      <c r="L343" s="90">
        <f t="shared" si="115"/>
        <v>0.20501165919401601</v>
      </c>
      <c r="N343" t="s">
        <v>467</v>
      </c>
      <c r="O343" s="174">
        <f>0.25*ATAN(O341/O342)</f>
        <v>-3.7421029249457838E-3</v>
      </c>
      <c r="Q343" s="123">
        <v>0.98401164512074712</v>
      </c>
      <c r="R343" s="90">
        <v>0.11245956086690263</v>
      </c>
    </row>
    <row r="344" spans="1:18" x14ac:dyDescent="0.25">
      <c r="A344" s="194">
        <v>5.9618453577102298E-2</v>
      </c>
      <c r="B344" s="195">
        <v>9.5077091263767888E-3</v>
      </c>
      <c r="C344" s="195">
        <v>7.0920306673564068E-2</v>
      </c>
      <c r="D344" s="196">
        <v>0.99565333001078804</v>
      </c>
      <c r="F344" s="123">
        <f>INDEX(A344:D352,,F340)</f>
        <v>5.9618453577102298E-2</v>
      </c>
      <c r="G344" s="90">
        <f>INDEX(A341:D349,,G340)</f>
        <v>7.0920306673564068E-2</v>
      </c>
      <c r="I344" s="123">
        <f t="shared" si="116"/>
        <v>-1.4753298917472746E-3</v>
      </c>
      <c r="J344" s="37">
        <f t="shared" si="117"/>
        <v>8.4563180221834747E-3</v>
      </c>
      <c r="K344" s="37">
        <f t="shared" si="118"/>
        <v>-6.9332716202822017E-5</v>
      </c>
      <c r="L344" s="90">
        <f t="shared" si="115"/>
        <v>-1.2475858752248473E-5</v>
      </c>
      <c r="Q344" s="123">
        <v>5.9352645681373162E-2</v>
      </c>
      <c r="R344" s="90">
        <v>7.1142907982587086E-2</v>
      </c>
    </row>
    <row r="345" spans="1:18" x14ac:dyDescent="0.25">
      <c r="A345" s="194">
        <v>0.3630283655259966</v>
      </c>
      <c r="B345" s="195">
        <v>-0.1175565809737262</v>
      </c>
      <c r="C345" s="195">
        <v>0.87984479568678042</v>
      </c>
      <c r="D345" s="196">
        <v>0.28330900373299045</v>
      </c>
      <c r="F345" s="123">
        <f>INDEX(A345:D353,,F340)</f>
        <v>0.3630283655259966</v>
      </c>
      <c r="G345" s="90">
        <f>INDEX(A341:D349,,G340)</f>
        <v>0.87984479568678042</v>
      </c>
      <c r="I345" s="123">
        <f t="shared" si="116"/>
        <v>-0.64233727032063581</v>
      </c>
      <c r="J345" s="37">
        <f t="shared" si="117"/>
        <v>0.63881723618945263</v>
      </c>
      <c r="K345" s="37">
        <f t="shared" si="118"/>
        <v>4.5097075902346129E-3</v>
      </c>
      <c r="L345" s="90">
        <f t="shared" si="115"/>
        <v>-0.41033611972770589</v>
      </c>
      <c r="N345" s="156">
        <f>COS(O343)</f>
        <v>0.99999299834102007</v>
      </c>
      <c r="O345" s="158">
        <f>-N346</f>
        <v>3.7420941912988579E-3</v>
      </c>
      <c r="Q345" s="123">
        <v>0.35973336162599712</v>
      </c>
      <c r="R345" s="90">
        <v>0.88119712165147734</v>
      </c>
    </row>
    <row r="346" spans="1:18" x14ac:dyDescent="0.25">
      <c r="A346" s="194">
        <v>-2.5634105208746715E-2</v>
      </c>
      <c r="B346" s="195">
        <v>8.0306238068491107E-3</v>
      </c>
      <c r="C346" s="195">
        <v>0.9984556299265811</v>
      </c>
      <c r="D346" s="196">
        <v>-4.8628765143013758E-2</v>
      </c>
      <c r="F346" s="123">
        <f>INDEX(A346:D354,,F340)</f>
        <v>-2.5634105208746715E-2</v>
      </c>
      <c r="G346" s="90">
        <f>INDEX(A341:D349,,G340)</f>
        <v>0.9984556299265811</v>
      </c>
      <c r="I346" s="123">
        <f t="shared" si="116"/>
        <v>-0.99625653758223276</v>
      </c>
      <c r="J346" s="37">
        <f t="shared" si="117"/>
        <v>-5.1189033327606909E-2</v>
      </c>
      <c r="K346" s="37">
        <f t="shared" si="118"/>
        <v>0.98990677154232398</v>
      </c>
      <c r="L346" s="90">
        <f t="shared" si="115"/>
        <v>5.0997409105143179E-2</v>
      </c>
      <c r="N346" s="91">
        <f>SIN(O343)</f>
        <v>-3.7420941912988579E-3</v>
      </c>
      <c r="O346" s="93">
        <f>N345</f>
        <v>0.99999299834102007</v>
      </c>
      <c r="Q346" s="123">
        <v>-2.9370240740501687E-2</v>
      </c>
      <c r="R346" s="90">
        <v>0.99835271384455293</v>
      </c>
    </row>
    <row r="347" spans="1:18" x14ac:dyDescent="0.25">
      <c r="A347" s="194">
        <v>0.96506839715344406</v>
      </c>
      <c r="B347" s="195">
        <v>-1.5445202974351854E-2</v>
      </c>
      <c r="C347" s="195">
        <v>0.15931156226401624</v>
      </c>
      <c r="D347" s="196">
        <v>0.20742290290554247</v>
      </c>
      <c r="F347" s="123">
        <f>INDEX(A347:D355,,F340)</f>
        <v>0.96506839715344406</v>
      </c>
      <c r="G347" s="90">
        <f>INDEX(A341:D349,,G340)</f>
        <v>0.15931156226401624</v>
      </c>
      <c r="I347" s="123">
        <f t="shared" si="116"/>
        <v>0.90597683731331613</v>
      </c>
      <c r="J347" s="37">
        <f t="shared" si="117"/>
        <v>0.30749310808429053</v>
      </c>
      <c r="K347" s="37">
        <f t="shared" si="118"/>
        <v>0.72624201822890178</v>
      </c>
      <c r="L347" s="90">
        <f t="shared" si="115"/>
        <v>0.27858163355784721</v>
      </c>
      <c r="Q347" s="123">
        <v>0.96446548120188003</v>
      </c>
      <c r="R347" s="90">
        <v>0.16292182366197971</v>
      </c>
    </row>
    <row r="348" spans="1:18" x14ac:dyDescent="0.25">
      <c r="A348" s="194">
        <v>0.68451637432395795</v>
      </c>
      <c r="B348" s="195">
        <v>-0.21854955876982779</v>
      </c>
      <c r="C348" s="195">
        <v>0.55766840364725367</v>
      </c>
      <c r="D348" s="196">
        <v>0.41554707942352442</v>
      </c>
      <c r="F348" s="123">
        <f>INDEX(A348:D356,,F340)</f>
        <v>0.68451637432395795</v>
      </c>
      <c r="G348" s="90">
        <f>INDEX(A341:D349,,G340)</f>
        <v>0.55766840364725367</v>
      </c>
      <c r="I348" s="123">
        <f t="shared" si="116"/>
        <v>0.15756861829114066</v>
      </c>
      <c r="J348" s="37">
        <f t="shared" si="117"/>
        <v>0.76346630747929511</v>
      </c>
      <c r="K348" s="37">
        <f t="shared" si="118"/>
        <v>-0.55805293318589033</v>
      </c>
      <c r="L348" s="90">
        <f t="shared" si="115"/>
        <v>0.12029833118135168</v>
      </c>
      <c r="Q348" s="123">
        <v>0.68242473387977942</v>
      </c>
      <c r="R348" s="90">
        <v>0.56022602379147401</v>
      </c>
    </row>
    <row r="349" spans="1:18" x14ac:dyDescent="0.25">
      <c r="A349" s="200">
        <v>7.860145362663061E-2</v>
      </c>
      <c r="B349" s="201">
        <v>-0.91918440688153058</v>
      </c>
      <c r="C349" s="201">
        <v>-0.21943218106022747</v>
      </c>
      <c r="D349" s="202">
        <v>0.31744504335204404</v>
      </c>
      <c r="F349" s="91">
        <f>INDEX(A349:D357,,F340)</f>
        <v>7.860145362663061E-2</v>
      </c>
      <c r="G349" s="93">
        <f>INDEX(A341:D349,,G340)</f>
        <v>-0.21943218106022747</v>
      </c>
      <c r="I349" s="91">
        <f t="shared" si="116"/>
        <v>-4.1972293572629084E-2</v>
      </c>
      <c r="J349" s="92">
        <f t="shared" si="117"/>
        <v>-3.4495376807591759E-2</v>
      </c>
      <c r="K349" s="92">
        <f t="shared" si="118"/>
        <v>5.7174240664922132E-4</v>
      </c>
      <c r="L349" s="93">
        <f t="shared" si="115"/>
        <v>1.447850082266702E-3</v>
      </c>
      <c r="Q349" s="91">
        <v>7.9422039176186496E-2</v>
      </c>
      <c r="R349" s="93">
        <v>-0.21913651062788261</v>
      </c>
    </row>
    <row r="350" spans="1:18" x14ac:dyDescent="0.25">
      <c r="I350">
        <f>SUM(I341:I349)</f>
        <v>0.87135044281509633</v>
      </c>
      <c r="J350">
        <f>SUM(J341:J349)</f>
        <v>1.8913125618914601</v>
      </c>
      <c r="K350">
        <f>SUM(K341:K349)</f>
        <v>2.4252423672607342</v>
      </c>
      <c r="L350">
        <f>SUM(L341:L349)</f>
        <v>0.32522979144267661</v>
      </c>
    </row>
    <row r="351" spans="1:18" x14ac:dyDescent="0.25">
      <c r="A351" s="47" t="s">
        <v>53</v>
      </c>
      <c r="B351">
        <f>COUNT(A341:A349)</f>
        <v>9</v>
      </c>
      <c r="I351" s="47" t="s">
        <v>462</v>
      </c>
      <c r="J351" s="47" t="s">
        <v>389</v>
      </c>
      <c r="K351" s="47" t="s">
        <v>469</v>
      </c>
      <c r="L351" s="47" t="s">
        <v>470</v>
      </c>
      <c r="N351" s="47"/>
    </row>
    <row r="353" spans="1:18" x14ac:dyDescent="0.25">
      <c r="A353">
        <v>1</v>
      </c>
      <c r="B353">
        <v>2</v>
      </c>
      <c r="C353">
        <v>3</v>
      </c>
      <c r="D353">
        <v>4</v>
      </c>
      <c r="F353">
        <v>1</v>
      </c>
      <c r="G353">
        <v>4</v>
      </c>
      <c r="I353" s="47" t="s">
        <v>207</v>
      </c>
      <c r="J353" s="47" t="s">
        <v>464</v>
      </c>
      <c r="K353" s="47" t="s">
        <v>465</v>
      </c>
      <c r="L353" s="47" t="s">
        <v>466</v>
      </c>
      <c r="Q353">
        <f>F353</f>
        <v>1</v>
      </c>
      <c r="R353">
        <f>G353</f>
        <v>4</v>
      </c>
    </row>
    <row r="354" spans="1:18" x14ac:dyDescent="0.25">
      <c r="A354" s="189">
        <f t="array" ref="A354:A362">IF(A353=$Q340,$Q341:$Q349,IF(A353=$R340,$R341:$R349,A341:A349))</f>
        <v>0.10611178030985033</v>
      </c>
      <c r="B354" s="190">
        <f t="array" ref="B354:B362">IF(B353=$Q340,$Q341:$Q349,IF(B353=$R340,$R341:$R349,B341:B349))</f>
        <v>0.89783229210259097</v>
      </c>
      <c r="C354" s="190">
        <f t="array" ref="C354:C362">IF(C353=$Q340,$Q341:$Q349,IF(C353=$R340,$R341:$R349,C341:C349))</f>
        <v>-0.33218296895574373</v>
      </c>
      <c r="D354" s="191">
        <f t="array" ref="D354:D362">IF(D353=$Q340,$Q341:$Q349,IF(D353=$R340,$R341:$R349,D341:D349))</f>
        <v>0.26887160592563386</v>
      </c>
      <c r="F354" s="156">
        <f>INDEX(A354:D362,,F353)</f>
        <v>0.10611178030985033</v>
      </c>
      <c r="G354" s="158">
        <f>INDEX(A354:D362,,G353)</f>
        <v>0.26887160592563386</v>
      </c>
      <c r="I354" s="156">
        <f>F354^2-G354^2</f>
        <v>-6.1032230552503411E-2</v>
      </c>
      <c r="J354" s="157">
        <f>2*F354*G354</f>
        <v>5.7060889559075026E-2</v>
      </c>
      <c r="K354" s="157">
        <f>I354^2-J354^2</f>
        <v>4.6898804894097328E-4</v>
      </c>
      <c r="L354" s="158">
        <f t="shared" ref="L354:L362" si="119">I354*J354</f>
        <v>-3.4825533671004015E-3</v>
      </c>
      <c r="N354" t="s">
        <v>390</v>
      </c>
      <c r="O354" s="172">
        <f>L363*B364-2*I363*J363</f>
        <v>-0.49997297081974867</v>
      </c>
      <c r="Q354" s="156">
        <f t="array" ref="Q354:R362">MMULT(F354:G362,N358:O359)</f>
        <v>0.10465719368085187</v>
      </c>
      <c r="R354" s="158">
        <v>0.26944112938525916</v>
      </c>
    </row>
    <row r="355" spans="1:18" x14ac:dyDescent="0.25">
      <c r="A355" s="194">
        <v>0.79805285118255032</v>
      </c>
      <c r="B355" s="195">
        <v>-0.59753740770943853</v>
      </c>
      <c r="C355" s="195">
        <v>7.4607205294116061E-2</v>
      </c>
      <c r="D355" s="196">
        <v>-2.2236412154125088E-2</v>
      </c>
      <c r="F355" s="123">
        <f>INDEX(A355:D363,,F353)</f>
        <v>0.79805285118255032</v>
      </c>
      <c r="G355" s="90">
        <f>INDEX(A354:D362,,G353)</f>
        <v>-2.2236412154125088E-2</v>
      </c>
      <c r="I355" s="123">
        <f t="shared" ref="I355:I362" si="120">F355^2-G355^2</f>
        <v>0.6363938952551097</v>
      </c>
      <c r="J355" s="37">
        <f t="shared" ref="J355:J362" si="121">2*F355*G355</f>
        <v>-3.5491664239339686E-2</v>
      </c>
      <c r="K355" s="37">
        <f t="shared" ref="K355:K362" si="122">I355^2-J355^2</f>
        <v>0.40373753168749349</v>
      </c>
      <c r="L355" s="90">
        <f t="shared" si="119"/>
        <v>-2.2586678454359861E-2</v>
      </c>
      <c r="N355" t="s">
        <v>392</v>
      </c>
      <c r="O355" s="173">
        <f>K363*B364-(I363^2-J363^2)</f>
        <v>23.125173780081727</v>
      </c>
      <c r="Q355" s="123">
        <v>0.798161367476248</v>
      </c>
      <c r="R355" s="90">
        <v>-1.7923246763123561E-2</v>
      </c>
    </row>
    <row r="356" spans="1:18" x14ac:dyDescent="0.25">
      <c r="A356" s="194">
        <v>0.98401164512074712</v>
      </c>
      <c r="B356" s="195">
        <v>0.12349948831773735</v>
      </c>
      <c r="C356" s="195">
        <v>0.11245956086690263</v>
      </c>
      <c r="D356" s="196">
        <v>6.182075558937504E-2</v>
      </c>
      <c r="F356" s="123">
        <f>INDEX(A356:D364,,F353)</f>
        <v>0.98401164512074712</v>
      </c>
      <c r="G356" s="90">
        <f>INDEX(A354:D362,,G353)</f>
        <v>6.182075558937504E-2</v>
      </c>
      <c r="I356" s="123">
        <f t="shared" si="120"/>
        <v>0.96445711191159789</v>
      </c>
      <c r="J356" s="37">
        <f t="shared" si="121"/>
        <v>0.12166468682021711</v>
      </c>
      <c r="K356" s="37">
        <f t="shared" si="122"/>
        <v>0.91537522469779897</v>
      </c>
      <c r="L356" s="90">
        <f t="shared" si="119"/>
        <v>0.11734037247225564</v>
      </c>
      <c r="N356" t="s">
        <v>467</v>
      </c>
      <c r="O356" s="174">
        <f>0.25*ATAN(O354/O355)</f>
        <v>-5.4042306391675482E-3</v>
      </c>
      <c r="Q356" s="123">
        <v>0.98366318378168238</v>
      </c>
      <c r="R356" s="90">
        <v>6.7137652828830691E-2</v>
      </c>
    </row>
    <row r="357" spans="1:18" x14ac:dyDescent="0.25">
      <c r="A357" s="194">
        <v>5.9352645681373162E-2</v>
      </c>
      <c r="B357" s="195">
        <v>9.5077091263767888E-3</v>
      </c>
      <c r="C357" s="195">
        <v>7.1142907982587086E-2</v>
      </c>
      <c r="D357" s="196">
        <v>0.99565333001078804</v>
      </c>
      <c r="F357" s="123">
        <f>INDEX(A357:D365,,F353)</f>
        <v>5.9352645681373162E-2</v>
      </c>
      <c r="G357" s="90">
        <f>INDEX(A354:D362,,G353)</f>
        <v>0.99565333001078804</v>
      </c>
      <c r="I357" s="123">
        <f t="shared" si="120"/>
        <v>-0.98780281701219252</v>
      </c>
      <c r="J357" s="37">
        <f t="shared" si="121"/>
        <v>0.11818931863521921</v>
      </c>
      <c r="K357" s="37">
        <f t="shared" si="122"/>
        <v>0.96178569025776572</v>
      </c>
      <c r="L357" s="90">
        <f t="shared" si="119"/>
        <v>-0.11674774188862116</v>
      </c>
      <c r="Q357" s="123">
        <v>5.3971064924756389E-2</v>
      </c>
      <c r="R357" s="90">
        <v>0.9959595444905569</v>
      </c>
    </row>
    <row r="358" spans="1:18" x14ac:dyDescent="0.25">
      <c r="A358" s="194">
        <v>0.35973336162599712</v>
      </c>
      <c r="B358" s="195">
        <v>-0.1175565809737262</v>
      </c>
      <c r="C358" s="195">
        <v>0.88119712165147734</v>
      </c>
      <c r="D358" s="196">
        <v>0.28330900373299045</v>
      </c>
      <c r="F358" s="123">
        <f>INDEX(A358:D366,,F353)</f>
        <v>0.35973336162599712</v>
      </c>
      <c r="G358" s="90">
        <f>INDEX(A354:D362,,G353)</f>
        <v>0.28330900373299045</v>
      </c>
      <c r="I358" s="123">
        <f t="shared" si="120"/>
        <v>4.9144099870560828E-2</v>
      </c>
      <c r="J358" s="37">
        <f t="shared" si="121"/>
        <v>0.20383140058356164</v>
      </c>
      <c r="K358" s="37">
        <f t="shared" si="122"/>
        <v>-3.913209731176872E-2</v>
      </c>
      <c r="L358" s="90">
        <f t="shared" si="119"/>
        <v>1.0017110707034843E-2</v>
      </c>
      <c r="N358" s="156">
        <f>COS(O356)</f>
        <v>0.99998539718113988</v>
      </c>
      <c r="O358" s="158">
        <f>-N359</f>
        <v>5.4042043334749049E-3</v>
      </c>
      <c r="Q358" s="123">
        <v>0.35819704875919306</v>
      </c>
      <c r="R358" s="90">
        <v>0.28524893921472216</v>
      </c>
    </row>
    <row r="359" spans="1:18" x14ac:dyDescent="0.25">
      <c r="A359" s="194">
        <v>-2.9370240740501687E-2</v>
      </c>
      <c r="B359" s="195">
        <v>8.0306238068491107E-3</v>
      </c>
      <c r="C359" s="195">
        <v>0.99835271384455293</v>
      </c>
      <c r="D359" s="196">
        <v>-4.8628765143013758E-2</v>
      </c>
      <c r="F359" s="123">
        <f>INDEX(A359:D367,,F353)</f>
        <v>-2.9370240740501687E-2</v>
      </c>
      <c r="G359" s="90">
        <f>INDEX(A354:D362,,G353)</f>
        <v>-4.8628765143013758E-2</v>
      </c>
      <c r="I359" s="123">
        <f t="shared" si="120"/>
        <v>-1.5021457581793649E-3</v>
      </c>
      <c r="J359" s="37">
        <f t="shared" si="121"/>
        <v>2.8564770783272618E-3</v>
      </c>
      <c r="K359" s="37">
        <f t="shared" si="122"/>
        <v>-5.9030194201927904E-6</v>
      </c>
      <c r="L359" s="90">
        <f t="shared" si="119"/>
        <v>-4.2908449265458816E-6</v>
      </c>
      <c r="N359" s="91">
        <f>SIN(O356)</f>
        <v>-5.4042043334749049E-3</v>
      </c>
      <c r="O359" s="93">
        <f>N358</f>
        <v>0.99998539718113988</v>
      </c>
      <c r="Q359" s="123">
        <v>-2.9107012068878866E-2</v>
      </c>
      <c r="R359" s="90">
        <v>-4.8786777808250005E-2</v>
      </c>
    </row>
    <row r="360" spans="1:18" x14ac:dyDescent="0.25">
      <c r="A360" s="194">
        <v>0.96446548120188003</v>
      </c>
      <c r="B360" s="195">
        <v>-1.5445202974351854E-2</v>
      </c>
      <c r="C360" s="195">
        <v>0.16292182366197971</v>
      </c>
      <c r="D360" s="196">
        <v>0.20742290290554247</v>
      </c>
      <c r="F360" s="123">
        <f>INDEX(A360:D368,,F353)</f>
        <v>0.96446548120188003</v>
      </c>
      <c r="G360" s="90">
        <f>INDEX(A354:D362,,G353)</f>
        <v>0.20742290290554247</v>
      </c>
      <c r="I360" s="123">
        <f t="shared" si="120"/>
        <v>0.88716940378021192</v>
      </c>
      <c r="J360" s="37">
        <f t="shared" si="121"/>
        <v>0.4001044597261697</v>
      </c>
      <c r="K360" s="37">
        <f t="shared" si="122"/>
        <v>0.62698597231096653</v>
      </c>
      <c r="L360" s="90">
        <f t="shared" si="119"/>
        <v>0.35496043498506979</v>
      </c>
      <c r="Q360" s="123">
        <v>0.96333044153641711</v>
      </c>
      <c r="R360" s="90">
        <v>0.21263204247946205</v>
      </c>
    </row>
    <row r="361" spans="1:18" x14ac:dyDescent="0.25">
      <c r="A361" s="194">
        <v>0.68242473387977942</v>
      </c>
      <c r="B361" s="195">
        <v>-0.21854955876982779</v>
      </c>
      <c r="C361" s="195">
        <v>0.56022602379147401</v>
      </c>
      <c r="D361" s="196">
        <v>0.41554707942352442</v>
      </c>
      <c r="F361" s="123">
        <f>INDEX(A361:D369,,F353)</f>
        <v>0.68242473387977942</v>
      </c>
      <c r="G361" s="90">
        <f>INDEX(A354:D362,,G353)</f>
        <v>0.41554707942352442</v>
      </c>
      <c r="I361" s="123">
        <f t="shared" si="120"/>
        <v>0.29302414219346684</v>
      </c>
      <c r="J361" s="37">
        <f t="shared" si="121"/>
        <v>0.56715921018023641</v>
      </c>
      <c r="K361" s="37">
        <f t="shared" si="122"/>
        <v>-0.23580642178405248</v>
      </c>
      <c r="L361" s="90">
        <f t="shared" si="119"/>
        <v>0.16619134105018793</v>
      </c>
      <c r="Q361" s="123">
        <v>0.68016906722762149</v>
      </c>
      <c r="R361" s="90">
        <v>0.4192289739688993</v>
      </c>
    </row>
    <row r="362" spans="1:18" x14ac:dyDescent="0.25">
      <c r="A362" s="200">
        <v>7.9422039176186496E-2</v>
      </c>
      <c r="B362" s="201">
        <v>-0.91918440688153058</v>
      </c>
      <c r="C362" s="201">
        <v>-0.21913651062788261</v>
      </c>
      <c r="D362" s="202">
        <v>0.31744504335204404</v>
      </c>
      <c r="F362" s="91">
        <f>INDEX(A362:D370,,F353)</f>
        <v>7.9422039176186496E-2</v>
      </c>
      <c r="G362" s="93">
        <f>INDEX(A354:D362,,G353)</f>
        <v>0.31744504335204404</v>
      </c>
      <c r="I362" s="91">
        <f t="shared" si="120"/>
        <v>-9.4463495241877415E-2</v>
      </c>
      <c r="J362" s="92">
        <f t="shared" si="121"/>
        <v>5.0424265338784524E-2</v>
      </c>
      <c r="K362" s="92">
        <f t="shared" si="122"/>
        <v>6.3807453983560514E-3</v>
      </c>
      <c r="L362" s="93">
        <f t="shared" si="119"/>
        <v>-4.7632523489054366E-3</v>
      </c>
      <c r="Q362" s="91">
        <v>7.7705341511611667E-2</v>
      </c>
      <c r="R362" s="93">
        <v>0.31786962068786728</v>
      </c>
    </row>
    <row r="363" spans="1:18" x14ac:dyDescent="0.25">
      <c r="I363">
        <f>SUM(I354:I362)</f>
        <v>1.6853879644461944</v>
      </c>
      <c r="J363">
        <f>SUM(J354:J362)</f>
        <v>1.485799043682251</v>
      </c>
      <c r="K363">
        <f>SUM(K354:K362)</f>
        <v>2.6397897302860804</v>
      </c>
      <c r="L363">
        <f>SUM(L354:L362)</f>
        <v>0.50092474231063489</v>
      </c>
    </row>
    <row r="364" spans="1:18" x14ac:dyDescent="0.25">
      <c r="A364" s="47" t="s">
        <v>53</v>
      </c>
      <c r="B364">
        <f>COUNT(A354:A362)</f>
        <v>9</v>
      </c>
      <c r="I364" s="47" t="s">
        <v>462</v>
      </c>
      <c r="J364" s="47" t="s">
        <v>389</v>
      </c>
      <c r="K364" s="47" t="s">
        <v>469</v>
      </c>
      <c r="L364" s="47" t="s">
        <v>470</v>
      </c>
      <c r="N364" s="47"/>
    </row>
    <row r="366" spans="1:18" x14ac:dyDescent="0.25">
      <c r="A366">
        <v>1</v>
      </c>
      <c r="B366">
        <v>2</v>
      </c>
      <c r="C366">
        <v>3</v>
      </c>
      <c r="D366">
        <v>4</v>
      </c>
      <c r="F366">
        <v>2</v>
      </c>
      <c r="G366">
        <v>3</v>
      </c>
      <c r="I366" s="47" t="s">
        <v>207</v>
      </c>
      <c r="J366" s="47" t="s">
        <v>464</v>
      </c>
      <c r="K366" s="47" t="s">
        <v>465</v>
      </c>
      <c r="L366" s="47" t="s">
        <v>466</v>
      </c>
      <c r="Q366">
        <f>F366</f>
        <v>2</v>
      </c>
      <c r="R366">
        <f>G366</f>
        <v>3</v>
      </c>
    </row>
    <row r="367" spans="1:18" x14ac:dyDescent="0.25">
      <c r="A367" s="189">
        <f t="array" ref="A367:A375">IF(A366=$Q353,$Q354:$Q362,IF(A366=$R353,$R354:$R362,A354:A362))</f>
        <v>0.10465719368085187</v>
      </c>
      <c r="B367" s="190">
        <f t="array" ref="B367:B375">IF(B366=$Q353,$Q354:$Q362,IF(B366=$R353,$R354:$R362,B354:B362))</f>
        <v>0.89783229210259097</v>
      </c>
      <c r="C367" s="190">
        <f t="array" ref="C367:C375">IF(C366=$Q353,$Q354:$Q362,IF(C366=$R353,$R354:$R362,C354:C362))</f>
        <v>-0.33218296895574373</v>
      </c>
      <c r="D367" s="191">
        <f t="array" ref="D367:D375">IF(D366=$Q353,$Q354:$Q362,IF(D366=$R353,$R354:$R362,D354:D362))</f>
        <v>0.26944112938525916</v>
      </c>
      <c r="F367" s="156">
        <f>INDEX(A367:D375,,F366)</f>
        <v>0.89783229210259097</v>
      </c>
      <c r="G367" s="158">
        <f>INDEX(A367:D375,,G366)</f>
        <v>-0.33218296895574373</v>
      </c>
      <c r="I367" s="156">
        <f>F367^2-G367^2</f>
        <v>0.69575729987793955</v>
      </c>
      <c r="J367" s="157">
        <f>2*F367*G367</f>
        <v>-0.59648919282995838</v>
      </c>
      <c r="K367" s="157">
        <f>I367^2-J367^2</f>
        <v>0.12827886317050585</v>
      </c>
      <c r="L367" s="158">
        <f t="shared" ref="L367:L375" si="123">I367*J367</f>
        <v>-0.41501171020974348</v>
      </c>
      <c r="N367" t="s">
        <v>390</v>
      </c>
      <c r="O367" s="172">
        <f>L376*B377-2*I376*J376</f>
        <v>0.44684570659431205</v>
      </c>
      <c r="Q367" s="156">
        <f t="array" ref="Q367:R375">MMULT(F367:G375,N371:O372)</f>
        <v>0.89603304403985984</v>
      </c>
      <c r="R367" s="158">
        <v>-0.33700613287462228</v>
      </c>
    </row>
    <row r="368" spans="1:18" x14ac:dyDescent="0.25">
      <c r="A368" s="194">
        <v>0.798161367476248</v>
      </c>
      <c r="B368" s="195">
        <v>-0.59753740770943853</v>
      </c>
      <c r="C368" s="195">
        <v>7.4607205294116061E-2</v>
      </c>
      <c r="D368" s="196">
        <v>-1.7923246763123561E-2</v>
      </c>
      <c r="F368" s="123">
        <f>INDEX(A368:D376,,F366)</f>
        <v>-0.59753740770943853</v>
      </c>
      <c r="G368" s="90">
        <f>INDEX(A367:D375,,G366)</f>
        <v>7.4607205294116061E-2</v>
      </c>
      <c r="I368" s="123">
        <f t="shared" ref="I368:I375" si="124">F368^2-G368^2</f>
        <v>0.35148471853031737</v>
      </c>
      <c r="J368" s="37">
        <f t="shared" ref="J368:J375" si="125">2*F368*G368</f>
        <v>-8.916119209578402E-2</v>
      </c>
      <c r="K368" s="37">
        <f t="shared" ref="K368:K375" si="126">I368^2-J368^2</f>
        <v>0.11559178918439514</v>
      </c>
      <c r="L368" s="90">
        <f t="shared" si="123"/>
        <v>-3.1338796507614203E-2</v>
      </c>
      <c r="N368" t="s">
        <v>392</v>
      </c>
      <c r="O368" s="173">
        <f>K376*B377-(I376^2-J376^2)</f>
        <v>20.771099238214905</v>
      </c>
      <c r="Q368" s="123">
        <v>-0.59712757871892352</v>
      </c>
      <c r="R368" s="90">
        <v>7.7819299837444289E-2</v>
      </c>
    </row>
    <row r="369" spans="1:18" x14ac:dyDescent="0.25">
      <c r="A369" s="194">
        <v>0.98366318378168238</v>
      </c>
      <c r="B369" s="195">
        <v>0.12349948831773735</v>
      </c>
      <c r="C369" s="195">
        <v>0.11245956086690263</v>
      </c>
      <c r="D369" s="196">
        <v>6.7137652828830691E-2</v>
      </c>
      <c r="F369" s="123">
        <f>INDEX(A369:D377,,F366)</f>
        <v>0.12349948831773735</v>
      </c>
      <c r="G369" s="90">
        <f>INDEX(A367:D375,,G366)</f>
        <v>0.11245956086690263</v>
      </c>
      <c r="I369" s="123">
        <f t="shared" si="124"/>
        <v>2.6049707843663669E-3</v>
      </c>
      <c r="J369" s="37">
        <f t="shared" si="125"/>
        <v>2.7777396446999829E-2</v>
      </c>
      <c r="K369" s="37">
        <f t="shared" si="126"/>
        <v>-7.6479788058639645E-4</v>
      </c>
      <c r="L369" s="90">
        <f t="shared" si="123"/>
        <v>7.2359306210196674E-5</v>
      </c>
      <c r="N369" t="s">
        <v>467</v>
      </c>
      <c r="O369" s="174">
        <f>0.25*ATAN(O367/O368)</f>
        <v>5.3773850236930277E-3</v>
      </c>
      <c r="Q369" s="123">
        <v>0.12410243819370254</v>
      </c>
      <c r="R369" s="90">
        <v>0.11179383381697655</v>
      </c>
    </row>
    <row r="370" spans="1:18" x14ac:dyDescent="0.25">
      <c r="A370" s="194">
        <v>5.3971064924756389E-2</v>
      </c>
      <c r="B370" s="195">
        <v>9.5077091263767888E-3</v>
      </c>
      <c r="C370" s="195">
        <v>7.1142907982587086E-2</v>
      </c>
      <c r="D370" s="196">
        <v>0.9959595444905569</v>
      </c>
      <c r="F370" s="123">
        <f>INDEX(A370:D378,,F366)</f>
        <v>9.5077091263767888E-3</v>
      </c>
      <c r="G370" s="90">
        <f>INDEX(A367:D375,,G366)</f>
        <v>7.1142907982587086E-2</v>
      </c>
      <c r="I370" s="123">
        <f t="shared" si="124"/>
        <v>-4.9709168233870648E-3</v>
      </c>
      <c r="J370" s="37">
        <f t="shared" si="125"/>
        <v>1.3528121510060548E-3</v>
      </c>
      <c r="K370" s="37">
        <f t="shared" si="126"/>
        <v>2.2879913349122918E-5</v>
      </c>
      <c r="L370" s="90">
        <f t="shared" si="123"/>
        <v>-6.72471668031844E-6</v>
      </c>
      <c r="Q370" s="123">
        <v>9.8901326271827149E-3</v>
      </c>
      <c r="R370" s="90">
        <v>7.1090753025041017E-2</v>
      </c>
    </row>
    <row r="371" spans="1:18" x14ac:dyDescent="0.25">
      <c r="A371" s="194">
        <v>0.35819704875919306</v>
      </c>
      <c r="B371" s="195">
        <v>-0.1175565809737262</v>
      </c>
      <c r="C371" s="195">
        <v>0.88119712165147734</v>
      </c>
      <c r="D371" s="196">
        <v>0.28524893921472216</v>
      </c>
      <c r="F371" s="123">
        <f>INDEX(A371:D379,,F366)</f>
        <v>-0.1175565809737262</v>
      </c>
      <c r="G371" s="90">
        <f>INDEX(A367:D375,,G366)</f>
        <v>0.88119712165147734</v>
      </c>
      <c r="I371" s="123">
        <f t="shared" si="124"/>
        <v>-0.76268881747661632</v>
      </c>
      <c r="J371" s="37">
        <f t="shared" si="125"/>
        <v>-0.20718104157047271</v>
      </c>
      <c r="K371" s="37">
        <f t="shared" si="126"/>
        <v>0.53877024831765341</v>
      </c>
      <c r="L371" s="90">
        <f t="shared" si="123"/>
        <v>0.15801466359895752</v>
      </c>
      <c r="N371" s="156">
        <f>COS(O369)</f>
        <v>0.99998554189999311</v>
      </c>
      <c r="O371" s="158">
        <f>-N372</f>
        <v>-5.377359108077899E-3</v>
      </c>
      <c r="Q371" s="123">
        <v>-0.11281636796079741</v>
      </c>
      <c r="R371" s="90">
        <v>0.88181652516678022</v>
      </c>
    </row>
    <row r="372" spans="1:18" x14ac:dyDescent="0.25">
      <c r="A372" s="194">
        <v>-2.9107012068878866E-2</v>
      </c>
      <c r="B372" s="195">
        <v>8.0306238068491107E-3</v>
      </c>
      <c r="C372" s="195">
        <v>0.99835271384455293</v>
      </c>
      <c r="D372" s="196">
        <v>-4.8786777808250005E-2</v>
      </c>
      <c r="F372" s="123">
        <f>INDEX(A372:D380,,F366)</f>
        <v>8.0306238068491107E-3</v>
      </c>
      <c r="G372" s="90">
        <f>INDEX(A367:D375,,G366)</f>
        <v>0.99835271384455293</v>
      </c>
      <c r="I372" s="123">
        <f t="shared" si="124"/>
        <v>-0.9966436503220566</v>
      </c>
      <c r="J372" s="37">
        <f t="shared" si="125"/>
        <v>1.603479014286497E-2</v>
      </c>
      <c r="K372" s="37">
        <f t="shared" si="126"/>
        <v>0.9930414512323481</v>
      </c>
      <c r="L372" s="90">
        <f t="shared" si="123"/>
        <v>-1.5980971780133076E-2</v>
      </c>
      <c r="N372" s="91">
        <f>SIN(O369)</f>
        <v>5.377359108077899E-3</v>
      </c>
      <c r="O372" s="93">
        <f>N371</f>
        <v>0.99998554189999311</v>
      </c>
      <c r="Q372" s="123">
        <v>1.3399008758153289E-2</v>
      </c>
      <c r="R372" s="90">
        <v>0.99829509601310273</v>
      </c>
    </row>
    <row r="373" spans="1:18" x14ac:dyDescent="0.25">
      <c r="A373" s="194">
        <v>0.96333044153641711</v>
      </c>
      <c r="B373" s="195">
        <v>-1.5445202974351854E-2</v>
      </c>
      <c r="C373" s="195">
        <v>0.16292182366197971</v>
      </c>
      <c r="D373" s="196">
        <v>0.21263204247946205</v>
      </c>
      <c r="F373" s="123">
        <f>INDEX(A373:D381,,F366)</f>
        <v>-1.5445202974351854E-2</v>
      </c>
      <c r="G373" s="90">
        <f>INDEX(A367:D375,,G366)</f>
        <v>0.16292182366197971</v>
      </c>
      <c r="I373" s="123">
        <f t="shared" si="124"/>
        <v>-2.6304966330426286E-2</v>
      </c>
      <c r="J373" s="37">
        <f t="shared" si="125"/>
        <v>-5.0327212708216745E-3</v>
      </c>
      <c r="K373" s="37">
        <f t="shared" si="126"/>
        <v>6.6662297025507958E-4</v>
      </c>
      <c r="L373" s="90">
        <f t="shared" si="123"/>
        <v>1.3238556357938433E-4</v>
      </c>
      <c r="Q373" s="123">
        <v>-1.4568890513689217E-2</v>
      </c>
      <c r="R373" s="90">
        <v>0.16300252252485015</v>
      </c>
    </row>
    <row r="374" spans="1:18" x14ac:dyDescent="0.25">
      <c r="A374" s="194">
        <v>0.68016906722762149</v>
      </c>
      <c r="B374" s="195">
        <v>-0.21854955876982779</v>
      </c>
      <c r="C374" s="195">
        <v>0.56022602379147401</v>
      </c>
      <c r="D374" s="196">
        <v>0.4192289739688993</v>
      </c>
      <c r="F374" s="123">
        <f>INDEX(A374:D382,,F366)</f>
        <v>-0.21854955876982779</v>
      </c>
      <c r="G374" s="90">
        <f>INDEX(A367:D375,,G366)</f>
        <v>0.56022602379147401</v>
      </c>
      <c r="I374" s="123">
        <f t="shared" si="124"/>
        <v>-0.26608928809471877</v>
      </c>
      <c r="J374" s="37">
        <f t="shared" si="125"/>
        <v>-0.24487430062200338</v>
      </c>
      <c r="K374" s="37">
        <f t="shared" si="126"/>
        <v>1.0840086133638953E-2</v>
      </c>
      <c r="L374" s="90">
        <f t="shared" si="123"/>
        <v>6.5158428325201023E-2</v>
      </c>
      <c r="Q374" s="123">
        <v>-0.21553386244683329</v>
      </c>
      <c r="R374" s="90">
        <v>0.56139314344801294</v>
      </c>
    </row>
    <row r="375" spans="1:18" x14ac:dyDescent="0.25">
      <c r="A375" s="200">
        <v>7.7705341511611667E-2</v>
      </c>
      <c r="B375" s="201">
        <v>-0.91918440688153058</v>
      </c>
      <c r="C375" s="201">
        <v>-0.21913651062788261</v>
      </c>
      <c r="D375" s="202">
        <v>0.31786962068786728</v>
      </c>
      <c r="F375" s="91">
        <f>INDEX(A375:D383,,F366)</f>
        <v>-0.91918440688153058</v>
      </c>
      <c r="G375" s="93">
        <f>INDEX(A367:D375,,G366)</f>
        <v>-0.21913651062788261</v>
      </c>
      <c r="I375" s="91">
        <f t="shared" si="124"/>
        <v>0.79687916356398703</v>
      </c>
      <c r="J375" s="92">
        <f t="shared" si="125"/>
        <v>0.40285372709515699</v>
      </c>
      <c r="K375" s="92">
        <f t="shared" si="126"/>
        <v>0.47272527588798041</v>
      </c>
      <c r="L375" s="93">
        <f t="shared" si="123"/>
        <v>0.32102574108622339</v>
      </c>
      <c r="Q375" s="91">
        <v>-0.92034949293278834</v>
      </c>
      <c r="R375" s="93">
        <v>-0.21419055768794923</v>
      </c>
    </row>
    <row r="376" spans="1:18" x14ac:dyDescent="0.25">
      <c r="I376">
        <f>SUM(I367:I375)</f>
        <v>-0.20997148629059492</v>
      </c>
      <c r="J376">
        <f>SUM(J367:J375)</f>
        <v>-0.69471972255301229</v>
      </c>
      <c r="K376">
        <f>SUM(K367:K375)</f>
        <v>2.2591724189295395</v>
      </c>
      <c r="L376">
        <f>SUM(L367:L375)</f>
        <v>8.206537466600039E-2</v>
      </c>
    </row>
    <row r="377" spans="1:18" x14ac:dyDescent="0.25">
      <c r="A377" s="47" t="s">
        <v>53</v>
      </c>
      <c r="B377">
        <f>COUNT(A367:A375)</f>
        <v>9</v>
      </c>
      <c r="I377" s="47" t="s">
        <v>462</v>
      </c>
      <c r="J377" s="47" t="s">
        <v>389</v>
      </c>
      <c r="K377" s="47" t="s">
        <v>469</v>
      </c>
      <c r="L377" s="47" t="s">
        <v>470</v>
      </c>
      <c r="N377" s="47"/>
    </row>
    <row r="379" spans="1:18" x14ac:dyDescent="0.25">
      <c r="A379">
        <v>1</v>
      </c>
      <c r="B379">
        <v>2</v>
      </c>
      <c r="C379">
        <v>3</v>
      </c>
      <c r="D379">
        <v>4</v>
      </c>
      <c r="F379">
        <v>2</v>
      </c>
      <c r="G379">
        <v>4</v>
      </c>
      <c r="I379" s="47" t="s">
        <v>207</v>
      </c>
      <c r="J379" s="47" t="s">
        <v>464</v>
      </c>
      <c r="K379" s="47" t="s">
        <v>465</v>
      </c>
      <c r="L379" s="47" t="s">
        <v>466</v>
      </c>
      <c r="Q379">
        <f>F379</f>
        <v>2</v>
      </c>
      <c r="R379">
        <f>G379</f>
        <v>4</v>
      </c>
    </row>
    <row r="380" spans="1:18" x14ac:dyDescent="0.25">
      <c r="A380" s="189">
        <f t="array" ref="A380:A388">IF(A379=$Q366,$Q367:$Q375,IF(A379=$R366,$R367:$R375,A367:A375))</f>
        <v>0.10465719368085187</v>
      </c>
      <c r="B380" s="190">
        <f t="array" ref="B380:B388">IF(B379=$Q366,$Q367:$Q375,IF(B379=$R366,$R367:$R375,B367:B375))</f>
        <v>0.89603304403985984</v>
      </c>
      <c r="C380" s="190">
        <f t="array" ref="C380:C388">IF(C379=$Q366,$Q367:$Q375,IF(C379=$R366,$R367:$R375,C367:C375))</f>
        <v>-0.33700613287462228</v>
      </c>
      <c r="D380" s="191">
        <f t="array" ref="D380:D388">IF(D379=$Q366,$Q367:$Q375,IF(D379=$R366,$R367:$R375,D367:D375))</f>
        <v>0.26944112938525916</v>
      </c>
      <c r="F380" s="156">
        <f>INDEX(A380:D388,,F379)</f>
        <v>0.89603304403985984</v>
      </c>
      <c r="G380" s="158">
        <f>INDEX(A380:D388,,G379)</f>
        <v>0.26944112938525916</v>
      </c>
      <c r="I380" s="156">
        <f>F380^2-G380^2</f>
        <v>0.73027669380693339</v>
      </c>
      <c r="J380" s="157">
        <f>2*F380*G380</f>
        <v>0.482856310705223</v>
      </c>
      <c r="K380" s="157">
        <f>I380^2-J380^2</f>
        <v>0.30015383272972673</v>
      </c>
      <c r="L380" s="158">
        <f t="shared" ref="L380:L388" si="127">I380*J380</f>
        <v>0.35261871016562363</v>
      </c>
      <c r="N380" t="s">
        <v>390</v>
      </c>
      <c r="O380" s="172">
        <f>L389*B390-2*I389*J389</f>
        <v>-0.24752966642098806</v>
      </c>
      <c r="Q380" s="156">
        <f t="array" ref="Q380:R388">MMULT(F380:G388,N384:O385)</f>
        <v>0.89485178059742798</v>
      </c>
      <c r="R380" s="158">
        <v>0.27333867084141983</v>
      </c>
    </row>
    <row r="381" spans="1:18" x14ac:dyDescent="0.25">
      <c r="A381" s="194">
        <v>0.798161367476248</v>
      </c>
      <c r="B381" s="195">
        <v>-0.59712757871892352</v>
      </c>
      <c r="C381" s="195">
        <v>7.7819299837444289E-2</v>
      </c>
      <c r="D381" s="196">
        <v>-1.7923246763123561E-2</v>
      </c>
      <c r="F381" s="123">
        <f>INDEX(A381:D389,,F379)</f>
        <v>-0.59712757871892352</v>
      </c>
      <c r="G381" s="90">
        <f>INDEX(A380:D388,,G379)</f>
        <v>-1.7923246763123561E-2</v>
      </c>
      <c r="I381" s="123">
        <f t="shared" ref="I381:I388" si="128">F381^2-G381^2</f>
        <v>0.3562401024921924</v>
      </c>
      <c r="J381" s="37">
        <f t="shared" ref="J381:J388" si="129">2*F381*G381</f>
        <v>2.140492988489151E-2</v>
      </c>
      <c r="K381" s="37">
        <f t="shared" ref="K381:K388" si="130">I381^2-J381^2</f>
        <v>0.12644883960027065</v>
      </c>
      <c r="L381" s="90">
        <f t="shared" si="127"/>
        <v>7.6252944160319436E-3</v>
      </c>
      <c r="N381" t="s">
        <v>392</v>
      </c>
      <c r="O381" s="173">
        <f>K389*B390-(I389^2-J389^2)</f>
        <v>14.215789470491845</v>
      </c>
      <c r="Q381" s="123">
        <v>-0.59704390917299244</v>
      </c>
      <c r="R381" s="90">
        <v>-2.052214805247167E-2</v>
      </c>
    </row>
    <row r="382" spans="1:18" x14ac:dyDescent="0.25">
      <c r="A382" s="194">
        <v>0.98366318378168238</v>
      </c>
      <c r="B382" s="195">
        <v>0.12410243819370254</v>
      </c>
      <c r="C382" s="195">
        <v>0.11179383381697655</v>
      </c>
      <c r="D382" s="196">
        <v>6.7137652828830691E-2</v>
      </c>
      <c r="F382" s="123">
        <f>INDEX(A382:D390,,F379)</f>
        <v>0.12410243819370254</v>
      </c>
      <c r="G382" s="90">
        <f>INDEX(A380:D388,,G379)</f>
        <v>6.7137652828830691E-2</v>
      </c>
      <c r="I382" s="123">
        <f t="shared" si="128"/>
        <v>1.089395073825716E-2</v>
      </c>
      <c r="J382" s="37">
        <f t="shared" si="129"/>
        <v>1.6663892821320438E-2</v>
      </c>
      <c r="K382" s="37">
        <f t="shared" si="130"/>
        <v>-1.5900716127288111E-4</v>
      </c>
      <c r="L382" s="90">
        <f t="shared" si="127"/>
        <v>1.8153562750306197E-4</v>
      </c>
      <c r="N382" t="s">
        <v>467</v>
      </c>
      <c r="O382" s="174">
        <f>0.25*ATAN(O380/O381)</f>
        <v>-4.3526364723764236E-3</v>
      </c>
      <c r="Q382" s="123">
        <v>0.12380903773399704</v>
      </c>
      <c r="R382" s="90">
        <v>6.7677187946663803E-2</v>
      </c>
    </row>
    <row r="383" spans="1:18" x14ac:dyDescent="0.25">
      <c r="A383" s="194">
        <v>5.3971064924756389E-2</v>
      </c>
      <c r="B383" s="195">
        <v>9.8901326271827149E-3</v>
      </c>
      <c r="C383" s="195">
        <v>7.1090753025041017E-2</v>
      </c>
      <c r="D383" s="196">
        <v>0.9959595444905569</v>
      </c>
      <c r="F383" s="123">
        <f>INDEX(A383:D391,,F379)</f>
        <v>9.8901326271827149E-3</v>
      </c>
      <c r="G383" s="90">
        <f>INDEX(A380:D388,,G379)</f>
        <v>0.9959595444905569</v>
      </c>
      <c r="I383" s="123">
        <f t="shared" si="128"/>
        <v>-0.99183759953845441</v>
      </c>
      <c r="J383" s="37">
        <f t="shared" si="129"/>
        <v>1.9700343972640182E-2</v>
      </c>
      <c r="K383" s="37">
        <f t="shared" si="130"/>
        <v>0.98335372030556312</v>
      </c>
      <c r="L383" s="90">
        <f t="shared" si="127"/>
        <v>-1.9539541875905297E-2</v>
      </c>
      <c r="Q383" s="123">
        <v>5.5550027907192902E-3</v>
      </c>
      <c r="R383" s="90">
        <v>0.99599315807349609</v>
      </c>
    </row>
    <row r="384" spans="1:18" x14ac:dyDescent="0.25">
      <c r="A384" s="194">
        <v>0.35819704875919306</v>
      </c>
      <c r="B384" s="195">
        <v>-0.11281636796079741</v>
      </c>
      <c r="C384" s="195">
        <v>0.88181652516678022</v>
      </c>
      <c r="D384" s="196">
        <v>0.28524893921472216</v>
      </c>
      <c r="F384" s="123">
        <f>INDEX(A384:D392,,F379)</f>
        <v>-0.11281636796079741</v>
      </c>
      <c r="G384" s="90">
        <f>INDEX(A380:D388,,G379)</f>
        <v>0.28524893921472216</v>
      </c>
      <c r="I384" s="123">
        <f t="shared" si="128"/>
        <v>-6.8639424443258212E-2</v>
      </c>
      <c r="J384" s="37">
        <f t="shared" si="129"/>
        <v>-6.4361498573750467E-2</v>
      </c>
      <c r="K384" s="37">
        <f t="shared" si="130"/>
        <v>5.689680892428696E-4</v>
      </c>
      <c r="L384" s="90">
        <f t="shared" si="127"/>
        <v>4.4177362184078164E-3</v>
      </c>
      <c r="N384" s="156">
        <f>COS(O382)</f>
        <v>0.99999052729282512</v>
      </c>
      <c r="O384" s="158">
        <f>-N385</f>
        <v>4.3526227286174966E-3</v>
      </c>
      <c r="Q384" s="123">
        <v>-0.11405688030051922</v>
      </c>
      <c r="R384" s="90">
        <v>0.28475519004770278</v>
      </c>
    </row>
    <row r="385" spans="1:18" x14ac:dyDescent="0.25">
      <c r="A385" s="194">
        <v>-2.9107012068878866E-2</v>
      </c>
      <c r="B385" s="195">
        <v>1.3399008758153289E-2</v>
      </c>
      <c r="C385" s="195">
        <v>0.99829509601310273</v>
      </c>
      <c r="D385" s="196">
        <v>-4.8786777808250005E-2</v>
      </c>
      <c r="F385" s="123">
        <f>INDEX(A385:D393,,F379)</f>
        <v>1.3399008758153289E-2</v>
      </c>
      <c r="G385" s="90">
        <f>INDEX(A380:D388,,G379)</f>
        <v>-4.8786777808250005E-2</v>
      </c>
      <c r="I385" s="123">
        <f t="shared" si="128"/>
        <v>-2.2006162532104867E-3</v>
      </c>
      <c r="J385" s="37">
        <f t="shared" si="129"/>
        <v>-1.3073889262696407E-3</v>
      </c>
      <c r="K385" s="37">
        <f t="shared" si="130"/>
        <v>3.1334460893616773E-6</v>
      </c>
      <c r="L385" s="90">
        <f t="shared" si="127"/>
        <v>2.8770613204163779E-6</v>
      </c>
      <c r="N385" s="91">
        <f>SIN(O382)</f>
        <v>-4.3526227286174966E-3</v>
      </c>
      <c r="O385" s="93">
        <f>N384</f>
        <v>0.99999052729282512</v>
      </c>
      <c r="Q385" s="123">
        <v>1.3611232271211089E-2</v>
      </c>
      <c r="R385" s="90">
        <v>-4.8727994835328144E-2</v>
      </c>
    </row>
    <row r="386" spans="1:18" x14ac:dyDescent="0.25">
      <c r="A386" s="194">
        <v>0.96333044153641711</v>
      </c>
      <c r="B386" s="195">
        <v>-1.4568890513689217E-2</v>
      </c>
      <c r="C386" s="195">
        <v>0.16300252252485015</v>
      </c>
      <c r="D386" s="196">
        <v>0.21263204247946205</v>
      </c>
      <c r="F386" s="123">
        <f>INDEX(A386:D394,,F379)</f>
        <v>-1.4568890513689217E-2</v>
      </c>
      <c r="G386" s="90">
        <f>INDEX(A380:D388,,G379)</f>
        <v>0.21263204247946205</v>
      </c>
      <c r="I386" s="123">
        <f t="shared" si="128"/>
        <v>-4.5000132918187892E-2</v>
      </c>
      <c r="J386" s="37">
        <f t="shared" si="129"/>
        <v>-6.1956258931707949E-3</v>
      </c>
      <c r="K386" s="37">
        <f t="shared" si="130"/>
        <v>1.986626182446449E-3</v>
      </c>
      <c r="L386" s="90">
        <f t="shared" si="127"/>
        <v>2.7880398870405233E-4</v>
      </c>
      <c r="Q386" s="123">
        <v>-1.5494259567783986E-2</v>
      </c>
      <c r="R386" s="90">
        <v>0.21256661539440702</v>
      </c>
    </row>
    <row r="387" spans="1:18" x14ac:dyDescent="0.25">
      <c r="A387" s="194">
        <v>0.68016906722762149</v>
      </c>
      <c r="B387" s="195">
        <v>-0.21553386244683329</v>
      </c>
      <c r="C387" s="195">
        <v>0.56139314344801294</v>
      </c>
      <c r="D387" s="196">
        <v>0.4192289739688993</v>
      </c>
      <c r="F387" s="123">
        <f>INDEX(A387:D395,,F379)</f>
        <v>-0.21553386244683329</v>
      </c>
      <c r="G387" s="90">
        <f>INDEX(A380:D388,,G379)</f>
        <v>0.4192289739688993</v>
      </c>
      <c r="I387" s="123">
        <f t="shared" si="128"/>
        <v>-0.12929808675376558</v>
      </c>
      <c r="J387" s="37">
        <f t="shared" si="129"/>
        <v>-0.18071608001827957</v>
      </c>
      <c r="K387" s="37">
        <f t="shared" si="130"/>
        <v>-1.5940306338988935E-2</v>
      </c>
      <c r="L387" s="90">
        <f t="shared" si="127"/>
        <v>2.3366243392003955E-2</v>
      </c>
      <c r="Q387" s="123">
        <v>-0.21735656631826009</v>
      </c>
      <c r="R387" s="90">
        <v>0.41828686514711688</v>
      </c>
    </row>
    <row r="388" spans="1:18" x14ac:dyDescent="0.25">
      <c r="A388" s="200">
        <v>7.7705341511611667E-2</v>
      </c>
      <c r="B388" s="201">
        <v>-0.92034949293278834</v>
      </c>
      <c r="C388" s="201">
        <v>-0.21419055768794923</v>
      </c>
      <c r="D388" s="202">
        <v>0.31786962068786728</v>
      </c>
      <c r="F388" s="91">
        <f>INDEX(A388:D396,,F379)</f>
        <v>-0.92034949293278834</v>
      </c>
      <c r="G388" s="93">
        <f>INDEX(A380:D388,,G379)</f>
        <v>0.31786962068786728</v>
      </c>
      <c r="I388" s="91">
        <f t="shared" si="128"/>
        <v>0.74600209338539192</v>
      </c>
      <c r="J388" s="92">
        <f t="shared" si="129"/>
        <v>-0.58510228843763279</v>
      </c>
      <c r="K388" s="92">
        <f t="shared" si="130"/>
        <v>0.21417443540043218</v>
      </c>
      <c r="L388" s="93">
        <f t="shared" si="127"/>
        <v>-0.43648753201905743</v>
      </c>
      <c r="Q388" s="91">
        <v>-0.9217243412672862</v>
      </c>
      <c r="R388" s="93">
        <v>0.31386067548081986</v>
      </c>
    </row>
    <row r="389" spans="1:18" x14ac:dyDescent="0.25">
      <c r="I389">
        <f>SUM(I380:I388)</f>
        <v>0.60643698051589823</v>
      </c>
      <c r="J389">
        <f>SUM(J380:J388)</f>
        <v>-0.29705740446502804</v>
      </c>
      <c r="K389">
        <f>SUM(K380:K388)</f>
        <v>1.6105902422535094</v>
      </c>
      <c r="L389">
        <f>SUM(L380:L388)</f>
        <v>-6.7535873025367898E-2</v>
      </c>
    </row>
    <row r="390" spans="1:18" x14ac:dyDescent="0.25">
      <c r="A390" s="47" t="s">
        <v>53</v>
      </c>
      <c r="B390">
        <f>COUNT(A380:A388)</f>
        <v>9</v>
      </c>
      <c r="I390" s="47" t="s">
        <v>462</v>
      </c>
      <c r="J390" s="47" t="s">
        <v>389</v>
      </c>
      <c r="K390" s="47" t="s">
        <v>469</v>
      </c>
      <c r="L390" s="47" t="s">
        <v>470</v>
      </c>
      <c r="N390" s="47"/>
    </row>
    <row r="392" spans="1:18" x14ac:dyDescent="0.25">
      <c r="A392">
        <v>1</v>
      </c>
      <c r="B392">
        <v>2</v>
      </c>
      <c r="C392">
        <v>3</v>
      </c>
      <c r="D392">
        <v>4</v>
      </c>
      <c r="F392">
        <v>3</v>
      </c>
      <c r="G392">
        <v>4</v>
      </c>
      <c r="I392" s="47" t="s">
        <v>207</v>
      </c>
      <c r="J392" s="47" t="s">
        <v>464</v>
      </c>
      <c r="K392" s="47" t="s">
        <v>465</v>
      </c>
      <c r="L392" s="47" t="s">
        <v>466</v>
      </c>
      <c r="Q392">
        <f>F392</f>
        <v>3</v>
      </c>
      <c r="R392">
        <f>G392</f>
        <v>4</v>
      </c>
    </row>
    <row r="393" spans="1:18" x14ac:dyDescent="0.25">
      <c r="A393" s="189">
        <f t="array" ref="A393:A401">IF(A392=$Q379,$Q380:$Q388,IF(A392=$R379,$R380:$R388,A380:A388))</f>
        <v>0.10465719368085187</v>
      </c>
      <c r="B393" s="190">
        <f t="array" ref="B393:B401">IF(B392=$Q379,$Q380:$Q388,IF(B392=$R379,$R380:$R388,B380:B388))</f>
        <v>0.89485178059742798</v>
      </c>
      <c r="C393" s="190">
        <f t="array" ref="C393:C401">IF(C392=$Q379,$Q380:$Q388,IF(C392=$R379,$R380:$R388,C380:C388))</f>
        <v>-0.33700613287462228</v>
      </c>
      <c r="D393" s="191">
        <f t="array" ref="D393:D401">IF(D392=$Q379,$Q380:$Q388,IF(D392=$R379,$R380:$R388,D380:D388))</f>
        <v>0.27333867084141983</v>
      </c>
      <c r="F393" s="156">
        <f>INDEX(A393:D401,,F392)</f>
        <v>-0.33700613287462228</v>
      </c>
      <c r="G393" s="158">
        <f>INDEX(A393:D401,,G392)</f>
        <v>0.27333867084141983</v>
      </c>
      <c r="I393" s="156">
        <f>F393^2-G393^2</f>
        <v>3.8859104617753507E-2</v>
      </c>
      <c r="J393" s="157">
        <f>2*F393*G393</f>
        <v>-0.18423361685071235</v>
      </c>
      <c r="K393" s="157">
        <f>I393^2-J393^2</f>
        <v>-3.243199556620157E-2</v>
      </c>
      <c r="L393" s="158">
        <f t="shared" ref="L393:L401" si="131">I393*J393</f>
        <v>-7.1591533913089467E-3</v>
      </c>
      <c r="N393" t="s">
        <v>390</v>
      </c>
      <c r="O393" s="172">
        <f>L402*B403-2*I402*J402</f>
        <v>0.31574288510570758</v>
      </c>
      <c r="Q393" s="156">
        <f t="array" ref="Q393:R401">MMULT(F393:G401,N397:O398)</f>
        <v>-0.33574386812783796</v>
      </c>
      <c r="R393" s="158">
        <v>0.27488764538810867</v>
      </c>
    </row>
    <row r="394" spans="1:18" x14ac:dyDescent="0.25">
      <c r="A394" s="194">
        <v>0.798161367476248</v>
      </c>
      <c r="B394" s="195">
        <v>-0.59704390917299244</v>
      </c>
      <c r="C394" s="195">
        <v>7.7819299837444289E-2</v>
      </c>
      <c r="D394" s="196">
        <v>-2.052214805247167E-2</v>
      </c>
      <c r="F394" s="123">
        <f>INDEX(A394:D402,,F392)</f>
        <v>7.7819299837444289E-2</v>
      </c>
      <c r="G394" s="90">
        <f>INDEX(A393:D401,,G392)</f>
        <v>-2.052214805247167E-2</v>
      </c>
      <c r="I394" s="123">
        <f t="shared" ref="I394:I401" si="132">F394^2-G394^2</f>
        <v>5.6346848665024896E-3</v>
      </c>
      <c r="J394" s="37">
        <f t="shared" ref="J394:J401" si="133">2*F394*G394</f>
        <v>-3.1940383852074325E-3</v>
      </c>
      <c r="K394" s="37">
        <f t="shared" ref="K394:K401" si="134">I394^2-J394^2</f>
        <v>2.1547792338613674E-5</v>
      </c>
      <c r="L394" s="90">
        <f t="shared" si="131"/>
        <v>-1.7997399752156369E-5</v>
      </c>
      <c r="N394" t="s">
        <v>392</v>
      </c>
      <c r="O394" s="173">
        <f>K402*B403-(I402^2-J402^2)</f>
        <v>17.139756959563705</v>
      </c>
      <c r="Q394" s="123">
        <v>7.772397273893536E-2</v>
      </c>
      <c r="R394" s="90">
        <v>-2.0880278962572729E-2</v>
      </c>
    </row>
    <row r="395" spans="1:18" x14ac:dyDescent="0.25">
      <c r="A395" s="194">
        <v>0.98366318378168238</v>
      </c>
      <c r="B395" s="195">
        <v>0.12380903773399704</v>
      </c>
      <c r="C395" s="195">
        <v>0.11179383381697655</v>
      </c>
      <c r="D395" s="196">
        <v>6.7677187946663803E-2</v>
      </c>
      <c r="F395" s="123">
        <f>INDEX(A395:D403,,F392)</f>
        <v>0.11179383381697655</v>
      </c>
      <c r="G395" s="90">
        <f>INDEX(A393:D401,,G392)</f>
        <v>6.7677187946663803E-2</v>
      </c>
      <c r="I395" s="123">
        <f t="shared" si="132"/>
        <v>7.917659511129712E-3</v>
      </c>
      <c r="J395" s="37">
        <f t="shared" si="133"/>
        <v>1.5131784605019244E-2</v>
      </c>
      <c r="K395" s="37">
        <f t="shared" si="134"/>
        <v>-1.6628157319851459E-4</v>
      </c>
      <c r="L395" s="90">
        <f t="shared" si="131"/>
        <v>1.1980831829829677E-4</v>
      </c>
      <c r="N395" t="s">
        <v>467</v>
      </c>
      <c r="O395" s="174">
        <f>0.25*ATAN(O393/O394)</f>
        <v>4.6048957479132152E-3</v>
      </c>
      <c r="Q395" s="123">
        <v>0.11210429381491697</v>
      </c>
      <c r="R395" s="90">
        <v>6.7161673267754365E-2</v>
      </c>
    </row>
    <row r="396" spans="1:18" x14ac:dyDescent="0.25">
      <c r="A396" s="194">
        <v>5.3971064924756389E-2</v>
      </c>
      <c r="B396" s="195">
        <v>5.5550027907192902E-3</v>
      </c>
      <c r="C396" s="195">
        <v>7.1090753025041017E-2</v>
      </c>
      <c r="D396" s="196">
        <v>0.99599315807349609</v>
      </c>
      <c r="F396" s="123">
        <f>INDEX(A396:D404,,F392)</f>
        <v>7.1090753025041017E-2</v>
      </c>
      <c r="G396" s="90">
        <f>INDEX(A393:D401,,G392)</f>
        <v>0.99599315807349609</v>
      </c>
      <c r="I396" s="123">
        <f t="shared" si="132"/>
        <v>-0.98694847576354883</v>
      </c>
      <c r="J396" s="37">
        <f t="shared" si="133"/>
        <v>0.1416118072304671</v>
      </c>
      <c r="K396" s="37">
        <f t="shared" si="134"/>
        <v>0.95401338986491335</v>
      </c>
      <c r="L396" s="90">
        <f t="shared" si="131"/>
        <v>-0.13976355729623099</v>
      </c>
      <c r="Q396" s="123">
        <v>7.5676427733629995E-2</v>
      </c>
      <c r="R396" s="90">
        <v>0.99565523369304898</v>
      </c>
    </row>
    <row r="397" spans="1:18" x14ac:dyDescent="0.25">
      <c r="A397" s="194">
        <v>0.35819704875919306</v>
      </c>
      <c r="B397" s="195">
        <v>-0.11405688030051922</v>
      </c>
      <c r="C397" s="195">
        <v>0.88181652516678022</v>
      </c>
      <c r="D397" s="196">
        <v>0.28475519004770278</v>
      </c>
      <c r="F397" s="123">
        <f>INDEX(A397:D405,,F392)</f>
        <v>0.88181652516678022</v>
      </c>
      <c r="G397" s="90">
        <f>INDEX(A393:D401,,G392)</f>
        <v>0.28475519004770278</v>
      </c>
      <c r="I397" s="123">
        <f t="shared" si="132"/>
        <v>0.69651486579811139</v>
      </c>
      <c r="J397" s="37">
        <f t="shared" si="133"/>
        <v>0.50220366442214281</v>
      </c>
      <c r="K397" s="37">
        <f t="shared" si="134"/>
        <v>0.23292443771873289</v>
      </c>
      <c r="L397" s="90">
        <f t="shared" si="131"/>
        <v>0.34979231792830856</v>
      </c>
      <c r="N397" s="156">
        <f>COS(O395)</f>
        <v>0.99998939748631099</v>
      </c>
      <c r="O397" s="158">
        <f>-N398</f>
        <v>-4.6048794734116442E-3</v>
      </c>
      <c r="Q397" s="123">
        <v>0.88311843902459908</v>
      </c>
      <c r="R397" s="90">
        <v>0.28069151211084664</v>
      </c>
    </row>
    <row r="398" spans="1:18" x14ac:dyDescent="0.25">
      <c r="A398" s="194">
        <v>-2.9107012068878866E-2</v>
      </c>
      <c r="B398" s="195">
        <v>1.3611232271211089E-2</v>
      </c>
      <c r="C398" s="195">
        <v>0.99829509601310273</v>
      </c>
      <c r="D398" s="196">
        <v>-4.8727994835328144E-2</v>
      </c>
      <c r="F398" s="123">
        <f>INDEX(A398:D406,,F392)</f>
        <v>0.99829509601310273</v>
      </c>
      <c r="G398" s="90">
        <f>INDEX(A393:D401,,G392)</f>
        <v>-4.8727994835328144E-2</v>
      </c>
      <c r="I398" s="123">
        <f t="shared" si="132"/>
        <v>0.99421868124313817</v>
      </c>
      <c r="J398" s="37">
        <f t="shared" si="133"/>
        <v>-9.7289836565319768E-2</v>
      </c>
      <c r="K398" s="37">
        <f t="shared" si="134"/>
        <v>0.9790054738339381</v>
      </c>
      <c r="L398" s="90">
        <f t="shared" si="131"/>
        <v>-9.6727373008332659E-2</v>
      </c>
      <c r="N398" s="91">
        <f>SIN(O395)</f>
        <v>4.6048794734116442E-3</v>
      </c>
      <c r="O398" s="93">
        <f>N397</f>
        <v>0.99998939748631099</v>
      </c>
      <c r="Q398" s="123">
        <v>0.99806012503248387</v>
      </c>
      <c r="R398" s="90">
        <v>-5.3324506792134109E-2</v>
      </c>
    </row>
    <row r="399" spans="1:18" x14ac:dyDescent="0.25">
      <c r="A399" s="194">
        <v>0.96333044153641711</v>
      </c>
      <c r="B399" s="195">
        <v>-1.5494259567783986E-2</v>
      </c>
      <c r="C399" s="195">
        <v>0.16300252252485015</v>
      </c>
      <c r="D399" s="196">
        <v>0.21256661539440702</v>
      </c>
      <c r="F399" s="123">
        <f>INDEX(A399:D407,,F392)</f>
        <v>0.16300252252485015</v>
      </c>
      <c r="G399" s="90">
        <f>INDEX(A393:D401,,G392)</f>
        <v>0.21256661539440702</v>
      </c>
      <c r="I399" s="123">
        <f t="shared" si="132"/>
        <v>-1.8614743630769478E-2</v>
      </c>
      <c r="J399" s="37">
        <f t="shared" si="133"/>
        <v>6.9297789027715981E-2</v>
      </c>
      <c r="K399" s="37">
        <f t="shared" si="134"/>
        <v>-4.4556748836905606E-3</v>
      </c>
      <c r="L399" s="90">
        <f t="shared" si="131"/>
        <v>-1.2899605769300831E-3</v>
      </c>
      <c r="Q399" s="123">
        <v>0.16397963793233603</v>
      </c>
      <c r="R399" s="90">
        <v>0.21181375468386848</v>
      </c>
    </row>
    <row r="400" spans="1:18" x14ac:dyDescent="0.25">
      <c r="A400" s="194">
        <v>0.68016906722762149</v>
      </c>
      <c r="B400" s="195">
        <v>-0.21735656631826009</v>
      </c>
      <c r="C400" s="195">
        <v>0.56139314344801294</v>
      </c>
      <c r="D400" s="196">
        <v>0.41828686514711688</v>
      </c>
      <c r="F400" s="123">
        <f>INDEX(A400:D408,,F392)</f>
        <v>0.56139314344801294</v>
      </c>
      <c r="G400" s="90">
        <f>INDEX(A393:D401,,G392)</f>
        <v>0.41828686514711688</v>
      </c>
      <c r="I400" s="123">
        <f t="shared" si="132"/>
        <v>0.1401983599558389</v>
      </c>
      <c r="J400" s="37">
        <f t="shared" si="133"/>
        <v>0.46964675617591006</v>
      </c>
      <c r="K400" s="37">
        <f t="shared" si="134"/>
        <v>-0.20091249545224776</v>
      </c>
      <c r="L400" s="90">
        <f t="shared" si="131"/>
        <v>6.5843704974442349E-2</v>
      </c>
      <c r="Q400" s="123">
        <v>0.56331335186883824</v>
      </c>
      <c r="R400" s="90">
        <v>0.41569728249212545</v>
      </c>
    </row>
    <row r="401" spans="1:18" x14ac:dyDescent="0.25">
      <c r="A401" s="200">
        <v>7.7705341511611667E-2</v>
      </c>
      <c r="B401" s="201">
        <v>-0.9217243412672862</v>
      </c>
      <c r="C401" s="201">
        <v>-0.21419055768794923</v>
      </c>
      <c r="D401" s="202">
        <v>0.31386067548081986</v>
      </c>
      <c r="F401" s="91">
        <f>INDEX(A401:D409,,F392)</f>
        <v>-0.21419055768794923</v>
      </c>
      <c r="G401" s="93">
        <f>INDEX(A393:D401,,G392)</f>
        <v>0.31386067548081986</v>
      </c>
      <c r="I401" s="91">
        <f t="shared" si="132"/>
        <v>-5.2630928610601806E-2</v>
      </c>
      <c r="J401" s="92">
        <f t="shared" si="133"/>
        <v>-0.13445198623510651</v>
      </c>
      <c r="K401" s="92">
        <f t="shared" si="134"/>
        <v>-1.5307321956151008E-2</v>
      </c>
      <c r="L401" s="93">
        <f t="shared" si="131"/>
        <v>7.0763328890935074E-3</v>
      </c>
      <c r="Q401" s="91">
        <v>-0.21274299614759654</v>
      </c>
      <c r="R401" s="93">
        <v>0.31484366947120751</v>
      </c>
    </row>
    <row r="402" spans="1:18" x14ac:dyDescent="0.25">
      <c r="I402">
        <f>SUM(I393:I401)</f>
        <v>0.82514920798755409</v>
      </c>
      <c r="J402">
        <f>SUM(J393:J401)</f>
        <v>0.77872232342490921</v>
      </c>
      <c r="K402">
        <f>SUM(K393:K401)</f>
        <v>1.9126910797784338</v>
      </c>
      <c r="L402">
        <f>SUM(L393:L401)</f>
        <v>0.17787412243758791</v>
      </c>
    </row>
    <row r="403" spans="1:18" x14ac:dyDescent="0.25">
      <c r="A403" s="47" t="s">
        <v>53</v>
      </c>
      <c r="B403">
        <f>COUNT(A393:A401)</f>
        <v>9</v>
      </c>
      <c r="I403" s="47" t="s">
        <v>462</v>
      </c>
      <c r="J403" s="47" t="s">
        <v>389</v>
      </c>
      <c r="K403" s="47" t="s">
        <v>469</v>
      </c>
      <c r="L403" s="47" t="s">
        <v>470</v>
      </c>
      <c r="N403" s="47"/>
    </row>
    <row r="405" spans="1:18" x14ac:dyDescent="0.25">
      <c r="A405">
        <v>1</v>
      </c>
      <c r="B405">
        <v>2</v>
      </c>
      <c r="C405">
        <v>3</v>
      </c>
      <c r="D405">
        <v>4</v>
      </c>
      <c r="F405">
        <v>1</v>
      </c>
      <c r="G405">
        <v>2</v>
      </c>
      <c r="I405" s="47" t="s">
        <v>207</v>
      </c>
      <c r="J405" s="47" t="s">
        <v>464</v>
      </c>
      <c r="K405" s="47" t="s">
        <v>465</v>
      </c>
      <c r="L405" s="47" t="s">
        <v>466</v>
      </c>
      <c r="Q405">
        <f>F405</f>
        <v>1</v>
      </c>
      <c r="R405">
        <f>G405</f>
        <v>2</v>
      </c>
    </row>
    <row r="406" spans="1:18" x14ac:dyDescent="0.25">
      <c r="A406" s="189">
        <f t="array" ref="A406:A414">IF(A405=$Q392,$Q393:$Q401,IF(A405=$R392,$R393:$R401,A393:A401))</f>
        <v>0.10465719368085187</v>
      </c>
      <c r="B406" s="190">
        <f t="array" ref="B406:B414">IF(B405=$Q392,$Q393:$Q401,IF(B405=$R392,$R393:$R401,B393:B401))</f>
        <v>0.89485178059742798</v>
      </c>
      <c r="C406" s="190">
        <f t="array" ref="C406:C414">IF(C405=$Q392,$Q393:$Q401,IF(C405=$R392,$R393:$R401,C393:C401))</f>
        <v>-0.33574386812783796</v>
      </c>
      <c r="D406" s="191">
        <f t="array" ref="D406:D414">IF(D405=$Q392,$Q393:$Q401,IF(D405=$R392,$R393:$R401,D393:D401))</f>
        <v>0.27488764538810867</v>
      </c>
      <c r="F406" s="156">
        <f>INDEX(A406:D414,,F405)</f>
        <v>0.10465719368085187</v>
      </c>
      <c r="G406" s="158">
        <f>INDEX(A406:D414,,G405)</f>
        <v>0.89485178059742798</v>
      </c>
      <c r="I406" s="156">
        <f>F406^2-G406^2</f>
        <v>-0.78980658104923607</v>
      </c>
      <c r="J406" s="157">
        <f>2*F406*G406</f>
        <v>0.18730535223528036</v>
      </c>
      <c r="K406" s="157">
        <f>I406^2-J406^2</f>
        <v>0.58871114049270112</v>
      </c>
      <c r="L406" s="158">
        <f t="shared" ref="L406:L414" si="135">I406*J406</f>
        <v>-0.14793499986116967</v>
      </c>
      <c r="N406" t="s">
        <v>390</v>
      </c>
      <c r="O406" s="172">
        <f>L415*B416-2*I415*J415</f>
        <v>0.27501502166163272</v>
      </c>
      <c r="Q406" s="156">
        <f t="array" ref="Q406:R414">MMULT(F406:G414,N410:O411)</f>
        <v>0.10769206626755948</v>
      </c>
      <c r="R406" s="158">
        <v>0.8944916189045945</v>
      </c>
    </row>
    <row r="407" spans="1:18" x14ac:dyDescent="0.25">
      <c r="A407" s="194">
        <v>0.798161367476248</v>
      </c>
      <c r="B407" s="195">
        <v>-0.59704390917299244</v>
      </c>
      <c r="C407" s="195">
        <v>7.772397273893536E-2</v>
      </c>
      <c r="D407" s="196">
        <v>-2.0880278962572729E-2</v>
      </c>
      <c r="F407" s="123">
        <f>INDEX(A407:D415,,F405)</f>
        <v>0.798161367476248</v>
      </c>
      <c r="G407" s="90">
        <f>INDEX(A406:D414,,G405)</f>
        <v>-0.59704390917299244</v>
      </c>
      <c r="I407" s="123">
        <f t="shared" ref="I407:I414" si="136">F407^2-G407^2</f>
        <v>0.28060013905098569</v>
      </c>
      <c r="J407" s="37">
        <f t="shared" ref="J407:J414" si="137">2*F407*G407</f>
        <v>-0.95307476597776086</v>
      </c>
      <c r="K407" s="37">
        <f t="shared" ref="K407:K414" si="138">I407^2-J407^2</f>
        <v>-0.82961507150813107</v>
      </c>
      <c r="L407" s="90">
        <f t="shared" si="135"/>
        <v>-0.26743291185934531</v>
      </c>
      <c r="N407" t="s">
        <v>392</v>
      </c>
      <c r="O407" s="173">
        <f>K415*B416-(I415^2-J415^2)</f>
        <v>20.267184682464411</v>
      </c>
      <c r="Q407" s="123">
        <v>0.79613151069348298</v>
      </c>
      <c r="R407" s="90">
        <v>-0.59974796014078724</v>
      </c>
    </row>
    <row r="408" spans="1:18" x14ac:dyDescent="0.25">
      <c r="A408" s="194">
        <v>0.98366318378168238</v>
      </c>
      <c r="B408" s="195">
        <v>0.12380903773399704</v>
      </c>
      <c r="C408" s="195">
        <v>0.11210429381491697</v>
      </c>
      <c r="D408" s="196">
        <v>6.7161673267754365E-2</v>
      </c>
      <c r="F408" s="123">
        <f>INDEX(A408:D416,,F405)</f>
        <v>0.98366318378168238</v>
      </c>
      <c r="G408" s="90">
        <f>INDEX(A406:D414,,G405)</f>
        <v>0.12380903773399704</v>
      </c>
      <c r="I408" s="123">
        <f t="shared" si="136"/>
        <v>0.95226458130289748</v>
      </c>
      <c r="J408" s="37">
        <f t="shared" si="137"/>
        <v>0.24357278447673997</v>
      </c>
      <c r="K408" s="37">
        <f t="shared" si="138"/>
        <v>0.84748013146623025</v>
      </c>
      <c r="L408" s="90">
        <f t="shared" si="135"/>
        <v>0.23194573562652368</v>
      </c>
      <c r="N408" t="s">
        <v>467</v>
      </c>
      <c r="O408" s="174">
        <f>0.25*ATAN(O406/O407)</f>
        <v>3.3921601380985681E-3</v>
      </c>
      <c r="Q408" s="123">
        <v>0.9840775036808449</v>
      </c>
      <c r="R408" s="90">
        <v>0.12047158877266788</v>
      </c>
    </row>
    <row r="409" spans="1:18" x14ac:dyDescent="0.25">
      <c r="A409" s="194">
        <v>5.3971064924756389E-2</v>
      </c>
      <c r="B409" s="195">
        <v>5.5550027907192902E-3</v>
      </c>
      <c r="C409" s="195">
        <v>7.5676427733629995E-2</v>
      </c>
      <c r="D409" s="196">
        <v>0.99565523369304898</v>
      </c>
      <c r="F409" s="123">
        <f>INDEX(A409:D417,,F405)</f>
        <v>5.3971064924756389E-2</v>
      </c>
      <c r="G409" s="90">
        <f>INDEX(A406:D414,,G405)</f>
        <v>5.5550027907192902E-3</v>
      </c>
      <c r="I409" s="123">
        <f t="shared" si="136"/>
        <v>2.8820177931073703E-3</v>
      </c>
      <c r="J409" s="37">
        <f t="shared" si="137"/>
        <v>5.9961883255022744E-4</v>
      </c>
      <c r="K409" s="37">
        <f t="shared" si="138"/>
        <v>7.9464838154385804E-6</v>
      </c>
      <c r="L409" s="90">
        <f t="shared" si="135"/>
        <v>1.7281121444920243E-6</v>
      </c>
      <c r="Q409" s="123">
        <v>5.3989597832163519E-2</v>
      </c>
      <c r="R409" s="90">
        <v>5.3718926867923717E-3</v>
      </c>
    </row>
    <row r="410" spans="1:18" x14ac:dyDescent="0.25">
      <c r="A410" s="194">
        <v>0.35819704875919306</v>
      </c>
      <c r="B410" s="195">
        <v>-0.11405688030051922</v>
      </c>
      <c r="C410" s="195">
        <v>0.88311843902459908</v>
      </c>
      <c r="D410" s="196">
        <v>0.28069151211084664</v>
      </c>
      <c r="F410" s="123">
        <f>INDEX(A410:D418,,F405)</f>
        <v>0.35819704875919306</v>
      </c>
      <c r="G410" s="90">
        <f>INDEX(A406:D414,,G405)</f>
        <v>-0.11405688030051922</v>
      </c>
      <c r="I410" s="123">
        <f t="shared" si="136"/>
        <v>0.11529615379590874</v>
      </c>
      <c r="J410" s="37">
        <f t="shared" si="137"/>
        <v>-8.1709675828653058E-2</v>
      </c>
      <c r="K410" s="37">
        <f t="shared" si="138"/>
        <v>6.6167319561062721E-3</v>
      </c>
      <c r="L410" s="90">
        <f t="shared" si="135"/>
        <v>-9.4208113509542304E-3</v>
      </c>
      <c r="N410" s="156">
        <f>COS(O408)</f>
        <v>0.99999424663031566</v>
      </c>
      <c r="O410" s="158">
        <f>-N411</f>
        <v>-3.3921536326456387E-3</v>
      </c>
      <c r="Q410" s="123">
        <v>0.35780808945831211</v>
      </c>
      <c r="R410" s="90">
        <v>-0.11527128350927325</v>
      </c>
    </row>
    <row r="411" spans="1:18" x14ac:dyDescent="0.25">
      <c r="A411" s="194">
        <v>-2.9107012068878866E-2</v>
      </c>
      <c r="B411" s="195">
        <v>1.3611232271211089E-2</v>
      </c>
      <c r="C411" s="195">
        <v>0.99806012503248387</v>
      </c>
      <c r="D411" s="196">
        <v>-5.3324506792134109E-2</v>
      </c>
      <c r="F411" s="123">
        <f>INDEX(A411:D419,,F405)</f>
        <v>-2.9107012068878866E-2</v>
      </c>
      <c r="G411" s="90">
        <f>INDEX(A406:D414,,G405)</f>
        <v>1.3611232271211089E-2</v>
      </c>
      <c r="I411" s="123">
        <f t="shared" si="136"/>
        <v>6.6195250763700171E-4</v>
      </c>
      <c r="J411" s="37">
        <f t="shared" si="137"/>
        <v>-7.9236460398090939E-4</v>
      </c>
      <c r="K411" s="37">
        <f t="shared" si="138"/>
        <v>-1.8966054327490854E-7</v>
      </c>
      <c r="L411" s="90">
        <f t="shared" si="135"/>
        <v>-5.2450773656796272E-7</v>
      </c>
      <c r="N411" s="91">
        <f>SIN(O408)</f>
        <v>3.3921536326456387E-3</v>
      </c>
      <c r="O411" s="93">
        <f>N410</f>
        <v>0.99999424663031566</v>
      </c>
      <c r="Q411" s="123">
        <v>-2.9060673214484457E-2</v>
      </c>
      <c r="R411" s="90">
        <v>1.3709889417484883E-2</v>
      </c>
    </row>
    <row r="412" spans="1:18" x14ac:dyDescent="0.25">
      <c r="A412" s="194">
        <v>0.96333044153641711</v>
      </c>
      <c r="B412" s="195">
        <v>-1.5494259567783986E-2</v>
      </c>
      <c r="C412" s="195">
        <v>0.16397963793233603</v>
      </c>
      <c r="D412" s="196">
        <v>0.21181375468386848</v>
      </c>
      <c r="F412" s="123">
        <f>INDEX(A412:D420,,F405)</f>
        <v>0.96333044153641711</v>
      </c>
      <c r="G412" s="90">
        <f>INDEX(A406:D414,,G405)</f>
        <v>-1.5494259567783986E-2</v>
      </c>
      <c r="I412" s="123">
        <f t="shared" si="136"/>
        <v>0.92776546751119449</v>
      </c>
      <c r="J412" s="37">
        <f t="shared" si="137"/>
        <v>-2.9852183821426407E-2</v>
      </c>
      <c r="K412" s="37">
        <f t="shared" si="138"/>
        <v>0.85985760982735704</v>
      </c>
      <c r="L412" s="90">
        <f t="shared" si="135"/>
        <v>-2.7695825279315786E-2</v>
      </c>
      <c r="Q412" s="123">
        <v>0.96327234023138075</v>
      </c>
      <c r="R412" s="90">
        <v>-1.8761935280276594E-2</v>
      </c>
    </row>
    <row r="413" spans="1:18" x14ac:dyDescent="0.25">
      <c r="A413" s="194">
        <v>0.68016906722762149</v>
      </c>
      <c r="B413" s="195">
        <v>-0.21735656631826009</v>
      </c>
      <c r="C413" s="195">
        <v>0.56331335186883824</v>
      </c>
      <c r="D413" s="196">
        <v>0.41569728249212545</v>
      </c>
      <c r="F413" s="123">
        <f>INDEX(A413:D421,,F405)</f>
        <v>0.68016906722762149</v>
      </c>
      <c r="G413" s="90">
        <f>INDEX(A406:D414,,G405)</f>
        <v>-0.21735656631826009</v>
      </c>
      <c r="I413" s="123">
        <f t="shared" si="136"/>
        <v>0.4153860830916285</v>
      </c>
      <c r="J413" s="37">
        <f t="shared" si="137"/>
        <v>-0.29567842593697924</v>
      </c>
      <c r="K413" s="37">
        <f t="shared" si="138"/>
        <v>8.5119866461635565E-2</v>
      </c>
      <c r="L413" s="90">
        <f t="shared" si="135"/>
        <v>-0.12282070320465999</v>
      </c>
      <c r="Q413" s="123">
        <v>0.67942784709751392</v>
      </c>
      <c r="R413" s="90">
        <v>-0.21966255375779009</v>
      </c>
    </row>
    <row r="414" spans="1:18" x14ac:dyDescent="0.25">
      <c r="A414" s="200">
        <v>7.7705341511611667E-2</v>
      </c>
      <c r="B414" s="201">
        <v>-0.9217243412672862</v>
      </c>
      <c r="C414" s="201">
        <v>-0.21274299614759654</v>
      </c>
      <c r="D414" s="202">
        <v>0.31484366947120751</v>
      </c>
      <c r="F414" s="91">
        <f>INDEX(A414:D422,,F405)</f>
        <v>7.7705341511611667E-2</v>
      </c>
      <c r="G414" s="93">
        <f>INDEX(A406:D414,,G405)</f>
        <v>-0.9217243412672862</v>
      </c>
      <c r="I414" s="91">
        <f t="shared" si="136"/>
        <v>-0.84353764118517649</v>
      </c>
      <c r="J414" s="92">
        <f t="shared" si="137"/>
        <v>-0.14324580943547954</v>
      </c>
      <c r="K414" s="92">
        <f t="shared" si="138"/>
        <v>0.69103639017542584</v>
      </c>
      <c r="L414" s="93">
        <f t="shared" si="135"/>
        <v>0.12083323220086571</v>
      </c>
      <c r="Q414" s="91">
        <v>7.4578263871527758E-2</v>
      </c>
      <c r="R414" s="93">
        <v>-0.92198262670288844</v>
      </c>
    </row>
    <row r="415" spans="1:18" x14ac:dyDescent="0.25">
      <c r="I415">
        <f>SUM(I406:I414)</f>
        <v>1.0615121728189467</v>
      </c>
      <c r="J415">
        <f>SUM(J406:J414)</f>
        <v>-1.0728754700597094</v>
      </c>
      <c r="K415">
        <f>SUM(K406:K414)</f>
        <v>2.2492145556945968</v>
      </c>
      <c r="L415">
        <f>SUM(L406:L414)</f>
        <v>-0.22252508012364769</v>
      </c>
    </row>
    <row r="416" spans="1:18" x14ac:dyDescent="0.25">
      <c r="A416" s="47" t="s">
        <v>53</v>
      </c>
      <c r="B416">
        <f>COUNT(A406:A414)</f>
        <v>9</v>
      </c>
      <c r="I416" s="47" t="s">
        <v>462</v>
      </c>
      <c r="J416" s="47" t="s">
        <v>389</v>
      </c>
      <c r="K416" s="47" t="s">
        <v>469</v>
      </c>
      <c r="L416" s="47" t="s">
        <v>470</v>
      </c>
      <c r="N416" s="47"/>
    </row>
    <row r="418" spans="1:18" x14ac:dyDescent="0.25">
      <c r="A418">
        <v>1</v>
      </c>
      <c r="B418">
        <v>2</v>
      </c>
      <c r="C418">
        <v>3</v>
      </c>
      <c r="D418">
        <v>4</v>
      </c>
      <c r="F418">
        <v>1</v>
      </c>
      <c r="G418">
        <v>3</v>
      </c>
      <c r="I418" s="47" t="s">
        <v>207</v>
      </c>
      <c r="J418" s="47" t="s">
        <v>464</v>
      </c>
      <c r="K418" s="47" t="s">
        <v>465</v>
      </c>
      <c r="L418" s="47" t="s">
        <v>466</v>
      </c>
      <c r="Q418">
        <f>F418</f>
        <v>1</v>
      </c>
      <c r="R418">
        <f>G418</f>
        <v>3</v>
      </c>
    </row>
    <row r="419" spans="1:18" x14ac:dyDescent="0.25">
      <c r="A419" s="189">
        <f t="array" ref="A419:A427">IF(A418=$Q405,$Q406:$Q414,IF(A418=$R405,$R406:$R414,A406:A414))</f>
        <v>0.10769206626755948</v>
      </c>
      <c r="B419" s="190">
        <f t="array" ref="B419:B427">IF(B418=$Q405,$Q406:$Q414,IF(B418=$R405,$R406:$R414,B406:B414))</f>
        <v>0.8944916189045945</v>
      </c>
      <c r="C419" s="190">
        <f t="array" ref="C419:C427">IF(C418=$Q405,$Q406:$Q414,IF(C418=$R405,$R406:$R414,C406:C414))</f>
        <v>-0.33574386812783796</v>
      </c>
      <c r="D419" s="191">
        <f t="array" ref="D419:D427">IF(D418=$Q405,$Q406:$Q414,IF(D418=$R405,$R406:$R414,D406:D414))</f>
        <v>0.27488764538810867</v>
      </c>
      <c r="F419" s="156">
        <f>INDEX(A419:D427,,F418)</f>
        <v>0.10769206626755948</v>
      </c>
      <c r="G419" s="158">
        <f>INDEX(A419:D427,,G418)</f>
        <v>-0.33574386812783796</v>
      </c>
      <c r="I419" s="156">
        <f>F419^2-G419^2</f>
        <v>-0.10112636384846663</v>
      </c>
      <c r="J419" s="157">
        <f>2*F419*G419</f>
        <v>-7.2313901790699756E-2</v>
      </c>
      <c r="K419" s="157">
        <f>I419^2-J419^2</f>
        <v>4.9972410730174882E-3</v>
      </c>
      <c r="L419" s="158">
        <f t="shared" ref="L419:L427" si="139">I419*J419</f>
        <v>7.312841943788586E-3</v>
      </c>
      <c r="N419" t="s">
        <v>390</v>
      </c>
      <c r="O419" s="172">
        <f>L428*B429-2*I428*J428</f>
        <v>-0.14939016452538834</v>
      </c>
      <c r="Q419" s="156">
        <f t="array" ref="Q419:R427">MMULT(F419:G427,N423:O424)</f>
        <v>0.10820160889262641</v>
      </c>
      <c r="R419" s="158">
        <v>-0.3355800023175794</v>
      </c>
    </row>
    <row r="420" spans="1:18" x14ac:dyDescent="0.25">
      <c r="A420" s="194">
        <v>0.79613151069348298</v>
      </c>
      <c r="B420" s="195">
        <v>-0.59974796014078724</v>
      </c>
      <c r="C420" s="195">
        <v>7.772397273893536E-2</v>
      </c>
      <c r="D420" s="196">
        <v>-2.0880278962572729E-2</v>
      </c>
      <c r="F420" s="123">
        <f>INDEX(A420:D428,,F418)</f>
        <v>0.79613151069348298</v>
      </c>
      <c r="G420" s="90">
        <f>INDEX(A419:D427,,G418)</f>
        <v>7.772397273893536E-2</v>
      </c>
      <c r="I420" s="123">
        <f t="shared" ref="I420:I427" si="140">F420^2-G420^2</f>
        <v>0.62778436638076462</v>
      </c>
      <c r="J420" s="37">
        <f t="shared" ref="J420:J427" si="141">2*F420*G420</f>
        <v>0.12375700766749539</v>
      </c>
      <c r="K420" s="37">
        <f t="shared" ref="K420:K427" si="142">I420^2-J420^2</f>
        <v>0.37879741372528558</v>
      </c>
      <c r="L420" s="90">
        <f t="shared" si="139"/>
        <v>7.7692714643718019E-2</v>
      </c>
      <c r="N420" t="s">
        <v>392</v>
      </c>
      <c r="O420" s="173">
        <f>K428*B429-(I428^2-J428^2)</f>
        <v>24.602448650384176</v>
      </c>
      <c r="Q420" s="123">
        <v>0.79601260666294493</v>
      </c>
      <c r="R420" s="90">
        <v>7.8932428640413138E-2</v>
      </c>
    </row>
    <row r="421" spans="1:18" x14ac:dyDescent="0.25">
      <c r="A421" s="194">
        <v>0.9840775036808449</v>
      </c>
      <c r="B421" s="195">
        <v>0.12047158877266788</v>
      </c>
      <c r="C421" s="195">
        <v>0.11210429381491697</v>
      </c>
      <c r="D421" s="196">
        <v>6.7161673267754365E-2</v>
      </c>
      <c r="F421" s="123">
        <f>INDEX(A421:D429,,F418)</f>
        <v>0.9840775036808449</v>
      </c>
      <c r="G421" s="90">
        <f>INDEX(A419:D427,,G418)</f>
        <v>0.11210429381491697</v>
      </c>
      <c r="I421" s="123">
        <f t="shared" si="140"/>
        <v>0.95584116055898205</v>
      </c>
      <c r="J421" s="37">
        <f t="shared" si="141"/>
        <v>0.22063862721857497</v>
      </c>
      <c r="K421" s="37">
        <f t="shared" si="142"/>
        <v>0.86495092039784449</v>
      </c>
      <c r="L421" s="90">
        <f t="shared" si="139"/>
        <v>0.2108954815047433</v>
      </c>
      <c r="N421" t="s">
        <v>467</v>
      </c>
      <c r="O421" s="174">
        <f>0.25*ATAN(O419/O420)</f>
        <v>-1.518022968198492E-3</v>
      </c>
      <c r="Q421" s="123">
        <v>0.98390619300256132</v>
      </c>
      <c r="R421" s="90">
        <v>0.1135980163280635</v>
      </c>
    </row>
    <row r="422" spans="1:18" x14ac:dyDescent="0.25">
      <c r="A422" s="194">
        <v>5.3989597832163519E-2</v>
      </c>
      <c r="B422" s="195">
        <v>5.3718926867923717E-3</v>
      </c>
      <c r="C422" s="195">
        <v>7.5676427733629995E-2</v>
      </c>
      <c r="D422" s="196">
        <v>0.99565523369304898</v>
      </c>
      <c r="F422" s="123">
        <f>INDEX(A422:D430,,F418)</f>
        <v>5.3989597832163519E-2</v>
      </c>
      <c r="G422" s="90">
        <f>INDEX(A419:D427,,G418)</f>
        <v>7.5676427733629995E-2</v>
      </c>
      <c r="I422" s="123">
        <f t="shared" si="140"/>
        <v>-2.812045040444567E-3</v>
      </c>
      <c r="J422" s="37">
        <f t="shared" si="141"/>
        <v>8.1714797974269376E-3</v>
      </c>
      <c r="K422" s="37">
        <f t="shared" si="142"/>
        <v>-5.8865484770267697E-5</v>
      </c>
      <c r="L422" s="90">
        <f t="shared" si="139"/>
        <v>-2.2978569237447393E-5</v>
      </c>
      <c r="Q422" s="123">
        <v>5.3874657114200079E-2</v>
      </c>
      <c r="R422" s="90">
        <v>7.5758297957579851E-2</v>
      </c>
    </row>
    <row r="423" spans="1:18" x14ac:dyDescent="0.25">
      <c r="A423" s="194">
        <v>0.35780808945831211</v>
      </c>
      <c r="B423" s="195">
        <v>-0.11527128350927325</v>
      </c>
      <c r="C423" s="195">
        <v>0.88311843902459908</v>
      </c>
      <c r="D423" s="196">
        <v>0.28069151211084664</v>
      </c>
      <c r="F423" s="123">
        <f>INDEX(A423:D431,,F418)</f>
        <v>0.35780808945831211</v>
      </c>
      <c r="G423" s="90">
        <f>INDEX(A419:D427,,G418)</f>
        <v>0.88311843902459908</v>
      </c>
      <c r="I423" s="123">
        <f t="shared" si="140"/>
        <v>-0.65187154846343698</v>
      </c>
      <c r="J423" s="37">
        <f t="shared" si="141"/>
        <v>0.63197384286559743</v>
      </c>
      <c r="K423" s="37">
        <f t="shared" si="142"/>
        <v>2.5545577629808247E-2</v>
      </c>
      <c r="L423" s="90">
        <f t="shared" si="139"/>
        <v>-0.41196576753718578</v>
      </c>
      <c r="N423" s="156">
        <f>COS(O421)</f>
        <v>0.99999884780335524</v>
      </c>
      <c r="O423" s="158">
        <f>-N424</f>
        <v>1.5180223851781237E-3</v>
      </c>
      <c r="Q423" s="123">
        <v>0.35646708363382906</v>
      </c>
      <c r="R423" s="90">
        <v>0.88366058218789223</v>
      </c>
    </row>
    <row r="424" spans="1:18" x14ac:dyDescent="0.25">
      <c r="A424" s="194">
        <v>-2.9060673214484457E-2</v>
      </c>
      <c r="B424" s="195">
        <v>1.3709889417484883E-2</v>
      </c>
      <c r="C424" s="195">
        <v>0.99806012503248387</v>
      </c>
      <c r="D424" s="196">
        <v>-5.3324506792134109E-2</v>
      </c>
      <c r="F424" s="123">
        <f>INDEX(A424:D432,,F418)</f>
        <v>-2.9060673214484457E-2</v>
      </c>
      <c r="G424" s="90">
        <f>INDEX(A419:D427,,G418)</f>
        <v>0.99806012503248387</v>
      </c>
      <c r="I424" s="123">
        <f t="shared" si="140"/>
        <v>-0.99527949045217823</v>
      </c>
      <c r="J424" s="37">
        <f t="shared" si="141"/>
        <v>-5.8008598283953022E-2</v>
      </c>
      <c r="K424" s="37">
        <f t="shared" si="142"/>
        <v>0.98721626663987849</v>
      </c>
      <c r="L424" s="90">
        <f t="shared" si="139"/>
        <v>5.7734768141897867E-2</v>
      </c>
      <c r="N424" s="91">
        <f>SIN(O421)</f>
        <v>-1.5180223851781237E-3</v>
      </c>
      <c r="O424" s="93">
        <f>N423</f>
        <v>0.99999884780335524</v>
      </c>
      <c r="Q424" s="123">
        <v>-3.0575717342427273E-2</v>
      </c>
      <c r="R424" s="90">
        <v>0.99801486031848863</v>
      </c>
    </row>
    <row r="425" spans="1:18" x14ac:dyDescent="0.25">
      <c r="A425" s="194">
        <v>0.96327234023138075</v>
      </c>
      <c r="B425" s="195">
        <v>-1.8761935280276594E-2</v>
      </c>
      <c r="C425" s="195">
        <v>0.16397963793233603</v>
      </c>
      <c r="D425" s="196">
        <v>0.21181375468386848</v>
      </c>
      <c r="F425" s="123">
        <f>INDEX(A425:D433,,F418)</f>
        <v>0.96327234023138075</v>
      </c>
      <c r="G425" s="90">
        <f>INDEX(A419:D427,,G418)</f>
        <v>0.16397963793233603</v>
      </c>
      <c r="I425" s="123">
        <f t="shared" si="140"/>
        <v>0.90100427979842102</v>
      </c>
      <c r="J425" s="37">
        <f t="shared" si="141"/>
        <v>0.31591409916275165</v>
      </c>
      <c r="K425" s="37">
        <f t="shared" si="142"/>
        <v>0.71200699416525848</v>
      </c>
      <c r="L425" s="90">
        <f t="shared" si="139"/>
        <v>0.28463995539430204</v>
      </c>
      <c r="Q425" s="123">
        <v>0.96302230559112767</v>
      </c>
      <c r="R425" s="90">
        <v>0.16544171797104154</v>
      </c>
    </row>
    <row r="426" spans="1:18" x14ac:dyDescent="0.25">
      <c r="A426" s="194">
        <v>0.67942784709751392</v>
      </c>
      <c r="B426" s="195">
        <v>-0.21966255375779009</v>
      </c>
      <c r="C426" s="195">
        <v>0.56331335186883824</v>
      </c>
      <c r="D426" s="196">
        <v>0.41569728249212545</v>
      </c>
      <c r="F426" s="123">
        <f>INDEX(A426:D434,,F418)</f>
        <v>0.67942784709751392</v>
      </c>
      <c r="G426" s="90">
        <f>INDEX(A419:D427,,G418)</f>
        <v>0.56331335186883824</v>
      </c>
      <c r="I426" s="123">
        <f t="shared" si="140"/>
        <v>0.1443002670178572</v>
      </c>
      <c r="J426" s="37">
        <f t="shared" si="141"/>
        <v>0.76546155580305819</v>
      </c>
      <c r="K426" s="37">
        <f t="shared" si="142"/>
        <v>-0.56510882635101345</v>
      </c>
      <c r="L426" s="90">
        <f t="shared" si="139"/>
        <v>0.11045630689428569</v>
      </c>
      <c r="Q426" s="123">
        <v>0.67857194198502147</v>
      </c>
      <c r="R426" s="90">
        <v>0.56434408950209169</v>
      </c>
    </row>
    <row r="427" spans="1:18" x14ac:dyDescent="0.25">
      <c r="A427" s="200">
        <v>7.4578263871527758E-2</v>
      </c>
      <c r="B427" s="201">
        <v>-0.92198262670288844</v>
      </c>
      <c r="C427" s="201">
        <v>-0.21274299614759654</v>
      </c>
      <c r="D427" s="202">
        <v>0.31484366947120751</v>
      </c>
      <c r="F427" s="91">
        <f>INDEX(A427:D435,,F418)</f>
        <v>7.4578263871527758E-2</v>
      </c>
      <c r="G427" s="93">
        <f>INDEX(A419:D427,,G418)</f>
        <v>-0.21274299614759654</v>
      </c>
      <c r="I427" s="91">
        <f t="shared" si="140"/>
        <v>-3.9697664967765049E-2</v>
      </c>
      <c r="J427" s="92">
        <f t="shared" si="141"/>
        <v>-3.1732006607029739E-2</v>
      </c>
      <c r="K427" s="92">
        <f t="shared" si="142"/>
        <v>5.6898436058434149E-4</v>
      </c>
      <c r="L427" s="93">
        <f t="shared" si="139"/>
        <v>1.2596865670407736E-3</v>
      </c>
      <c r="Q427" s="91">
        <v>7.4901126573144267E-2</v>
      </c>
      <c r="R427" s="93">
        <v>-0.21262953955182548</v>
      </c>
    </row>
    <row r="428" spans="1:18" x14ac:dyDescent="0.25">
      <c r="I428">
        <f>SUM(I419:I427)</f>
        <v>0.83814296098373353</v>
      </c>
      <c r="J428">
        <f>SUM(J419:J427)</f>
        <v>1.9038621058332221</v>
      </c>
      <c r="K428">
        <f>SUM(K419:K427)</f>
        <v>2.4089157061558937</v>
      </c>
      <c r="L428">
        <f>SUM(L419:L427)</f>
        <v>0.33800300898335306</v>
      </c>
    </row>
    <row r="429" spans="1:18" x14ac:dyDescent="0.25">
      <c r="A429" s="47" t="s">
        <v>53</v>
      </c>
      <c r="B429">
        <f>COUNT(A419:A427)</f>
        <v>9</v>
      </c>
      <c r="I429" s="47" t="s">
        <v>462</v>
      </c>
      <c r="J429" s="47" t="s">
        <v>389</v>
      </c>
      <c r="K429" s="47" t="s">
        <v>469</v>
      </c>
      <c r="L429" s="47" t="s">
        <v>470</v>
      </c>
      <c r="N429" s="47"/>
    </row>
    <row r="431" spans="1:18" x14ac:dyDescent="0.25">
      <c r="A431">
        <v>1</v>
      </c>
      <c r="B431">
        <v>2</v>
      </c>
      <c r="C431">
        <v>3</v>
      </c>
      <c r="D431">
        <v>4</v>
      </c>
      <c r="F431">
        <v>1</v>
      </c>
      <c r="G431">
        <v>4</v>
      </c>
      <c r="I431" s="47" t="s">
        <v>207</v>
      </c>
      <c r="J431" s="47" t="s">
        <v>464</v>
      </c>
      <c r="K431" s="47" t="s">
        <v>465</v>
      </c>
      <c r="L431" s="47" t="s">
        <v>466</v>
      </c>
      <c r="Q431">
        <f>F431</f>
        <v>1</v>
      </c>
      <c r="R431">
        <f>G431</f>
        <v>4</v>
      </c>
    </row>
    <row r="432" spans="1:18" x14ac:dyDescent="0.25">
      <c r="A432" s="189">
        <f t="array" ref="A432:A440">IF(A431=$Q418,$Q419:$Q427,IF(A431=$R418,$R419:$R427,A419:A427))</f>
        <v>0.10820160889262641</v>
      </c>
      <c r="B432" s="190">
        <f t="array" ref="B432:B440">IF(B431=$Q418,$Q419:$Q427,IF(B431=$R418,$R419:$R427,B419:B427))</f>
        <v>0.8944916189045945</v>
      </c>
      <c r="C432" s="190">
        <f t="array" ref="C432:C440">IF(C431=$Q418,$Q419:$Q427,IF(C431=$R418,$R419:$R427,C419:C427))</f>
        <v>-0.3355800023175794</v>
      </c>
      <c r="D432" s="191">
        <f t="array" ref="D432:D440">IF(D431=$Q418,$Q419:$Q427,IF(D431=$R418,$R419:$R427,D419:D427))</f>
        <v>0.27488764538810867</v>
      </c>
      <c r="F432" s="156">
        <f>INDEX(A432:D440,,F431)</f>
        <v>0.10820160889262641</v>
      </c>
      <c r="G432" s="158">
        <f>INDEX(A432:D440,,G431)</f>
        <v>0.27488764538810867</v>
      </c>
      <c r="I432" s="156">
        <f>F432^2-G432^2</f>
        <v>-6.3855629420065702E-2</v>
      </c>
      <c r="J432" s="157">
        <f>2*F432*G432</f>
        <v>5.948657099139823E-2</v>
      </c>
      <c r="K432" s="157">
        <f>I432^2-J432^2</f>
        <v>5.3888928031809889E-4</v>
      </c>
      <c r="L432" s="158">
        <f t="shared" ref="L432:L440" si="143">I432*J432</f>
        <v>-3.7985524326971556E-3</v>
      </c>
      <c r="N432" t="s">
        <v>390</v>
      </c>
      <c r="O432" s="172">
        <f>L441*B442-2*I441*J441</f>
        <v>-0.24745399595999729</v>
      </c>
      <c r="Q432" s="156">
        <f t="array" ref="Q432:R440">MMULT(F432:G440,N436:O437)</f>
        <v>0.10746308304669717</v>
      </c>
      <c r="R432" s="158">
        <v>0.27517720024753162</v>
      </c>
    </row>
    <row r="433" spans="1:18" x14ac:dyDescent="0.25">
      <c r="A433" s="194">
        <v>0.79601260666294493</v>
      </c>
      <c r="B433" s="195">
        <v>-0.59974796014078724</v>
      </c>
      <c r="C433" s="195">
        <v>7.8932428640413138E-2</v>
      </c>
      <c r="D433" s="196">
        <v>-2.0880278962572729E-2</v>
      </c>
      <c r="F433" s="123">
        <f>INDEX(A433:D441,,F431)</f>
        <v>0.79601260666294493</v>
      </c>
      <c r="G433" s="90">
        <f>INDEX(A432:D440,,G431)</f>
        <v>-2.0880278962572729E-2</v>
      </c>
      <c r="I433" s="123">
        <f t="shared" ref="I433:I440" si="144">F433^2-G433^2</f>
        <v>0.6332000839167814</v>
      </c>
      <c r="J433" s="37">
        <f t="shared" ref="J433:J440" si="145">2*F433*G433</f>
        <v>-3.3241930569693941E-2</v>
      </c>
      <c r="K433" s="37">
        <f t="shared" ref="K433:K440" si="146">I433^2-J433^2</f>
        <v>0.3998373203242187</v>
      </c>
      <c r="L433" s="90">
        <f t="shared" si="143"/>
        <v>-2.1048793226286024E-2</v>
      </c>
      <c r="N433" t="s">
        <v>392</v>
      </c>
      <c r="O433" s="173">
        <f>K441*B442-(I441^2-J441^2)</f>
        <v>23.037547051548298</v>
      </c>
      <c r="Q433" s="123">
        <v>0.79606580514627301</v>
      </c>
      <c r="R433" s="90">
        <v>-1.874272906241805E-2</v>
      </c>
    </row>
    <row r="434" spans="1:18" x14ac:dyDescent="0.25">
      <c r="A434" s="194">
        <v>0.98390619300256132</v>
      </c>
      <c r="B434" s="195">
        <v>0.12047158877266788</v>
      </c>
      <c r="C434" s="195">
        <v>0.1135980163280635</v>
      </c>
      <c r="D434" s="196">
        <v>6.7161673267754365E-2</v>
      </c>
      <c r="F434" s="123">
        <f>INDEX(A434:D442,,F431)</f>
        <v>0.98390619300256132</v>
      </c>
      <c r="G434" s="90">
        <f>INDEX(A432:D440,,G431)</f>
        <v>6.7161673267754365E-2</v>
      </c>
      <c r="I434" s="123">
        <f t="shared" si="144"/>
        <v>0.96356070627266888</v>
      </c>
      <c r="J434" s="37">
        <f t="shared" si="145"/>
        <v>0.13216157252111618</v>
      </c>
      <c r="K434" s="37">
        <f t="shared" si="146"/>
        <v>0.9109825534214302</v>
      </c>
      <c r="L434" s="90">
        <f t="shared" si="143"/>
        <v>0.12734569816055324</v>
      </c>
      <c r="N434" t="s">
        <v>467</v>
      </c>
      <c r="O434" s="174">
        <f>0.25*ATAN(O432/O433)</f>
        <v>-2.6852303252224026E-3</v>
      </c>
      <c r="Q434" s="123">
        <v>0.98372230145061057</v>
      </c>
      <c r="R434" s="90">
        <v>6.9803442706158056E-2</v>
      </c>
    </row>
    <row r="435" spans="1:18" x14ac:dyDescent="0.25">
      <c r="A435" s="194">
        <v>5.3874657114200079E-2</v>
      </c>
      <c r="B435" s="195">
        <v>5.3718926867923717E-3</v>
      </c>
      <c r="C435" s="195">
        <v>7.5758297957579851E-2</v>
      </c>
      <c r="D435" s="196">
        <v>0.99565523369304898</v>
      </c>
      <c r="F435" s="123">
        <f>INDEX(A435:D443,,F431)</f>
        <v>5.3874657114200079E-2</v>
      </c>
      <c r="G435" s="90">
        <f>INDEX(A432:D440,,G431)</f>
        <v>0.99565523369304898</v>
      </c>
      <c r="I435" s="123">
        <f t="shared" si="144"/>
        <v>-0.98842686570118743</v>
      </c>
      <c r="J435" s="37">
        <f t="shared" si="145"/>
        <v>0.10728116863834353</v>
      </c>
      <c r="K435" s="37">
        <f t="shared" si="146"/>
        <v>0.96547841969546455</v>
      </c>
      <c r="L435" s="90">
        <f t="shared" si="143"/>
        <v>-0.10603958926595841</v>
      </c>
      <c r="Q435" s="123">
        <v>5.1200902469693527E-2</v>
      </c>
      <c r="R435" s="90">
        <v>0.9957963098173348</v>
      </c>
    </row>
    <row r="436" spans="1:18" x14ac:dyDescent="0.25">
      <c r="A436" s="194">
        <v>0.35646708363382906</v>
      </c>
      <c r="B436" s="195">
        <v>-0.11527128350927325</v>
      </c>
      <c r="C436" s="195">
        <v>0.88366058218789223</v>
      </c>
      <c r="D436" s="196">
        <v>0.28069151211084664</v>
      </c>
      <c r="F436" s="123">
        <f>INDEX(A436:D444,,F431)</f>
        <v>0.35646708363382906</v>
      </c>
      <c r="G436" s="90">
        <f>INDEX(A432:D440,,G431)</f>
        <v>0.28069151211084664</v>
      </c>
      <c r="I436" s="123">
        <f t="shared" si="144"/>
        <v>4.8281056743333703E-2</v>
      </c>
      <c r="J436" s="37">
        <f t="shared" si="145"/>
        <v>0.20011456944584621</v>
      </c>
      <c r="K436" s="37">
        <f t="shared" si="146"/>
        <v>-3.7714780464243397E-2</v>
      </c>
      <c r="L436" s="90">
        <f t="shared" si="143"/>
        <v>9.6617428825826936E-3</v>
      </c>
      <c r="N436" s="156">
        <f>COS(O434)</f>
        <v>0.99999639477121649</v>
      </c>
      <c r="O436" s="158">
        <f>-N437</f>
        <v>2.6852270982650741E-3</v>
      </c>
      <c r="Q436" s="123">
        <v>0.35571207803386573</v>
      </c>
      <c r="R436" s="90">
        <v>0.28164769522634098</v>
      </c>
    </row>
    <row r="437" spans="1:18" x14ac:dyDescent="0.25">
      <c r="A437" s="194">
        <v>-3.0575717342427273E-2</v>
      </c>
      <c r="B437" s="195">
        <v>1.3709889417484883E-2</v>
      </c>
      <c r="C437" s="195">
        <v>0.99801486031848863</v>
      </c>
      <c r="D437" s="196">
        <v>-5.3324506792134109E-2</v>
      </c>
      <c r="F437" s="123">
        <f>INDEX(A437:D445,,F431)</f>
        <v>-3.0575717342427273E-2</v>
      </c>
      <c r="G437" s="90">
        <f>INDEX(A432:D440,,G431)</f>
        <v>-5.3324506792134109E-2</v>
      </c>
      <c r="I437" s="123">
        <f t="shared" si="144"/>
        <v>-1.9086285336203488E-3</v>
      </c>
      <c r="J437" s="37">
        <f t="shared" si="145"/>
        <v>3.2608700942012717E-3</v>
      </c>
      <c r="K437" s="37">
        <f t="shared" si="146"/>
        <v>-6.9904108919064479E-6</v>
      </c>
      <c r="L437" s="90">
        <f t="shared" si="143"/>
        <v>-6.223789706221822E-6</v>
      </c>
      <c r="N437" s="91">
        <f>SIN(O434)</f>
        <v>-2.6852270982650741E-3</v>
      </c>
      <c r="O437" s="93">
        <f>N436</f>
        <v>0.99999639477121649</v>
      </c>
      <c r="Q437" s="123">
        <v>-3.0432418699331176E-2</v>
      </c>
      <c r="R437" s="90">
        <v>-5.3406417289844133E-2</v>
      </c>
    </row>
    <row r="438" spans="1:18" x14ac:dyDescent="0.25">
      <c r="A438" s="194">
        <v>0.96302230559112767</v>
      </c>
      <c r="B438" s="195">
        <v>-1.8761935280276594E-2</v>
      </c>
      <c r="C438" s="195">
        <v>0.16544171797104154</v>
      </c>
      <c r="D438" s="196">
        <v>0.21181375468386848</v>
      </c>
      <c r="F438" s="123">
        <f>INDEX(A438:D446,,F431)</f>
        <v>0.96302230559112767</v>
      </c>
      <c r="G438" s="90">
        <f>INDEX(A432:D440,,G431)</f>
        <v>0.21181375468386848</v>
      </c>
      <c r="I438" s="123">
        <f t="shared" si="144"/>
        <v>0.88254689439277323</v>
      </c>
      <c r="J438" s="37">
        <f t="shared" si="145"/>
        <v>0.40796274078314509</v>
      </c>
      <c r="K438" s="37">
        <f t="shared" si="146"/>
        <v>0.61245542293503319</v>
      </c>
      <c r="L438" s="90">
        <f t="shared" si="143"/>
        <v>0.36004624990612866</v>
      </c>
      <c r="Q438" s="123">
        <v>0.96245006564153002</v>
      </c>
      <c r="R438" s="90">
        <v>0.21439892463803037</v>
      </c>
    </row>
    <row r="439" spans="1:18" x14ac:dyDescent="0.25">
      <c r="A439" s="194">
        <v>0.67857194198502147</v>
      </c>
      <c r="B439" s="195">
        <v>-0.21966255375779009</v>
      </c>
      <c r="C439" s="195">
        <v>0.56434408950209169</v>
      </c>
      <c r="D439" s="196">
        <v>0.41569728249212545</v>
      </c>
      <c r="F439" s="123">
        <f>INDEX(A439:D447,,F431)</f>
        <v>0.67857194198502147</v>
      </c>
      <c r="G439" s="90">
        <f>INDEX(A432:D440,,G431)</f>
        <v>0.41569728249212545</v>
      </c>
      <c r="I439" s="123">
        <f t="shared" si="144"/>
        <v>0.28765564977798541</v>
      </c>
      <c r="J439" s="37">
        <f t="shared" si="145"/>
        <v>0.56416102451715522</v>
      </c>
      <c r="K439" s="37">
        <f t="shared" si="146"/>
        <v>-0.23553188873505121</v>
      </c>
      <c r="L439" s="90">
        <f t="shared" si="143"/>
        <v>0.16228410608689625</v>
      </c>
      <c r="Q439" s="123">
        <v>0.67745325397030154</v>
      </c>
      <c r="R439" s="90">
        <v>0.41751790357505791</v>
      </c>
    </row>
    <row r="440" spans="1:18" x14ac:dyDescent="0.25">
      <c r="A440" s="200">
        <v>7.4901126573144267E-2</v>
      </c>
      <c r="B440" s="201">
        <v>-0.92198262670288844</v>
      </c>
      <c r="C440" s="201">
        <v>-0.21262953955182548</v>
      </c>
      <c r="D440" s="202">
        <v>0.31484366947120751</v>
      </c>
      <c r="F440" s="91">
        <f>INDEX(A440:D448,,F431)</f>
        <v>7.4901126573144267E-2</v>
      </c>
      <c r="G440" s="93">
        <f>INDEX(A432:D440,,G431)</f>
        <v>0.31484366947120751</v>
      </c>
      <c r="I440" s="91">
        <f t="shared" si="144"/>
        <v>-9.3516357444168779E-2</v>
      </c>
      <c r="J440" s="92">
        <f t="shared" si="145"/>
        <v>4.716429107563222E-2</v>
      </c>
      <c r="K440" s="92">
        <f t="shared" si="146"/>
        <v>6.5208387569585802E-3</v>
      </c>
      <c r="L440" s="93">
        <f t="shared" si="143"/>
        <v>-4.410632702829642E-3</v>
      </c>
      <c r="Q440" s="91">
        <v>7.4055429784465526E-2</v>
      </c>
      <c r="R440" s="93">
        <v>0.31504366092251279</v>
      </c>
    </row>
    <row r="441" spans="1:18" x14ac:dyDescent="0.25">
      <c r="I441">
        <f>SUM(I432:I440)</f>
        <v>1.6675369100045001</v>
      </c>
      <c r="J441">
        <f>SUM(J432:J440)</f>
        <v>1.4883508774971441</v>
      </c>
      <c r="K441">
        <f>SUM(K432:K440)</f>
        <v>2.6225597848032374</v>
      </c>
      <c r="L441">
        <f>SUM(L432:L440)</f>
        <v>0.52403400561868341</v>
      </c>
    </row>
    <row r="442" spans="1:18" x14ac:dyDescent="0.25">
      <c r="A442" s="47" t="s">
        <v>53</v>
      </c>
      <c r="B442">
        <f>COUNT(A432:A440)</f>
        <v>9</v>
      </c>
      <c r="I442" s="47" t="s">
        <v>462</v>
      </c>
      <c r="J442" s="47" t="s">
        <v>389</v>
      </c>
      <c r="K442" s="47" t="s">
        <v>469</v>
      </c>
      <c r="L442" s="47" t="s">
        <v>470</v>
      </c>
      <c r="N442" s="47"/>
    </row>
    <row r="444" spans="1:18" x14ac:dyDescent="0.25">
      <c r="A444">
        <v>1</v>
      </c>
      <c r="B444">
        <v>2</v>
      </c>
      <c r="C444">
        <v>3</v>
      </c>
      <c r="D444">
        <v>4</v>
      </c>
      <c r="F444">
        <v>2</v>
      </c>
      <c r="G444">
        <v>3</v>
      </c>
      <c r="I444" s="47" t="s">
        <v>207</v>
      </c>
      <c r="J444" s="47" t="s">
        <v>464</v>
      </c>
      <c r="K444" s="47" t="s">
        <v>465</v>
      </c>
      <c r="L444" s="47" t="s">
        <v>466</v>
      </c>
      <c r="Q444">
        <f>F444</f>
        <v>2</v>
      </c>
      <c r="R444">
        <f>G444</f>
        <v>3</v>
      </c>
    </row>
    <row r="445" spans="1:18" x14ac:dyDescent="0.25">
      <c r="A445" s="189">
        <f t="array" ref="A445:A453">IF(A444=$Q431,$Q432:$Q440,IF(A444=$R431,$R432:$R440,A432:A440))</f>
        <v>0.10746308304669717</v>
      </c>
      <c r="B445" s="190">
        <f t="array" ref="B445:B453">IF(B444=$Q431,$Q432:$Q440,IF(B444=$R431,$R432:$R440,B432:B440))</f>
        <v>0.8944916189045945</v>
      </c>
      <c r="C445" s="190">
        <f t="array" ref="C445:C453">IF(C444=$Q431,$Q432:$Q440,IF(C444=$R431,$R432:$R440,C432:C440))</f>
        <v>-0.3355800023175794</v>
      </c>
      <c r="D445" s="191">
        <f t="array" ref="D445:D453">IF(D444=$Q431,$Q432:$Q440,IF(D444=$R431,$R432:$R440,D432:D440))</f>
        <v>0.27517720024753162</v>
      </c>
      <c r="F445" s="156">
        <f>INDEX(A445:D453,,F444)</f>
        <v>0.8944916189045945</v>
      </c>
      <c r="G445" s="158">
        <f>INDEX(A445:D453,,G444)</f>
        <v>-0.3355800023175794</v>
      </c>
      <c r="I445" s="156">
        <f>F445^2-G445^2</f>
        <v>0.68750131833509576</v>
      </c>
      <c r="J445" s="157">
        <f>2*F445*G445</f>
        <v>-0.60034699909011835</v>
      </c>
      <c r="K445" s="157">
        <f>I445^2-J445^2</f>
        <v>0.11224154339598408</v>
      </c>
      <c r="L445" s="158">
        <f t="shared" ref="L445:L453" si="147">I445*J445</f>
        <v>-0.4127393533329749</v>
      </c>
      <c r="N445" t="s">
        <v>390</v>
      </c>
      <c r="O445" s="172">
        <f>L454*B455-2*I454*J454</f>
        <v>0.2822980787024213</v>
      </c>
      <c r="Q445" s="156">
        <f t="array" ref="Q445:R453">MMULT(F445:G453,N449:O450)</f>
        <v>0.89335347529141396</v>
      </c>
      <c r="R445" s="158">
        <v>-0.33859823158247893</v>
      </c>
    </row>
    <row r="446" spans="1:18" x14ac:dyDescent="0.25">
      <c r="A446" s="194">
        <v>0.79606580514627301</v>
      </c>
      <c r="B446" s="195">
        <v>-0.59974796014078724</v>
      </c>
      <c r="C446" s="195">
        <v>7.8932428640413138E-2</v>
      </c>
      <c r="D446" s="196">
        <v>-1.874272906241805E-2</v>
      </c>
      <c r="F446" s="123">
        <f>INDEX(A446:D454,,F444)</f>
        <v>-0.59974796014078724</v>
      </c>
      <c r="G446" s="90">
        <f>INDEX(A445:D453,,G444)</f>
        <v>7.8932428640413138E-2</v>
      </c>
      <c r="I446" s="123">
        <f t="shared" ref="I446:I453" si="148">F446^2-G446^2</f>
        <v>0.35346728740196143</v>
      </c>
      <c r="J446" s="37">
        <f t="shared" ref="J446:J453" si="149">2*F446*G446</f>
        <v>-9.4679126132092062E-2</v>
      </c>
      <c r="K446" s="37">
        <f t="shared" ref="K446:K453" si="150">I446^2-J446^2</f>
        <v>0.11597498633816419</v>
      </c>
      <c r="L446" s="90">
        <f t="shared" si="147"/>
        <v>-3.3465973887498744E-2</v>
      </c>
      <c r="N446" t="s">
        <v>392</v>
      </c>
      <c r="O446" s="173">
        <f>K454*B455-(I454^2-J454^2)</f>
        <v>20.90112214296564</v>
      </c>
      <c r="Q446" s="123">
        <v>-0.5994780358517463</v>
      </c>
      <c r="R446" s="90">
        <v>8.0956954707063628E-2</v>
      </c>
    </row>
    <row r="447" spans="1:18" x14ac:dyDescent="0.25">
      <c r="A447" s="194">
        <v>0.98372230145061057</v>
      </c>
      <c r="B447" s="195">
        <v>0.12047158877266788</v>
      </c>
      <c r="C447" s="195">
        <v>0.1135980163280635</v>
      </c>
      <c r="D447" s="196">
        <v>6.9803442706158056E-2</v>
      </c>
      <c r="F447" s="123">
        <f>INDEX(A447:D455,,F444)</f>
        <v>0.12047158877266788</v>
      </c>
      <c r="G447" s="90">
        <f>INDEX(A445:D453,,G444)</f>
        <v>0.1135980163280635</v>
      </c>
      <c r="I447" s="123">
        <f t="shared" si="148"/>
        <v>1.6088943877398138E-3</v>
      </c>
      <c r="J447" s="37">
        <f t="shared" si="149"/>
        <v>2.7370667016930555E-2</v>
      </c>
      <c r="K447" s="37">
        <f t="shared" si="150"/>
        <v>-7.4656487180078956E-4</v>
      </c>
      <c r="L447" s="90">
        <f t="shared" si="147"/>
        <v>4.4036512552234803E-5</v>
      </c>
      <c r="N447" t="s">
        <v>467</v>
      </c>
      <c r="O447" s="174">
        <f>0.25*ATAN(O445/O446)</f>
        <v>3.3763846849888136E-3</v>
      </c>
      <c r="Q447" s="123">
        <v>0.12085445196068914</v>
      </c>
      <c r="R447" s="90">
        <v>0.11319061116701888</v>
      </c>
    </row>
    <row r="448" spans="1:18" x14ac:dyDescent="0.25">
      <c r="A448" s="194">
        <v>5.1200902469693527E-2</v>
      </c>
      <c r="B448" s="195">
        <v>5.3718926867923717E-3</v>
      </c>
      <c r="C448" s="195">
        <v>7.5758297957579851E-2</v>
      </c>
      <c r="D448" s="196">
        <v>0.9957963098173348</v>
      </c>
      <c r="F448" s="123">
        <f>INDEX(A448:D456,,F444)</f>
        <v>5.3718926867923717E-3</v>
      </c>
      <c r="G448" s="90">
        <f>INDEX(A445:D453,,G444)</f>
        <v>7.5758297957579851E-2</v>
      </c>
      <c r="I448" s="123">
        <f t="shared" si="148"/>
        <v>-5.7104624783910337E-3</v>
      </c>
      <c r="J448" s="37">
        <f t="shared" si="149"/>
        <v>8.139308935243213E-4</v>
      </c>
      <c r="K448" s="37">
        <f t="shared" si="150"/>
        <v>3.1946898217678569E-5</v>
      </c>
      <c r="L448" s="90">
        <f t="shared" si="147"/>
        <v>-4.6479218274739248E-6</v>
      </c>
      <c r="Q448" s="123">
        <v>5.6276507380910116E-3</v>
      </c>
      <c r="R448" s="90">
        <v>7.5739728594958172E-2</v>
      </c>
    </row>
    <row r="449" spans="1:18" x14ac:dyDescent="0.25">
      <c r="A449" s="194">
        <v>0.35571207803386573</v>
      </c>
      <c r="B449" s="195">
        <v>-0.11527128350927325</v>
      </c>
      <c r="C449" s="195">
        <v>0.88366058218789223</v>
      </c>
      <c r="D449" s="196">
        <v>0.28164769522634098</v>
      </c>
      <c r="F449" s="123">
        <f>INDEX(A449:D457,,F444)</f>
        <v>-0.11527128350927325</v>
      </c>
      <c r="G449" s="90">
        <f>INDEX(A445:D453,,G444)</f>
        <v>0.88366058218789223</v>
      </c>
      <c r="I449" s="123">
        <f t="shared" si="148"/>
        <v>-0.76756855571076943</v>
      </c>
      <c r="J449" s="37">
        <f t="shared" si="149"/>
        <v>-0.20372137899069998</v>
      </c>
      <c r="K449" s="37">
        <f t="shared" si="150"/>
        <v>0.54765908745804415</v>
      </c>
      <c r="L449" s="90">
        <f t="shared" si="147"/>
        <v>0.15637012463929786</v>
      </c>
      <c r="N449" s="156">
        <f>COS(O447)</f>
        <v>0.99999430001864442</v>
      </c>
      <c r="O449" s="158">
        <f>-N450</f>
        <v>-3.3763782698764582E-3</v>
      </c>
      <c r="Q449" s="123">
        <v>-0.11228705407746084</v>
      </c>
      <c r="R449" s="90">
        <v>0.88404474479583062</v>
      </c>
    </row>
    <row r="450" spans="1:18" x14ac:dyDescent="0.25">
      <c r="A450" s="194">
        <v>-3.0432418699331176E-2</v>
      </c>
      <c r="B450" s="195">
        <v>1.3709889417484883E-2</v>
      </c>
      <c r="C450" s="195">
        <v>0.99801486031848863</v>
      </c>
      <c r="D450" s="196">
        <v>-5.3406417289844133E-2</v>
      </c>
      <c r="F450" s="123">
        <f>INDEX(A450:D458,,F444)</f>
        <v>1.3709889417484883E-2</v>
      </c>
      <c r="G450" s="90">
        <f>INDEX(A445:D453,,G444)</f>
        <v>0.99801486031848863</v>
      </c>
      <c r="I450" s="123">
        <f t="shared" si="148"/>
        <v>-0.99584570034869269</v>
      </c>
      <c r="J450" s="37">
        <f t="shared" si="149"/>
        <v>2.7365346743946202E-2</v>
      </c>
      <c r="K450" s="37">
        <f t="shared" si="150"/>
        <v>0.99095979670056178</v>
      </c>
      <c r="L450" s="90">
        <f t="shared" si="147"/>
        <v>-2.7251662893509922E-2</v>
      </c>
      <c r="N450" s="91">
        <f>SIN(O447)</f>
        <v>3.3763782698764582E-3</v>
      </c>
      <c r="O450" s="93">
        <f>N449</f>
        <v>0.99999430001864442</v>
      </c>
      <c r="Q450" s="123">
        <v>1.7079486958763952E-2</v>
      </c>
      <c r="R450" s="90">
        <v>0.99796288187968063</v>
      </c>
    </row>
    <row r="451" spans="1:18" x14ac:dyDescent="0.25">
      <c r="A451" s="194">
        <v>0.96245006564153002</v>
      </c>
      <c r="B451" s="195">
        <v>-1.8761935280276594E-2</v>
      </c>
      <c r="C451" s="195">
        <v>0.16544171797104154</v>
      </c>
      <c r="D451" s="196">
        <v>0.21439892463803037</v>
      </c>
      <c r="F451" s="123">
        <f>INDEX(A451:D459,,F444)</f>
        <v>-1.8761935280276594E-2</v>
      </c>
      <c r="G451" s="90">
        <f>INDEX(A445:D453,,G444)</f>
        <v>0.16544171797104154</v>
      </c>
      <c r="I451" s="123">
        <f t="shared" si="148"/>
        <v>-2.7018951829748363E-2</v>
      </c>
      <c r="J451" s="37">
        <f t="shared" si="149"/>
        <v>-6.2080136104609093E-3</v>
      </c>
      <c r="K451" s="37">
        <f t="shared" si="150"/>
        <v>6.9148432499059446E-4</v>
      </c>
      <c r="L451" s="90">
        <f t="shared" si="147"/>
        <v>1.6773402069946553E-4</v>
      </c>
      <c r="Q451" s="123">
        <v>-1.8203234516106847E-2</v>
      </c>
      <c r="R451" s="90">
        <v>0.16550412234691481</v>
      </c>
    </row>
    <row r="452" spans="1:18" x14ac:dyDescent="0.25">
      <c r="A452" s="194">
        <v>0.67745325397030154</v>
      </c>
      <c r="B452" s="195">
        <v>-0.21966255375779009</v>
      </c>
      <c r="C452" s="195">
        <v>0.56434408950209169</v>
      </c>
      <c r="D452" s="196">
        <v>0.41751790357505791</v>
      </c>
      <c r="F452" s="123">
        <f>INDEX(A452:D460,,F444)</f>
        <v>-0.21966255375779009</v>
      </c>
      <c r="G452" s="90">
        <f>INDEX(A445:D453,,G444)</f>
        <v>0.56434408950209169</v>
      </c>
      <c r="I452" s="123">
        <f t="shared" si="148"/>
        <v>-0.27023261383255087</v>
      </c>
      <c r="J452" s="37">
        <f t="shared" si="149"/>
        <v>-0.24793052779628863</v>
      </c>
      <c r="K452" s="37">
        <f t="shared" si="150"/>
        <v>1.1556118965426312E-2</v>
      </c>
      <c r="L452" s="90">
        <f t="shared" si="147"/>
        <v>6.6998914575274987E-2</v>
      </c>
      <c r="Q452" s="123">
        <v>-0.21775586256480109</v>
      </c>
      <c r="R452" s="90">
        <v>0.5650825366245168</v>
      </c>
    </row>
    <row r="453" spans="1:18" x14ac:dyDescent="0.25">
      <c r="A453" s="200">
        <v>7.4055429784465526E-2</v>
      </c>
      <c r="B453" s="201">
        <v>-0.92198262670288844</v>
      </c>
      <c r="C453" s="201">
        <v>-0.21262953955182548</v>
      </c>
      <c r="D453" s="202">
        <v>0.31504366092251279</v>
      </c>
      <c r="F453" s="91">
        <f>INDEX(A453:D461,,F444)</f>
        <v>-0.92198262670288844</v>
      </c>
      <c r="G453" s="93">
        <f>INDEX(A445:D453,,G444)</f>
        <v>-0.21262953955182548</v>
      </c>
      <c r="I453" s="91">
        <f t="shared" si="148"/>
        <v>0.80484064285193635</v>
      </c>
      <c r="J453" s="92">
        <f t="shared" si="149"/>
        <v>0.39208148278123556</v>
      </c>
      <c r="K453" s="92">
        <f t="shared" si="150"/>
        <v>0.4940405712463859</v>
      </c>
      <c r="L453" s="93">
        <f t="shared" si="147"/>
        <v>0.31556311265199005</v>
      </c>
      <c r="Q453" s="91">
        <v>-0.92269528917598265</v>
      </c>
      <c r="R453" s="93">
        <v>-0.20951536546141114</v>
      </c>
    </row>
    <row r="454" spans="1:18" x14ac:dyDescent="0.25">
      <c r="I454">
        <f>SUM(I445:I453)</f>
        <v>-0.21895814122341872</v>
      </c>
      <c r="J454">
        <f>SUM(J445:J453)</f>
        <v>-0.70525461818402313</v>
      </c>
      <c r="K454">
        <f>SUM(K445:K453)</f>
        <v>2.2724089704559738</v>
      </c>
      <c r="L454">
        <f>SUM(L445:L453)</f>
        <v>6.5682284364003612E-2</v>
      </c>
    </row>
    <row r="455" spans="1:18" x14ac:dyDescent="0.25">
      <c r="A455" s="47" t="s">
        <v>53</v>
      </c>
      <c r="B455">
        <f>COUNT(A445:A453)</f>
        <v>9</v>
      </c>
      <c r="I455" s="47" t="s">
        <v>462</v>
      </c>
      <c r="J455" s="47" t="s">
        <v>389</v>
      </c>
      <c r="K455" s="47" t="s">
        <v>469</v>
      </c>
      <c r="L455" s="47" t="s">
        <v>470</v>
      </c>
      <c r="N455" s="47"/>
    </row>
    <row r="457" spans="1:18" x14ac:dyDescent="0.25">
      <c r="A457">
        <v>1</v>
      </c>
      <c r="B457">
        <v>2</v>
      </c>
      <c r="C457">
        <v>3</v>
      </c>
      <c r="D457">
        <v>4</v>
      </c>
      <c r="F457">
        <v>2</v>
      </c>
      <c r="G457">
        <v>4</v>
      </c>
      <c r="I457" s="47" t="s">
        <v>207</v>
      </c>
      <c r="J457" s="47" t="s">
        <v>464</v>
      </c>
      <c r="K457" s="47" t="s">
        <v>465</v>
      </c>
      <c r="L457" s="47" t="s">
        <v>466</v>
      </c>
      <c r="Q457">
        <f>F457</f>
        <v>2</v>
      </c>
      <c r="R457">
        <f>G457</f>
        <v>4</v>
      </c>
    </row>
    <row r="458" spans="1:18" x14ac:dyDescent="0.25">
      <c r="A458" s="189">
        <f t="array" ref="A458:A466">IF(A457=$Q444,$Q445:$Q453,IF(A457=$R444,$R445:$R453,A445:A453))</f>
        <v>0.10746308304669717</v>
      </c>
      <c r="B458" s="190">
        <f t="array" ref="B458:B466">IF(B457=$Q444,$Q445:$Q453,IF(B457=$R444,$R445:$R453,B445:B453))</f>
        <v>0.89335347529141396</v>
      </c>
      <c r="C458" s="190">
        <f t="array" ref="C458:C466">IF(C457=$Q444,$Q445:$Q453,IF(C457=$R444,$R445:$R453,C445:C453))</f>
        <v>-0.33859823158247893</v>
      </c>
      <c r="D458" s="191">
        <f t="array" ref="D458:D466">IF(D457=$Q444,$Q445:$Q453,IF(D457=$R444,$R445:$R453,D445:D453))</f>
        <v>0.27517720024753162</v>
      </c>
      <c r="F458" s="156">
        <f>INDEX(A458:D466,,F457)</f>
        <v>0.89335347529141396</v>
      </c>
      <c r="G458" s="158">
        <f>INDEX(A458:D466,,G457)</f>
        <v>0.27517720024753162</v>
      </c>
      <c r="I458" s="156">
        <f>F458^2-G458^2</f>
        <v>0.72235794027917688</v>
      </c>
      <c r="J458" s="157">
        <f>2*F458*G458</f>
        <v>0.49166101632418741</v>
      </c>
      <c r="K458" s="157">
        <f>I458^2-J458^2</f>
        <v>0.28007043891144195</v>
      </c>
      <c r="L458" s="158">
        <f t="shared" ref="L458:L466" si="151">I458*J458</f>
        <v>0.35515523906750679</v>
      </c>
      <c r="N458" t="s">
        <v>390</v>
      </c>
      <c r="O458" s="172">
        <f>L467*B468-2*I467*J467</f>
        <v>-0.15756287478029934</v>
      </c>
      <c r="Q458" s="156">
        <f t="array" ref="Q458:R466">MMULT(F458:G466,N462:O463)</f>
        <v>0.89258431326517351</v>
      </c>
      <c r="R458" s="158">
        <v>0.27766196546206284</v>
      </c>
    </row>
    <row r="459" spans="1:18" x14ac:dyDescent="0.25">
      <c r="A459" s="194">
        <v>0.79606580514627301</v>
      </c>
      <c r="B459" s="195">
        <v>-0.5994780358517463</v>
      </c>
      <c r="C459" s="195">
        <v>8.0956954707063628E-2</v>
      </c>
      <c r="D459" s="196">
        <v>-1.874272906241805E-2</v>
      </c>
      <c r="F459" s="123">
        <f>INDEX(A459:D467,,F457)</f>
        <v>-0.5994780358517463</v>
      </c>
      <c r="G459" s="90">
        <f>INDEX(A458:D466,,G457)</f>
        <v>-1.874272906241805E-2</v>
      </c>
      <c r="I459" s="123">
        <f t="shared" ref="I459:I466" si="152">F459^2-G459^2</f>
        <v>0.35902262557596043</v>
      </c>
      <c r="J459" s="37">
        <f t="shared" ref="J459:J466" si="153">2*F459*G459</f>
        <v>2.2471708809679629E-2</v>
      </c>
      <c r="K459" s="37">
        <f t="shared" ref="K459:K466" si="154">I459^2-J459^2</f>
        <v>0.12839226797862924</v>
      </c>
      <c r="L459" s="90">
        <f t="shared" si="151"/>
        <v>8.0678518980296203E-3</v>
      </c>
      <c r="N459" t="s">
        <v>392</v>
      </c>
      <c r="O459" s="173">
        <f>K467*B468-(I467^2-J467^2)</f>
        <v>14.155565467795425</v>
      </c>
      <c r="Q459" s="123">
        <v>-0.59942356183049716</v>
      </c>
      <c r="R459" s="90">
        <v>-2.0410754121664022E-2</v>
      </c>
    </row>
    <row r="460" spans="1:18" x14ac:dyDescent="0.25">
      <c r="A460" s="194">
        <v>0.98372230145061057</v>
      </c>
      <c r="B460" s="195">
        <v>0.12085445196068914</v>
      </c>
      <c r="C460" s="195">
        <v>0.11319061116701888</v>
      </c>
      <c r="D460" s="196">
        <v>6.9803442706158056E-2</v>
      </c>
      <c r="F460" s="123">
        <f>INDEX(A460:D468,,F457)</f>
        <v>0.12085445196068914</v>
      </c>
      <c r="G460" s="90">
        <f>INDEX(A458:D466,,G457)</f>
        <v>6.9803442706158056E-2</v>
      </c>
      <c r="I460" s="123">
        <f t="shared" si="152"/>
        <v>9.733277945086629E-3</v>
      </c>
      <c r="J460" s="37">
        <f t="shared" si="153"/>
        <v>1.6872113626444193E-2</v>
      </c>
      <c r="K460" s="37">
        <f t="shared" si="154"/>
        <v>-1.8993151866733402E-4</v>
      </c>
      <c r="L460" s="90">
        <f t="shared" si="151"/>
        <v>1.6422097144726486E-4</v>
      </c>
      <c r="N460" t="s">
        <v>467</v>
      </c>
      <c r="O460" s="174">
        <f>0.25*ATAN(O458/O459)</f>
        <v>-2.7825869716188484E-3</v>
      </c>
      <c r="Q460" s="123">
        <v>0.12065975018605858</v>
      </c>
      <c r="R460" s="90">
        <v>7.0139460059144634E-2</v>
      </c>
    </row>
    <row r="461" spans="1:18" x14ac:dyDescent="0.25">
      <c r="A461" s="194">
        <v>5.1200902469693527E-2</v>
      </c>
      <c r="B461" s="195">
        <v>5.6276507380910116E-3</v>
      </c>
      <c r="C461" s="195">
        <v>7.5739728594958172E-2</v>
      </c>
      <c r="D461" s="196">
        <v>0.9957963098173348</v>
      </c>
      <c r="F461" s="123">
        <f>INDEX(A461:D469,,F457)</f>
        <v>5.6276507380910116E-3</v>
      </c>
      <c r="G461" s="90">
        <f>INDEX(A458:D466,,G457)</f>
        <v>0.9957963098173348</v>
      </c>
      <c r="I461" s="123">
        <f t="shared" si="152"/>
        <v>-0.99157862019299148</v>
      </c>
      <c r="J461" s="37">
        <f t="shared" si="153"/>
        <v>1.1207987675863659E-2</v>
      </c>
      <c r="K461" s="37">
        <f t="shared" si="154"/>
        <v>0.98310254103609451</v>
      </c>
      <c r="L461" s="90">
        <f t="shared" si="151"/>
        <v>-1.1113600954772941E-2</v>
      </c>
      <c r="Q461" s="123">
        <v>2.85674268889667E-3</v>
      </c>
      <c r="R461" s="90">
        <v>0.99580811410625725</v>
      </c>
    </row>
    <row r="462" spans="1:18" x14ac:dyDescent="0.25">
      <c r="A462" s="194">
        <v>0.35571207803386573</v>
      </c>
      <c r="B462" s="195">
        <v>-0.11228705407746084</v>
      </c>
      <c r="C462" s="195">
        <v>0.88404474479583062</v>
      </c>
      <c r="D462" s="196">
        <v>0.28164769522634098</v>
      </c>
      <c r="F462" s="123">
        <f>INDEX(A462:D470,,F457)</f>
        <v>-0.11228705407746084</v>
      </c>
      <c r="G462" s="90">
        <f>INDEX(A458:D466,,G457)</f>
        <v>0.28164769522634098</v>
      </c>
      <c r="I462" s="123">
        <f t="shared" si="152"/>
        <v>-6.6717041712915232E-2</v>
      </c>
      <c r="J462" s="37">
        <f t="shared" si="153"/>
        <v>-6.3250779969344723E-2</v>
      </c>
      <c r="K462" s="37">
        <f t="shared" si="154"/>
        <v>4.5050248819241204E-4</v>
      </c>
      <c r="L462" s="90">
        <f t="shared" si="151"/>
        <v>4.2199049255891947E-3</v>
      </c>
      <c r="N462" s="156">
        <f>COS(O460)</f>
        <v>0.99999612860737064</v>
      </c>
      <c r="O462" s="158">
        <f>-N463</f>
        <v>2.7825833807890239E-3</v>
      </c>
      <c r="Q462" s="123">
        <v>-0.11307032756616166</v>
      </c>
      <c r="R462" s="90">
        <v>0.28133415676697593</v>
      </c>
    </row>
    <row r="463" spans="1:18" x14ac:dyDescent="0.25">
      <c r="A463" s="194">
        <v>-3.0432418699331176E-2</v>
      </c>
      <c r="B463" s="195">
        <v>1.7079486958763952E-2</v>
      </c>
      <c r="C463" s="195">
        <v>0.99796288187968063</v>
      </c>
      <c r="D463" s="196">
        <v>-5.3406417289844133E-2</v>
      </c>
      <c r="F463" s="123">
        <f>INDEX(A463:D471,,F457)</f>
        <v>1.7079486958763952E-2</v>
      </c>
      <c r="G463" s="90">
        <f>INDEX(A458:D466,,G457)</f>
        <v>-5.3406417289844133E-2</v>
      </c>
      <c r="I463" s="123">
        <f t="shared" si="152"/>
        <v>-2.5605365329623747E-3</v>
      </c>
      <c r="J463" s="37">
        <f t="shared" si="153"/>
        <v>-1.824308415232397E-3</v>
      </c>
      <c r="K463" s="37">
        <f t="shared" si="154"/>
        <v>3.2282461427472382E-6</v>
      </c>
      <c r="L463" s="90">
        <f t="shared" si="151"/>
        <v>4.6712083445932458E-6</v>
      </c>
      <c r="N463" s="91">
        <f>SIN(O460)</f>
        <v>-2.7825833807890239E-3</v>
      </c>
      <c r="O463" s="93">
        <f>N462</f>
        <v>0.99999612860737064</v>
      </c>
      <c r="Q463" s="123">
        <v>1.7228028646542229E-2</v>
      </c>
      <c r="R463" s="90">
        <v>-5.3358685436070016E-2</v>
      </c>
    </row>
    <row r="464" spans="1:18" x14ac:dyDescent="0.25">
      <c r="A464" s="194">
        <v>0.96245006564153002</v>
      </c>
      <c r="B464" s="195">
        <v>-1.8203234516106847E-2</v>
      </c>
      <c r="C464" s="195">
        <v>0.16550412234691481</v>
      </c>
      <c r="D464" s="196">
        <v>0.21439892463803037</v>
      </c>
      <c r="F464" s="123">
        <f>INDEX(A464:D472,,F457)</f>
        <v>-1.8203234516106847E-2</v>
      </c>
      <c r="G464" s="90">
        <f>INDEX(A458:D466,,G457)</f>
        <v>0.21439892463803037</v>
      </c>
      <c r="I464" s="123">
        <f t="shared" si="152"/>
        <v>-4.5635541139095438E-2</v>
      </c>
      <c r="J464" s="37">
        <f t="shared" si="153"/>
        <v>-7.8055078103743698E-3</v>
      </c>
      <c r="K464" s="37">
        <f t="shared" si="154"/>
        <v>2.0216766628802568E-3</v>
      </c>
      <c r="L464" s="90">
        <f t="shared" si="151"/>
        <v>3.5620857279187031E-4</v>
      </c>
      <c r="Q464" s="123">
        <v>-1.8799746928795734E-2</v>
      </c>
      <c r="R464" s="90">
        <v>0.21434744259777266</v>
      </c>
    </row>
    <row r="465" spans="1:18" x14ac:dyDescent="0.25">
      <c r="A465" s="194">
        <v>0.67745325397030154</v>
      </c>
      <c r="B465" s="195">
        <v>-0.21775586256480109</v>
      </c>
      <c r="C465" s="195">
        <v>0.5650825366245168</v>
      </c>
      <c r="D465" s="196">
        <v>0.41751790357505791</v>
      </c>
      <c r="F465" s="123">
        <f>INDEX(A465:D473,,F457)</f>
        <v>-0.21775586256480109</v>
      </c>
      <c r="G465" s="90">
        <f>INDEX(A458:D466,,G457)</f>
        <v>0.41751790357505791</v>
      </c>
      <c r="I465" s="123">
        <f t="shared" si="152"/>
        <v>-0.12690358412437083</v>
      </c>
      <c r="J465" s="37">
        <f t="shared" si="153"/>
        <v>-0.18183394245846837</v>
      </c>
      <c r="K465" s="37">
        <f t="shared" si="154"/>
        <v>-1.6959062966378325E-2</v>
      </c>
      <c r="L465" s="90">
        <f t="shared" si="151"/>
        <v>2.3075379013444246E-2</v>
      </c>
      <c r="Q465" s="123">
        <v>-0.21891679792602958</v>
      </c>
      <c r="R465" s="90">
        <v>0.41691036335508119</v>
      </c>
    </row>
    <row r="466" spans="1:18" x14ac:dyDescent="0.25">
      <c r="A466" s="200">
        <v>7.4055429784465526E-2</v>
      </c>
      <c r="B466" s="201">
        <v>-0.92269528917598265</v>
      </c>
      <c r="C466" s="201">
        <v>-0.20951536546141114</v>
      </c>
      <c r="D466" s="202">
        <v>0.31504366092251279</v>
      </c>
      <c r="F466" s="91">
        <f>INDEX(A466:D474,,F457)</f>
        <v>-0.92269528917598265</v>
      </c>
      <c r="G466" s="93">
        <f>INDEX(A458:D466,,G457)</f>
        <v>0.31504366092251279</v>
      </c>
      <c r="I466" s="91">
        <f t="shared" si="152"/>
        <v>0.75211408838009097</v>
      </c>
      <c r="J466" s="92">
        <f t="shared" si="153"/>
        <v>-0.58137860363591631</v>
      </c>
      <c r="K466" s="92">
        <f t="shared" si="154"/>
        <v>0.22767452117416737</v>
      </c>
      <c r="L466" s="93">
        <f t="shared" si="151"/>
        <v>-0.43726303847731746</v>
      </c>
      <c r="Q466" s="91">
        <v>-0.92356835231534695</v>
      </c>
      <c r="R466" s="93">
        <v>0.31247496468761254</v>
      </c>
    </row>
    <row r="467" spans="1:18" x14ac:dyDescent="0.25">
      <c r="I467">
        <f>SUM(I458:I466)</f>
        <v>0.60983260847797949</v>
      </c>
      <c r="J467">
        <f>SUM(J458:J466)</f>
        <v>-0.29388031585316143</v>
      </c>
      <c r="K467">
        <f>SUM(K458:K466)</f>
        <v>1.604566182012503</v>
      </c>
      <c r="L467">
        <f>SUM(L458:L466)</f>
        <v>-5.7333163774936802E-2</v>
      </c>
    </row>
    <row r="468" spans="1:18" x14ac:dyDescent="0.25">
      <c r="A468" s="47" t="s">
        <v>53</v>
      </c>
      <c r="B468">
        <f>COUNT(A458:A466)</f>
        <v>9</v>
      </c>
      <c r="I468" s="47" t="s">
        <v>462</v>
      </c>
      <c r="J468" s="47" t="s">
        <v>389</v>
      </c>
      <c r="K468" s="47" t="s">
        <v>469</v>
      </c>
      <c r="L468" s="47" t="s">
        <v>470</v>
      </c>
      <c r="N468" s="47"/>
    </row>
    <row r="470" spans="1:18" x14ac:dyDescent="0.25">
      <c r="A470">
        <v>1</v>
      </c>
      <c r="B470">
        <v>2</v>
      </c>
      <c r="C470">
        <v>3</v>
      </c>
      <c r="D470">
        <v>4</v>
      </c>
      <c r="F470">
        <v>3</v>
      </c>
      <c r="G470">
        <v>4</v>
      </c>
      <c r="I470" s="47" t="s">
        <v>207</v>
      </c>
      <c r="J470" s="47" t="s">
        <v>464</v>
      </c>
      <c r="K470" s="47" t="s">
        <v>465</v>
      </c>
      <c r="L470" s="47" t="s">
        <v>466</v>
      </c>
      <c r="Q470">
        <f>F470</f>
        <v>3</v>
      </c>
      <c r="R470">
        <f>G470</f>
        <v>4</v>
      </c>
    </row>
    <row r="471" spans="1:18" x14ac:dyDescent="0.25">
      <c r="A471" s="189">
        <f t="array" ref="A471:A479">IF(A470=$Q457,$Q458:$Q466,IF(A470=$R457,$R458:$R466,A458:A466))</f>
        <v>0.10746308304669717</v>
      </c>
      <c r="B471" s="190">
        <f t="array" ref="B471:B479">IF(B470=$Q457,$Q458:$Q466,IF(B470=$R457,$R458:$R466,B458:B466))</f>
        <v>0.89258431326517351</v>
      </c>
      <c r="C471" s="190">
        <f t="array" ref="C471:C479">IF(C470=$Q457,$Q458:$Q466,IF(C470=$R457,$R458:$R466,C458:C466))</f>
        <v>-0.33859823158247893</v>
      </c>
      <c r="D471" s="191">
        <f t="array" ref="D471:D479">IF(D470=$Q457,$Q458:$Q466,IF(D470=$R457,$R458:$R466,D458:D466))</f>
        <v>0.27766196546206284</v>
      </c>
      <c r="F471" s="156">
        <f>INDEX(A471:D479,,F470)</f>
        <v>-0.33859823158247893</v>
      </c>
      <c r="G471" s="158">
        <f>INDEX(A471:D479,,G470)</f>
        <v>0.27766196546206284</v>
      </c>
      <c r="I471" s="156">
        <f>F471^2-G471^2</f>
        <v>3.7552595366526248E-2</v>
      </c>
      <c r="J471" s="157">
        <f>2*F471*G471</f>
        <v>-0.18803170096633964</v>
      </c>
      <c r="K471" s="157">
        <f>I471^2-J471^2</f>
        <v>-3.3945723149532925E-2</v>
      </c>
      <c r="L471" s="158">
        <f t="shared" ref="L471:L479" si="155">I471*J471</f>
        <v>-7.0610783824686151E-3</v>
      </c>
      <c r="N471" t="s">
        <v>390</v>
      </c>
      <c r="O471" s="172">
        <f>L480*B481-2*I480*J480</f>
        <v>0.16260053135348684</v>
      </c>
      <c r="Q471" s="156">
        <f t="array" ref="Q471:R479">MMULT(F471:G479,N475:O476)</f>
        <v>-0.33793930411092926</v>
      </c>
      <c r="R471" s="158">
        <v>0.27846356356273733</v>
      </c>
    </row>
    <row r="472" spans="1:18" x14ac:dyDescent="0.25">
      <c r="A472" s="194">
        <v>0.79606580514627301</v>
      </c>
      <c r="B472" s="195">
        <v>-0.59942356183049716</v>
      </c>
      <c r="C472" s="195">
        <v>8.0956954707063628E-2</v>
      </c>
      <c r="D472" s="196">
        <v>-2.0410754121664022E-2</v>
      </c>
      <c r="F472" s="123">
        <f>INDEX(A472:D480,,F470)</f>
        <v>8.0956954707063628E-2</v>
      </c>
      <c r="G472" s="90">
        <f>INDEX(A471:D479,,G470)</f>
        <v>-2.0410754121664022E-2</v>
      </c>
      <c r="I472" s="123">
        <f t="shared" ref="I472:I479" si="156">F472^2-G472^2</f>
        <v>6.1374296316265269E-3</v>
      </c>
      <c r="J472" s="37">
        <f t="shared" ref="J472:J479" si="157">2*F472*G472</f>
        <v>-3.3047849939291329E-3</v>
      </c>
      <c r="K472" s="37">
        <f t="shared" ref="K472:K479" si="158">I472^2-J472^2</f>
        <v>2.674643862706815E-5</v>
      </c>
      <c r="L472" s="90">
        <f t="shared" si="155"/>
        <v>-2.0282885347895352E-5</v>
      </c>
      <c r="N472" t="s">
        <v>392</v>
      </c>
      <c r="O472" s="173">
        <f>K480*B481-(I480^2-J480^2)</f>
        <v>17.153564790729579</v>
      </c>
      <c r="Q472" s="123">
        <v>8.0908359946792519E-2</v>
      </c>
      <c r="R472" s="90">
        <v>-2.0602540862156734E-2</v>
      </c>
    </row>
    <row r="473" spans="1:18" x14ac:dyDescent="0.25">
      <c r="A473" s="194">
        <v>0.98372230145061057</v>
      </c>
      <c r="B473" s="195">
        <v>0.12065975018605858</v>
      </c>
      <c r="C473" s="195">
        <v>0.11319061116701888</v>
      </c>
      <c r="D473" s="196">
        <v>7.0139460059144634E-2</v>
      </c>
      <c r="F473" s="123">
        <f>INDEX(A473:D481,,F470)</f>
        <v>0.11319061116701888</v>
      </c>
      <c r="G473" s="90">
        <f>INDEX(A471:D479,,G470)</f>
        <v>7.0139460059144634E-2</v>
      </c>
      <c r="I473" s="123">
        <f t="shared" si="156"/>
        <v>7.8925705989749129E-3</v>
      </c>
      <c r="J473" s="37">
        <f t="shared" si="157"/>
        <v>1.5878256702038584E-2</v>
      </c>
      <c r="K473" s="37">
        <f t="shared" si="158"/>
        <v>-1.8982636523602999E-4</v>
      </c>
      <c r="L473" s="90">
        <f t="shared" si="155"/>
        <v>1.253202620094861E-4</v>
      </c>
      <c r="N473" t="s">
        <v>467</v>
      </c>
      <c r="O473" s="174">
        <f>0.25*ATAN(O471/O472)</f>
        <v>2.3697065817279207E-3</v>
      </c>
      <c r="Q473" s="123">
        <v>0.11335650314028584</v>
      </c>
      <c r="R473" s="90">
        <v>6.9871034839609852E-2</v>
      </c>
    </row>
    <row r="474" spans="1:18" x14ac:dyDescent="0.25">
      <c r="A474" s="194">
        <v>5.1200902469693527E-2</v>
      </c>
      <c r="B474" s="195">
        <v>2.85674268889667E-3</v>
      </c>
      <c r="C474" s="195">
        <v>7.5739728594958172E-2</v>
      </c>
      <c r="D474" s="196">
        <v>0.99580811410625725</v>
      </c>
      <c r="F474" s="123">
        <f>INDEX(A474:D482,,F470)</f>
        <v>7.5739728594958172E-2</v>
      </c>
      <c r="G474" s="90">
        <f>INDEX(A471:D479,,G470)</f>
        <v>0.99580811410625725</v>
      </c>
      <c r="I474" s="123">
        <f t="shared" si="156"/>
        <v>-0.98589729363222278</v>
      </c>
      <c r="J474" s="37">
        <f t="shared" si="157"/>
        <v>0.15084447259013012</v>
      </c>
      <c r="K474" s="37">
        <f t="shared" si="158"/>
        <v>0.94923941868034689</v>
      </c>
      <c r="L474" s="90">
        <f t="shared" si="155"/>
        <v>-0.1487171572859893</v>
      </c>
      <c r="Q474" s="123">
        <v>7.8099286770064877E-2</v>
      </c>
      <c r="R474" s="90">
        <v>0.99562583735734067</v>
      </c>
    </row>
    <row r="475" spans="1:18" x14ac:dyDescent="0.25">
      <c r="A475" s="194">
        <v>0.35571207803386573</v>
      </c>
      <c r="B475" s="195">
        <v>-0.11307032756616166</v>
      </c>
      <c r="C475" s="195">
        <v>0.88404474479583062</v>
      </c>
      <c r="D475" s="196">
        <v>0.28133415676697593</v>
      </c>
      <c r="F475" s="123">
        <f>INDEX(A475:D483,,F470)</f>
        <v>0.88404474479583062</v>
      </c>
      <c r="G475" s="90">
        <f>INDEX(A471:D479,,G470)</f>
        <v>0.28133415676697593</v>
      </c>
      <c r="I475" s="123">
        <f t="shared" si="156"/>
        <v>0.7023862030373399</v>
      </c>
      <c r="J475" s="37">
        <f t="shared" si="157"/>
        <v>0.49742396564282287</v>
      </c>
      <c r="K475" s="37">
        <f t="shared" si="158"/>
        <v>0.24591577662137903</v>
      </c>
      <c r="L475" s="90">
        <f t="shared" si="155"/>
        <v>0.34938373052763855</v>
      </c>
      <c r="N475" s="156">
        <f>COS(O473)</f>
        <v>0.99999719224667216</v>
      </c>
      <c r="O475" s="158">
        <f>-N476</f>
        <v>-2.3697043638769917E-3</v>
      </c>
      <c r="Q475" s="123">
        <v>0.88470894139525491</v>
      </c>
      <c r="R475" s="90">
        <v>0.27923844216045585</v>
      </c>
    </row>
    <row r="476" spans="1:18" x14ac:dyDescent="0.25">
      <c r="A476" s="194">
        <v>-3.0432418699331176E-2</v>
      </c>
      <c r="B476" s="195">
        <v>1.7228028646542229E-2</v>
      </c>
      <c r="C476" s="195">
        <v>0.99796288187968063</v>
      </c>
      <c r="D476" s="196">
        <v>-5.3358685436070016E-2</v>
      </c>
      <c r="F476" s="123">
        <f>INDEX(A476:D484,,F470)</f>
        <v>0.99796288187968063</v>
      </c>
      <c r="G476" s="90">
        <f>INDEX(A471:D479,,G470)</f>
        <v>-5.3358685436070016E-2</v>
      </c>
      <c r="I476" s="123">
        <f t="shared" si="156"/>
        <v>0.99308276429813191</v>
      </c>
      <c r="J476" s="37">
        <f t="shared" si="157"/>
        <v>-0.10649997498218355</v>
      </c>
      <c r="K476" s="37">
        <f t="shared" si="158"/>
        <v>0.97487113207481335</v>
      </c>
      <c r="L476" s="90">
        <f t="shared" si="155"/>
        <v>-0.10576328955298873</v>
      </c>
      <c r="N476" s="91">
        <f>SIN(O473)</f>
        <v>2.3697043638769917E-3</v>
      </c>
      <c r="O476" s="93">
        <f>N475</f>
        <v>0.99999719224667216</v>
      </c>
      <c r="Q476" s="123">
        <v>0.99783363553634929</v>
      </c>
      <c r="R476" s="90">
        <v>-5.5723412614220952E-2</v>
      </c>
    </row>
    <row r="477" spans="1:18" x14ac:dyDescent="0.25">
      <c r="A477" s="194">
        <v>0.96245006564153002</v>
      </c>
      <c r="B477" s="195">
        <v>-1.8799746928795734E-2</v>
      </c>
      <c r="C477" s="195">
        <v>0.16550412234691481</v>
      </c>
      <c r="D477" s="196">
        <v>0.21434744259777266</v>
      </c>
      <c r="F477" s="123">
        <f>INDEX(A477:D485,,F470)</f>
        <v>0.16550412234691481</v>
      </c>
      <c r="G477" s="90">
        <f>INDEX(A471:D479,,G470)</f>
        <v>0.21434744259777266</v>
      </c>
      <c r="I477" s="123">
        <f t="shared" si="156"/>
        <v>-1.8553211634382904E-2</v>
      </c>
      <c r="J477" s="37">
        <f t="shared" si="157"/>
        <v>7.0950770728900131E-2</v>
      </c>
      <c r="K477" s="37">
        <f t="shared" si="158"/>
        <v>-4.6897902050747507E-3</v>
      </c>
      <c r="L477" s="90">
        <f t="shared" si="155"/>
        <v>-1.3163646649558638E-3</v>
      </c>
      <c r="Q477" s="123">
        <v>0.16601159772227433</v>
      </c>
      <c r="R477" s="90">
        <v>0.21395464492206229</v>
      </c>
    </row>
    <row r="478" spans="1:18" x14ac:dyDescent="0.25">
      <c r="A478" s="194">
        <v>0.67745325397030154</v>
      </c>
      <c r="B478" s="195">
        <v>-0.21891679792602958</v>
      </c>
      <c r="C478" s="195">
        <v>0.5650825366245168</v>
      </c>
      <c r="D478" s="196">
        <v>0.41691036335508119</v>
      </c>
      <c r="F478" s="123">
        <f>INDEX(A478:D486,,F470)</f>
        <v>0.5650825366245168</v>
      </c>
      <c r="G478" s="90">
        <f>INDEX(A471:D479,,G470)</f>
        <v>0.41691036335508119</v>
      </c>
      <c r="I478" s="123">
        <f t="shared" si="156"/>
        <v>0.14550402212513255</v>
      </c>
      <c r="J478" s="37">
        <f t="shared" si="157"/>
        <v>0.47117753133947654</v>
      </c>
      <c r="K478" s="37">
        <f t="shared" si="158"/>
        <v>-0.20083684558457235</v>
      </c>
      <c r="L478" s="90">
        <f t="shared" si="155"/>
        <v>6.8558225944884532E-2</v>
      </c>
      <c r="Q478" s="123">
        <v>0.56606890431953216</v>
      </c>
      <c r="R478" s="90">
        <v>0.41557011422063128</v>
      </c>
    </row>
    <row r="479" spans="1:18" x14ac:dyDescent="0.25">
      <c r="A479" s="200">
        <v>7.4055429784465526E-2</v>
      </c>
      <c r="B479" s="201">
        <v>-0.92356835231534695</v>
      </c>
      <c r="C479" s="201">
        <v>-0.20951536546141114</v>
      </c>
      <c r="D479" s="202">
        <v>0.31247496468761254</v>
      </c>
      <c r="F479" s="91">
        <f>INDEX(A479:D487,,F470)</f>
        <v>-0.20951536546141114</v>
      </c>
      <c r="G479" s="93">
        <f>INDEX(A471:D479,,G470)</f>
        <v>0.31247496468761254</v>
      </c>
      <c r="I479" s="91">
        <f t="shared" si="156"/>
        <v>-5.3743915192096037E-2</v>
      </c>
      <c r="J479" s="92">
        <f t="shared" si="157"/>
        <v>-0.13093661284813338</v>
      </c>
      <c r="K479" s="92">
        <f t="shared" si="158"/>
        <v>-1.4255988163966756E-2</v>
      </c>
      <c r="L479" s="93">
        <f t="shared" si="155"/>
        <v>7.0370462164503923E-3</v>
      </c>
      <c r="Q479" s="91">
        <v>-0.20877430390652399</v>
      </c>
      <c r="R479" s="93">
        <v>0.3129705768108238</v>
      </c>
    </row>
    <row r="480" spans="1:18" x14ac:dyDescent="0.25">
      <c r="I480">
        <f>SUM(I471:I479)</f>
        <v>0.83436116459903031</v>
      </c>
      <c r="J480">
        <f>SUM(J471:J479)</f>
        <v>0.77750192321278255</v>
      </c>
      <c r="K480">
        <f>SUM(K471:K479)</f>
        <v>1.9161349003467836</v>
      </c>
      <c r="L480">
        <f>SUM(L471:L479)</f>
        <v>0.16222615017923256</v>
      </c>
    </row>
    <row r="481" spans="1:18" x14ac:dyDescent="0.25">
      <c r="A481" s="47" t="s">
        <v>53</v>
      </c>
      <c r="B481">
        <f>COUNT(A471:A479)</f>
        <v>9</v>
      </c>
      <c r="I481" s="47" t="s">
        <v>462</v>
      </c>
      <c r="J481" s="47" t="s">
        <v>389</v>
      </c>
      <c r="K481" s="47" t="s">
        <v>469</v>
      </c>
      <c r="L481" s="47" t="s">
        <v>470</v>
      </c>
      <c r="N481" s="47"/>
    </row>
    <row r="483" spans="1:18" x14ac:dyDescent="0.25">
      <c r="A483">
        <v>1</v>
      </c>
      <c r="B483">
        <v>2</v>
      </c>
      <c r="C483">
        <v>3</v>
      </c>
      <c r="D483">
        <v>4</v>
      </c>
      <c r="F483">
        <v>1</v>
      </c>
      <c r="G483">
        <v>2</v>
      </c>
      <c r="I483" s="47" t="s">
        <v>207</v>
      </c>
      <c r="J483" s="47" t="s">
        <v>464</v>
      </c>
      <c r="K483" s="47" t="s">
        <v>465</v>
      </c>
      <c r="L483" s="47" t="s">
        <v>466</v>
      </c>
      <c r="Q483">
        <f>F483</f>
        <v>1</v>
      </c>
      <c r="R483">
        <f>G483</f>
        <v>2</v>
      </c>
    </row>
    <row r="484" spans="1:18" x14ac:dyDescent="0.25">
      <c r="A484" s="189">
        <f t="array" ref="A484:A492">IF(A483=$Q470,$Q471:$Q479,IF(A483=$R470,$R471:$R479,A471:A479))</f>
        <v>0.10746308304669717</v>
      </c>
      <c r="B484" s="190">
        <f t="array" ref="B484:B492">IF(B483=$Q470,$Q471:$Q479,IF(B483=$R470,$R471:$R479,B471:B479))</f>
        <v>0.89258431326517351</v>
      </c>
      <c r="C484" s="190">
        <f t="array" ref="C484:C492">IF(C483=$Q470,$Q471:$Q479,IF(C483=$R470,$R471:$R479,C471:C479))</f>
        <v>-0.33793930411092926</v>
      </c>
      <c r="D484" s="191">
        <f t="array" ref="D484:D492">IF(D483=$Q470,$Q471:$Q479,IF(D483=$R470,$R471:$R479,D471:D479))</f>
        <v>0.27846356356273733</v>
      </c>
      <c r="F484" s="156">
        <f>INDEX(A484:D492,,F483)</f>
        <v>0.10746308304669717</v>
      </c>
      <c r="G484" s="158">
        <f>INDEX(A484:D492,,G483)</f>
        <v>0.89258431326517351</v>
      </c>
      <c r="I484" s="156">
        <f>F484^2-G484^2</f>
        <v>-0.78515844206916008</v>
      </c>
      <c r="J484" s="157">
        <f>2*F484*G484</f>
        <v>0.19183972436518901</v>
      </c>
      <c r="K484" s="157">
        <f>I484^2-J484^2</f>
        <v>0.57967129930795891</v>
      </c>
      <c r="L484" s="158">
        <f t="shared" ref="L484:L492" si="159">I484*J484</f>
        <v>-0.15062457910954888</v>
      </c>
      <c r="N484" t="s">
        <v>390</v>
      </c>
      <c r="O484" s="172">
        <f>L493*B494-2*I493*J493</f>
        <v>0.1430401868002189</v>
      </c>
      <c r="Q484" s="156">
        <f t="array" ref="Q484:R492">MMULT(F484:G492,N488:O489)</f>
        <v>0.10904211293507225</v>
      </c>
      <c r="R484" s="158">
        <v>0.89239278802084554</v>
      </c>
    </row>
    <row r="485" spans="1:18" x14ac:dyDescent="0.25">
      <c r="A485" s="194">
        <v>0.79606580514627301</v>
      </c>
      <c r="B485" s="195">
        <v>-0.59942356183049716</v>
      </c>
      <c r="C485" s="195">
        <v>8.0908359946792519E-2</v>
      </c>
      <c r="D485" s="196">
        <v>-2.0602540862156734E-2</v>
      </c>
      <c r="F485" s="123">
        <f>INDEX(A485:D493,,F483)</f>
        <v>0.79606580514627301</v>
      </c>
      <c r="G485" s="90">
        <f>INDEX(A484:D492,,G483)</f>
        <v>-0.59942356183049716</v>
      </c>
      <c r="I485" s="123">
        <f t="shared" ref="I485:I492" si="160">F485^2-G485^2</f>
        <v>0.2744121596456241</v>
      </c>
      <c r="J485" s="37">
        <f t="shared" ref="J485:J492" si="161">2*F485*G485</f>
        <v>-0.95436120074448294</v>
      </c>
      <c r="K485" s="37">
        <f t="shared" ref="K485:K492" si="162">I485^2-J485^2</f>
        <v>-0.83550326812507569</v>
      </c>
      <c r="L485" s="90">
        <f t="shared" si="159"/>
        <v>-0.26188831817828456</v>
      </c>
      <c r="N485" t="s">
        <v>392</v>
      </c>
      <c r="O485" s="173">
        <f>K493*B494-(I493^2-J493^2)</f>
        <v>20.21171859743141</v>
      </c>
      <c r="Q485" s="123">
        <v>0.79500403358876148</v>
      </c>
      <c r="R485" s="90">
        <v>-0.60083105710203011</v>
      </c>
    </row>
    <row r="486" spans="1:18" x14ac:dyDescent="0.25">
      <c r="A486" s="194">
        <v>0.98372230145061057</v>
      </c>
      <c r="B486" s="195">
        <v>0.12065975018605858</v>
      </c>
      <c r="C486" s="195">
        <v>0.11335650314028584</v>
      </c>
      <c r="D486" s="196">
        <v>6.9871034839609852E-2</v>
      </c>
      <c r="F486" s="123">
        <f>INDEX(A486:D494,,F483)</f>
        <v>0.98372230145061057</v>
      </c>
      <c r="G486" s="90">
        <f>INDEX(A484:D492,,G483)</f>
        <v>0.12065975018605858</v>
      </c>
      <c r="I486" s="123">
        <f t="shared" si="160"/>
        <v>0.95315079105632383</v>
      </c>
      <c r="J486" s="37">
        <f t="shared" si="161"/>
        <v>0.23739137429097057</v>
      </c>
      <c r="K486" s="37">
        <f t="shared" si="162"/>
        <v>0.85214176590354018</v>
      </c>
      <c r="L486" s="90">
        <f t="shared" si="159"/>
        <v>0.22626977619538646</v>
      </c>
      <c r="N486" t="s">
        <v>467</v>
      </c>
      <c r="O486" s="174">
        <f>0.25*ATAN(O484/O485)</f>
        <v>1.7692433985226587E-3</v>
      </c>
      <c r="Q486" s="123">
        <v>0.98393423817142989</v>
      </c>
      <c r="R486" s="90">
        <v>0.11891911806036833</v>
      </c>
    </row>
    <row r="487" spans="1:18" x14ac:dyDescent="0.25">
      <c r="A487" s="194">
        <v>5.1200902469693527E-2</v>
      </c>
      <c r="B487" s="195">
        <v>2.85674268889667E-3</v>
      </c>
      <c r="C487" s="195">
        <v>7.8099286770064877E-2</v>
      </c>
      <c r="D487" s="196">
        <v>0.99562583735734067</v>
      </c>
      <c r="F487" s="123">
        <f>INDEX(A487:D495,,F483)</f>
        <v>5.1200902469693527E-2</v>
      </c>
      <c r="G487" s="90">
        <f>INDEX(A484:D492,,G483)</f>
        <v>2.85674268889667E-3</v>
      </c>
      <c r="I487" s="123">
        <f t="shared" si="160"/>
        <v>2.6133714349205039E-3</v>
      </c>
      <c r="J487" s="37">
        <f t="shared" si="161"/>
        <v>2.9253560759041685E-4</v>
      </c>
      <c r="K487" s="37">
        <f t="shared" si="162"/>
        <v>6.7441331751501587E-6</v>
      </c>
      <c r="L487" s="90">
        <f t="shared" si="159"/>
        <v>7.6450420057390912E-7</v>
      </c>
      <c r="Q487" s="123">
        <v>5.1205876605120333E-2</v>
      </c>
      <c r="R487" s="90">
        <v>2.7661514063447236E-3</v>
      </c>
    </row>
    <row r="488" spans="1:18" x14ac:dyDescent="0.25">
      <c r="A488" s="194">
        <v>0.35571207803386573</v>
      </c>
      <c r="B488" s="195">
        <v>-0.11307032756616166</v>
      </c>
      <c r="C488" s="195">
        <v>0.88470894139525491</v>
      </c>
      <c r="D488" s="196">
        <v>0.27923844216045585</v>
      </c>
      <c r="F488" s="123">
        <f>INDEX(A488:D496,,F483)</f>
        <v>0.35571207803386573</v>
      </c>
      <c r="G488" s="90">
        <f>INDEX(A484:D492,,G483)</f>
        <v>-0.11307032756616166</v>
      </c>
      <c r="I488" s="123">
        <f t="shared" si="160"/>
        <v>0.1137461834832519</v>
      </c>
      <c r="J488" s="37">
        <f t="shared" si="161"/>
        <v>-8.0440962365058516E-2</v>
      </c>
      <c r="K488" s="37">
        <f t="shared" si="162"/>
        <v>6.4674458307888453E-3</v>
      </c>
      <c r="L488" s="90">
        <f t="shared" si="159"/>
        <v>-9.1498524647453065E-3</v>
      </c>
      <c r="N488" s="156">
        <f>COS(O486)</f>
        <v>0.99999843488930662</v>
      </c>
      <c r="O488" s="158">
        <f>-N489</f>
        <v>-1.7692424755019749E-3</v>
      </c>
      <c r="Q488" s="123">
        <v>0.35551147247883969</v>
      </c>
      <c r="R488" s="90">
        <v>-0.11369949151608948</v>
      </c>
    </row>
    <row r="489" spans="1:18" x14ac:dyDescent="0.25">
      <c r="A489" s="194">
        <v>-3.0432418699331176E-2</v>
      </c>
      <c r="B489" s="195">
        <v>1.7228028646542229E-2</v>
      </c>
      <c r="C489" s="195">
        <v>0.99783363553634929</v>
      </c>
      <c r="D489" s="196">
        <v>-5.5723412614220952E-2</v>
      </c>
      <c r="F489" s="123">
        <f>INDEX(A489:D497,,F483)</f>
        <v>-3.0432418699331176E-2</v>
      </c>
      <c r="G489" s="90">
        <f>INDEX(A484:D492,,G483)</f>
        <v>1.7228028646542229E-2</v>
      </c>
      <c r="I489" s="123">
        <f t="shared" si="160"/>
        <v>6.2932713684532224E-4</v>
      </c>
      <c r="J489" s="37">
        <f t="shared" si="161"/>
        <v>-1.0485811622712898E-3</v>
      </c>
      <c r="K489" s="37">
        <f t="shared" si="162"/>
        <v>-7.0346980870027801E-7</v>
      </c>
      <c r="L489" s="90">
        <f t="shared" si="159"/>
        <v>-6.5990058060213106E-7</v>
      </c>
      <c r="N489" s="91">
        <f>SIN(O486)</f>
        <v>1.7692424755019749E-3</v>
      </c>
      <c r="O489" s="93">
        <f>N488</f>
        <v>0.99999843488930662</v>
      </c>
      <c r="Q489" s="123">
        <v>-3.0401890509176618E-2</v>
      </c>
      <c r="R489" s="90">
        <v>1.7281844010565484E-2</v>
      </c>
    </row>
    <row r="490" spans="1:18" x14ac:dyDescent="0.25">
      <c r="A490" s="194">
        <v>0.96245006564153002</v>
      </c>
      <c r="B490" s="195">
        <v>-1.8799746928795734E-2</v>
      </c>
      <c r="C490" s="195">
        <v>0.16601159772227433</v>
      </c>
      <c r="D490" s="196">
        <v>0.21395464492206229</v>
      </c>
      <c r="F490" s="123">
        <f>INDEX(A490:D498,,F483)</f>
        <v>0.96245006564153002</v>
      </c>
      <c r="G490" s="90">
        <f>INDEX(A484:D492,,G483)</f>
        <v>-1.8799746928795734E-2</v>
      </c>
      <c r="I490" s="123">
        <f t="shared" si="160"/>
        <v>0.92595669836879868</v>
      </c>
      <c r="J490" s="37">
        <f t="shared" si="161"/>
        <v>-3.6187635331327211E-2</v>
      </c>
      <c r="K490" s="37">
        <f t="shared" si="162"/>
        <v>0.85608626230317331</v>
      </c>
      <c r="L490" s="90">
        <f t="shared" si="159"/>
        <v>-3.3508183333169836E-2</v>
      </c>
      <c r="Q490" s="123">
        <v>0.96241529798984538</v>
      </c>
      <c r="R490" s="90">
        <v>-2.0502525041793441E-2</v>
      </c>
    </row>
    <row r="491" spans="1:18" x14ac:dyDescent="0.25">
      <c r="A491" s="194">
        <v>0.67745325397030154</v>
      </c>
      <c r="B491" s="195">
        <v>-0.21891679792602958</v>
      </c>
      <c r="C491" s="195">
        <v>0.56606890431953216</v>
      </c>
      <c r="D491" s="196">
        <v>0.41557011422063128</v>
      </c>
      <c r="F491" s="123">
        <f>INDEX(A491:D499,,F483)</f>
        <v>0.67745325397030154</v>
      </c>
      <c r="G491" s="90">
        <f>INDEX(A484:D492,,G483)</f>
        <v>-0.21891679792602958</v>
      </c>
      <c r="I491" s="123">
        <f t="shared" si="160"/>
        <v>0.41101834690076378</v>
      </c>
      <c r="J491" s="37">
        <f t="shared" si="161"/>
        <v>-0.29661179420749539</v>
      </c>
      <c r="K491" s="37">
        <f t="shared" si="162"/>
        <v>8.0957525026047E-2</v>
      </c>
      <c r="L491" s="90">
        <f t="shared" si="159"/>
        <v>-0.12191288932643429</v>
      </c>
      <c r="Q491" s="123">
        <v>0.67706487678347793</v>
      </c>
      <c r="R491" s="90">
        <v>-0.22011503436909946</v>
      </c>
    </row>
    <row r="492" spans="1:18" x14ac:dyDescent="0.25">
      <c r="A492" s="200">
        <v>7.4055429784465526E-2</v>
      </c>
      <c r="B492" s="201">
        <v>-0.92356835231534695</v>
      </c>
      <c r="C492" s="201">
        <v>-0.20877430390652399</v>
      </c>
      <c r="D492" s="202">
        <v>0.3129705768108238</v>
      </c>
      <c r="F492" s="91">
        <f>INDEX(A492:D500,,F483)</f>
        <v>7.4055429784465526E-2</v>
      </c>
      <c r="G492" s="93">
        <f>INDEX(A484:D492,,G483)</f>
        <v>-0.92356835231534695</v>
      </c>
      <c r="I492" s="91">
        <f t="shared" si="160"/>
        <v>-0.84749429471792292</v>
      </c>
      <c r="J492" s="92">
        <f t="shared" si="161"/>
        <v>-0.13679050253208738</v>
      </c>
      <c r="K492" s="92">
        <f t="shared" si="162"/>
        <v>0.69953493799644861</v>
      </c>
      <c r="L492" s="93">
        <f t="shared" si="159"/>
        <v>0.11592917046754164</v>
      </c>
      <c r="Q492" s="91">
        <v>7.2421297521574779E-2</v>
      </c>
      <c r="R492" s="93">
        <v>-0.92369792884055901</v>
      </c>
    </row>
    <row r="493" spans="1:18" x14ac:dyDescent="0.25">
      <c r="I493">
        <f>SUM(I484:I492)</f>
        <v>1.0488741412394451</v>
      </c>
      <c r="J493">
        <f>SUM(J484:J492)</f>
        <v>-1.0759170420789725</v>
      </c>
      <c r="K493">
        <f>SUM(K484:K492)</f>
        <v>2.2393620089062476</v>
      </c>
      <c r="L493">
        <f>SUM(L484:L492)</f>
        <v>-0.23488477114563483</v>
      </c>
    </row>
    <row r="494" spans="1:18" x14ac:dyDescent="0.25">
      <c r="A494" s="47" t="s">
        <v>53</v>
      </c>
      <c r="B494">
        <f>COUNT(A484:A492)</f>
        <v>9</v>
      </c>
      <c r="I494" s="47" t="s">
        <v>462</v>
      </c>
      <c r="J494" s="47" t="s">
        <v>389</v>
      </c>
      <c r="K494" s="47" t="s">
        <v>469</v>
      </c>
      <c r="L494" s="47" t="s">
        <v>470</v>
      </c>
      <c r="N494" s="47"/>
    </row>
    <row r="496" spans="1:18" x14ac:dyDescent="0.25">
      <c r="A496">
        <v>1</v>
      </c>
      <c r="B496">
        <v>2</v>
      </c>
      <c r="C496">
        <v>3</v>
      </c>
      <c r="D496">
        <v>4</v>
      </c>
      <c r="F496">
        <v>1</v>
      </c>
      <c r="G496">
        <v>3</v>
      </c>
      <c r="I496" s="47" t="s">
        <v>207</v>
      </c>
      <c r="J496" s="47" t="s">
        <v>464</v>
      </c>
      <c r="K496" s="47" t="s">
        <v>465</v>
      </c>
      <c r="L496" s="47" t="s">
        <v>466</v>
      </c>
      <c r="Q496">
        <f>F496</f>
        <v>1</v>
      </c>
      <c r="R496">
        <f>G496</f>
        <v>3</v>
      </c>
    </row>
    <row r="497" spans="1:18" x14ac:dyDescent="0.25">
      <c r="A497" s="189">
        <f t="array" ref="A497:A505">IF(A496=$Q483,$Q484:$Q492,IF(A496=$R483,$R484:$R492,A484:A492))</f>
        <v>0.10904211293507225</v>
      </c>
      <c r="B497" s="190">
        <f t="array" ref="B497:B505">IF(B496=$Q483,$Q484:$Q492,IF(B496=$R483,$R484:$R492,B484:B492))</f>
        <v>0.89239278802084554</v>
      </c>
      <c r="C497" s="190">
        <f t="array" ref="C497:C505">IF(C496=$Q483,$Q484:$Q492,IF(C496=$R483,$R484:$R492,C484:C492))</f>
        <v>-0.33793930411092926</v>
      </c>
      <c r="D497" s="191">
        <f t="array" ref="D497:D505">IF(D496=$Q483,$Q484:$Q492,IF(D496=$R483,$R484:$R492,D484:D492))</f>
        <v>0.27846356356273733</v>
      </c>
      <c r="F497" s="156">
        <f>INDEX(A497:D505,,F496)</f>
        <v>0.10904211293507225</v>
      </c>
      <c r="G497" s="158">
        <f>INDEX(A497:D505,,G496)</f>
        <v>-0.33793930411092926</v>
      </c>
      <c r="I497" s="156">
        <f>F497^2-G497^2</f>
        <v>-0.10231279086963409</v>
      </c>
      <c r="J497" s="157">
        <f>2*F497*G497</f>
        <v>-7.3699231528127351E-2</v>
      </c>
      <c r="K497" s="157">
        <f>I497^2-J497^2</f>
        <v>5.0363304476969597E-3</v>
      </c>
      <c r="L497" s="158">
        <f t="shared" ref="L497:L505" si="163">I497*J497</f>
        <v>7.5403740625900372E-3</v>
      </c>
      <c r="N497" t="s">
        <v>390</v>
      </c>
      <c r="O497" s="172">
        <f>L506*B507-2*I506*J506</f>
        <v>-5.7300536198401808E-2</v>
      </c>
      <c r="Q497" s="156">
        <f t="array" ref="Q497:R505">MMULT(F497:G505,N501:O502)</f>
        <v>0.10923903526527066</v>
      </c>
      <c r="R497" s="158">
        <v>-0.33787570026658786</v>
      </c>
    </row>
    <row r="498" spans="1:18" x14ac:dyDescent="0.25">
      <c r="A498" s="194">
        <v>0.79500403358876148</v>
      </c>
      <c r="B498" s="195">
        <v>-0.60083105710203011</v>
      </c>
      <c r="C498" s="195">
        <v>8.0908359946792519E-2</v>
      </c>
      <c r="D498" s="196">
        <v>-2.0602540862156734E-2</v>
      </c>
      <c r="F498" s="123">
        <f>INDEX(A498:D506,,F496)</f>
        <v>0.79500403358876148</v>
      </c>
      <c r="G498" s="90">
        <f>INDEX(A497:D505,,G496)</f>
        <v>8.0908359946792519E-2</v>
      </c>
      <c r="I498" s="123">
        <f t="shared" ref="I498:I505" si="164">F498^2-G498^2</f>
        <v>0.62548525071312078</v>
      </c>
      <c r="J498" s="37">
        <f t="shared" ref="J498:J505" si="165">2*F498*G498</f>
        <v>0.1286449450175029</v>
      </c>
      <c r="K498" s="37">
        <f t="shared" ref="K498:K505" si="166">I498^2-J498^2</f>
        <v>0.37468227698109918</v>
      </c>
      <c r="L498" s="90">
        <f t="shared" si="163"/>
        <v>8.046551568724844E-2</v>
      </c>
      <c r="N498" t="s">
        <v>392</v>
      </c>
      <c r="O498" s="173">
        <f>K506*B507-(I506^2-J506^2)</f>
        <v>24.581070260333892</v>
      </c>
      <c r="Q498" s="123">
        <v>0.79495674763385282</v>
      </c>
      <c r="R498" s="90">
        <v>8.1371650610560523E-2</v>
      </c>
    </row>
    <row r="499" spans="1:18" x14ac:dyDescent="0.25">
      <c r="A499" s="194">
        <v>0.98393423817142989</v>
      </c>
      <c r="B499" s="195">
        <v>0.11891911806036833</v>
      </c>
      <c r="C499" s="195">
        <v>0.11335650314028584</v>
      </c>
      <c r="D499" s="196">
        <v>6.9871034839609852E-2</v>
      </c>
      <c r="F499" s="123">
        <f>INDEX(A499:D507,,F496)</f>
        <v>0.98393423817142989</v>
      </c>
      <c r="G499" s="90">
        <f>INDEX(A497:D505,,G496)</f>
        <v>0.11335650314028584</v>
      </c>
      <c r="I499" s="123">
        <f t="shared" si="164"/>
        <v>0.95527688824179846</v>
      </c>
      <c r="J499" s="37">
        <f t="shared" si="165"/>
        <v>0.22307068911822889</v>
      </c>
      <c r="K499" s="37">
        <f t="shared" si="166"/>
        <v>0.86279340086525202</v>
      </c>
      <c r="L499" s="90">
        <f t="shared" si="163"/>
        <v>0.21309427375881532</v>
      </c>
      <c r="N499" t="s">
        <v>467</v>
      </c>
      <c r="O499" s="174">
        <f>0.25*ATAN(O497/O498)</f>
        <v>-5.8276990995944516E-4</v>
      </c>
      <c r="Q499" s="123">
        <v>0.98386801033379467</v>
      </c>
      <c r="R499" s="90">
        <v>0.1139298911261034</v>
      </c>
    </row>
    <row r="500" spans="1:18" x14ac:dyDescent="0.25">
      <c r="A500" s="194">
        <v>5.1205876605120333E-2</v>
      </c>
      <c r="B500" s="195">
        <v>2.7661514063447236E-3</v>
      </c>
      <c r="C500" s="195">
        <v>7.8099286770064877E-2</v>
      </c>
      <c r="D500" s="196">
        <v>0.99562583735734067</v>
      </c>
      <c r="F500" s="123">
        <f>INDEX(A500:D508,,F496)</f>
        <v>5.1205876605120333E-2</v>
      </c>
      <c r="G500" s="90">
        <f>INDEX(A497:D505,,G496)</f>
        <v>7.8099286770064877E-2</v>
      </c>
      <c r="I500" s="123">
        <f t="shared" si="164"/>
        <v>-3.4774567950940209E-3</v>
      </c>
      <c r="J500" s="37">
        <f t="shared" si="165"/>
        <v>7.9982848825916972E-3</v>
      </c>
      <c r="K500" s="37">
        <f t="shared" si="166"/>
        <v>-5.1879855301349306E-5</v>
      </c>
      <c r="L500" s="90">
        <f t="shared" si="163"/>
        <v>-2.7813690114066282E-5</v>
      </c>
      <c r="Q500" s="123">
        <v>5.1160353998088368E-2</v>
      </c>
      <c r="R500" s="90">
        <v>7.8129114750404821E-2</v>
      </c>
    </row>
    <row r="501" spans="1:18" x14ac:dyDescent="0.25">
      <c r="A501" s="194">
        <v>0.35551147247883969</v>
      </c>
      <c r="B501" s="195">
        <v>-0.11369949151608948</v>
      </c>
      <c r="C501" s="195">
        <v>0.88470894139525491</v>
      </c>
      <c r="D501" s="196">
        <v>0.27923844216045585</v>
      </c>
      <c r="F501" s="123">
        <f>INDEX(A501:D509,,F496)</f>
        <v>0.35551147247883969</v>
      </c>
      <c r="G501" s="90">
        <f>INDEX(A497:D505,,G496)</f>
        <v>0.88470894139525491</v>
      </c>
      <c r="I501" s="123">
        <f t="shared" si="164"/>
        <v>-0.65632150392063981</v>
      </c>
      <c r="J501" s="37">
        <f t="shared" si="165"/>
        <v>0.62904835694124517</v>
      </c>
      <c r="K501" s="37">
        <f t="shared" si="166"/>
        <v>3.5056081138170214E-2</v>
      </c>
      <c r="L501" s="90">
        <f t="shared" si="163"/>
        <v>-0.41285796366648547</v>
      </c>
      <c r="N501" s="156">
        <f>COS(O499)</f>
        <v>0.9999998301896208</v>
      </c>
      <c r="O501" s="158">
        <f>-N502</f>
        <v>5.8276987697265163E-4</v>
      </c>
      <c r="Q501" s="123">
        <v>0.35499583038836818</v>
      </c>
      <c r="R501" s="90">
        <v>0.88491597253957299</v>
      </c>
    </row>
    <row r="502" spans="1:18" x14ac:dyDescent="0.25">
      <c r="A502" s="194">
        <v>-3.0401890509176618E-2</v>
      </c>
      <c r="B502" s="195">
        <v>1.7281844010565484E-2</v>
      </c>
      <c r="C502" s="195">
        <v>0.99783363553634929</v>
      </c>
      <c r="D502" s="196">
        <v>-5.5723412614220952E-2</v>
      </c>
      <c r="F502" s="123">
        <f>INDEX(A502:D510,,F496)</f>
        <v>-3.0401890509176618E-2</v>
      </c>
      <c r="G502" s="90">
        <f>INDEX(A497:D505,,G496)</f>
        <v>0.99783363553634929</v>
      </c>
      <c r="I502" s="123">
        <f t="shared" si="164"/>
        <v>-0.99474768926115609</v>
      </c>
      <c r="J502" s="37">
        <f t="shared" si="165"/>
        <v>-6.0672057867899476E-2</v>
      </c>
      <c r="K502" s="37">
        <f t="shared" si="166"/>
        <v>0.98584186668448381</v>
      </c>
      <c r="L502" s="90">
        <f t="shared" si="163"/>
        <v>6.035338936681215E-2</v>
      </c>
      <c r="N502" s="91">
        <f>SIN(O499)</f>
        <v>-5.8276987697265163E-4</v>
      </c>
      <c r="O502" s="93">
        <f>N501</f>
        <v>0.9999998301896208</v>
      </c>
      <c r="Q502" s="123">
        <v>-3.0983392731640753E-2</v>
      </c>
      <c r="R502" s="90">
        <v>0.99781574878784951</v>
      </c>
    </row>
    <row r="503" spans="1:18" x14ac:dyDescent="0.25">
      <c r="A503" s="194">
        <v>0.96241529798984538</v>
      </c>
      <c r="B503" s="195">
        <v>-2.0502525041793441E-2</v>
      </c>
      <c r="C503" s="195">
        <v>0.16601159772227433</v>
      </c>
      <c r="D503" s="196">
        <v>0.21395464492206229</v>
      </c>
      <c r="F503" s="123">
        <f>INDEX(A503:D511,,F496)</f>
        <v>0.96241529798984538</v>
      </c>
      <c r="G503" s="90">
        <f>INDEX(A497:D505,,G496)</f>
        <v>0.16601159772227433</v>
      </c>
      <c r="I503" s="123">
        <f t="shared" si="164"/>
        <v>0.8986833552265806</v>
      </c>
      <c r="J503" s="37">
        <f t="shared" si="165"/>
        <v>0.31954420258330596</v>
      </c>
      <c r="K503" s="37">
        <f t="shared" si="166"/>
        <v>0.70552327555670358</v>
      </c>
      <c r="L503" s="90">
        <f t="shared" si="163"/>
        <v>0.2871690561207676</v>
      </c>
      <c r="Q503" s="123">
        <v>0.96231838800335801</v>
      </c>
      <c r="R503" s="90">
        <v>0.16657243617658812</v>
      </c>
    </row>
    <row r="504" spans="1:18" x14ac:dyDescent="0.25">
      <c r="A504" s="194">
        <v>0.67706487678347793</v>
      </c>
      <c r="B504" s="195">
        <v>-0.22011503436909946</v>
      </c>
      <c r="C504" s="195">
        <v>0.56606890431953216</v>
      </c>
      <c r="D504" s="196">
        <v>0.41557011422063128</v>
      </c>
      <c r="F504" s="123">
        <f>INDEX(A504:D512,,F496)</f>
        <v>0.67706487678347793</v>
      </c>
      <c r="G504" s="90">
        <f>INDEX(A497:D505,,G496)</f>
        <v>0.56606890431953216</v>
      </c>
      <c r="I504" s="123">
        <f t="shared" si="164"/>
        <v>0.13798284293631047</v>
      </c>
      <c r="J504" s="37">
        <f t="shared" si="165"/>
        <v>0.76653074590812476</v>
      </c>
      <c r="K504" s="37">
        <f t="shared" si="166"/>
        <v>-0.56853011947767962</v>
      </c>
      <c r="L504" s="90">
        <f t="shared" si="163"/>
        <v>0.10576809151849369</v>
      </c>
      <c r="Q504" s="123">
        <v>0.67673487390510612</v>
      </c>
      <c r="R504" s="90">
        <v>0.56646338121010242</v>
      </c>
    </row>
    <row r="505" spans="1:18" x14ac:dyDescent="0.25">
      <c r="A505" s="200">
        <v>7.2421297521574779E-2</v>
      </c>
      <c r="B505" s="201">
        <v>-0.92369792884055901</v>
      </c>
      <c r="C505" s="201">
        <v>-0.20877430390652399</v>
      </c>
      <c r="D505" s="202">
        <v>0.3129705768108238</v>
      </c>
      <c r="F505" s="91">
        <f>INDEX(A505:D513,,F496)</f>
        <v>7.2421297521574779E-2</v>
      </c>
      <c r="G505" s="93">
        <f>INDEX(A497:D505,,G496)</f>
        <v>-0.20877430390652399</v>
      </c>
      <c r="I505" s="91">
        <f t="shared" si="164"/>
        <v>-3.8341865636945187E-2</v>
      </c>
      <c r="J505" s="92">
        <f t="shared" si="165"/>
        <v>-3.0239411956148092E-2</v>
      </c>
      <c r="K505" s="92">
        <f t="shared" si="166"/>
        <v>5.5567662506792609E-4</v>
      </c>
      <c r="L505" s="93">
        <f t="shared" si="163"/>
        <v>1.159435470162864E-3</v>
      </c>
      <c r="Q505" s="91">
        <v>7.2542952599089439E-2</v>
      </c>
      <c r="R505" s="93">
        <v>-0.20873206350383341</v>
      </c>
    </row>
    <row r="506" spans="1:18" x14ac:dyDescent="0.25">
      <c r="I506">
        <f>SUM(I497:I505)</f>
        <v>0.82222703063434122</v>
      </c>
      <c r="J506">
        <f>SUM(J497:J505)</f>
        <v>1.9102265230988245</v>
      </c>
      <c r="K506">
        <f>SUM(K497:K505)</f>
        <v>2.4009069089654926</v>
      </c>
      <c r="L506">
        <f>SUM(L497:L505)</f>
        <v>0.34266435862829048</v>
      </c>
    </row>
    <row r="507" spans="1:18" x14ac:dyDescent="0.25">
      <c r="A507" s="47" t="s">
        <v>53</v>
      </c>
      <c r="B507">
        <f>COUNT(A497:A505)</f>
        <v>9</v>
      </c>
      <c r="I507" s="47" t="s">
        <v>462</v>
      </c>
      <c r="J507" s="47" t="s">
        <v>389</v>
      </c>
      <c r="K507" s="47" t="s">
        <v>469</v>
      </c>
      <c r="L507" s="47" t="s">
        <v>470</v>
      </c>
      <c r="N507" s="47"/>
    </row>
    <row r="509" spans="1:18" x14ac:dyDescent="0.25">
      <c r="A509">
        <v>1</v>
      </c>
      <c r="B509">
        <v>2</v>
      </c>
      <c r="C509">
        <v>3</v>
      </c>
      <c r="D509">
        <v>4</v>
      </c>
      <c r="F509">
        <v>1</v>
      </c>
      <c r="G509">
        <v>4</v>
      </c>
      <c r="I509" s="47" t="s">
        <v>207</v>
      </c>
      <c r="J509" s="47" t="s">
        <v>464</v>
      </c>
      <c r="K509" s="47" t="s">
        <v>465</v>
      </c>
      <c r="L509" s="47" t="s">
        <v>466</v>
      </c>
      <c r="Q509">
        <f>F509</f>
        <v>1</v>
      </c>
      <c r="R509">
        <f>G509</f>
        <v>4</v>
      </c>
    </row>
    <row r="510" spans="1:18" x14ac:dyDescent="0.25">
      <c r="A510" s="189">
        <f t="array" ref="A510:A518">IF(A509=$Q496,$Q497:$Q505,IF(A509=$R496,$R497:$R505,A497:A505))</f>
        <v>0.10923903526527066</v>
      </c>
      <c r="B510" s="190">
        <f t="array" ref="B510:B518">IF(B509=$Q496,$Q497:$Q505,IF(B509=$R496,$R497:$R505,B497:B505))</f>
        <v>0.89239278802084554</v>
      </c>
      <c r="C510" s="190">
        <f t="array" ref="C510:C518">IF(C509=$Q496,$Q497:$Q505,IF(C509=$R496,$R497:$R505,C497:C505))</f>
        <v>-0.33787570026658786</v>
      </c>
      <c r="D510" s="191">
        <f t="array" ref="D510:D518">IF(D509=$Q496,$Q497:$Q505,IF(D509=$R496,$R497:$R505,D497:D505))</f>
        <v>0.27846356356273733</v>
      </c>
      <c r="F510" s="156">
        <f>INDEX(A510:D518,,F509)</f>
        <v>0.10923903526527066</v>
      </c>
      <c r="G510" s="158">
        <f>INDEX(A510:D518,,G509)</f>
        <v>0.27846356356273733</v>
      </c>
      <c r="I510" s="156">
        <f>F510^2-G510^2</f>
        <v>-6.5608789406371604E-2</v>
      </c>
      <c r="J510" s="157">
        <f>2*F510*G510</f>
        <v>6.0838182080245606E-2</v>
      </c>
      <c r="K510" s="157">
        <f>I510^2-J510^2</f>
        <v>6.0322884854050124E-4</v>
      </c>
      <c r="L510" s="158">
        <f t="shared" ref="L510:L518" si="167">I510*J510</f>
        <v>-3.9915194759693245E-3</v>
      </c>
      <c r="N510" t="s">
        <v>390</v>
      </c>
      <c r="O510" s="172">
        <f>L519*B520-2*I519*J519</f>
        <v>-0.12286838842388459</v>
      </c>
      <c r="Q510" s="156">
        <f t="array" ref="Q510:R518">MMULT(F510:G518,N514:O515)</f>
        <v>0.10886687677522761</v>
      </c>
      <c r="R510" s="158">
        <v>0.27860927155956805</v>
      </c>
    </row>
    <row r="511" spans="1:18" x14ac:dyDescent="0.25">
      <c r="A511" s="194">
        <v>0.79495674763385282</v>
      </c>
      <c r="B511" s="195">
        <v>-0.60083105710203011</v>
      </c>
      <c r="C511" s="195">
        <v>8.1371650610560523E-2</v>
      </c>
      <c r="D511" s="196">
        <v>-2.0602540862156734E-2</v>
      </c>
      <c r="F511" s="123">
        <f>INDEX(A511:D519,,F509)</f>
        <v>0.79495674763385282</v>
      </c>
      <c r="G511" s="90">
        <f>INDEX(A510:D518,,G509)</f>
        <v>-2.0602540862156734E-2</v>
      </c>
      <c r="I511" s="123">
        <f t="shared" ref="I511:I518" si="168">F511^2-G511^2</f>
        <v>0.63153176591861637</v>
      </c>
      <c r="J511" s="37">
        <f t="shared" ref="J511:J518" si="169">2*F511*G511</f>
        <v>-3.275625775354734E-2</v>
      </c>
      <c r="K511" s="37">
        <f t="shared" ref="K511:K518" si="170">I511^2-J511^2</f>
        <v>0.39775939894226925</v>
      </c>
      <c r="L511" s="90">
        <f t="shared" si="167"/>
        <v>-2.0686617303983121E-2</v>
      </c>
      <c r="N511" t="s">
        <v>392</v>
      </c>
      <c r="O511" s="173">
        <f>K519*B520-(I519^2-J519^2)</f>
        <v>22.989533292412922</v>
      </c>
      <c r="Q511" s="123">
        <v>0.79498356553265803</v>
      </c>
      <c r="R511" s="90">
        <v>-1.9540364161193126E-2</v>
      </c>
    </row>
    <row r="512" spans="1:18" x14ac:dyDescent="0.25">
      <c r="A512" s="194">
        <v>0.98386801033379467</v>
      </c>
      <c r="B512" s="195">
        <v>0.11891911806036833</v>
      </c>
      <c r="C512" s="195">
        <v>0.1139298911261034</v>
      </c>
      <c r="D512" s="196">
        <v>6.9871034839609852E-2</v>
      </c>
      <c r="F512" s="123">
        <f>INDEX(A512:D520,,F509)</f>
        <v>0.98386801033379467</v>
      </c>
      <c r="G512" s="90">
        <f>INDEX(A510:D518,,G509)</f>
        <v>6.9871034839609852E-2</v>
      </c>
      <c r="I512" s="123">
        <f t="shared" si="168"/>
        <v>0.96311430024862188</v>
      </c>
      <c r="J512" s="37">
        <f t="shared" si="169"/>
        <v>0.13748775205522037</v>
      </c>
      <c r="K512" s="37">
        <f t="shared" si="170"/>
        <v>0.90868627337819485</v>
      </c>
      <c r="L512" s="90">
        <f t="shared" si="167"/>
        <v>0.13241642011341959</v>
      </c>
      <c r="N512" t="s">
        <v>467</v>
      </c>
      <c r="O512" s="174">
        <f>0.25*ATAN(O510/O511)</f>
        <v>-1.3361212797100802E-3</v>
      </c>
      <c r="Q512" s="123">
        <v>0.98377377597475657</v>
      </c>
      <c r="R512" s="90">
        <v>7.1185539065933279E-2</v>
      </c>
    </row>
    <row r="513" spans="1:18" x14ac:dyDescent="0.25">
      <c r="A513" s="194">
        <v>5.1160353998088368E-2</v>
      </c>
      <c r="B513" s="195">
        <v>2.7661514063447236E-3</v>
      </c>
      <c r="C513" s="195">
        <v>7.8129114750404821E-2</v>
      </c>
      <c r="D513" s="196">
        <v>0.99562583735734067</v>
      </c>
      <c r="F513" s="123">
        <f>INDEX(A513:D521,,F509)</f>
        <v>5.1160353998088368E-2</v>
      </c>
      <c r="G513" s="90">
        <f>INDEX(A510:D518,,G509)</f>
        <v>0.99562583735734067</v>
      </c>
      <c r="I513" s="123">
        <f t="shared" si="168"/>
        <v>-0.98865342619229601</v>
      </c>
      <c r="J513" s="37">
        <f t="shared" si="169"/>
        <v>0.10187314057768941</v>
      </c>
      <c r="K513" s="37">
        <f t="shared" si="170"/>
        <v>0.96705746035060414</v>
      </c>
      <c r="L513" s="90">
        <f t="shared" si="167"/>
        <v>-0.10071722946910205</v>
      </c>
      <c r="Q513" s="123">
        <v>4.9830031859733503E-2</v>
      </c>
      <c r="R513" s="90">
        <v>0.9956933050691732</v>
      </c>
    </row>
    <row r="514" spans="1:18" x14ac:dyDescent="0.25">
      <c r="A514" s="194">
        <v>0.35499583038836818</v>
      </c>
      <c r="B514" s="195">
        <v>-0.11369949151608948</v>
      </c>
      <c r="C514" s="195">
        <v>0.88491597253957299</v>
      </c>
      <c r="D514" s="196">
        <v>0.27923844216045585</v>
      </c>
      <c r="F514" s="123">
        <f>INDEX(A514:D522,,F509)</f>
        <v>0.35499583038836818</v>
      </c>
      <c r="G514" s="90">
        <f>INDEX(A510:D518,,G509)</f>
        <v>0.27923844216045585</v>
      </c>
      <c r="I514" s="123">
        <f t="shared" si="168"/>
        <v>4.8047932012928826E-2</v>
      </c>
      <c r="J514" s="37">
        <f t="shared" si="169"/>
        <v>0.19825696530221068</v>
      </c>
      <c r="K514" s="37">
        <f t="shared" si="170"/>
        <v>-3.6997220520122942E-2</v>
      </c>
      <c r="L514" s="90">
        <f t="shared" si="167"/>
        <v>9.5258371899302075E-3</v>
      </c>
      <c r="N514" s="156">
        <f>COS(O512)</f>
        <v>0.99999910739009579</v>
      </c>
      <c r="O514" s="158">
        <f>-N515</f>
        <v>1.3361208821650273E-3</v>
      </c>
      <c r="Q514" s="123">
        <v>0.35462241720190019</v>
      </c>
      <c r="R514" s="90">
        <v>0.27971251025152016</v>
      </c>
    </row>
    <row r="515" spans="1:18" x14ac:dyDescent="0.25">
      <c r="A515" s="194">
        <v>-3.0983392731640753E-2</v>
      </c>
      <c r="B515" s="195">
        <v>1.7281844010565484E-2</v>
      </c>
      <c r="C515" s="195">
        <v>0.99781574878784951</v>
      </c>
      <c r="D515" s="196">
        <v>-5.5723412614220952E-2</v>
      </c>
      <c r="F515" s="123">
        <f>INDEX(A515:D523,,F509)</f>
        <v>-3.0983392731640753E-2</v>
      </c>
      <c r="G515" s="90">
        <f>INDEX(A510:D518,,G509)</f>
        <v>-5.5723412614220952E-2</v>
      </c>
      <c r="I515" s="123">
        <f t="shared" si="168"/>
        <v>-2.1451280882116299E-3</v>
      </c>
      <c r="J515" s="37">
        <f t="shared" si="169"/>
        <v>3.4530007547473444E-3</v>
      </c>
      <c r="K515" s="37">
        <f t="shared" si="170"/>
        <v>-7.3216396974512473E-6</v>
      </c>
      <c r="L515" s="90">
        <f t="shared" si="167"/>
        <v>-7.4071289076244858E-6</v>
      </c>
      <c r="N515" s="91">
        <f>SIN(O512)</f>
        <v>-1.3361208821650273E-3</v>
      </c>
      <c r="O515" s="93">
        <f>N514</f>
        <v>0.99999910739009579</v>
      </c>
      <c r="Q515" s="123">
        <v>-3.0908911860338176E-2</v>
      </c>
      <c r="R515" s="90">
        <v>-5.5764760432980023E-2</v>
      </c>
    </row>
    <row r="516" spans="1:18" x14ac:dyDescent="0.25">
      <c r="A516" s="194">
        <v>0.96231838800335801</v>
      </c>
      <c r="B516" s="195">
        <v>-2.0502525041793441E-2</v>
      </c>
      <c r="C516" s="195">
        <v>0.16657243617658812</v>
      </c>
      <c r="D516" s="196">
        <v>0.21395464492206229</v>
      </c>
      <c r="F516" s="123">
        <f>INDEX(A516:D524,,F509)</f>
        <v>0.96231838800335801</v>
      </c>
      <c r="G516" s="90">
        <f>INDEX(A510:D518,,G509)</f>
        <v>0.21395464492206229</v>
      </c>
      <c r="I516" s="123">
        <f t="shared" si="168"/>
        <v>0.88028008980565575</v>
      </c>
      <c r="J516" s="37">
        <f t="shared" si="169"/>
        <v>0.41178497801445968</v>
      </c>
      <c r="K516" s="37">
        <f t="shared" si="170"/>
        <v>0.60532616838988429</v>
      </c>
      <c r="L516" s="90">
        <f t="shared" si="167"/>
        <v>0.36248611742718856</v>
      </c>
      <c r="Q516" s="123">
        <v>0.96203165975951721</v>
      </c>
      <c r="R516" s="90">
        <v>0.21524022763752984</v>
      </c>
    </row>
    <row r="517" spans="1:18" x14ac:dyDescent="0.25">
      <c r="A517" s="194">
        <v>0.67673487390510612</v>
      </c>
      <c r="B517" s="195">
        <v>-0.22011503436909946</v>
      </c>
      <c r="C517" s="195">
        <v>0.56646338121010242</v>
      </c>
      <c r="D517" s="196">
        <v>0.41557011422063128</v>
      </c>
      <c r="F517" s="123">
        <f>INDEX(A517:D525,,F509)</f>
        <v>0.67673487390510612</v>
      </c>
      <c r="G517" s="90">
        <f>INDEX(A510:D518,,G509)</f>
        <v>0.41557011422063128</v>
      </c>
      <c r="I517" s="123">
        <f t="shared" si="168"/>
        <v>0.28527156972601131</v>
      </c>
      <c r="J517" s="37">
        <f t="shared" si="169"/>
        <v>0.56246157769165894</v>
      </c>
      <c r="K517" s="37">
        <f t="shared" si="170"/>
        <v>-0.23498315788544755</v>
      </c>
      <c r="L517" s="90">
        <f t="shared" si="167"/>
        <v>0.16045429717866841</v>
      </c>
      <c r="Q517" s="123">
        <v>0.67617901793724133</v>
      </c>
      <c r="R517" s="90">
        <v>0.41647394287534539</v>
      </c>
    </row>
    <row r="518" spans="1:18" x14ac:dyDescent="0.25">
      <c r="A518" s="200">
        <v>7.2542952599089439E-2</v>
      </c>
      <c r="B518" s="201">
        <v>-0.92369792884055901</v>
      </c>
      <c r="C518" s="201">
        <v>-0.20873206350383341</v>
      </c>
      <c r="D518" s="202">
        <v>0.3129705768108238</v>
      </c>
      <c r="F518" s="91">
        <f>INDEX(A518:D526,,F509)</f>
        <v>7.2542952599089439E-2</v>
      </c>
      <c r="G518" s="93">
        <f>INDEX(A510:D518,,G509)</f>
        <v>0.3129705768108238</v>
      </c>
      <c r="I518" s="91">
        <f t="shared" si="168"/>
        <v>-9.2688101977506016E-2</v>
      </c>
      <c r="J518" s="92">
        <f t="shared" si="169"/>
        <v>4.5407619436994541E-2</v>
      </c>
      <c r="K518" s="92">
        <f t="shared" si="170"/>
        <v>6.5292323452576292E-3</v>
      </c>
      <c r="L518" s="93">
        <f t="shared" si="167"/>
        <v>-4.2087460609319342E-3</v>
      </c>
      <c r="Q518" s="91">
        <v>7.2124721323351293E-2</v>
      </c>
      <c r="R518" s="93">
        <v>0.31306722360400879</v>
      </c>
    </row>
    <row r="519" spans="1:18" x14ac:dyDescent="0.25">
      <c r="I519">
        <f>SUM(I510:I518)</f>
        <v>1.6591502120474488</v>
      </c>
      <c r="J519">
        <f>SUM(J510:J518)</f>
        <v>1.4888069581596794</v>
      </c>
      <c r="K519">
        <f>SUM(K510:K518)</f>
        <v>2.6139740622094823</v>
      </c>
      <c r="L519">
        <f>SUM(L510:L518)</f>
        <v>0.53527115247031276</v>
      </c>
    </row>
    <row r="520" spans="1:18" x14ac:dyDescent="0.25">
      <c r="A520" s="47" t="s">
        <v>53</v>
      </c>
      <c r="B520">
        <f>COUNT(A510:A518)</f>
        <v>9</v>
      </c>
      <c r="I520" s="47" t="s">
        <v>462</v>
      </c>
      <c r="J520" s="47" t="s">
        <v>389</v>
      </c>
      <c r="K520" s="47" t="s">
        <v>469</v>
      </c>
      <c r="L520" s="47" t="s">
        <v>470</v>
      </c>
      <c r="N520" s="47"/>
    </row>
    <row r="522" spans="1:18" x14ac:dyDescent="0.25">
      <c r="A522">
        <v>1</v>
      </c>
      <c r="B522">
        <v>2</v>
      </c>
      <c r="C522">
        <v>3</v>
      </c>
      <c r="D522">
        <v>4</v>
      </c>
      <c r="F522">
        <v>2</v>
      </c>
      <c r="G522">
        <v>3</v>
      </c>
      <c r="I522" s="47" t="s">
        <v>207</v>
      </c>
      <c r="J522" s="47" t="s">
        <v>464</v>
      </c>
      <c r="K522" s="47" t="s">
        <v>465</v>
      </c>
      <c r="L522" s="47" t="s">
        <v>466</v>
      </c>
      <c r="Q522">
        <f>F522</f>
        <v>2</v>
      </c>
      <c r="R522">
        <f>G522</f>
        <v>3</v>
      </c>
    </row>
    <row r="523" spans="1:18" x14ac:dyDescent="0.25">
      <c r="A523" s="189">
        <f t="array" ref="A523:A531">IF(A522=$Q509,$Q510:$Q518,IF(A522=$R509,$R510:$R518,A510:A518))</f>
        <v>0.10886687677522761</v>
      </c>
      <c r="B523" s="190">
        <f t="array" ref="B523:B531">IF(B522=$Q509,$Q510:$Q518,IF(B522=$R509,$R510:$R518,B510:B518))</f>
        <v>0.89239278802084554</v>
      </c>
      <c r="C523" s="190">
        <f t="array" ref="C523:C531">IF(C522=$Q509,$Q510:$Q518,IF(C522=$R509,$R510:$R518,C510:C518))</f>
        <v>-0.33787570026658786</v>
      </c>
      <c r="D523" s="191">
        <f t="array" ref="D523:D531">IF(D522=$Q509,$Q510:$Q518,IF(D522=$R509,$R510:$R518,D510:D518))</f>
        <v>0.27860927155956805</v>
      </c>
      <c r="F523" s="156">
        <f>INDEX(A523:D531,,F522)</f>
        <v>0.89239278802084554</v>
      </c>
      <c r="G523" s="158">
        <f>INDEX(A523:D531,,G522)</f>
        <v>-0.33787570026658786</v>
      </c>
      <c r="I523" s="156">
        <f>F523^2-G523^2</f>
        <v>0.6822048992809806</v>
      </c>
      <c r="J523" s="157">
        <f>2*F523*G523</f>
        <v>-0.6030356763307918</v>
      </c>
      <c r="K523" s="157">
        <f>I523^2-J523^2</f>
        <v>0.10175149767523739</v>
      </c>
      <c r="L523" s="158">
        <f t="shared" ref="L523:L531" si="171">I523*J523</f>
        <v>-0.41139389283408584</v>
      </c>
      <c r="N523" t="s">
        <v>390</v>
      </c>
      <c r="O523" s="172">
        <f>L532*B533-2*I532*J532</f>
        <v>0.17640515736590912</v>
      </c>
      <c r="Q523" s="156">
        <f t="array" ref="Q523:R531">MMULT(F523:G531,N527:O528)</f>
        <v>0.89168004968122438</v>
      </c>
      <c r="R523" s="158">
        <v>-0.33975221256489857</v>
      </c>
    </row>
    <row r="524" spans="1:18" x14ac:dyDescent="0.25">
      <c r="A524" s="194">
        <v>0.79498356553265803</v>
      </c>
      <c r="B524" s="195">
        <v>-0.60083105710203011</v>
      </c>
      <c r="C524" s="195">
        <v>8.1371650610560523E-2</v>
      </c>
      <c r="D524" s="196">
        <v>-1.9540364161193126E-2</v>
      </c>
      <c r="F524" s="123">
        <f>INDEX(A524:D532,,F522)</f>
        <v>-0.60083105710203011</v>
      </c>
      <c r="G524" s="90">
        <f>INDEX(A523:D531,,G522)</f>
        <v>8.1371650610560523E-2</v>
      </c>
      <c r="I524" s="123">
        <f t="shared" ref="I524:I531" si="172">F524^2-G524^2</f>
        <v>0.35437661365525586</v>
      </c>
      <c r="J524" s="37">
        <f t="shared" ref="J524:J531" si="173">2*F524*G524</f>
        <v>-9.7781229708960263E-2</v>
      </c>
      <c r="K524" s="37">
        <f t="shared" ref="K524:K531" si="174">I524^2-J524^2</f>
        <v>0.11602161542237002</v>
      </c>
      <c r="L524" s="90">
        <f t="shared" si="171"/>
        <v>-3.4651381063308034E-2</v>
      </c>
      <c r="N524" t="s">
        <v>392</v>
      </c>
      <c r="O524" s="173">
        <f>K532*B533-(I532^2-J532^2)</f>
        <v>20.963913892054794</v>
      </c>
      <c r="Q524" s="123">
        <v>-0.60065855224153386</v>
      </c>
      <c r="R524" s="90">
        <v>8.2635393872931881E-2</v>
      </c>
    </row>
    <row r="525" spans="1:18" x14ac:dyDescent="0.25">
      <c r="A525" s="194">
        <v>0.98377377597475657</v>
      </c>
      <c r="B525" s="195">
        <v>0.11891911806036833</v>
      </c>
      <c r="C525" s="195">
        <v>0.1139298911261034</v>
      </c>
      <c r="D525" s="196">
        <v>7.1185539065933279E-2</v>
      </c>
      <c r="F525" s="123">
        <f>INDEX(A525:D533,,F522)</f>
        <v>0.11891911806036833</v>
      </c>
      <c r="G525" s="90">
        <f>INDEX(A523:D531,,G522)</f>
        <v>0.1139298911261034</v>
      </c>
      <c r="I525" s="123">
        <f t="shared" si="172"/>
        <v>1.1617365482500478E-3</v>
      </c>
      <c r="J525" s="37">
        <f t="shared" si="173"/>
        <v>2.7096884346860001E-2</v>
      </c>
      <c r="K525" s="37">
        <f t="shared" si="174"/>
        <v>-7.3289150949956651E-4</v>
      </c>
      <c r="L525" s="90">
        <f t="shared" si="171"/>
        <v>3.1479440889451888E-5</v>
      </c>
      <c r="N525" t="s">
        <v>467</v>
      </c>
      <c r="O525" s="174">
        <f>0.25*ATAN(O523/O524)</f>
        <v>2.1036266756075069E-3</v>
      </c>
      <c r="Q525" s="123">
        <v>0.11915852071869627</v>
      </c>
      <c r="R525" s="90">
        <v>0.11367947779785771</v>
      </c>
    </row>
    <row r="526" spans="1:18" x14ac:dyDescent="0.25">
      <c r="A526" s="194">
        <v>4.9830031859733503E-2</v>
      </c>
      <c r="B526" s="195">
        <v>2.7661514063447236E-3</v>
      </c>
      <c r="C526" s="195">
        <v>7.8129114750404821E-2</v>
      </c>
      <c r="D526" s="196">
        <v>0.9956933050691732</v>
      </c>
      <c r="F526" s="123">
        <f>INDEX(A526:D534,,F522)</f>
        <v>2.7661514063447236E-3</v>
      </c>
      <c r="G526" s="90">
        <f>INDEX(A523:D531,,G522)</f>
        <v>7.8129114750404821E-2</v>
      </c>
      <c r="I526" s="123">
        <f t="shared" si="172"/>
        <v>-6.096506978079101E-3</v>
      </c>
      <c r="J526" s="37">
        <f t="shared" si="173"/>
        <v>4.3223392128660117E-4</v>
      </c>
      <c r="K526" s="37">
        <f t="shared" si="174"/>
        <v>3.6980571171056376E-5</v>
      </c>
      <c r="L526" s="90">
        <f t="shared" si="171"/>
        <v>-2.635117117286257E-6</v>
      </c>
      <c r="Q526" s="123">
        <v>2.9304996546103031E-3</v>
      </c>
      <c r="R526" s="90">
        <v>7.8123122934628489E-2</v>
      </c>
    </row>
    <row r="527" spans="1:18" x14ac:dyDescent="0.25">
      <c r="A527" s="194">
        <v>0.35462241720190019</v>
      </c>
      <c r="B527" s="195">
        <v>-0.11369949151608948</v>
      </c>
      <c r="C527" s="195">
        <v>0.88491597253957299</v>
      </c>
      <c r="D527" s="196">
        <v>0.27971251025152016</v>
      </c>
      <c r="F527" s="123">
        <f>INDEX(A527:D535,,F522)</f>
        <v>-0.11369949151608948</v>
      </c>
      <c r="G527" s="90">
        <f>INDEX(A523:D531,,G522)</f>
        <v>0.88491597253957299</v>
      </c>
      <c r="I527" s="123">
        <f t="shared" si="172"/>
        <v>-0.77014870408464098</v>
      </c>
      <c r="J527" s="37">
        <f t="shared" si="173"/>
        <v>-0.2012289922244305</v>
      </c>
      <c r="K527" s="37">
        <f t="shared" si="174"/>
        <v>0.55263591909159204</v>
      </c>
      <c r="L527" s="90">
        <f t="shared" si="171"/>
        <v>0.15497624758590345</v>
      </c>
      <c r="N527" s="156">
        <f>COS(O525)</f>
        <v>0.99999778737822076</v>
      </c>
      <c r="O527" s="158">
        <f>-N528</f>
        <v>-2.1036251240972121E-3</v>
      </c>
      <c r="Q527" s="123">
        <v>-0.1118377084695691</v>
      </c>
      <c r="R527" s="90">
        <v>0.88515319566216966</v>
      </c>
    </row>
    <row r="528" spans="1:18" x14ac:dyDescent="0.25">
      <c r="A528" s="194">
        <v>-3.0908911860338176E-2</v>
      </c>
      <c r="B528" s="195">
        <v>1.7281844010565484E-2</v>
      </c>
      <c r="C528" s="195">
        <v>0.99781574878784951</v>
      </c>
      <c r="D528" s="196">
        <v>-5.5764760432980023E-2</v>
      </c>
      <c r="F528" s="123">
        <f>INDEX(A528:D536,,F522)</f>
        <v>1.7281844010565484E-2</v>
      </c>
      <c r="G528" s="90">
        <f>INDEX(A523:D531,,G522)</f>
        <v>0.99781574878784951</v>
      </c>
      <c r="I528" s="123">
        <f t="shared" si="172"/>
        <v>-0.99533760639665136</v>
      </c>
      <c r="J528" s="37">
        <f t="shared" si="173"/>
        <v>3.4488192243674422E-2</v>
      </c>
      <c r="K528" s="37">
        <f t="shared" si="174"/>
        <v>0.9895075153031786</v>
      </c>
      <c r="L528" s="90">
        <f t="shared" si="171"/>
        <v>-3.4327394716766456E-2</v>
      </c>
      <c r="N528" s="91">
        <f>SIN(O525)</f>
        <v>2.1036251240972121E-3</v>
      </c>
      <c r="O528" s="93">
        <f>N527</f>
        <v>0.99999778737822076</v>
      </c>
      <c r="Q528" s="123">
        <v>1.9380836050751034E-2</v>
      </c>
      <c r="R528" s="90">
        <v>0.99777718647774072</v>
      </c>
    </row>
    <row r="529" spans="1:18" x14ac:dyDescent="0.25">
      <c r="A529" s="194">
        <v>0.96203165975951721</v>
      </c>
      <c r="B529" s="195">
        <v>-2.0502525041793441E-2</v>
      </c>
      <c r="C529" s="195">
        <v>0.16657243617658812</v>
      </c>
      <c r="D529" s="196">
        <v>0.21524022763752984</v>
      </c>
      <c r="F529" s="123">
        <f>INDEX(A529:D537,,F522)</f>
        <v>-2.0502525041793441E-2</v>
      </c>
      <c r="G529" s="90">
        <f>INDEX(A523:D531,,G522)</f>
        <v>0.16657243617658812</v>
      </c>
      <c r="I529" s="123">
        <f t="shared" si="172"/>
        <v>-2.7326022960714159E-2</v>
      </c>
      <c r="J529" s="37">
        <f t="shared" si="173"/>
        <v>-6.8303110879660758E-3</v>
      </c>
      <c r="K529" s="37">
        <f t="shared" si="174"/>
        <v>7.0005838129108512E-4</v>
      </c>
      <c r="L529" s="90">
        <f t="shared" si="171"/>
        <v>1.8664523761858151E-4</v>
      </c>
      <c r="Q529" s="123">
        <v>-2.0152073715736855E-2</v>
      </c>
      <c r="R529" s="90">
        <v>0.16661519724157337</v>
      </c>
    </row>
    <row r="530" spans="1:18" x14ac:dyDescent="0.25">
      <c r="A530" s="194">
        <v>0.67617901793724133</v>
      </c>
      <c r="B530" s="195">
        <v>-0.22011503436909946</v>
      </c>
      <c r="C530" s="195">
        <v>0.56646338121010242</v>
      </c>
      <c r="D530" s="196">
        <v>0.41647394287534539</v>
      </c>
      <c r="F530" s="123">
        <f>INDEX(A530:D538,,F522)</f>
        <v>-0.22011503436909946</v>
      </c>
      <c r="G530" s="90">
        <f>INDEX(A523:D531,,G522)</f>
        <v>0.56646338121010242</v>
      </c>
      <c r="I530" s="123">
        <f t="shared" si="172"/>
        <v>-0.27243013389667198</v>
      </c>
      <c r="J530" s="37">
        <f t="shared" si="173"/>
        <v>-0.24937421324779596</v>
      </c>
      <c r="K530" s="37">
        <f t="shared" si="174"/>
        <v>1.2030679622001411E-2</v>
      </c>
      <c r="L530" s="90">
        <f t="shared" si="171"/>
        <v>6.7937050305474284E-2</v>
      </c>
      <c r="Q530" s="123">
        <v>-0.21892292073718583</v>
      </c>
      <c r="R530" s="90">
        <v>0.56692516735737841</v>
      </c>
    </row>
    <row r="531" spans="1:18" x14ac:dyDescent="0.25">
      <c r="A531" s="200">
        <v>7.2124721323351293E-2</v>
      </c>
      <c r="B531" s="201">
        <v>-0.92369792884055901</v>
      </c>
      <c r="C531" s="201">
        <v>-0.20873206350383341</v>
      </c>
      <c r="D531" s="202">
        <v>0.31306722360400879</v>
      </c>
      <c r="F531" s="91">
        <f>INDEX(A531:D539,,F522)</f>
        <v>-0.92369792884055901</v>
      </c>
      <c r="G531" s="93">
        <f>INDEX(A523:D531,,G522)</f>
        <v>-0.20873206350383341</v>
      </c>
      <c r="I531" s="91">
        <f t="shared" si="172"/>
        <v>0.80964878940977003</v>
      </c>
      <c r="J531" s="92">
        <f t="shared" si="173"/>
        <v>0.38561074948221391</v>
      </c>
      <c r="K531" s="92">
        <f t="shared" si="174"/>
        <v>0.50683551207647137</v>
      </c>
      <c r="L531" s="93">
        <f t="shared" si="171"/>
        <v>0.31220927650166858</v>
      </c>
      <c r="Q531" s="91">
        <v>-0.92413497905939557</v>
      </c>
      <c r="R531" s="93">
        <v>-0.20678848748853812</v>
      </c>
    </row>
    <row r="532" spans="1:18" x14ac:dyDescent="0.25">
      <c r="I532">
        <f>SUM(I523:I531)</f>
        <v>-0.22394693542250088</v>
      </c>
      <c r="J532">
        <f>SUM(J523:J531)</f>
        <v>-0.71062236260590983</v>
      </c>
      <c r="K532">
        <f>SUM(K523:K531)</f>
        <v>2.2787868866338132</v>
      </c>
      <c r="L532">
        <f>SUM(L523:L531)</f>
        <v>5.4965395340276724E-2</v>
      </c>
    </row>
    <row r="533" spans="1:18" x14ac:dyDescent="0.25">
      <c r="A533" s="47" t="s">
        <v>53</v>
      </c>
      <c r="B533">
        <f>COUNT(A523:A531)</f>
        <v>9</v>
      </c>
      <c r="I533" s="47" t="s">
        <v>462</v>
      </c>
      <c r="J533" s="47" t="s">
        <v>389</v>
      </c>
      <c r="K533" s="47" t="s">
        <v>469</v>
      </c>
      <c r="L533" s="47" t="s">
        <v>470</v>
      </c>
      <c r="N533" s="47"/>
    </row>
    <row r="535" spans="1:18" x14ac:dyDescent="0.25">
      <c r="A535">
        <v>1</v>
      </c>
      <c r="B535">
        <v>2</v>
      </c>
      <c r="C535">
        <v>3</v>
      </c>
      <c r="D535">
        <v>4</v>
      </c>
      <c r="F535">
        <v>2</v>
      </c>
      <c r="G535">
        <v>4</v>
      </c>
      <c r="I535" s="47" t="s">
        <v>207</v>
      </c>
      <c r="J535" s="47" t="s">
        <v>464</v>
      </c>
      <c r="K535" s="47" t="s">
        <v>465</v>
      </c>
      <c r="L535" s="47" t="s">
        <v>466</v>
      </c>
      <c r="Q535">
        <f>F535</f>
        <v>2</v>
      </c>
      <c r="R535">
        <f>G535</f>
        <v>4</v>
      </c>
    </row>
    <row r="536" spans="1:18" x14ac:dyDescent="0.25">
      <c r="A536" s="189">
        <f t="array" ref="A536:A544">IF(A535=$Q522,$Q523:$Q531,IF(A535=$R522,$R523:$R531,A523:A531))</f>
        <v>0.10886687677522761</v>
      </c>
      <c r="B536" s="190">
        <f t="array" ref="B536:B544">IF(B535=$Q522,$Q523:$Q531,IF(B535=$R522,$R523:$R531,B523:B531))</f>
        <v>0.89168004968122438</v>
      </c>
      <c r="C536" s="190">
        <f t="array" ref="C536:C544">IF(C535=$Q522,$Q523:$Q531,IF(C535=$R522,$R523:$R531,C523:C531))</f>
        <v>-0.33975221256489857</v>
      </c>
      <c r="D536" s="191">
        <f t="array" ref="D536:D544">IF(D535=$Q522,$Q523:$Q531,IF(D535=$R522,$R523:$R531,D523:D531))</f>
        <v>0.27860927155956805</v>
      </c>
      <c r="F536" s="156">
        <f>INDEX(A536:D544,,F535)</f>
        <v>0.89168004968122438</v>
      </c>
      <c r="G536" s="158">
        <f>INDEX(A536:D544,,G535)</f>
        <v>0.27860927155956805</v>
      </c>
      <c r="I536" s="156">
        <f>F536^2-G536^2</f>
        <v>0.71747018480055758</v>
      </c>
      <c r="J536" s="157">
        <f>2*F536*G536</f>
        <v>0.49686065821177072</v>
      </c>
      <c r="K536" s="157">
        <f>I536^2-J536^2</f>
        <v>0.26789295239911221</v>
      </c>
      <c r="L536" s="158">
        <f t="shared" ref="L536:L544" si="175">I536*J536</f>
        <v>0.35648270826732581</v>
      </c>
      <c r="N536" t="s">
        <v>390</v>
      </c>
      <c r="O536" s="172">
        <f>L545*B546-2*I545*J545</f>
        <v>-0.10030018723954431</v>
      </c>
      <c r="Q536" s="156">
        <f t="array" ref="Q536:R544">MMULT(F536:G544,N540:O541)</f>
        <v>0.89118404561295417</v>
      </c>
      <c r="R536" s="158">
        <v>0.28019178082768942</v>
      </c>
    </row>
    <row r="537" spans="1:18" x14ac:dyDescent="0.25">
      <c r="A537" s="194">
        <v>0.79498356553265803</v>
      </c>
      <c r="B537" s="195">
        <v>-0.60065855224153386</v>
      </c>
      <c r="C537" s="195">
        <v>8.2635393872931881E-2</v>
      </c>
      <c r="D537" s="196">
        <v>-1.9540364161193126E-2</v>
      </c>
      <c r="F537" s="123">
        <f>INDEX(A537:D545,,F535)</f>
        <v>-0.60065855224153386</v>
      </c>
      <c r="G537" s="90">
        <f>INDEX(A536:D544,,G535)</f>
        <v>-1.9540364161193126E-2</v>
      </c>
      <c r="I537" s="123">
        <f t="shared" ref="I537:I544" si="176">F537^2-G537^2</f>
        <v>0.3604088705493434</v>
      </c>
      <c r="J537" s="37">
        <f t="shared" ref="J537:J544" si="177">2*F537*G537</f>
        <v>2.3474173694669233E-2</v>
      </c>
      <c r="K537" s="37">
        <f t="shared" ref="K537:K544" si="178">I537^2-J537^2</f>
        <v>0.12934351714000586</v>
      </c>
      <c r="L537" s="90">
        <f t="shared" si="175"/>
        <v>8.4603004283748447E-3</v>
      </c>
      <c r="N537" t="s">
        <v>392</v>
      </c>
      <c r="O537" s="173">
        <f>K545*B546-(I545^2-J545^2)</f>
        <v>14.124612688826595</v>
      </c>
      <c r="Q537" s="123">
        <v>-0.60062291687319613</v>
      </c>
      <c r="R537" s="90">
        <v>-2.060664793656013E-2</v>
      </c>
    </row>
    <row r="538" spans="1:18" x14ac:dyDescent="0.25">
      <c r="A538" s="194">
        <v>0.98377377597475657</v>
      </c>
      <c r="B538" s="195">
        <v>0.11915852071869627</v>
      </c>
      <c r="C538" s="195">
        <v>0.11367947779785771</v>
      </c>
      <c r="D538" s="196">
        <v>7.1185539065933279E-2</v>
      </c>
      <c r="F538" s="123">
        <f>INDEX(A538:D546,,F535)</f>
        <v>0.11915852071869627</v>
      </c>
      <c r="G538" s="90">
        <f>INDEX(A536:D544,,G535)</f>
        <v>7.1185539065933279E-2</v>
      </c>
      <c r="I538" s="123">
        <f t="shared" si="176"/>
        <v>9.1313720877604573E-3</v>
      </c>
      <c r="J538" s="37">
        <f t="shared" si="177"/>
        <v>1.6964727063319147E-2</v>
      </c>
      <c r="K538" s="37">
        <f t="shared" si="178"/>
        <v>-2.0442000812778235E-4</v>
      </c>
      <c r="L538" s="90">
        <f t="shared" si="175"/>
        <v>1.5491123518246691E-4</v>
      </c>
      <c r="N538" t="s">
        <v>467</v>
      </c>
      <c r="O538" s="174">
        <f>0.25*ATAN(O536/O537)</f>
        <v>-1.7752433925763741E-3</v>
      </c>
      <c r="Q538" s="123">
        <v>0.11903196136385849</v>
      </c>
      <c r="R538" s="90">
        <v>7.1396962161203892E-2</v>
      </c>
    </row>
    <row r="539" spans="1:18" x14ac:dyDescent="0.25">
      <c r="A539" s="194">
        <v>4.9830031859733503E-2</v>
      </c>
      <c r="B539" s="195">
        <v>2.9304996546103031E-3</v>
      </c>
      <c r="C539" s="195">
        <v>7.8123122934628489E-2</v>
      </c>
      <c r="D539" s="196">
        <v>0.9956933050691732</v>
      </c>
      <c r="F539" s="123">
        <f>INDEX(A539:D547,,F535)</f>
        <v>2.9304996546103031E-3</v>
      </c>
      <c r="G539" s="90">
        <f>INDEX(A536:D544,,G535)</f>
        <v>0.9956933050691732</v>
      </c>
      <c r="I539" s="123">
        <f t="shared" si="176"/>
        <v>-0.99139656993134795</v>
      </c>
      <c r="J539" s="37">
        <f t="shared" si="177"/>
        <v>5.8357577732060066E-3</v>
      </c>
      <c r="K539" s="37">
        <f t="shared" si="178"/>
        <v>0.98283310280285463</v>
      </c>
      <c r="L539" s="90">
        <f t="shared" si="175"/>
        <v>-5.7855502393066357E-3</v>
      </c>
      <c r="Q539" s="123">
        <v>1.1628980044635429E-3</v>
      </c>
      <c r="R539" s="90">
        <v>0.99569693845870122</v>
      </c>
    </row>
    <row r="540" spans="1:18" x14ac:dyDescent="0.25">
      <c r="A540" s="194">
        <v>0.35462241720190019</v>
      </c>
      <c r="B540" s="195">
        <v>-0.1118377084695691</v>
      </c>
      <c r="C540" s="195">
        <v>0.88515319566216966</v>
      </c>
      <c r="D540" s="196">
        <v>0.27971251025152016</v>
      </c>
      <c r="F540" s="123">
        <f>INDEX(A540:D548,,F535)</f>
        <v>-0.1118377084695691</v>
      </c>
      <c r="G540" s="90">
        <f>INDEX(A536:D544,,G535)</f>
        <v>0.27971251025152016</v>
      </c>
      <c r="I540" s="123">
        <f t="shared" si="176"/>
        <v>-6.573141535548245E-2</v>
      </c>
      <c r="J540" s="37">
        <f t="shared" si="177"/>
        <v>-6.2564812353601743E-2</v>
      </c>
      <c r="K540" s="37">
        <f t="shared" si="178"/>
        <v>4.0626321979355708E-4</v>
      </c>
      <c r="L540" s="90">
        <f t="shared" si="175"/>
        <v>4.1124736674524156E-3</v>
      </c>
      <c r="N540" s="156">
        <f>COS(O538)</f>
        <v>0.99999842425586238</v>
      </c>
      <c r="O540" s="158">
        <f>-N541</f>
        <v>1.7752424601331532E-3</v>
      </c>
      <c r="Q540" s="123">
        <v>-0.11233408976678454</v>
      </c>
      <c r="R540" s="90">
        <v>0.2795135304474527</v>
      </c>
    </row>
    <row r="541" spans="1:18" x14ac:dyDescent="0.25">
      <c r="A541" s="194">
        <v>-3.0908911860338176E-2</v>
      </c>
      <c r="B541" s="195">
        <v>1.9380836050751034E-2</v>
      </c>
      <c r="C541" s="195">
        <v>0.99777718647774072</v>
      </c>
      <c r="D541" s="196">
        <v>-5.5764760432980023E-2</v>
      </c>
      <c r="F541" s="123">
        <f>INDEX(A541:D549,,F535)</f>
        <v>1.9380836050751034E-2</v>
      </c>
      <c r="G541" s="90">
        <f>INDEX(A536:D544,,G535)</f>
        <v>-5.5764760432980023E-2</v>
      </c>
      <c r="I541" s="123">
        <f t="shared" si="176"/>
        <v>-2.7340917001215633E-3</v>
      </c>
      <c r="J541" s="37">
        <f t="shared" si="177"/>
        <v>-2.1615353587219883E-3</v>
      </c>
      <c r="K541" s="37">
        <f t="shared" si="178"/>
        <v>2.8030223176682256E-6</v>
      </c>
      <c r="L541" s="90">
        <f t="shared" si="175"/>
        <v>5.9098358838010742E-6</v>
      </c>
      <c r="N541" s="91">
        <f>SIN(O538)</f>
        <v>-1.7752424601331532E-3</v>
      </c>
      <c r="O541" s="93">
        <f>N540</f>
        <v>0.99999842425586238</v>
      </c>
      <c r="Q541" s="123">
        <v>1.9479801482012022E-2</v>
      </c>
      <c r="R541" s="90">
        <v>-5.5730266878915517E-2</v>
      </c>
    </row>
    <row r="542" spans="1:18" x14ac:dyDescent="0.25">
      <c r="A542" s="194">
        <v>0.96203165975951721</v>
      </c>
      <c r="B542" s="195">
        <v>-2.0152073715736855E-2</v>
      </c>
      <c r="C542" s="195">
        <v>0.16661519724157337</v>
      </c>
      <c r="D542" s="196">
        <v>0.21524022763752984</v>
      </c>
      <c r="F542" s="123">
        <f>INDEX(A542:D550,,F535)</f>
        <v>-2.0152073715736855E-2</v>
      </c>
      <c r="G542" s="90">
        <f>INDEX(A536:D544,,G535)</f>
        <v>0.21524022763752984</v>
      </c>
      <c r="I542" s="123">
        <f t="shared" si="176"/>
        <v>-4.5922249518411166E-2</v>
      </c>
      <c r="J542" s="37">
        <f t="shared" si="177"/>
        <v>-8.6750738678869656E-3</v>
      </c>
      <c r="K542" s="37">
        <f t="shared" si="178"/>
        <v>2.0335960942179194E-3</v>
      </c>
      <c r="L542" s="90">
        <f t="shared" si="175"/>
        <v>3.983789067517535E-4</v>
      </c>
      <c r="Q542" s="123">
        <v>-2.0534145552455703E-2</v>
      </c>
      <c r="R542" s="90">
        <v>0.21520411365708306</v>
      </c>
    </row>
    <row r="543" spans="1:18" x14ac:dyDescent="0.25">
      <c r="A543" s="194">
        <v>0.67617901793724133</v>
      </c>
      <c r="B543" s="195">
        <v>-0.21892292073718583</v>
      </c>
      <c r="C543" s="195">
        <v>0.56692516735737841</v>
      </c>
      <c r="D543" s="196">
        <v>0.41647394287534539</v>
      </c>
      <c r="F543" s="123">
        <f>INDEX(A543:D551,,F535)</f>
        <v>-0.21892292073718583</v>
      </c>
      <c r="G543" s="90">
        <f>INDEX(A536:D544,,G535)</f>
        <v>0.41647394287534539</v>
      </c>
      <c r="I543" s="123">
        <f t="shared" si="176"/>
        <v>-0.1255232998700363</v>
      </c>
      <c r="J543" s="37">
        <f t="shared" si="177"/>
        <v>-0.18235138397040501</v>
      </c>
      <c r="K543" s="37">
        <f t="shared" si="178"/>
        <v>-1.749592842565903E-2</v>
      </c>
      <c r="L543" s="90">
        <f t="shared" si="175"/>
        <v>2.288934745183328E-2</v>
      </c>
      <c r="Q543" s="123">
        <v>-0.21966191799760829</v>
      </c>
      <c r="R543" s="90">
        <v>0.41608464535458239</v>
      </c>
    </row>
    <row r="544" spans="1:18" x14ac:dyDescent="0.25">
      <c r="A544" s="200">
        <v>7.2124721323351293E-2</v>
      </c>
      <c r="B544" s="201">
        <v>-0.92413497905939557</v>
      </c>
      <c r="C544" s="201">
        <v>-0.20678848748853812</v>
      </c>
      <c r="D544" s="202">
        <v>0.31306722360400879</v>
      </c>
      <c r="F544" s="91">
        <f>INDEX(A544:D552,,F535)</f>
        <v>-0.92413497905939557</v>
      </c>
      <c r="G544" s="93">
        <f>INDEX(A536:D544,,G535)</f>
        <v>0.31306722360400879</v>
      </c>
      <c r="I544" s="91">
        <f t="shared" si="176"/>
        <v>0.75601437302598706</v>
      </c>
      <c r="J544" s="92">
        <f t="shared" si="177"/>
        <v>-0.57863274425894751</v>
      </c>
      <c r="K544" s="92">
        <f t="shared" si="178"/>
        <v>0.23674187949323577</v>
      </c>
      <c r="L544" s="93">
        <f t="shared" si="175"/>
        <v>-0.43745467136323452</v>
      </c>
      <c r="Q544" s="91">
        <v>-0.92468929308733783</v>
      </c>
      <c r="R544" s="93">
        <v>0.31142616663644601</v>
      </c>
    </row>
    <row r="545" spans="1:18" x14ac:dyDescent="0.25">
      <c r="I545">
        <f>SUM(I536:I544)</f>
        <v>0.61171717408824899</v>
      </c>
      <c r="J545">
        <f>SUM(J536:J544)</f>
        <v>-0.29125023306659809</v>
      </c>
      <c r="K545">
        <f>SUM(K536:K544)</f>
        <v>1.601553765737751</v>
      </c>
      <c r="L545">
        <f>SUM(L536:L544)</f>
        <v>-5.0736191809736764E-2</v>
      </c>
    </row>
    <row r="546" spans="1:18" x14ac:dyDescent="0.25">
      <c r="A546" s="47" t="s">
        <v>53</v>
      </c>
      <c r="B546">
        <f>COUNT(A536:A544)</f>
        <v>9</v>
      </c>
      <c r="I546" s="47" t="s">
        <v>462</v>
      </c>
      <c r="J546" s="47" t="s">
        <v>389</v>
      </c>
      <c r="K546" s="47" t="s">
        <v>469</v>
      </c>
      <c r="L546" s="47" t="s">
        <v>470</v>
      </c>
      <c r="N546" s="47"/>
    </row>
    <row r="548" spans="1:18" x14ac:dyDescent="0.25">
      <c r="A548">
        <v>1</v>
      </c>
      <c r="B548">
        <v>2</v>
      </c>
      <c r="C548">
        <v>3</v>
      </c>
      <c r="D548">
        <v>4</v>
      </c>
      <c r="F548">
        <v>3</v>
      </c>
      <c r="G548">
        <v>4</v>
      </c>
      <c r="I548" s="47" t="s">
        <v>207</v>
      </c>
      <c r="J548" s="47" t="s">
        <v>464</v>
      </c>
      <c r="K548" s="47" t="s">
        <v>465</v>
      </c>
      <c r="L548" s="47" t="s">
        <v>466</v>
      </c>
      <c r="Q548">
        <f>F548</f>
        <v>3</v>
      </c>
      <c r="R548">
        <f>G548</f>
        <v>4</v>
      </c>
    </row>
    <row r="549" spans="1:18" x14ac:dyDescent="0.25">
      <c r="A549" s="189">
        <f t="array" ref="A549:A557">IF(A548=$Q535,$Q536:$Q544,IF(A548=$R535,$R536:$R544,A536:A544))</f>
        <v>0.10886687677522761</v>
      </c>
      <c r="B549" s="190">
        <f t="array" ref="B549:B557">IF(B548=$Q535,$Q536:$Q544,IF(B548=$R535,$R536:$R544,B536:B544))</f>
        <v>0.89118404561295417</v>
      </c>
      <c r="C549" s="190">
        <f t="array" ref="C549:C557">IF(C548=$Q535,$Q536:$Q544,IF(C548=$R535,$R536:$R544,C536:C544))</f>
        <v>-0.33975221256489857</v>
      </c>
      <c r="D549" s="191">
        <f t="array" ref="D549:D557">IF(D548=$Q535,$Q536:$Q544,IF(D548=$R535,$R536:$R544,D536:D544))</f>
        <v>0.28019178082768942</v>
      </c>
      <c r="F549" s="156">
        <f>INDEX(A549:D557,,F548)</f>
        <v>-0.33975221256489857</v>
      </c>
      <c r="G549" s="158">
        <f>INDEX(A549:D557,,G548)</f>
        <v>0.28019178082768942</v>
      </c>
      <c r="I549" s="156">
        <f>F549^2-G549^2</f>
        <v>3.6924131899352078E-2</v>
      </c>
      <c r="J549" s="157">
        <f>2*F549*G549</f>
        <v>-0.19039155495741322</v>
      </c>
      <c r="K549" s="157">
        <f>I549^2-J549^2</f>
        <v>-3.488555268258095E-2</v>
      </c>
      <c r="L549" s="158">
        <f t="shared" ref="L549:L557" si="179">I549*J549</f>
        <v>-7.0300428877702655E-3</v>
      </c>
      <c r="N549" t="s">
        <v>390</v>
      </c>
      <c r="O549" s="172">
        <f>L558*B559-2*I558*J558</f>
        <v>8.3579784225838116E-2</v>
      </c>
      <c r="Q549" s="156">
        <f t="array" ref="Q549:R557">MMULT(F549:G557,N553:O554)</f>
        <v>-0.33941076476936966</v>
      </c>
      <c r="R549" s="158">
        <v>0.28060529707189696</v>
      </c>
    </row>
    <row r="550" spans="1:18" x14ac:dyDescent="0.25">
      <c r="A550" s="194">
        <v>0.79498356553265803</v>
      </c>
      <c r="B550" s="195">
        <v>-0.60062291687319613</v>
      </c>
      <c r="C550" s="195">
        <v>8.2635393872931881E-2</v>
      </c>
      <c r="D550" s="196">
        <v>-2.060664793656013E-2</v>
      </c>
      <c r="F550" s="123">
        <f>INDEX(A550:D558,,F548)</f>
        <v>8.2635393872931881E-2</v>
      </c>
      <c r="G550" s="90">
        <f>INDEX(A549:D557,,G548)</f>
        <v>-2.060664793656013E-2</v>
      </c>
      <c r="I550" s="123">
        <f t="shared" ref="I550:I557" si="180">F550^2-G550^2</f>
        <v>6.40397438135325E-3</v>
      </c>
      <c r="J550" s="37">
        <f t="shared" ref="J550:J557" si="181">2*F550*G550</f>
        <v>-3.4056769372769707E-3</v>
      </c>
      <c r="K550" s="37">
        <f t="shared" ref="K550:K557" si="182">I550^2-J550^2</f>
        <v>2.9412252475928496E-5</v>
      </c>
      <c r="L550" s="90">
        <f t="shared" si="179"/>
        <v>-2.1809867857487318E-5</v>
      </c>
      <c r="N550" t="s">
        <v>392</v>
      </c>
      <c r="O550" s="173">
        <f>K558*B559-(I558^2-J558^2)</f>
        <v>17.158894597986539</v>
      </c>
      <c r="Q550" s="123">
        <v>8.2610239421834611E-2</v>
      </c>
      <c r="R550" s="90">
        <v>-2.0707259654118636E-2</v>
      </c>
    </row>
    <row r="551" spans="1:18" x14ac:dyDescent="0.25">
      <c r="A551" s="194">
        <v>0.98377377597475657</v>
      </c>
      <c r="B551" s="195">
        <v>0.11903196136385849</v>
      </c>
      <c r="C551" s="195">
        <v>0.11367947779785771</v>
      </c>
      <c r="D551" s="196">
        <v>7.1396962161203892E-2</v>
      </c>
      <c r="F551" s="123">
        <f>INDEX(A551:D559,,F548)</f>
        <v>0.11367947779785771</v>
      </c>
      <c r="G551" s="90">
        <f>INDEX(A549:D557,,G548)</f>
        <v>7.1396962161203892E-2</v>
      </c>
      <c r="I551" s="123">
        <f t="shared" si="180"/>
        <v>7.8254974665452441E-3</v>
      </c>
      <c r="J551" s="37">
        <f t="shared" si="181"/>
        <v>1.6232738749678129E-2</v>
      </c>
      <c r="K551" s="37">
        <f t="shared" si="182"/>
        <v>-2.0226339671639584E-4</v>
      </c>
      <c r="L551" s="90">
        <f t="shared" si="179"/>
        <v>1.2702925596069702E-4</v>
      </c>
      <c r="N551" t="s">
        <v>467</v>
      </c>
      <c r="O551" s="174">
        <f>0.25*ATAN(O549/O550)</f>
        <v>1.2177230117345031E-3</v>
      </c>
      <c r="Q551" s="123">
        <v>0.11376633521540391</v>
      </c>
      <c r="R551" s="90">
        <v>7.1258479143876979E-2</v>
      </c>
    </row>
    <row r="552" spans="1:18" x14ac:dyDescent="0.25">
      <c r="A552" s="194">
        <v>4.9830031859733503E-2</v>
      </c>
      <c r="B552" s="195">
        <v>1.1628980044635429E-3</v>
      </c>
      <c r="C552" s="195">
        <v>7.8123122934628489E-2</v>
      </c>
      <c r="D552" s="196">
        <v>0.99569693845870122</v>
      </c>
      <c r="F552" s="123">
        <f>INDEX(A552:D560,,F548)</f>
        <v>7.8123122934628489E-2</v>
      </c>
      <c r="G552" s="90">
        <f>INDEX(A549:D557,,G548)</f>
        <v>0.99569693845870122</v>
      </c>
      <c r="I552" s="123">
        <f t="shared" si="180"/>
        <v>-0.98530917091897152</v>
      </c>
      <c r="J552" s="37">
        <f t="shared" si="181"/>
        <v>0.15557390865768467</v>
      </c>
      <c r="K552" s="37">
        <f t="shared" si="182"/>
        <v>0.94663092124200143</v>
      </c>
      <c r="L552" s="90">
        <f t="shared" si="179"/>
        <v>-0.15328839895612709</v>
      </c>
      <c r="Q552" s="123">
        <v>7.9335547787245095E-2</v>
      </c>
      <c r="R552" s="90">
        <v>0.9956010679234869</v>
      </c>
    </row>
    <row r="553" spans="1:18" x14ac:dyDescent="0.25">
      <c r="A553" s="194">
        <v>0.35462241720190019</v>
      </c>
      <c r="B553" s="195">
        <v>-0.11233408976678454</v>
      </c>
      <c r="C553" s="195">
        <v>0.88515319566216966</v>
      </c>
      <c r="D553" s="196">
        <v>0.2795135304474527</v>
      </c>
      <c r="F553" s="123">
        <f>INDEX(A553:D561,,F548)</f>
        <v>0.88515319566216966</v>
      </c>
      <c r="G553" s="90">
        <f>INDEX(A549:D557,,G548)</f>
        <v>0.2795135304474527</v>
      </c>
      <c r="I553" s="123">
        <f t="shared" si="180"/>
        <v>0.70536836608775211</v>
      </c>
      <c r="J553" s="37">
        <f t="shared" si="181"/>
        <v>0.49482458941275581</v>
      </c>
      <c r="K553" s="37">
        <f t="shared" si="182"/>
        <v>0.25269315758980271</v>
      </c>
      <c r="L553" s="90">
        <f t="shared" si="179"/>
        <v>0.34903361213411838</v>
      </c>
      <c r="N553" s="156">
        <f>COS(O551)</f>
        <v>0.99999925857542493</v>
      </c>
      <c r="O553" s="158">
        <f>-N554</f>
        <v>-1.217722710784566E-3</v>
      </c>
      <c r="Q553" s="123">
        <v>0.88549290936183511</v>
      </c>
      <c r="R553" s="90">
        <v>0.27843545206037079</v>
      </c>
    </row>
    <row r="554" spans="1:18" x14ac:dyDescent="0.25">
      <c r="A554" s="194">
        <v>-3.0908911860338176E-2</v>
      </c>
      <c r="B554" s="195">
        <v>1.9479801482012022E-2</v>
      </c>
      <c r="C554" s="195">
        <v>0.99777718647774072</v>
      </c>
      <c r="D554" s="196">
        <v>-5.5730266878915517E-2</v>
      </c>
      <c r="F554" s="123">
        <f>INDEX(A554:D562,,F548)</f>
        <v>0.99777718647774072</v>
      </c>
      <c r="G554" s="90">
        <f>INDEX(A549:D557,,G548)</f>
        <v>-5.5730266878915517E-2</v>
      </c>
      <c r="I554" s="123">
        <f t="shared" si="180"/>
        <v>0.99245345120904105</v>
      </c>
      <c r="J554" s="37">
        <f t="shared" si="181"/>
        <v>-0.11121277777619588</v>
      </c>
      <c r="K554" s="37">
        <f t="shared" si="182"/>
        <v>0.97259557087603887</v>
      </c>
      <c r="L554" s="90">
        <f t="shared" si="179"/>
        <v>-0.11037350512252975</v>
      </c>
      <c r="N554" s="91">
        <f>SIN(O551)</f>
        <v>1.217722710784566E-3</v>
      </c>
      <c r="O554" s="93">
        <f>N553</f>
        <v>0.99999925857542493</v>
      </c>
      <c r="Q554" s="123">
        <v>0.99770858268955764</v>
      </c>
      <c r="R554" s="90">
        <v>-5.6945241499402749E-2</v>
      </c>
    </row>
    <row r="555" spans="1:18" x14ac:dyDescent="0.25">
      <c r="A555" s="194">
        <v>0.96203165975951721</v>
      </c>
      <c r="B555" s="195">
        <v>-2.0534145552455703E-2</v>
      </c>
      <c r="C555" s="195">
        <v>0.16661519724157337</v>
      </c>
      <c r="D555" s="196">
        <v>0.21520411365708306</v>
      </c>
      <c r="F555" s="123">
        <f>INDEX(A555:D563,,F548)</f>
        <v>0.16661519724157337</v>
      </c>
      <c r="G555" s="90">
        <f>INDEX(A549:D557,,G548)</f>
        <v>0.21520411365708306</v>
      </c>
      <c r="I555" s="123">
        <f t="shared" si="180"/>
        <v>-1.8552186583082324E-2</v>
      </c>
      <c r="J555" s="37">
        <f t="shared" si="181"/>
        <v>7.1712551688345727E-2</v>
      </c>
      <c r="K555" s="37">
        <f t="shared" si="182"/>
        <v>-4.7985064426401582E-3</v>
      </c>
      <c r="L555" s="90">
        <f t="shared" si="179"/>
        <v>-1.3304246392711252E-3</v>
      </c>
      <c r="Q555" s="123">
        <v>0.16687713264562604</v>
      </c>
      <c r="R555" s="90">
        <v>0.21500106298982161</v>
      </c>
    </row>
    <row r="556" spans="1:18" x14ac:dyDescent="0.25">
      <c r="A556" s="194">
        <v>0.67617901793724133</v>
      </c>
      <c r="B556" s="195">
        <v>-0.21966191799760829</v>
      </c>
      <c r="C556" s="195">
        <v>0.56692516735737841</v>
      </c>
      <c r="D556" s="196">
        <v>0.41608464535458239</v>
      </c>
      <c r="F556" s="123">
        <f>INDEX(A556:D564,,F548)</f>
        <v>0.56692516735737841</v>
      </c>
      <c r="G556" s="90">
        <f>INDEX(A549:D557,,G548)</f>
        <v>0.41608464535458239</v>
      </c>
      <c r="I556" s="123">
        <f t="shared" si="180"/>
        <v>0.14827771328334291</v>
      </c>
      <c r="J556" s="37">
        <f t="shared" si="181"/>
        <v>0.47177771440496413</v>
      </c>
      <c r="K556" s="37">
        <f t="shared" si="182"/>
        <v>-0.20058793155263466</v>
      </c>
      <c r="L556" s="90">
        <f t="shared" si="179"/>
        <v>6.9954120670010111E-2</v>
      </c>
      <c r="Q556" s="123">
        <v>0.56743142274738412</v>
      </c>
      <c r="R556" s="90">
        <v>0.41539397920759463</v>
      </c>
    </row>
    <row r="557" spans="1:18" x14ac:dyDescent="0.25">
      <c r="A557" s="200">
        <v>7.2124721323351293E-2</v>
      </c>
      <c r="B557" s="201">
        <v>-0.92468929308733783</v>
      </c>
      <c r="C557" s="201">
        <v>-0.20678848748853812</v>
      </c>
      <c r="D557" s="202">
        <v>0.31142616663644601</v>
      </c>
      <c r="F557" s="91">
        <f>INDEX(A557:D565,,F548)</f>
        <v>-0.20678848748853812</v>
      </c>
      <c r="G557" s="93">
        <f>INDEX(A549:D557,,G548)</f>
        <v>0.31142616663644601</v>
      </c>
      <c r="I557" s="91">
        <f t="shared" si="180"/>
        <v>-5.4224778708074156E-2</v>
      </c>
      <c r="J557" s="92">
        <f t="shared" si="181"/>
        <v>-0.12879869192620821</v>
      </c>
      <c r="K557" s="92">
        <f t="shared" si="182"/>
        <v>-1.3648776415962679E-2</v>
      </c>
      <c r="L557" s="93">
        <f t="shared" si="179"/>
        <v>6.9840805675880583E-3</v>
      </c>
      <c r="Q557" s="91">
        <v>-0.20640910345462588</v>
      </c>
      <c r="R557" s="93">
        <v>0.31167774677497634</v>
      </c>
    </row>
    <row r="558" spans="1:18" x14ac:dyDescent="0.25">
      <c r="I558">
        <f>SUM(I549:I557)</f>
        <v>0.83916699811725859</v>
      </c>
      <c r="J558">
        <f>SUM(J549:J557)</f>
        <v>0.77631280131633418</v>
      </c>
      <c r="K558">
        <f>SUM(K549:K557)</f>
        <v>1.9178260314697837</v>
      </c>
      <c r="L558">
        <f>SUM(L549:L557)</f>
        <v>0.15405466115412156</v>
      </c>
    </row>
    <row r="559" spans="1:18" x14ac:dyDescent="0.25">
      <c r="A559" s="47" t="s">
        <v>53</v>
      </c>
      <c r="B559">
        <f>COUNT(A549:A557)</f>
        <v>9</v>
      </c>
      <c r="I559" s="47" t="s">
        <v>462</v>
      </c>
      <c r="J559" s="47" t="s">
        <v>389</v>
      </c>
      <c r="K559" s="47" t="s">
        <v>469</v>
      </c>
      <c r="L559" s="47" t="s">
        <v>470</v>
      </c>
      <c r="N559" s="47"/>
    </row>
    <row r="561" spans="1:18" x14ac:dyDescent="0.25">
      <c r="A561">
        <v>1</v>
      </c>
      <c r="B561">
        <v>2</v>
      </c>
      <c r="C561">
        <v>3</v>
      </c>
      <c r="D561">
        <v>4</v>
      </c>
      <c r="F561">
        <v>1</v>
      </c>
      <c r="G561">
        <v>2</v>
      </c>
      <c r="I561" s="47" t="s">
        <v>207</v>
      </c>
      <c r="J561" s="47" t="s">
        <v>464</v>
      </c>
      <c r="K561" s="47" t="s">
        <v>465</v>
      </c>
      <c r="L561" s="47" t="s">
        <v>466</v>
      </c>
      <c r="Q561">
        <f>F561</f>
        <v>1</v>
      </c>
      <c r="R561">
        <f>G561</f>
        <v>2</v>
      </c>
    </row>
    <row r="562" spans="1:18" x14ac:dyDescent="0.25">
      <c r="A562" s="189">
        <f t="array" ref="A562:A570">IF(A561=$Q548,$Q549:$Q557,IF(A561=$R548,$R549:$R557,A549:A557))</f>
        <v>0.10886687677522761</v>
      </c>
      <c r="B562" s="190">
        <f t="array" ref="B562:B570">IF(B561=$Q548,$Q549:$Q557,IF(B561=$R548,$R549:$R557,B549:B557))</f>
        <v>0.89118404561295417</v>
      </c>
      <c r="C562" s="190">
        <f t="array" ref="C562:C570">IF(C561=$Q548,$Q549:$Q557,IF(C561=$R548,$R549:$R557,C549:C557))</f>
        <v>-0.33941076476936966</v>
      </c>
      <c r="D562" s="191">
        <f t="array" ref="D562:D570">IF(D561=$Q548,$Q549:$Q557,IF(D561=$R548,$R549:$R557,D549:D557))</f>
        <v>0.28060529707189696</v>
      </c>
      <c r="F562" s="156">
        <f>INDEX(A562:D570,,F561)</f>
        <v>0.10886687677522761</v>
      </c>
      <c r="G562" s="158">
        <f>INDEX(A562:D570,,G561)</f>
        <v>0.89118404561295417</v>
      </c>
      <c r="I562" s="156">
        <f>F562^2-G562^2</f>
        <v>-0.78235700629627936</v>
      </c>
      <c r="J562" s="157">
        <f>2*F562*G562</f>
        <v>0.1940408473555886</v>
      </c>
      <c r="K562" s="157">
        <f>I562^2-J562^2</f>
        <v>0.57443063485840162</v>
      </c>
      <c r="L562" s="158">
        <f t="shared" ref="L562:L570" si="183">I562*J562</f>
        <v>-0.15180921643631162</v>
      </c>
      <c r="N562" t="s">
        <v>390</v>
      </c>
      <c r="O562" s="172">
        <f>L571*B572-2*I571*J571</f>
        <v>7.6645622663426227E-2</v>
      </c>
      <c r="Q562" s="156">
        <f t="array" ref="Q562:R570">MMULT(F562:G570,N566:O567)</f>
        <v>0.10971277374333309</v>
      </c>
      <c r="R562" s="158">
        <v>0.89108030350323009</v>
      </c>
    </row>
    <row r="563" spans="1:18" x14ac:dyDescent="0.25">
      <c r="A563" s="194">
        <v>0.79498356553265803</v>
      </c>
      <c r="B563" s="195">
        <v>-0.60062291687319613</v>
      </c>
      <c r="C563" s="195">
        <v>8.2610239421834611E-2</v>
      </c>
      <c r="D563" s="196">
        <v>-2.0707259654118636E-2</v>
      </c>
      <c r="F563" s="123">
        <f>INDEX(A563:D571,,F561)</f>
        <v>0.79498356553265803</v>
      </c>
      <c r="G563" s="90">
        <f>INDEX(A562:D570,,G561)</f>
        <v>-0.60062291687319613</v>
      </c>
      <c r="I563" s="123">
        <f t="shared" ref="I563:I570" si="184">F563^2-G563^2</f>
        <v>0.27125098119375174</v>
      </c>
      <c r="J563" s="37">
        <f t="shared" ref="J563:J570" si="185">2*F563*G563</f>
        <v>-0.95497069599295747</v>
      </c>
      <c r="K563" s="37">
        <f t="shared" ref="K563:K570" si="186">I563^2-J563^2</f>
        <v>-0.83839193540670054</v>
      </c>
      <c r="L563" s="90">
        <f t="shared" si="183"/>
        <v>-0.25903673829936974</v>
      </c>
      <c r="N563" t="s">
        <v>392</v>
      </c>
      <c r="O563" s="173">
        <f>K571*B572-(I571^2-J571^2)</f>
        <v>20.18598596151331</v>
      </c>
      <c r="Q563" s="123">
        <v>0.79441307310342446</v>
      </c>
      <c r="R563" s="90">
        <v>-0.60137727511326633</v>
      </c>
    </row>
    <row r="564" spans="1:18" x14ac:dyDescent="0.25">
      <c r="A564" s="194">
        <v>0.98377377597475657</v>
      </c>
      <c r="B564" s="195">
        <v>0.11903196136385849</v>
      </c>
      <c r="C564" s="195">
        <v>0.11376633521540391</v>
      </c>
      <c r="D564" s="196">
        <v>7.1258479143876979E-2</v>
      </c>
      <c r="F564" s="123">
        <f>INDEX(A564:D572,,F561)</f>
        <v>0.98377377597475657</v>
      </c>
      <c r="G564" s="90">
        <f>INDEX(A562:D570,,G561)</f>
        <v>0.11903196136385849</v>
      </c>
      <c r="I564" s="123">
        <f t="shared" si="184"/>
        <v>0.95364223446950347</v>
      </c>
      <c r="J564" s="37">
        <f t="shared" si="185"/>
        <v>0.23420104418520882</v>
      </c>
      <c r="K564" s="37">
        <f t="shared" si="186"/>
        <v>0.85458338226654529</v>
      </c>
      <c r="L564" s="90">
        <f t="shared" si="183"/>
        <v>0.22334400709187344</v>
      </c>
      <c r="N564" t="s">
        <v>467</v>
      </c>
      <c r="O564" s="174">
        <f>0.25*ATAN(O562/O563)</f>
        <v>9.4923842807989719E-4</v>
      </c>
      <c r="Q564" s="123">
        <v>0.9838863224532699</v>
      </c>
      <c r="R564" s="90">
        <v>0.11809807200432111</v>
      </c>
    </row>
    <row r="565" spans="1:18" x14ac:dyDescent="0.25">
      <c r="A565" s="194">
        <v>4.9830031859733503E-2</v>
      </c>
      <c r="B565" s="195">
        <v>1.1628980044635429E-3</v>
      </c>
      <c r="C565" s="195">
        <v>7.9335547787245095E-2</v>
      </c>
      <c r="D565" s="196">
        <v>0.9956010679234869</v>
      </c>
      <c r="F565" s="123">
        <f>INDEX(A565:D573,,F561)</f>
        <v>4.9830031859733503E-2</v>
      </c>
      <c r="G565" s="90">
        <f>INDEX(A562:D570,,G561)</f>
        <v>1.1628980044635429E-3</v>
      </c>
      <c r="I565" s="123">
        <f t="shared" si="184"/>
        <v>2.4816797433732706E-3</v>
      </c>
      <c r="J565" s="37">
        <f t="shared" si="185"/>
        <v>1.1589448922407771E-4</v>
      </c>
      <c r="K565" s="37">
        <f t="shared" si="186"/>
        <v>6.1453028160367116E-6</v>
      </c>
      <c r="L565" s="90">
        <f t="shared" si="183"/>
        <v>2.8761300627598543E-7</v>
      </c>
      <c r="Q565" s="123">
        <v>4.9831113277278551E-2</v>
      </c>
      <c r="R565" s="90">
        <v>1.1155969065365576E-3</v>
      </c>
    </row>
    <row r="566" spans="1:18" x14ac:dyDescent="0.25">
      <c r="A566" s="194">
        <v>0.35462241720190019</v>
      </c>
      <c r="B566" s="195">
        <v>-0.11233408976678454</v>
      </c>
      <c r="C566" s="195">
        <v>0.88549290936183511</v>
      </c>
      <c r="D566" s="196">
        <v>0.27843545206037079</v>
      </c>
      <c r="F566" s="123">
        <f>INDEX(A566:D574,,F561)</f>
        <v>0.35462241720190019</v>
      </c>
      <c r="G566" s="90">
        <f>INDEX(A562:D570,,G561)</f>
        <v>-0.11233408976678454</v>
      </c>
      <c r="I566" s="123">
        <f t="shared" si="184"/>
        <v>0.11313811105838653</v>
      </c>
      <c r="J566" s="37">
        <f t="shared" si="185"/>
        <v>-7.9672372894544749E-2</v>
      </c>
      <c r="K566" s="37">
        <f t="shared" si="186"/>
        <v>6.4525451712124163E-3</v>
      </c>
      <c r="L566" s="90">
        <f t="shared" si="183"/>
        <v>-9.0139817728281894E-3</v>
      </c>
      <c r="N566" s="156">
        <f>COS(O564)</f>
        <v>0.9999995494732371</v>
      </c>
      <c r="O566" s="158">
        <f>-N567</f>
        <v>-9.4923828552745415E-4</v>
      </c>
      <c r="Q566" s="123">
        <v>0.35451562561623401</v>
      </c>
      <c r="R566" s="90">
        <v>-0.11267066033258503</v>
      </c>
    </row>
    <row r="567" spans="1:18" x14ac:dyDescent="0.25">
      <c r="A567" s="194">
        <v>-3.0908911860338176E-2</v>
      </c>
      <c r="B567" s="195">
        <v>1.9479801482012022E-2</v>
      </c>
      <c r="C567" s="195">
        <v>0.99770858268955764</v>
      </c>
      <c r="D567" s="196">
        <v>-5.6945241499402749E-2</v>
      </c>
      <c r="F567" s="123">
        <f>INDEX(A567:D575,,F561)</f>
        <v>-3.0908911860338176E-2</v>
      </c>
      <c r="G567" s="90">
        <f>INDEX(A562:D570,,G561)</f>
        <v>1.9479801482012022E-2</v>
      </c>
      <c r="I567" s="123">
        <f t="shared" si="184"/>
        <v>5.7589816661155618E-4</v>
      </c>
      <c r="J567" s="37">
        <f t="shared" si="185"/>
        <v>-1.2041989341287892E-3</v>
      </c>
      <c r="K567" s="37">
        <f t="shared" si="186"/>
        <v>-1.1184363746503601E-6</v>
      </c>
      <c r="L567" s="90">
        <f t="shared" si="183"/>
        <v>-6.9349595840035982E-7</v>
      </c>
      <c r="N567" s="91">
        <f>SIN(O564)</f>
        <v>9.4923828552745415E-4</v>
      </c>
      <c r="O567" s="93">
        <f>N566</f>
        <v>0.9999995494732371</v>
      </c>
      <c r="Q567" s="123">
        <v>-3.089040696168497E-2</v>
      </c>
      <c r="R567" s="90">
        <v>1.9509132628341946E-2</v>
      </c>
    </row>
    <row r="568" spans="1:18" x14ac:dyDescent="0.25">
      <c r="A568" s="194">
        <v>0.96203165975951721</v>
      </c>
      <c r="B568" s="195">
        <v>-2.0534145552455703E-2</v>
      </c>
      <c r="C568" s="195">
        <v>0.16687713264562604</v>
      </c>
      <c r="D568" s="196">
        <v>0.21500106298982161</v>
      </c>
      <c r="F568" s="123">
        <f>INDEX(A568:D576,,F561)</f>
        <v>0.96203165975951721</v>
      </c>
      <c r="G568" s="90">
        <f>INDEX(A562:D570,,G561)</f>
        <v>-2.0534145552455703E-2</v>
      </c>
      <c r="I568" s="123">
        <f t="shared" si="184"/>
        <v>0.92508326324608203</v>
      </c>
      <c r="J568" s="37">
        <f t="shared" si="185"/>
        <v>-3.9508996255144938E-2</v>
      </c>
      <c r="K568" s="37">
        <f t="shared" si="186"/>
        <v>0.85421808315293091</v>
      </c>
      <c r="L568" s="90">
        <f t="shared" si="183"/>
        <v>-3.6549111183286714E-2</v>
      </c>
      <c r="Q568" s="123">
        <v>0.96201173454138866</v>
      </c>
      <c r="R568" s="90">
        <v>-2.1447333584606831E-2</v>
      </c>
    </row>
    <row r="569" spans="1:18" x14ac:dyDescent="0.25">
      <c r="A569" s="194">
        <v>0.67617901793724133</v>
      </c>
      <c r="B569" s="195">
        <v>-0.21966191799760829</v>
      </c>
      <c r="C569" s="195">
        <v>0.56743142274738412</v>
      </c>
      <c r="D569" s="196">
        <v>0.41539397920759463</v>
      </c>
      <c r="F569" s="123">
        <f>INDEX(A569:D577,,F561)</f>
        <v>0.67617901793724133</v>
      </c>
      <c r="G569" s="90">
        <f>INDEX(A562:D570,,G561)</f>
        <v>-0.21966191799760829</v>
      </c>
      <c r="I569" s="123">
        <f t="shared" si="184"/>
        <v>0.40896670608018415</v>
      </c>
      <c r="J569" s="37">
        <f t="shared" si="185"/>
        <v>-0.29706155997966721</v>
      </c>
      <c r="K569" s="37">
        <f t="shared" si="186"/>
        <v>7.900819626452231E-2</v>
      </c>
      <c r="L569" s="90">
        <f t="shared" si="183"/>
        <v>-0.12148828768792555</v>
      </c>
      <c r="Q569" s="123">
        <v>0.67597020179806155</v>
      </c>
      <c r="R569" s="90">
        <v>-0.22030367404573184</v>
      </c>
    </row>
    <row r="570" spans="1:18" x14ac:dyDescent="0.25">
      <c r="A570" s="200">
        <v>7.2124721323351293E-2</v>
      </c>
      <c r="B570" s="201">
        <v>-0.92468929308733783</v>
      </c>
      <c r="C570" s="201">
        <v>-0.20640910345462588</v>
      </c>
      <c r="D570" s="202">
        <v>0.31167774677497634</v>
      </c>
      <c r="F570" s="91">
        <f>INDEX(A570:D578,,F561)</f>
        <v>7.2124721323351293E-2</v>
      </c>
      <c r="G570" s="93">
        <f>INDEX(A562:D570,,G561)</f>
        <v>-0.92468929308733783</v>
      </c>
      <c r="I570" s="91">
        <f t="shared" si="184"/>
        <v>-0.84984831332438948</v>
      </c>
      <c r="J570" s="92">
        <f t="shared" si="185"/>
        <v>-0.13338591514922191</v>
      </c>
      <c r="K570" s="92">
        <f t="shared" si="186"/>
        <v>0.7044503533001143</v>
      </c>
      <c r="L570" s="93">
        <f t="shared" si="183"/>
        <v>0.11335779501079637</v>
      </c>
      <c r="Q570" s="91">
        <v>7.124693835001826E-2</v>
      </c>
      <c r="R570" s="93">
        <v>-0.92475734003687704</v>
      </c>
    </row>
    <row r="571" spans="1:18" x14ac:dyDescent="0.25">
      <c r="I571">
        <f>SUM(I562:I570)</f>
        <v>1.0429335543372236</v>
      </c>
      <c r="J571">
        <f>SUM(J562:J570)</f>
        <v>-1.0774459531756435</v>
      </c>
      <c r="K571">
        <f>SUM(K562:K570)</f>
        <v>2.234756286473468</v>
      </c>
      <c r="L571">
        <f>SUM(L562:L570)</f>
        <v>-0.24119593916000412</v>
      </c>
    </row>
    <row r="572" spans="1:18" x14ac:dyDescent="0.25">
      <c r="A572" s="47" t="s">
        <v>53</v>
      </c>
      <c r="B572">
        <f>COUNT(A562:A570)</f>
        <v>9</v>
      </c>
      <c r="I572" s="47" t="s">
        <v>462</v>
      </c>
      <c r="J572" s="47" t="s">
        <v>389</v>
      </c>
      <c r="K572" s="47" t="s">
        <v>469</v>
      </c>
      <c r="L572" s="47" t="s">
        <v>470</v>
      </c>
      <c r="N572" s="47"/>
    </row>
    <row r="574" spans="1:18" x14ac:dyDescent="0.25">
      <c r="A574">
        <v>1</v>
      </c>
      <c r="B574">
        <v>2</v>
      </c>
      <c r="C574">
        <v>3</v>
      </c>
      <c r="D574">
        <v>4</v>
      </c>
      <c r="F574">
        <v>1</v>
      </c>
      <c r="G574">
        <v>3</v>
      </c>
      <c r="I574" s="47" t="s">
        <v>207</v>
      </c>
      <c r="J574" s="47" t="s">
        <v>464</v>
      </c>
      <c r="K574" s="47" t="s">
        <v>465</v>
      </c>
      <c r="L574" s="47" t="s">
        <v>466</v>
      </c>
      <c r="Q574">
        <f>F574</f>
        <v>1</v>
      </c>
      <c r="R574">
        <f>G574</f>
        <v>3</v>
      </c>
    </row>
    <row r="575" spans="1:18" x14ac:dyDescent="0.25">
      <c r="A575" s="189">
        <f t="array" ref="A575:A583">IF(A574=$Q561,$Q562:$Q570,IF(A574=$R561,$R562:$R570,A562:A570))</f>
        <v>0.10971277374333309</v>
      </c>
      <c r="B575" s="190">
        <f t="array" ref="B575:B583">IF(B574=$Q561,$Q562:$Q570,IF(B574=$R561,$R562:$R570,B562:B570))</f>
        <v>0.89108030350323009</v>
      </c>
      <c r="C575" s="190">
        <f t="array" ref="C575:C583">IF(C574=$Q561,$Q562:$Q570,IF(C574=$R561,$R562:$R570,C562:C570))</f>
        <v>-0.33941076476936966</v>
      </c>
      <c r="D575" s="191">
        <f t="array" ref="D575:D583">IF(D574=$Q561,$Q562:$Q570,IF(D574=$R561,$R562:$R570,D562:D570))</f>
        <v>0.28060529707189696</v>
      </c>
      <c r="F575" s="156">
        <f>INDEX(A575:D583,,F574)</f>
        <v>0.10971277374333309</v>
      </c>
      <c r="G575" s="158">
        <f>INDEX(A575:D583,,G574)</f>
        <v>-0.33941076476936966</v>
      </c>
      <c r="I575" s="156">
        <f>F575^2-G575^2</f>
        <v>-0.10316277451887258</v>
      </c>
      <c r="J575" s="157">
        <f>2*F575*G575</f>
        <v>-7.4475392882386998E-2</v>
      </c>
      <c r="K575" s="157">
        <f>I575^2-J575^2</f>
        <v>5.0959739014458452E-3</v>
      </c>
      <c r="L575" s="158">
        <f t="shared" ref="L575:L583" si="187">I575*J575</f>
        <v>7.6830881631301381E-3</v>
      </c>
      <c r="N575" t="s">
        <v>390</v>
      </c>
      <c r="O575" s="172">
        <f>L584*B585-2*I584*J584</f>
        <v>-1.994129096457975E-2</v>
      </c>
      <c r="Q575" s="156">
        <f t="array" ref="Q575:R583">MMULT(F575:G583,N579:O580)</f>
        <v>0.10978163560874449</v>
      </c>
      <c r="R575" s="158">
        <v>-0.33938849781165692</v>
      </c>
    </row>
    <row r="576" spans="1:18" x14ac:dyDescent="0.25">
      <c r="A576" s="194">
        <v>0.79441307310342446</v>
      </c>
      <c r="B576" s="195">
        <v>-0.60137727511326633</v>
      </c>
      <c r="C576" s="195">
        <v>8.2610239421834611E-2</v>
      </c>
      <c r="D576" s="196">
        <v>-2.0707259654118636E-2</v>
      </c>
      <c r="F576" s="123">
        <f>INDEX(A576:D584,,F574)</f>
        <v>0.79441307310342446</v>
      </c>
      <c r="G576" s="90">
        <f>INDEX(A575:D583,,G574)</f>
        <v>8.2610239421834611E-2</v>
      </c>
      <c r="I576" s="123">
        <f t="shared" ref="I576:I583" si="188">F576^2-G576^2</f>
        <v>0.62426767906029401</v>
      </c>
      <c r="J576" s="37">
        <f t="shared" ref="J576:J583" si="189">2*F576*G576</f>
        <v>0.13125330833781859</v>
      </c>
      <c r="K576" s="37">
        <f t="shared" ref="K576:K583" si="190">I576^2-J576^2</f>
        <v>0.37248270416970375</v>
      </c>
      <c r="L576" s="90">
        <f t="shared" si="187"/>
        <v>8.1937198165035155E-2</v>
      </c>
      <c r="N576" t="s">
        <v>392</v>
      </c>
      <c r="O576" s="173">
        <f>K584*B585-(I584^2-J584^2)</f>
        <v>24.571166122527472</v>
      </c>
      <c r="Q576" s="123">
        <v>0.79439629569939496</v>
      </c>
      <c r="R576" s="90">
        <v>8.2771418702588209E-2</v>
      </c>
    </row>
    <row r="577" spans="1:18" x14ac:dyDescent="0.25">
      <c r="A577" s="194">
        <v>0.9838863224532699</v>
      </c>
      <c r="B577" s="195">
        <v>0.11809807200432111</v>
      </c>
      <c r="C577" s="195">
        <v>0.11376633521540391</v>
      </c>
      <c r="D577" s="196">
        <v>7.1258479143876979E-2</v>
      </c>
      <c r="F577" s="123">
        <f>INDEX(A577:D585,,F574)</f>
        <v>0.9838863224532699</v>
      </c>
      <c r="G577" s="90">
        <f>INDEX(A575:D583,,G574)</f>
        <v>0.11376633521540391</v>
      </c>
      <c r="I577" s="123">
        <f t="shared" si="188"/>
        <v>0.95508951648227614</v>
      </c>
      <c r="J577" s="37">
        <f t="shared" si="189"/>
        <v>0.22386628234813938</v>
      </c>
      <c r="K577" s="37">
        <f t="shared" si="190"/>
        <v>0.86207987212197112</v>
      </c>
      <c r="L577" s="90">
        <f t="shared" si="187"/>
        <v>0.21381233936456914</v>
      </c>
      <c r="N577" t="s">
        <v>467</v>
      </c>
      <c r="O577" s="174">
        <f>0.25*ATAN(O575/O576)</f>
        <v>-2.0289316436008771E-4</v>
      </c>
      <c r="Q577" s="123">
        <v>0.98386321979052571</v>
      </c>
      <c r="R577" s="90">
        <v>0.11396595668173569</v>
      </c>
    </row>
    <row r="578" spans="1:18" x14ac:dyDescent="0.25">
      <c r="A578" s="194">
        <v>4.9831113277278551E-2</v>
      </c>
      <c r="B578" s="195">
        <v>1.1155969065365576E-3</v>
      </c>
      <c r="C578" s="195">
        <v>7.9335547787245095E-2</v>
      </c>
      <c r="D578" s="196">
        <v>0.9956010679234869</v>
      </c>
      <c r="F578" s="123">
        <f>INDEX(A578:D586,,F574)</f>
        <v>4.9831113277278551E-2</v>
      </c>
      <c r="G578" s="90">
        <f>INDEX(A575:D583,,G574)</f>
        <v>7.9335547787245095E-2</v>
      </c>
      <c r="I578" s="123">
        <f t="shared" si="188"/>
        <v>-3.8109892922492832E-3</v>
      </c>
      <c r="J578" s="37">
        <f t="shared" si="189"/>
        <v>7.9067573374023113E-3</v>
      </c>
      <c r="K578" s="37">
        <f t="shared" si="190"/>
        <v>-4.7993172206926588E-5</v>
      </c>
      <c r="L578" s="90">
        <f t="shared" si="187"/>
        <v>-3.0132567549253663E-5</v>
      </c>
      <c r="Q578" s="123">
        <v>4.9815015611387459E-2</v>
      </c>
      <c r="R578" s="90">
        <v>7.9345656546482998E-2</v>
      </c>
    </row>
    <row r="579" spans="1:18" x14ac:dyDescent="0.25">
      <c r="A579" s="194">
        <v>0.35451562561623401</v>
      </c>
      <c r="B579" s="195">
        <v>-0.11267066033258503</v>
      </c>
      <c r="C579" s="195">
        <v>0.88549290936183511</v>
      </c>
      <c r="D579" s="196">
        <v>0.27843545206037079</v>
      </c>
      <c r="F579" s="123">
        <f>INDEX(A579:D587,,F574)</f>
        <v>0.35451562561623401</v>
      </c>
      <c r="G579" s="90">
        <f>INDEX(A575:D583,,G574)</f>
        <v>0.88549290936183511</v>
      </c>
      <c r="I579" s="123">
        <f t="shared" si="188"/>
        <v>-0.65841636372401724</v>
      </c>
      <c r="J579" s="37">
        <f t="shared" si="189"/>
        <v>0.62784214548230033</v>
      </c>
      <c r="K579" s="37">
        <f t="shared" si="190"/>
        <v>3.9326348375739395E-2</v>
      </c>
      <c r="L579" s="90">
        <f t="shared" si="187"/>
        <v>-0.41338154242114161</v>
      </c>
      <c r="N579" s="156">
        <f>COS(O577)</f>
        <v>0.99999997941718199</v>
      </c>
      <c r="O579" s="158">
        <f>-N580</f>
        <v>2.0289316296805002E-4</v>
      </c>
      <c r="Q579" s="123">
        <v>0.35433595786213717</v>
      </c>
      <c r="R579" s="90">
        <v>0.88556481993249858</v>
      </c>
    </row>
    <row r="580" spans="1:18" x14ac:dyDescent="0.25">
      <c r="A580" s="194">
        <v>-3.089040696168497E-2</v>
      </c>
      <c r="B580" s="195">
        <v>1.9509132628341946E-2</v>
      </c>
      <c r="C580" s="195">
        <v>0.99770858268955764</v>
      </c>
      <c r="D580" s="196">
        <v>-5.6945241499402749E-2</v>
      </c>
      <c r="F580" s="123">
        <f>INDEX(A580:D588,,F574)</f>
        <v>-3.089040696168497E-2</v>
      </c>
      <c r="G580" s="90">
        <f>INDEX(A575:D583,,G574)</f>
        <v>0.99770858268955764</v>
      </c>
      <c r="I580" s="123">
        <f t="shared" si="188"/>
        <v>-0.99446819873014736</v>
      </c>
      <c r="J580" s="37">
        <f t="shared" si="189"/>
        <v>-6.1639248296892712E-2</v>
      </c>
      <c r="K580" s="37">
        <f t="shared" si="190"/>
        <v>0.98516760135497794</v>
      </c>
      <c r="L580" s="90">
        <f t="shared" si="187"/>
        <v>6.1298272224891197E-2</v>
      </c>
      <c r="N580" s="91">
        <f>SIN(O577)</f>
        <v>-2.0289316296805002E-4</v>
      </c>
      <c r="O580" s="93">
        <f>N579</f>
        <v>0.99999997941718199</v>
      </c>
      <c r="Q580" s="123">
        <v>-3.1092834575935598E-2</v>
      </c>
      <c r="R580" s="90">
        <v>0.9977022947015296</v>
      </c>
    </row>
    <row r="581" spans="1:18" x14ac:dyDescent="0.25">
      <c r="A581" s="194">
        <v>0.96201173454138866</v>
      </c>
      <c r="B581" s="195">
        <v>-2.1447333584606831E-2</v>
      </c>
      <c r="C581" s="195">
        <v>0.16687713264562604</v>
      </c>
      <c r="D581" s="196">
        <v>0.21500106298982161</v>
      </c>
      <c r="F581" s="123">
        <f>INDEX(A581:D589,,F574)</f>
        <v>0.96201173454138866</v>
      </c>
      <c r="G581" s="90">
        <f>INDEX(A575:D583,,G574)</f>
        <v>0.16687713264562604</v>
      </c>
      <c r="I581" s="123">
        <f t="shared" si="188"/>
        <v>0.89761859999530536</v>
      </c>
      <c r="J581" s="37">
        <f t="shared" si="189"/>
        <v>0.32107551966342418</v>
      </c>
      <c r="K581" s="37">
        <f t="shared" si="190"/>
        <v>0.7026296617303941</v>
      </c>
      <c r="L581" s="90">
        <f t="shared" si="187"/>
        <v>0.28820335845304795</v>
      </c>
      <c r="Q581" s="123">
        <v>0.96197785651120671</v>
      </c>
      <c r="R581" s="90">
        <v>0.16707231481445789</v>
      </c>
    </row>
    <row r="582" spans="1:18" x14ac:dyDescent="0.25">
      <c r="A582" s="194">
        <v>0.67597020179806155</v>
      </c>
      <c r="B582" s="195">
        <v>-0.22030367404573184</v>
      </c>
      <c r="C582" s="195">
        <v>0.56743142274738412</v>
      </c>
      <c r="D582" s="196">
        <v>0.41539397920759463</v>
      </c>
      <c r="F582" s="123">
        <f>INDEX(A582:D590,,F574)</f>
        <v>0.67597020179806155</v>
      </c>
      <c r="G582" s="90">
        <f>INDEX(A575:D583,,G574)</f>
        <v>0.56743142274738412</v>
      </c>
      <c r="I582" s="123">
        <f t="shared" si="188"/>
        <v>0.13495729419779151</v>
      </c>
      <c r="J582" s="37">
        <f t="shared" si="189"/>
        <v>0.76713346668222082</v>
      </c>
      <c r="K582" s="37">
        <f t="shared" si="190"/>
        <v>-0.57028028444669276</v>
      </c>
      <c r="L582" s="90">
        <f t="shared" si="187"/>
        <v>0.10353025695200417</v>
      </c>
      <c r="Q582" s="123">
        <v>0.67585505992856121</v>
      </c>
      <c r="R582" s="90">
        <v>0.56756856080036133</v>
      </c>
    </row>
    <row r="583" spans="1:18" x14ac:dyDescent="0.25">
      <c r="A583" s="200">
        <v>7.124693835001826E-2</v>
      </c>
      <c r="B583" s="201">
        <v>-0.92475734003687704</v>
      </c>
      <c r="C583" s="201">
        <v>-0.20640910345462588</v>
      </c>
      <c r="D583" s="202">
        <v>0.31167774677497634</v>
      </c>
      <c r="F583" s="91">
        <f>INDEX(A583:D591,,F574)</f>
        <v>7.124693835001826E-2</v>
      </c>
      <c r="G583" s="93">
        <f>INDEX(A575:D583,,G574)</f>
        <v>-0.20640910345462588</v>
      </c>
      <c r="I583" s="91">
        <f t="shared" si="188"/>
        <v>-3.7528591764691144E-2</v>
      </c>
      <c r="J583" s="92">
        <f t="shared" si="189"/>
        <v>-2.9412033337428541E-2</v>
      </c>
      <c r="K583" s="92">
        <f t="shared" si="190"/>
        <v>5.4332749479883615E-4</v>
      </c>
      <c r="L583" s="93">
        <f t="shared" si="187"/>
        <v>1.103792192089842E-3</v>
      </c>
      <c r="Q583" s="91">
        <v>7.1288815879420792E-2</v>
      </c>
      <c r="R583" s="93">
        <v>-0.20639464368947125</v>
      </c>
    </row>
    <row r="584" spans="1:18" x14ac:dyDescent="0.25">
      <c r="I584">
        <f>SUM(I575:I583)</f>
        <v>0.81454617170568955</v>
      </c>
      <c r="J584">
        <f>SUM(J575:J583)</f>
        <v>1.9135508053345971</v>
      </c>
      <c r="K584">
        <f>SUM(K575:K583)</f>
        <v>2.3969972115301315</v>
      </c>
      <c r="L584">
        <f>SUM(L575:L583)</f>
        <v>0.34415663052607676</v>
      </c>
    </row>
    <row r="585" spans="1:18" x14ac:dyDescent="0.25">
      <c r="A585" s="47" t="s">
        <v>53</v>
      </c>
      <c r="B585">
        <f>COUNT(A575:A583)</f>
        <v>9</v>
      </c>
      <c r="I585" s="47" t="s">
        <v>462</v>
      </c>
      <c r="J585" s="47" t="s">
        <v>389</v>
      </c>
      <c r="K585" s="47" t="s">
        <v>469</v>
      </c>
      <c r="L585" s="47" t="s">
        <v>470</v>
      </c>
      <c r="N585" s="47"/>
    </row>
    <row r="587" spans="1:18" x14ac:dyDescent="0.25">
      <c r="A587">
        <v>1</v>
      </c>
      <c r="B587">
        <v>2</v>
      </c>
      <c r="C587">
        <v>3</v>
      </c>
      <c r="D587">
        <v>4</v>
      </c>
      <c r="F587">
        <v>1</v>
      </c>
      <c r="G587">
        <v>4</v>
      </c>
      <c r="I587" s="47" t="s">
        <v>207</v>
      </c>
      <c r="J587" s="47" t="s">
        <v>464</v>
      </c>
      <c r="K587" s="47" t="s">
        <v>465</v>
      </c>
      <c r="L587" s="47" t="s">
        <v>466</v>
      </c>
      <c r="Q587">
        <f>F587</f>
        <v>1</v>
      </c>
      <c r="R587">
        <f>G587</f>
        <v>4</v>
      </c>
    </row>
    <row r="588" spans="1:18" x14ac:dyDescent="0.25">
      <c r="A588" s="189">
        <f t="array" ref="A588:A596">IF(A587=$Q574,$Q575:$Q583,IF(A587=$R574,$R575:$R583,A575:A583))</f>
        <v>0.10978163560874449</v>
      </c>
      <c r="B588" s="190">
        <f t="array" ref="B588:B596">IF(B587=$Q574,$Q575:$Q583,IF(B587=$R574,$R575:$R583,B575:B583))</f>
        <v>0.89108030350323009</v>
      </c>
      <c r="C588" s="190">
        <f t="array" ref="C588:C596">IF(C587=$Q574,$Q575:$Q583,IF(C587=$R574,$R575:$R583,C575:C583))</f>
        <v>-0.33938849781165692</v>
      </c>
      <c r="D588" s="191">
        <f t="array" ref="D588:D596">IF(D587=$Q574,$Q575:$Q583,IF(D587=$R574,$R575:$R583,D575:D583))</f>
        <v>0.28060529707189696</v>
      </c>
      <c r="F588" s="156">
        <f>INDEX(A588:D596,,F587)</f>
        <v>0.10978163560874449</v>
      </c>
      <c r="G588" s="158">
        <f>INDEX(A588:D596,,G587)</f>
        <v>0.28060529707189696</v>
      </c>
      <c r="I588" s="156">
        <f>F588^2-G588^2</f>
        <v>-6.668732522787639E-2</v>
      </c>
      <c r="J588" s="157">
        <f>2*F588*G588</f>
        <v>6.161061694606098E-2</v>
      </c>
      <c r="K588" s="157">
        <f>I588^2-J588^2</f>
        <v>6.5133122557430208E-4</v>
      </c>
      <c r="L588" s="158">
        <f t="shared" ref="L588:L596" si="191">I588*J588</f>
        <v>-4.1086472497720806E-3</v>
      </c>
      <c r="N588" t="s">
        <v>390</v>
      </c>
      <c r="O588" s="172">
        <f>L597*B598-2*I597*J597</f>
        <v>-6.1227509843951644E-2</v>
      </c>
      <c r="Q588" s="156">
        <f t="array" ref="Q588:R596">MMULT(F588:G596,N592:O593)</f>
        <v>0.10959457320029248</v>
      </c>
      <c r="R588" s="158">
        <v>0.28067840990497367</v>
      </c>
    </row>
    <row r="589" spans="1:18" x14ac:dyDescent="0.25">
      <c r="A589" s="194">
        <v>0.79439629569939496</v>
      </c>
      <c r="B589" s="195">
        <v>-0.60137727511326633</v>
      </c>
      <c r="C589" s="195">
        <v>8.2771418702588209E-2</v>
      </c>
      <c r="D589" s="196">
        <v>-2.0707259654118636E-2</v>
      </c>
      <c r="F589" s="123">
        <f>INDEX(A589:D597,,F587)</f>
        <v>0.79439629569939496</v>
      </c>
      <c r="G589" s="90">
        <f>INDEX(A588:D596,,G587)</f>
        <v>-2.0707259654118636E-2</v>
      </c>
      <c r="I589" s="123">
        <f t="shared" ref="I589:I596" si="192">F589^2-G589^2</f>
        <v>0.63063668401853745</v>
      </c>
      <c r="J589" s="37">
        <f t="shared" ref="J589:J596" si="193">2*F589*G589</f>
        <v>-3.2899540726634757E-2</v>
      </c>
      <c r="K589" s="37">
        <f t="shared" ref="K589:K596" si="194">I589^2-J589^2</f>
        <v>0.39662024744987312</v>
      </c>
      <c r="L589" s="90">
        <f t="shared" si="191"/>
        <v>-2.0747657269577769E-2</v>
      </c>
      <c r="N589" t="s">
        <v>392</v>
      </c>
      <c r="O589" s="173">
        <f>K597*B598-(I597^2-J597^2)</f>
        <v>22.964210058791441</v>
      </c>
      <c r="Q589" s="123">
        <v>0.79440992169284852</v>
      </c>
      <c r="R589" s="90">
        <v>-2.0177748617374484E-2</v>
      </c>
    </row>
    <row r="590" spans="1:18" x14ac:dyDescent="0.25">
      <c r="A590" s="194">
        <v>0.98386321979052571</v>
      </c>
      <c r="B590" s="195">
        <v>0.11809807200432111</v>
      </c>
      <c r="C590" s="195">
        <v>0.11396595668173569</v>
      </c>
      <c r="D590" s="196">
        <v>7.1258479143876979E-2</v>
      </c>
      <c r="F590" s="123">
        <f>INDEX(A590:D598,,F587)</f>
        <v>0.98386321979052571</v>
      </c>
      <c r="G590" s="90">
        <f>INDEX(A588:D596,,G587)</f>
        <v>7.1258479143876979E-2</v>
      </c>
      <c r="I590" s="123">
        <f t="shared" si="192"/>
        <v>0.962909064406682</v>
      </c>
      <c r="J590" s="37">
        <f t="shared" si="193"/>
        <v>0.14021719345574166</v>
      </c>
      <c r="K590" s="37">
        <f t="shared" si="194"/>
        <v>0.9075330049759468</v>
      </c>
      <c r="L590" s="90">
        <f t="shared" si="191"/>
        <v>0.13501640656419894</v>
      </c>
      <c r="N590" t="s">
        <v>467</v>
      </c>
      <c r="O590" s="174">
        <f>0.25*ATAN(O588/O589)</f>
        <v>-6.6655204560878319E-4</v>
      </c>
      <c r="Q590" s="123">
        <v>0.98381550374791404</v>
      </c>
      <c r="R590" s="90">
        <v>7.191425930729449E-2</v>
      </c>
    </row>
    <row r="591" spans="1:18" x14ac:dyDescent="0.25">
      <c r="A591" s="194">
        <v>4.9815015611387459E-2</v>
      </c>
      <c r="B591" s="195">
        <v>1.1155969065365576E-3</v>
      </c>
      <c r="C591" s="195">
        <v>7.9345656546482998E-2</v>
      </c>
      <c r="D591" s="196">
        <v>0.9956010679234869</v>
      </c>
      <c r="F591" s="123">
        <f>INDEX(A591:D599,,F587)</f>
        <v>4.9815015611387459E-2</v>
      </c>
      <c r="G591" s="90">
        <f>INDEX(A588:D596,,G587)</f>
        <v>0.9956010679234869</v>
      </c>
      <c r="I591" s="123">
        <f t="shared" si="192"/>
        <v>-0.98873995067002474</v>
      </c>
      <c r="J591" s="37">
        <f t="shared" si="193"/>
        <v>9.919176548264505E-2</v>
      </c>
      <c r="K591" s="37">
        <f t="shared" si="194"/>
        <v>0.96776768371139887</v>
      </c>
      <c r="L591" s="90">
        <f t="shared" si="191"/>
        <v>-9.8074861310183128E-2</v>
      </c>
      <c r="Q591" s="123">
        <v>4.9151384665896081E-2</v>
      </c>
      <c r="R591" s="90">
        <v>0.99563405105298375</v>
      </c>
    </row>
    <row r="592" spans="1:18" x14ac:dyDescent="0.25">
      <c r="A592" s="194">
        <v>0.35433595786213717</v>
      </c>
      <c r="B592" s="195">
        <v>-0.11267066033258503</v>
      </c>
      <c r="C592" s="195">
        <v>0.88556481993249858</v>
      </c>
      <c r="D592" s="196">
        <v>0.27843545206037079</v>
      </c>
      <c r="F592" s="123">
        <f>INDEX(A592:D600,,F587)</f>
        <v>0.35433595786213717</v>
      </c>
      <c r="G592" s="90">
        <f>INDEX(A588:D596,,G587)</f>
        <v>0.27843545206037079</v>
      </c>
      <c r="I592" s="123">
        <f t="shared" si="192"/>
        <v>4.802767007001521E-2</v>
      </c>
      <c r="J592" s="37">
        <f t="shared" si="193"/>
        <v>0.19731938521717732</v>
      </c>
      <c r="K592" s="37">
        <f t="shared" si="194"/>
        <v>-3.6628282690130583E-2</v>
      </c>
      <c r="L592" s="90">
        <f t="shared" si="191"/>
        <v>9.4767903316288291E-3</v>
      </c>
      <c r="N592" s="156">
        <f>COS(O590)</f>
        <v>0.99999977785419347</v>
      </c>
      <c r="O592" s="158">
        <f>-N593</f>
        <v>6.6655199625153519E-4</v>
      </c>
      <c r="Q592" s="123">
        <v>0.35415028744149202</v>
      </c>
      <c r="R592" s="90">
        <v>0.27867157354715943</v>
      </c>
    </row>
    <row r="593" spans="1:18" x14ac:dyDescent="0.25">
      <c r="A593" s="194">
        <v>-3.1092834575935598E-2</v>
      </c>
      <c r="B593" s="195">
        <v>1.9509132628341946E-2</v>
      </c>
      <c r="C593" s="195">
        <v>0.9977022947015296</v>
      </c>
      <c r="D593" s="196">
        <v>-5.6945241499402749E-2</v>
      </c>
      <c r="F593" s="123">
        <f>INDEX(A593:D601,,F587)</f>
        <v>-3.1092834575935598E-2</v>
      </c>
      <c r="G593" s="90">
        <f>INDEX(A588:D596,,G587)</f>
        <v>-5.6945241499402749E-2</v>
      </c>
      <c r="I593" s="123">
        <f t="shared" si="192"/>
        <v>-2.2759961674588044E-3</v>
      </c>
      <c r="J593" s="37">
        <f t="shared" si="193"/>
        <v>3.541177947655265E-3</v>
      </c>
      <c r="K593" s="37">
        <f t="shared" si="194"/>
        <v>-7.3597827026727885E-6</v>
      </c>
      <c r="L593" s="90">
        <f t="shared" si="191"/>
        <v>-8.0597074371530172E-6</v>
      </c>
      <c r="N593" s="91">
        <f>SIN(O590)</f>
        <v>-6.6655199625153519E-4</v>
      </c>
      <c r="O593" s="93">
        <f>N592</f>
        <v>0.99999977785419347</v>
      </c>
      <c r="Q593" s="123">
        <v>-3.1054870704394333E-2</v>
      </c>
      <c r="R593" s="90">
        <v>-5.6965953840211851E-2</v>
      </c>
    </row>
    <row r="594" spans="1:18" x14ac:dyDescent="0.25">
      <c r="A594" s="194">
        <v>0.96197785651120671</v>
      </c>
      <c r="B594" s="195">
        <v>-2.1447333584606831E-2</v>
      </c>
      <c r="C594" s="195">
        <v>0.16707231481445789</v>
      </c>
      <c r="D594" s="196">
        <v>0.21500106298982161</v>
      </c>
      <c r="F594" s="123">
        <f>INDEX(A594:D602,,F587)</f>
        <v>0.96197785651120671</v>
      </c>
      <c r="G594" s="90">
        <f>INDEX(A588:D596,,G587)</f>
        <v>0.21500106298982161</v>
      </c>
      <c r="I594" s="123">
        <f t="shared" si="192"/>
        <v>0.87917593933114246</v>
      </c>
      <c r="J594" s="37">
        <f t="shared" si="193"/>
        <v>0.41365252344515907</v>
      </c>
      <c r="K594" s="37">
        <f t="shared" si="194"/>
        <v>0.60184192214624888</v>
      </c>
      <c r="L594" s="90">
        <f t="shared" si="191"/>
        <v>0.36367334585659516</v>
      </c>
      <c r="Q594" s="123">
        <v>0.96183433342412783</v>
      </c>
      <c r="R594" s="90">
        <v>0.21564222348884438</v>
      </c>
    </row>
    <row r="595" spans="1:18" x14ac:dyDescent="0.25">
      <c r="A595" s="194">
        <v>0.67585505992856121</v>
      </c>
      <c r="B595" s="195">
        <v>-0.22030367404573184</v>
      </c>
      <c r="C595" s="195">
        <v>0.56756856080036133</v>
      </c>
      <c r="D595" s="196">
        <v>0.41539397920759463</v>
      </c>
      <c r="F595" s="123">
        <f>INDEX(A595:D603,,F587)</f>
        <v>0.67585505992856121</v>
      </c>
      <c r="G595" s="90">
        <f>INDEX(A588:D596,,G587)</f>
        <v>0.41539397920759463</v>
      </c>
      <c r="I595" s="123">
        <f t="shared" si="192"/>
        <v>0.28422790406911946</v>
      </c>
      <c r="J595" s="37">
        <f t="shared" si="193"/>
        <v>0.56149224542262477</v>
      </c>
      <c r="K595" s="37">
        <f t="shared" si="194"/>
        <v>-0.23448804021821651</v>
      </c>
      <c r="L595" s="90">
        <f t="shared" si="191"/>
        <v>0.15959176406753628</v>
      </c>
      <c r="Q595" s="123">
        <v>0.67557802810412215</v>
      </c>
      <c r="R595" s="90">
        <v>0.41584437946893615</v>
      </c>
    </row>
    <row r="596" spans="1:18" x14ac:dyDescent="0.25">
      <c r="A596" s="200">
        <v>7.1288815879420792E-2</v>
      </c>
      <c r="B596" s="201">
        <v>-0.92475734003687704</v>
      </c>
      <c r="C596" s="201">
        <v>-0.20639464368947125</v>
      </c>
      <c r="D596" s="202">
        <v>0.31167774677497634</v>
      </c>
      <c r="F596" s="91">
        <f>INDEX(A596:D604,,F587)</f>
        <v>7.1288815879420792E-2</v>
      </c>
      <c r="G596" s="93">
        <f>INDEX(A588:D596,,G587)</f>
        <v>0.31167774677497634</v>
      </c>
      <c r="I596" s="91">
        <f t="shared" si="192"/>
        <v>-9.2060922565236319E-2</v>
      </c>
      <c r="J596" s="92">
        <f t="shared" si="193"/>
        <v>4.443827500710805E-2</v>
      </c>
      <c r="K596" s="92">
        <f t="shared" si="194"/>
        <v>6.5004531779550732E-3</v>
      </c>
      <c r="L596" s="93">
        <f t="shared" si="191"/>
        <v>-4.0910285943620509E-3</v>
      </c>
      <c r="Q596" s="91">
        <v>7.108105061860924E-2</v>
      </c>
      <c r="R596" s="93">
        <v>0.31172519523960679</v>
      </c>
    </row>
    <row r="597" spans="1:18" x14ac:dyDescent="0.25">
      <c r="I597">
        <f>SUM(I588:I596)</f>
        <v>1.6552130672649006</v>
      </c>
      <c r="J597">
        <f>SUM(J588:J596)</f>
        <v>1.4885636421975372</v>
      </c>
      <c r="K597">
        <f>SUM(K588:K596)</f>
        <v>2.609790959995947</v>
      </c>
      <c r="L597">
        <f>SUM(L588:L596)</f>
        <v>0.540728052688627</v>
      </c>
    </row>
    <row r="598" spans="1:18" x14ac:dyDescent="0.25">
      <c r="A598" s="47" t="s">
        <v>53</v>
      </c>
      <c r="B598">
        <f>COUNT(A588:A596)</f>
        <v>9</v>
      </c>
      <c r="I598" s="47" t="s">
        <v>462</v>
      </c>
      <c r="J598" s="47" t="s">
        <v>389</v>
      </c>
      <c r="K598" s="47" t="s">
        <v>469</v>
      </c>
      <c r="L598" s="47" t="s">
        <v>470</v>
      </c>
      <c r="N598" s="47"/>
    </row>
    <row r="600" spans="1:18" x14ac:dyDescent="0.25">
      <c r="A600">
        <v>1</v>
      </c>
      <c r="B600">
        <v>2</v>
      </c>
      <c r="C600">
        <v>3</v>
      </c>
      <c r="D600">
        <v>4</v>
      </c>
      <c r="F600">
        <v>2</v>
      </c>
      <c r="G600">
        <v>3</v>
      </c>
      <c r="I600" s="47" t="s">
        <v>207</v>
      </c>
      <c r="J600" s="47" t="s">
        <v>464</v>
      </c>
      <c r="K600" s="47" t="s">
        <v>465</v>
      </c>
      <c r="L600" s="47" t="s">
        <v>466</v>
      </c>
      <c r="Q600">
        <f>F600</f>
        <v>2</v>
      </c>
      <c r="R600">
        <f>G600</f>
        <v>3</v>
      </c>
    </row>
    <row r="601" spans="1:18" x14ac:dyDescent="0.25">
      <c r="A601" s="189">
        <f t="array" ref="A601:A609">IF(A600=$Q587,$Q588:$Q596,IF(A600=$R587,$R588:$R596,A588:A596))</f>
        <v>0.10959457320029248</v>
      </c>
      <c r="B601" s="190">
        <f t="array" ref="B601:B609">IF(B600=$Q587,$Q588:$Q596,IF(B600=$R587,$R588:$R596,B588:B596))</f>
        <v>0.89108030350323009</v>
      </c>
      <c r="C601" s="190">
        <f t="array" ref="C601:C609">IF(C600=$Q587,$Q588:$Q596,IF(C600=$R587,$R588:$R596,C588:C596))</f>
        <v>-0.33938849781165692</v>
      </c>
      <c r="D601" s="191">
        <f t="array" ref="D601:D609">IF(D600=$Q587,$Q588:$Q596,IF(D600=$R587,$R588:$R596,D588:D596))</f>
        <v>0.28067840990497367</v>
      </c>
      <c r="F601" s="156">
        <f>INDEX(A601:D609,,F600)</f>
        <v>0.89108030350323009</v>
      </c>
      <c r="G601" s="158">
        <f>INDEX(A601:D609,,G600)</f>
        <v>-0.33938849781165692</v>
      </c>
      <c r="I601" s="156">
        <f>F601^2-G601^2</f>
        <v>0.6788395548445556</v>
      </c>
      <c r="J601" s="157">
        <f>2*F601*G601</f>
        <v>-0.60484481127103318</v>
      </c>
      <c r="K601" s="157">
        <f>I601^2-J601^2</f>
        <v>9.49858955000627E-2</v>
      </c>
      <c r="L601" s="158">
        <f t="shared" ref="L601:L609" si="195">I601*J601</f>
        <v>-0.41059258243326741</v>
      </c>
      <c r="N601" t="s">
        <v>390</v>
      </c>
      <c r="O601" s="172">
        <f>L610*B611-2*I610*J610</f>
        <v>0.10974280232777867</v>
      </c>
      <c r="Q601" s="156">
        <f t="array" ref="Q601:R609">MMULT(F601:G609,N605:O606)</f>
        <v>0.89063603040029271</v>
      </c>
      <c r="R601" s="158">
        <v>-0.34055267006892009</v>
      </c>
    </row>
    <row r="602" spans="1:18" x14ac:dyDescent="0.25">
      <c r="A602" s="194">
        <v>0.79440992169284852</v>
      </c>
      <c r="B602" s="195">
        <v>-0.60137727511326633</v>
      </c>
      <c r="C602" s="195">
        <v>8.2771418702588209E-2</v>
      </c>
      <c r="D602" s="196">
        <v>-2.0177748617374484E-2</v>
      </c>
      <c r="F602" s="123">
        <f>INDEX(A602:D610,,F600)</f>
        <v>-0.60137727511326633</v>
      </c>
      <c r="G602" s="90">
        <f>INDEX(A601:D609,,G600)</f>
        <v>8.2771418702588209E-2</v>
      </c>
      <c r="I602" s="123">
        <f t="shared" ref="I602:I609" si="196">F602^2-G602^2</f>
        <v>0.35480351926861803</v>
      </c>
      <c r="J602" s="37">
        <f t="shared" ref="J602:J609" si="197">2*F602*G602</f>
        <v>-9.9553700473243495E-2</v>
      </c>
      <c r="K602" s="37">
        <f t="shared" ref="K602:K609" si="198">I602^2-J602^2</f>
        <v>0.11597459800748033</v>
      </c>
      <c r="L602" s="90">
        <f t="shared" si="195"/>
        <v>-3.5322003284120676E-2</v>
      </c>
      <c r="N602" t="s">
        <v>392</v>
      </c>
      <c r="O602" s="173">
        <f>K610*B611-(I610^2-J610^2)</f>
        <v>20.994400654103565</v>
      </c>
      <c r="Q602" s="123">
        <v>-0.60126859608794081</v>
      </c>
      <c r="R602" s="90">
        <v>8.3557226708005708E-2</v>
      </c>
    </row>
    <row r="603" spans="1:18" x14ac:dyDescent="0.25">
      <c r="A603" s="194">
        <v>0.98381550374791404</v>
      </c>
      <c r="B603" s="195">
        <v>0.11809807200432111</v>
      </c>
      <c r="C603" s="195">
        <v>0.11396595668173569</v>
      </c>
      <c r="D603" s="196">
        <v>7.191425930729449E-2</v>
      </c>
      <c r="F603" s="123">
        <f>INDEX(A603:D611,,F600)</f>
        <v>0.11809807200432111</v>
      </c>
      <c r="G603" s="90">
        <f>INDEX(A601:D609,,G600)</f>
        <v>0.11396595668173569</v>
      </c>
      <c r="I603" s="123">
        <f t="shared" si="196"/>
        <v>9.5891532875455772E-4</v>
      </c>
      <c r="J603" s="37">
        <f t="shared" si="197"/>
        <v>2.6918319516481923E-2</v>
      </c>
      <c r="K603" s="37">
        <f t="shared" si="198"/>
        <v>-7.2367640698369103E-4</v>
      </c>
      <c r="L603" s="90">
        <f t="shared" si="195"/>
        <v>2.5812389208667492E-5</v>
      </c>
      <c r="N603" t="s">
        <v>467</v>
      </c>
      <c r="O603" s="174">
        <f>0.25*ATAN(O601/O602)</f>
        <v>1.3067984722787006E-3</v>
      </c>
      <c r="Q603" s="123">
        <v>0.11824690166067782</v>
      </c>
      <c r="R603" s="90">
        <v>0.11381152903450098</v>
      </c>
    </row>
    <row r="604" spans="1:18" x14ac:dyDescent="0.25">
      <c r="A604" s="194">
        <v>4.9151384665896081E-2</v>
      </c>
      <c r="B604" s="195">
        <v>1.1155969065365576E-3</v>
      </c>
      <c r="C604" s="195">
        <v>7.9345656546482998E-2</v>
      </c>
      <c r="D604" s="196">
        <v>0.99563405105298375</v>
      </c>
      <c r="F604" s="123">
        <f>INDEX(A604:D612,,F600)</f>
        <v>1.1155969065365576E-3</v>
      </c>
      <c r="G604" s="90">
        <f>INDEX(A601:D609,,G600)</f>
        <v>7.9345656546482998E-2</v>
      </c>
      <c r="I604" s="123">
        <f t="shared" si="196"/>
        <v>-6.2944886563345665E-3</v>
      </c>
      <c r="J604" s="37">
        <f t="shared" si="197"/>
        <v>1.7703553798073719E-4</v>
      </c>
      <c r="K604" s="37">
        <f t="shared" si="198"/>
        <v>3.9589245863016405E-5</v>
      </c>
      <c r="L604" s="90">
        <f t="shared" si="195"/>
        <v>-1.1143481855878375E-6</v>
      </c>
      <c r="Q604" s="123">
        <v>1.2192847072168219E-3</v>
      </c>
      <c r="R604" s="90">
        <v>7.9344130936402996E-2</v>
      </c>
    </row>
    <row r="605" spans="1:18" x14ac:dyDescent="0.25">
      <c r="A605" s="194">
        <v>0.35415028744149202</v>
      </c>
      <c r="B605" s="195">
        <v>-0.11267066033258503</v>
      </c>
      <c r="C605" s="195">
        <v>0.88556481993249858</v>
      </c>
      <c r="D605" s="196">
        <v>0.27867157354715943</v>
      </c>
      <c r="F605" s="123">
        <f>INDEX(A605:D613,,F600)</f>
        <v>-0.11267066033258503</v>
      </c>
      <c r="G605" s="90">
        <f>INDEX(A601:D609,,G600)</f>
        <v>0.88556481993249858</v>
      </c>
      <c r="I605" s="123">
        <f t="shared" si="196"/>
        <v>-0.77153037260229795</v>
      </c>
      <c r="J605" s="37">
        <f t="shared" si="197"/>
        <v>-0.19955434605820274</v>
      </c>
      <c r="K605" s="37">
        <f t="shared" si="198"/>
        <v>0.55543717881712384</v>
      </c>
      <c r="L605" s="90">
        <f t="shared" si="195"/>
        <v>0.15396223896869307</v>
      </c>
      <c r="N605" s="156">
        <f>COS(O603)</f>
        <v>0.99999914613899799</v>
      </c>
      <c r="O605" s="158">
        <f>-N606</f>
        <v>-1.3067981003372618E-3</v>
      </c>
      <c r="Q605" s="123">
        <v>-0.11151330970308881</v>
      </c>
      <c r="R605" s="90">
        <v>0.88571130158812039</v>
      </c>
    </row>
    <row r="606" spans="1:18" x14ac:dyDescent="0.25">
      <c r="A606" s="194">
        <v>-3.1054870704394333E-2</v>
      </c>
      <c r="B606" s="195">
        <v>1.9509132628341946E-2</v>
      </c>
      <c r="C606" s="195">
        <v>0.9977022947015296</v>
      </c>
      <c r="D606" s="196">
        <v>-5.6965953840211851E-2</v>
      </c>
      <c r="F606" s="123">
        <f>INDEX(A606:D614,,F600)</f>
        <v>1.9509132628341946E-2</v>
      </c>
      <c r="G606" s="90">
        <f>INDEX(A601:D609,,G600)</f>
        <v>0.9977022947015296</v>
      </c>
      <c r="I606" s="123">
        <f t="shared" si="196"/>
        <v>-0.99502926259678759</v>
      </c>
      <c r="J606" s="37">
        <f t="shared" si="197"/>
        <v>3.892861278186649E-2</v>
      </c>
      <c r="K606" s="37">
        <f t="shared" si="198"/>
        <v>0.98856779653078641</v>
      </c>
      <c r="L606" s="90">
        <f t="shared" si="195"/>
        <v>-3.8735108870256496E-2</v>
      </c>
      <c r="N606" s="91">
        <f>SIN(O603)</f>
        <v>1.3067981003372618E-3</v>
      </c>
      <c r="O606" s="93">
        <f>N605</f>
        <v>0.99999914613899799</v>
      </c>
      <c r="Q606" s="123">
        <v>2.0812911433672497E-2</v>
      </c>
      <c r="R606" s="90">
        <v>0.99767594830499062</v>
      </c>
    </row>
    <row r="607" spans="1:18" x14ac:dyDescent="0.25">
      <c r="A607" s="194">
        <v>0.96183433342412783</v>
      </c>
      <c r="B607" s="195">
        <v>-2.1447333584606831E-2</v>
      </c>
      <c r="C607" s="195">
        <v>0.16707231481445789</v>
      </c>
      <c r="D607" s="196">
        <v>0.21564222348884438</v>
      </c>
      <c r="F607" s="123">
        <f>INDEX(A607:D615,,F600)</f>
        <v>-2.1447333584606831E-2</v>
      </c>
      <c r="G607" s="90">
        <f>INDEX(A601:D609,,G600)</f>
        <v>0.16707231481445789</v>
      </c>
      <c r="I607" s="123">
        <f t="shared" si="196"/>
        <v>-2.7453170259571922E-2</v>
      </c>
      <c r="J607" s="37">
        <f t="shared" si="197"/>
        <v>-7.1665113371562564E-3</v>
      </c>
      <c r="K607" s="37">
        <f t="shared" si="198"/>
        <v>7.0231767255545517E-4</v>
      </c>
      <c r="L607" s="90">
        <f t="shared" si="195"/>
        <v>1.9674345590610314E-4</v>
      </c>
      <c r="Q607" s="123">
        <v>-2.1228985487946602E-2</v>
      </c>
      <c r="R607" s="90">
        <v>0.16710019949270941</v>
      </c>
    </row>
    <row r="608" spans="1:18" x14ac:dyDescent="0.25">
      <c r="A608" s="194">
        <v>0.67557802810412215</v>
      </c>
      <c r="B608" s="195">
        <v>-0.22030367404573184</v>
      </c>
      <c r="C608" s="195">
        <v>0.56756856080036133</v>
      </c>
      <c r="D608" s="196">
        <v>0.41584437946893615</v>
      </c>
      <c r="F608" s="123">
        <f>INDEX(A608:D616,,F600)</f>
        <v>-0.22030367404573184</v>
      </c>
      <c r="G608" s="90">
        <f>INDEX(A601:D609,,G600)</f>
        <v>0.56756856080036133</v>
      </c>
      <c r="I608" s="123">
        <f t="shared" si="196"/>
        <v>-0.27360036241094537</v>
      </c>
      <c r="J608" s="37">
        <f t="shared" si="197"/>
        <v>-0.25007487843433585</v>
      </c>
      <c r="K608" s="37">
        <f t="shared" si="198"/>
        <v>1.2319713487452796E-2</v>
      </c>
      <c r="L608" s="90">
        <f t="shared" si="195"/>
        <v>6.8420577369507393E-2</v>
      </c>
      <c r="Q608" s="123">
        <v>-0.21956178841995089</v>
      </c>
      <c r="R608" s="90">
        <v>0.56785596859844156</v>
      </c>
    </row>
    <row r="609" spans="1:18" x14ac:dyDescent="0.25">
      <c r="A609" s="200">
        <v>7.108105061860924E-2</v>
      </c>
      <c r="B609" s="201">
        <v>-0.92475734003687704</v>
      </c>
      <c r="C609" s="201">
        <v>-0.20639464368947125</v>
      </c>
      <c r="D609" s="202">
        <v>0.31172519523960679</v>
      </c>
      <c r="F609" s="91">
        <f>INDEX(A609:D617,,F600)</f>
        <v>-0.92475734003687704</v>
      </c>
      <c r="G609" s="93">
        <f>INDEX(A601:D609,,G600)</f>
        <v>-0.20639464368947125</v>
      </c>
      <c r="I609" s="91">
        <f t="shared" si="196"/>
        <v>0.8125773890083765</v>
      </c>
      <c r="J609" s="92">
        <f t="shared" si="197"/>
        <v>0.38172992339226886</v>
      </c>
      <c r="K609" s="92">
        <f t="shared" si="198"/>
        <v>0.51456427871460297</v>
      </c>
      <c r="L609" s="93">
        <f t="shared" si="195"/>
        <v>0.31018510445645742</v>
      </c>
      <c r="Q609" s="91">
        <v>-0.92502626655094122</v>
      </c>
      <c r="R609" s="93">
        <v>-0.20518599632190085</v>
      </c>
    </row>
    <row r="610" spans="1:18" x14ac:dyDescent="0.25">
      <c r="I610">
        <f>SUM(I601:I609)</f>
        <v>-0.22672827807563256</v>
      </c>
      <c r="J610">
        <f>SUM(J601:J609)</f>
        <v>-0.71344035634537351</v>
      </c>
      <c r="K610">
        <f>SUM(K601:K609)</f>
        <v>2.2818676915689435</v>
      </c>
      <c r="L610">
        <f>SUM(L601:L609)</f>
        <v>4.8139667703942568E-2</v>
      </c>
    </row>
    <row r="611" spans="1:18" x14ac:dyDescent="0.25">
      <c r="A611" s="47" t="s">
        <v>53</v>
      </c>
      <c r="B611">
        <f>COUNT(A601:A609)</f>
        <v>9</v>
      </c>
      <c r="I611" s="47" t="s">
        <v>462</v>
      </c>
      <c r="J611" s="47" t="s">
        <v>389</v>
      </c>
      <c r="K611" s="47" t="s">
        <v>469</v>
      </c>
      <c r="L611" s="47" t="s">
        <v>470</v>
      </c>
      <c r="N611" s="47"/>
    </row>
    <row r="613" spans="1:18" x14ac:dyDescent="0.25">
      <c r="A613">
        <v>1</v>
      </c>
      <c r="B613">
        <v>2</v>
      </c>
      <c r="C613">
        <v>3</v>
      </c>
      <c r="D613">
        <v>4</v>
      </c>
      <c r="F613">
        <v>2</v>
      </c>
      <c r="G613">
        <v>4</v>
      </c>
      <c r="I613" s="47" t="s">
        <v>207</v>
      </c>
      <c r="J613" s="47" t="s">
        <v>464</v>
      </c>
      <c r="K613" s="47" t="s">
        <v>465</v>
      </c>
      <c r="L613" s="47" t="s">
        <v>466</v>
      </c>
      <c r="Q613">
        <f>F613</f>
        <v>2</v>
      </c>
      <c r="R613">
        <f>G613</f>
        <v>4</v>
      </c>
    </row>
    <row r="614" spans="1:18" x14ac:dyDescent="0.25">
      <c r="A614" s="189">
        <f t="array" ref="A614:A622">IF(A613=$Q600,$Q601:$Q609,IF(A613=$R600,$R601:$R609,A601:A609))</f>
        <v>0.10959457320029248</v>
      </c>
      <c r="B614" s="190">
        <f t="array" ref="B614:B622">IF(B613=$Q600,$Q601:$Q609,IF(B613=$R600,$R601:$R609,B601:B609))</f>
        <v>0.89063603040029271</v>
      </c>
      <c r="C614" s="190">
        <f t="array" ref="C614:C622">IF(C613=$Q600,$Q601:$Q609,IF(C613=$R600,$R601:$R609,C601:C609))</f>
        <v>-0.34055267006892009</v>
      </c>
      <c r="D614" s="191">
        <f t="array" ref="D614:D622">IF(D613=$Q600,$Q601:$Q609,IF(D613=$R600,$R601:$R609,D601:D609))</f>
        <v>0.28067840990497367</v>
      </c>
      <c r="F614" s="156">
        <f>INDEX(A614:D622,,F613)</f>
        <v>0.89063603040029271</v>
      </c>
      <c r="G614" s="158">
        <f>INDEX(A614:D622,,G613)</f>
        <v>0.28067840990497367</v>
      </c>
      <c r="I614" s="156">
        <f>F614^2-G614^2</f>
        <v>0.71445216886040674</v>
      </c>
      <c r="J614" s="157">
        <f>2*F614*G614</f>
        <v>0.4999646096336639</v>
      </c>
      <c r="K614" s="157">
        <f>I614^2-J614^2</f>
        <v>0.26047729070319714</v>
      </c>
      <c r="L614" s="158">
        <f t="shared" ref="L614:L622" si="199">I614*J614</f>
        <v>0.35720079970621776</v>
      </c>
      <c r="N614" t="s">
        <v>390</v>
      </c>
      <c r="O614" s="172">
        <f>L623*B624-2*I623*J623</f>
        <v>-6.3641502938841299E-2</v>
      </c>
      <c r="Q614" s="156">
        <f t="array" ref="Q614:R622">MMULT(F614:G622,N618:O619)</f>
        <v>0.89031895338361389</v>
      </c>
      <c r="R614" s="158">
        <v>0.28168256900256006</v>
      </c>
    </row>
    <row r="615" spans="1:18" x14ac:dyDescent="0.25">
      <c r="A615" s="194">
        <v>0.79440992169284852</v>
      </c>
      <c r="B615" s="195">
        <v>-0.60126859608794081</v>
      </c>
      <c r="C615" s="195">
        <v>8.3557226708005708E-2</v>
      </c>
      <c r="D615" s="196">
        <v>-2.0177748617374484E-2</v>
      </c>
      <c r="F615" s="123">
        <f>INDEX(A615:D623,,F613)</f>
        <v>-0.60126859608794081</v>
      </c>
      <c r="G615" s="90">
        <f>INDEX(A614:D622,,G613)</f>
        <v>-2.0177748617374484E-2</v>
      </c>
      <c r="I615" s="123">
        <f t="shared" ref="I615:I622" si="200">F615^2-G615^2</f>
        <v>0.36111678310229733</v>
      </c>
      <c r="J615" s="37">
        <f t="shared" ref="J615:J622" si="201">2*F615*G615</f>
        <v>2.4264493166768288E-2</v>
      </c>
      <c r="K615" s="37">
        <f t="shared" ref="K615:K622" si="202">I615^2-J615^2</f>
        <v>0.12981656540951153</v>
      </c>
      <c r="L615" s="90">
        <f t="shared" si="199"/>
        <v>8.7623157159910404E-3</v>
      </c>
      <c r="N615" t="s">
        <v>392</v>
      </c>
      <c r="O615" s="173">
        <f>K623*B624-(I623^2-J623^2)</f>
        <v>14.109055953711575</v>
      </c>
      <c r="Q615" s="123">
        <v>-0.6012454600874868</v>
      </c>
      <c r="R615" s="90">
        <v>-2.0855764311470532E-2</v>
      </c>
    </row>
    <row r="616" spans="1:18" x14ac:dyDescent="0.25">
      <c r="A616" s="194">
        <v>0.98381550374791404</v>
      </c>
      <c r="B616" s="195">
        <v>0.11824690166067782</v>
      </c>
      <c r="C616" s="195">
        <v>0.11381152903450098</v>
      </c>
      <c r="D616" s="196">
        <v>7.191425930729449E-2</v>
      </c>
      <c r="F616" s="123">
        <f>INDEX(A616:D624,,F613)</f>
        <v>0.11824690166067782</v>
      </c>
      <c r="G616" s="90">
        <f>INDEX(A614:D622,,G613)</f>
        <v>7.191425930729449E-2</v>
      </c>
      <c r="I616" s="123">
        <f t="shared" si="200"/>
        <v>8.8106690606332173E-3</v>
      </c>
      <c r="J616" s="37">
        <f t="shared" si="201"/>
        <v>1.7007276696620274E-2</v>
      </c>
      <c r="K616" s="37">
        <f t="shared" si="202"/>
        <v>-2.1161957133940357E-4</v>
      </c>
      <c r="L616" s="90">
        <f t="shared" si="199"/>
        <v>1.4984548659654055E-4</v>
      </c>
      <c r="N616" t="s">
        <v>467</v>
      </c>
      <c r="O616" s="174">
        <f>0.25*ATAN(O614/O615)</f>
        <v>-1.1276635291964624E-3</v>
      </c>
      <c r="Q616" s="123">
        <v>0.11816573140756263</v>
      </c>
      <c r="R616" s="90">
        <v>7.2047556273495988E-2</v>
      </c>
    </row>
    <row r="617" spans="1:18" x14ac:dyDescent="0.25">
      <c r="A617" s="194">
        <v>4.9151384665896081E-2</v>
      </c>
      <c r="B617" s="195">
        <v>1.2192847072168219E-3</v>
      </c>
      <c r="C617" s="195">
        <v>7.9344130936402996E-2</v>
      </c>
      <c r="D617" s="196">
        <v>0.99563405105298375</v>
      </c>
      <c r="F617" s="123">
        <f>INDEX(A617:D625,,F613)</f>
        <v>1.2192847072168219E-3</v>
      </c>
      <c r="G617" s="90">
        <f>INDEX(A614:D622,,G613)</f>
        <v>0.99563405105298375</v>
      </c>
      <c r="I617" s="123">
        <f t="shared" si="200"/>
        <v>-0.99128567696097813</v>
      </c>
      <c r="J617" s="37">
        <f t="shared" si="201"/>
        <v>2.4279227448664713E-3</v>
      </c>
      <c r="K617" s="37">
        <f t="shared" si="202"/>
        <v>0.98264139853912968</v>
      </c>
      <c r="L617" s="90">
        <f t="shared" si="199"/>
        <v>-2.4067650417539162E-3</v>
      </c>
      <c r="Q617" s="123">
        <v>9.6543962132590545E-5</v>
      </c>
      <c r="R617" s="90">
        <v>0.99563479295906299</v>
      </c>
    </row>
    <row r="618" spans="1:18" x14ac:dyDescent="0.25">
      <c r="A618" s="194">
        <v>0.35415028744149202</v>
      </c>
      <c r="B618" s="195">
        <v>-0.11151330970308881</v>
      </c>
      <c r="C618" s="195">
        <v>0.88571130158812039</v>
      </c>
      <c r="D618" s="196">
        <v>0.27867157354715943</v>
      </c>
      <c r="F618" s="123">
        <f>INDEX(A618:D626,,F613)</f>
        <v>-0.11151330970308881</v>
      </c>
      <c r="G618" s="90">
        <f>INDEX(A614:D622,,G613)</f>
        <v>0.27867157354715943</v>
      </c>
      <c r="I618" s="123">
        <f t="shared" si="200"/>
        <v>-6.522262766231289E-2</v>
      </c>
      <c r="J618" s="37">
        <f t="shared" si="201"/>
        <v>-6.2151178972822962E-2</v>
      </c>
      <c r="K618" s="37">
        <f t="shared" si="202"/>
        <v>3.9122211146483139E-4</v>
      </c>
      <c r="L618" s="90">
        <f t="shared" si="199"/>
        <v>4.0536632049182021E-3</v>
      </c>
      <c r="N618" s="156">
        <f>COS(O616)</f>
        <v>0.99999936418754987</v>
      </c>
      <c r="O618" s="158">
        <f>-N619</f>
        <v>1.1276632902022818E-3</v>
      </c>
      <c r="Q618" s="123">
        <v>-0.1118274865050502</v>
      </c>
      <c r="R618" s="90">
        <v>0.27854564689858236</v>
      </c>
    </row>
    <row r="619" spans="1:18" x14ac:dyDescent="0.25">
      <c r="A619" s="194">
        <v>-3.1054870704394333E-2</v>
      </c>
      <c r="B619" s="195">
        <v>2.0812911433672497E-2</v>
      </c>
      <c r="C619" s="195">
        <v>0.99767594830499062</v>
      </c>
      <c r="D619" s="196">
        <v>-5.6965953840211851E-2</v>
      </c>
      <c r="F619" s="123">
        <f>INDEX(A619:D627,,F613)</f>
        <v>2.0812911433672497E-2</v>
      </c>
      <c r="G619" s="90">
        <f>INDEX(A614:D622,,G613)</f>
        <v>-5.6965953840211851E-2</v>
      </c>
      <c r="I619" s="123">
        <f t="shared" si="200"/>
        <v>-2.8119426145792521E-3</v>
      </c>
      <c r="J619" s="37">
        <f t="shared" si="201"/>
        <v>-2.3712547040220097E-3</v>
      </c>
      <c r="K619" s="37">
        <f t="shared" si="202"/>
        <v>2.2841723963402916E-6</v>
      </c>
      <c r="L619" s="90">
        <f t="shared" si="199"/>
        <v>6.6678321522610002E-6</v>
      </c>
      <c r="N619" s="91">
        <f>SIN(O616)</f>
        <v>-1.1276632902022818E-3</v>
      </c>
      <c r="O619" s="93">
        <f>N618</f>
        <v>0.99999936418754987</v>
      </c>
      <c r="Q619" s="123">
        <v>2.0877136615501248E-2</v>
      </c>
      <c r="R619" s="90">
        <v>-5.6942447664363183E-2</v>
      </c>
    </row>
    <row r="620" spans="1:18" x14ac:dyDescent="0.25">
      <c r="A620" s="194">
        <v>0.96183433342412783</v>
      </c>
      <c r="B620" s="195">
        <v>-2.1228985487946602E-2</v>
      </c>
      <c r="C620" s="195">
        <v>0.16710019949270941</v>
      </c>
      <c r="D620" s="196">
        <v>0.21564222348884438</v>
      </c>
      <c r="F620" s="123">
        <f>INDEX(A620:D628,,F613)</f>
        <v>-2.1228985487946602E-2</v>
      </c>
      <c r="G620" s="90">
        <f>INDEX(A614:D622,,G613)</f>
        <v>0.21564222348884438</v>
      </c>
      <c r="I620" s="123">
        <f t="shared" si="200"/>
        <v>-4.6050898726365259E-2</v>
      </c>
      <c r="J620" s="37">
        <f t="shared" si="201"/>
        <v>-9.1557312660664296E-3</v>
      </c>
      <c r="K620" s="37">
        <f t="shared" si="202"/>
        <v>2.036857858489523E-3</v>
      </c>
      <c r="L620" s="90">
        <f t="shared" si="199"/>
        <v>4.2162965329944115E-4</v>
      </c>
      <c r="Q620" s="123">
        <v>-2.1472143809539292E-2</v>
      </c>
      <c r="R620" s="90">
        <v>0.21561814723321091</v>
      </c>
    </row>
    <row r="621" spans="1:18" x14ac:dyDescent="0.25">
      <c r="A621" s="194">
        <v>0.67557802810412215</v>
      </c>
      <c r="B621" s="195">
        <v>-0.21956178841995089</v>
      </c>
      <c r="C621" s="195">
        <v>0.56785596859844156</v>
      </c>
      <c r="D621" s="196">
        <v>0.41584437946893615</v>
      </c>
      <c r="F621" s="123">
        <f>INDEX(A621:D629,,F613)</f>
        <v>-0.21956178841995089</v>
      </c>
      <c r="G621" s="90">
        <f>INDEX(A614:D622,,G613)</f>
        <v>0.41584437946893615</v>
      </c>
      <c r="I621" s="123">
        <f t="shared" si="200"/>
        <v>-0.12471916900173728</v>
      </c>
      <c r="J621" s="37">
        <f t="shared" si="201"/>
        <v>-0.18260707132116866</v>
      </c>
      <c r="K621" s="37">
        <f t="shared" si="202"/>
        <v>-1.779047138001047E-2</v>
      </c>
      <c r="L621" s="90">
        <f t="shared" si="199"/>
        <v>2.2774602189017126E-2</v>
      </c>
      <c r="Q621" s="123">
        <v>-0.22003058126099628</v>
      </c>
      <c r="R621" s="90">
        <v>0.41559652330117003</v>
      </c>
    </row>
    <row r="622" spans="1:18" x14ac:dyDescent="0.25">
      <c r="A622" s="200">
        <v>7.108105061860924E-2</v>
      </c>
      <c r="B622" s="201">
        <v>-0.92502626655094122</v>
      </c>
      <c r="C622" s="201">
        <v>-0.20518599632190085</v>
      </c>
      <c r="D622" s="202">
        <v>0.31172519523960679</v>
      </c>
      <c r="F622" s="91">
        <f>INDEX(A622:D630,,F613)</f>
        <v>-0.92502626655094122</v>
      </c>
      <c r="G622" s="93">
        <f>INDEX(A614:D622,,G613)</f>
        <v>0.31172519523960679</v>
      </c>
      <c r="I622" s="91">
        <f t="shared" si="200"/>
        <v>0.75850099646200198</v>
      </c>
      <c r="J622" s="92">
        <f t="shared" si="201"/>
        <v>-0.57670798708471338</v>
      </c>
      <c r="K622" s="92">
        <f t="shared" si="202"/>
        <v>0.24273165926654799</v>
      </c>
      <c r="L622" s="93">
        <f t="shared" si="199"/>
        <v>-0.43743358287135048</v>
      </c>
      <c r="Q622" s="91">
        <v>-0.92537719946702701</v>
      </c>
      <c r="R622" s="93">
        <v>0.31068187887758431</v>
      </c>
    </row>
    <row r="623" spans="1:18" x14ac:dyDescent="0.25">
      <c r="I623">
        <f>SUM(I614:I622)</f>
        <v>0.61279030251936661</v>
      </c>
      <c r="J623">
        <f>SUM(J614:J622)</f>
        <v>-0.28932892110687447</v>
      </c>
      <c r="K623">
        <f>SUM(K614:K622)</f>
        <v>1.6000951871093871</v>
      </c>
      <c r="L623">
        <f>SUM(L614:L622)</f>
        <v>-4.6470824124912047E-2</v>
      </c>
    </row>
    <row r="624" spans="1:18" x14ac:dyDescent="0.25">
      <c r="A624" s="47" t="s">
        <v>53</v>
      </c>
      <c r="B624">
        <f>COUNT(A614:A622)</f>
        <v>9</v>
      </c>
      <c r="I624" s="47" t="s">
        <v>462</v>
      </c>
      <c r="J624" s="47" t="s">
        <v>389</v>
      </c>
      <c r="K624" s="47" t="s">
        <v>469</v>
      </c>
      <c r="L624" s="47" t="s">
        <v>470</v>
      </c>
      <c r="N624" s="47"/>
    </row>
    <row r="626" spans="1:18" x14ac:dyDescent="0.25">
      <c r="A626">
        <v>1</v>
      </c>
      <c r="B626">
        <v>2</v>
      </c>
      <c r="C626">
        <v>3</v>
      </c>
      <c r="D626">
        <v>4</v>
      </c>
      <c r="F626">
        <v>3</v>
      </c>
      <c r="G626">
        <v>4</v>
      </c>
      <c r="I626" s="47" t="s">
        <v>207</v>
      </c>
      <c r="J626" s="47" t="s">
        <v>464</v>
      </c>
      <c r="K626" s="47" t="s">
        <v>465</v>
      </c>
      <c r="L626" s="47" t="s">
        <v>466</v>
      </c>
      <c r="Q626">
        <f>F626</f>
        <v>3</v>
      </c>
      <c r="R626">
        <f>G626</f>
        <v>4</v>
      </c>
    </row>
    <row r="627" spans="1:18" x14ac:dyDescent="0.25">
      <c r="A627" s="189">
        <f t="array" ref="A627:A635">IF(A626=$Q613,$Q614:$Q622,IF(A626=$R613,$R614:$R622,A614:A622))</f>
        <v>0.10959457320029248</v>
      </c>
      <c r="B627" s="190">
        <f t="array" ref="B627:B635">IF(B626=$Q613,$Q614:$Q622,IF(B626=$R613,$R614:$R622,B614:B622))</f>
        <v>0.89031895338361389</v>
      </c>
      <c r="C627" s="190">
        <f t="array" ref="C627:C635">IF(C626=$Q613,$Q614:$Q622,IF(C626=$R613,$R614:$R622,C614:C622))</f>
        <v>-0.34055267006892009</v>
      </c>
      <c r="D627" s="191">
        <f t="array" ref="D627:D635">IF(D626=$Q613,$Q614:$Q622,IF(D626=$R613,$R614:$R622,D614:D622))</f>
        <v>0.28168256900256006</v>
      </c>
      <c r="F627" s="156">
        <f>INDEX(A627:D635,,F626)</f>
        <v>-0.34055267006892009</v>
      </c>
      <c r="G627" s="158">
        <f>INDEX(A627:D635,,G626)</f>
        <v>0.28168256900256006</v>
      </c>
      <c r="I627" s="156">
        <f>F627^2-G627^2</f>
        <v>3.6631051411188748E-2</v>
      </c>
      <c r="J627" s="157">
        <f>2*F627*G627</f>
        <v>-0.19185550197138931</v>
      </c>
      <c r="K627" s="157">
        <f>I627^2-J627^2</f>
        <v>-3.5466699709204616E-2</v>
      </c>
      <c r="L627" s="158">
        <f t="shared" ref="L627:L635" si="203">I627*J627</f>
        <v>-7.0278687562333863E-3</v>
      </c>
      <c r="N627" t="s">
        <v>390</v>
      </c>
      <c r="O627" s="172">
        <f>L636*B637-2*I636*J636</f>
        <v>4.2880791260994089E-2</v>
      </c>
      <c r="Q627" s="156">
        <f t="array" ref="Q627:R635">MMULT(F627:G635,N631:O632)</f>
        <v>-0.3403766446748544</v>
      </c>
      <c r="R627" s="158">
        <v>0.2818952474428057</v>
      </c>
    </row>
    <row r="628" spans="1:18" x14ac:dyDescent="0.25">
      <c r="A628" s="194">
        <v>0.79440992169284852</v>
      </c>
      <c r="B628" s="195">
        <v>-0.6012454600874868</v>
      </c>
      <c r="C628" s="195">
        <v>8.3557226708005708E-2</v>
      </c>
      <c r="D628" s="196">
        <v>-2.0855764311470532E-2</v>
      </c>
      <c r="F628" s="123">
        <f>INDEX(A628:D636,,F626)</f>
        <v>8.3557226708005708E-2</v>
      </c>
      <c r="G628" s="90">
        <f>INDEX(A627:D635,,G626)</f>
        <v>-2.0855764311470532E-2</v>
      </c>
      <c r="I628" s="123">
        <f t="shared" ref="I628:I635" si="204">F628^2-G628^2</f>
        <v>6.5468472301174543E-3</v>
      </c>
      <c r="J628" s="37">
        <f t="shared" ref="J628:J635" si="205">2*F628*G628</f>
        <v>-3.4852996534845558E-3</v>
      </c>
      <c r="K628" s="37">
        <f t="shared" ref="K628:K635" si="206">I628^2-J628^2</f>
        <v>3.0713894979917015E-5</v>
      </c>
      <c r="L628" s="90">
        <f t="shared" si="203"/>
        <v>-2.2817724382544689E-5</v>
      </c>
      <c r="N628" t="s">
        <v>392</v>
      </c>
      <c r="O628" s="173">
        <f>K636*B637-(I636^2-J636^2)</f>
        <v>17.161311671946446</v>
      </c>
      <c r="Q628" s="123">
        <v>8.3544182412940884E-2</v>
      </c>
      <c r="R628" s="90">
        <v>-2.0907956024009834E-2</v>
      </c>
    </row>
    <row r="629" spans="1:18" x14ac:dyDescent="0.25">
      <c r="A629" s="194">
        <v>0.98381550374791404</v>
      </c>
      <c r="B629" s="195">
        <v>0.11816573140756263</v>
      </c>
      <c r="C629" s="195">
        <v>0.11381152903450098</v>
      </c>
      <c r="D629" s="196">
        <v>7.2047556273495988E-2</v>
      </c>
      <c r="F629" s="123">
        <f>INDEX(A629:D637,,F626)</f>
        <v>0.11381152903450098</v>
      </c>
      <c r="G629" s="90">
        <f>INDEX(A627:D635,,G626)</f>
        <v>7.2047556273495988E-2</v>
      </c>
      <c r="I629" s="123">
        <f t="shared" si="204"/>
        <v>7.7622137761884881E-3</v>
      </c>
      <c r="J629" s="37">
        <f t="shared" si="205"/>
        <v>1.6399685085371665E-2</v>
      </c>
      <c r="K629" s="37">
        <f t="shared" si="206"/>
        <v>-2.0869770819211149E-4</v>
      </c>
      <c r="L629" s="90">
        <f t="shared" si="203"/>
        <v>1.2729786149482482E-4</v>
      </c>
      <c r="N629" t="s">
        <v>467</v>
      </c>
      <c r="O629" s="174">
        <f>0.25*ATAN(O627/O628)</f>
        <v>6.2467110381296748E-4</v>
      </c>
      <c r="Q629" s="123">
        <v>0.11385651285265377</v>
      </c>
      <c r="R629" s="90">
        <v>7.1976447447669387E-2</v>
      </c>
    </row>
    <row r="630" spans="1:18" x14ac:dyDescent="0.25">
      <c r="A630" s="194">
        <v>4.9151384665896081E-2</v>
      </c>
      <c r="B630" s="195">
        <v>9.6543962132590545E-5</v>
      </c>
      <c r="C630" s="195">
        <v>7.9344130936402996E-2</v>
      </c>
      <c r="D630" s="196">
        <v>0.99563479295906299</v>
      </c>
      <c r="F630" s="123">
        <f>INDEX(A630:D638,,F626)</f>
        <v>7.9344130936402996E-2</v>
      </c>
      <c r="G630" s="90">
        <f>INDEX(A627:D635,,G626)</f>
        <v>0.99563479295906299</v>
      </c>
      <c r="I630" s="123">
        <f t="shared" si="204"/>
        <v>-0.98499314983658315</v>
      </c>
      <c r="J630" s="37">
        <f t="shared" si="205"/>
        <v>0.15799555475476476</v>
      </c>
      <c r="K630" s="37">
        <f t="shared" si="206"/>
        <v>0.9452489099027277</v>
      </c>
      <c r="L630" s="90">
        <f t="shared" si="203"/>
        <v>-0.15562453913807409</v>
      </c>
      <c r="Q630" s="123">
        <v>7.9966059700472394E-2</v>
      </c>
      <c r="R630" s="90">
        <v>0.99558503472112803</v>
      </c>
    </row>
    <row r="631" spans="1:18" x14ac:dyDescent="0.25">
      <c r="A631" s="194">
        <v>0.35415028744149202</v>
      </c>
      <c r="B631" s="195">
        <v>-0.1118274865050502</v>
      </c>
      <c r="C631" s="195">
        <v>0.88571130158812039</v>
      </c>
      <c r="D631" s="196">
        <v>0.27854564689858236</v>
      </c>
      <c r="F631" s="123">
        <f>INDEX(A631:D639,,F626)</f>
        <v>0.88571130158812039</v>
      </c>
      <c r="G631" s="90">
        <f>INDEX(A627:D635,,G626)</f>
        <v>0.27854564689858236</v>
      </c>
      <c r="I631" s="123">
        <f t="shared" si="204"/>
        <v>0.70689683235477263</v>
      </c>
      <c r="J631" s="37">
        <f t="shared" si="205"/>
        <v>0.49342205493249675</v>
      </c>
      <c r="K631" s="37">
        <f t="shared" si="206"/>
        <v>0.25623780729940371</v>
      </c>
      <c r="L631" s="90">
        <f t="shared" si="203"/>
        <v>0.34879848764576454</v>
      </c>
      <c r="N631" s="156">
        <f>COS(O629)</f>
        <v>0.99999980489301232</v>
      </c>
      <c r="O631" s="158">
        <f>-N632</f>
        <v>-6.2467106318706781E-4</v>
      </c>
      <c r="Q631" s="123">
        <v>0.88588512818505072</v>
      </c>
      <c r="R631" s="90">
        <v>0.27799231433194038</v>
      </c>
    </row>
    <row r="632" spans="1:18" x14ac:dyDescent="0.25">
      <c r="A632" s="194">
        <v>-3.1054870704394333E-2</v>
      </c>
      <c r="B632" s="195">
        <v>2.0877136615501248E-2</v>
      </c>
      <c r="C632" s="195">
        <v>0.99767594830499062</v>
      </c>
      <c r="D632" s="196">
        <v>-5.6942447664363183E-2</v>
      </c>
      <c r="F632" s="123">
        <f>INDEX(A632:D640,,F626)</f>
        <v>0.99767594830499062</v>
      </c>
      <c r="G632" s="90">
        <f>INDEX(A627:D635,,G626)</f>
        <v>-5.6942447664363183E-2</v>
      </c>
      <c r="I632" s="123">
        <f t="shared" si="204"/>
        <v>0.99211485548025358</v>
      </c>
      <c r="J632" s="37">
        <f t="shared" si="205"/>
        <v>-0.11362022094470167</v>
      </c>
      <c r="K632" s="37">
        <f t="shared" si="206"/>
        <v>0.97138233185708156</v>
      </c>
      <c r="L632" s="90">
        <f t="shared" si="203"/>
        <v>-0.11272430908218718</v>
      </c>
      <c r="N632" s="91">
        <f>SIN(O629)</f>
        <v>6.2467106318706781E-4</v>
      </c>
      <c r="O632" s="93">
        <f>N631</f>
        <v>0.99999980489301232</v>
      </c>
      <c r="Q632" s="123">
        <v>0.99764018335211868</v>
      </c>
      <c r="R632" s="90">
        <v>-5.7565655849837596E-2</v>
      </c>
    </row>
    <row r="633" spans="1:18" x14ac:dyDescent="0.25">
      <c r="A633" s="194">
        <v>0.96183433342412783</v>
      </c>
      <c r="B633" s="195">
        <v>-2.1472143809539292E-2</v>
      </c>
      <c r="C633" s="195">
        <v>0.16710019949270941</v>
      </c>
      <c r="D633" s="196">
        <v>0.21561814723321091</v>
      </c>
      <c r="F633" s="123">
        <f>INDEX(A633:D641,,F626)</f>
        <v>0.16710019949270941</v>
      </c>
      <c r="G633" s="90">
        <f>INDEX(A627:D635,,G626)</f>
        <v>0.21561814723321091</v>
      </c>
      <c r="I633" s="123">
        <f t="shared" si="204"/>
        <v>-1.8568708745779337E-2</v>
      </c>
      <c r="J633" s="37">
        <f t="shared" si="205"/>
        <v>7.2059670833835868E-2</v>
      </c>
      <c r="K633" s="37">
        <f t="shared" si="206"/>
        <v>-4.8477992161951936E-3</v>
      </c>
      <c r="L633" s="90">
        <f t="shared" si="203"/>
        <v>-1.3380550400302284E-3</v>
      </c>
      <c r="Q633" s="123">
        <v>0.16723485730756743</v>
      </c>
      <c r="R633" s="90">
        <v>0.21551372250532783</v>
      </c>
    </row>
    <row r="634" spans="1:18" x14ac:dyDescent="0.25">
      <c r="A634" s="194">
        <v>0.67557802810412215</v>
      </c>
      <c r="B634" s="195">
        <v>-0.22003058126099628</v>
      </c>
      <c r="C634" s="195">
        <v>0.56785596859844156</v>
      </c>
      <c r="D634" s="196">
        <v>0.41559652330117003</v>
      </c>
      <c r="F634" s="123">
        <f>INDEX(A634:D642,,F626)</f>
        <v>0.56785596859844156</v>
      </c>
      <c r="G634" s="90">
        <f>INDEX(A627:D635,,G626)</f>
        <v>0.41559652330117003</v>
      </c>
      <c r="I634" s="123">
        <f t="shared" si="204"/>
        <v>0.14973993089285431</v>
      </c>
      <c r="J634" s="37">
        <f t="shared" si="205"/>
        <v>0.47199793257066142</v>
      </c>
      <c r="K634" s="37">
        <f t="shared" si="206"/>
        <v>-0.20036000144718186</v>
      </c>
      <c r="L634" s="90">
        <f t="shared" si="203"/>
        <v>7.0676937804700954E-2</v>
      </c>
      <c r="Q634" s="123">
        <v>0.56811546892784148</v>
      </c>
      <c r="R634" s="90">
        <v>0.41524171902374274</v>
      </c>
    </row>
    <row r="635" spans="1:18" x14ac:dyDescent="0.25">
      <c r="A635" s="200">
        <v>7.108105061860924E-2</v>
      </c>
      <c r="B635" s="201">
        <v>-0.92537719946702701</v>
      </c>
      <c r="C635" s="201">
        <v>-0.20518599632190085</v>
      </c>
      <c r="D635" s="202">
        <v>0.31068187887758431</v>
      </c>
      <c r="F635" s="91">
        <f>INDEX(A635:D643,,F626)</f>
        <v>-0.20518599632190085</v>
      </c>
      <c r="G635" s="93">
        <f>INDEX(A627:D635,,G626)</f>
        <v>0.31068187887758431</v>
      </c>
      <c r="I635" s="91">
        <f t="shared" si="204"/>
        <v>-5.4421936776294866E-2</v>
      </c>
      <c r="J635" s="92">
        <f t="shared" si="205"/>
        <v>-0.12749514171331452</v>
      </c>
      <c r="K635" s="92">
        <f t="shared" si="206"/>
        <v>-1.3293263958015116E-2</v>
      </c>
      <c r="L635" s="93">
        <f t="shared" si="203"/>
        <v>6.9385325416067576E-3</v>
      </c>
      <c r="Q635" s="91">
        <v>-0.20499188230908777</v>
      </c>
      <c r="R635" s="93">
        <v>0.3108099920158523</v>
      </c>
    </row>
    <row r="636" spans="1:18" x14ac:dyDescent="0.25">
      <c r="I636">
        <f>SUM(I627:I635)</f>
        <v>0.84170793578671788</v>
      </c>
      <c r="J636">
        <f>SUM(J627:J635)</f>
        <v>0.77541873389424032</v>
      </c>
      <c r="K636">
        <f>SUM(K627:K635)</f>
        <v>1.9187233009154039</v>
      </c>
      <c r="L636">
        <f>SUM(L627:L635)</f>
        <v>0.14980366611265963</v>
      </c>
    </row>
    <row r="637" spans="1:18" x14ac:dyDescent="0.25">
      <c r="A637" s="47" t="s">
        <v>53</v>
      </c>
      <c r="B637">
        <f>COUNT(A627:A635)</f>
        <v>9</v>
      </c>
      <c r="I637" s="47" t="s">
        <v>462</v>
      </c>
      <c r="J637" s="47" t="s">
        <v>389</v>
      </c>
      <c r="K637" s="47" t="s">
        <v>469</v>
      </c>
      <c r="L637" s="47" t="s">
        <v>470</v>
      </c>
      <c r="N637" s="47"/>
    </row>
    <row r="639" spans="1:18" x14ac:dyDescent="0.25">
      <c r="A639">
        <v>1</v>
      </c>
      <c r="B639">
        <v>2</v>
      </c>
      <c r="C639">
        <v>3</v>
      </c>
      <c r="D639">
        <v>4</v>
      </c>
      <c r="F639">
        <v>1</v>
      </c>
      <c r="G639">
        <v>2</v>
      </c>
      <c r="I639" s="47" t="s">
        <v>207</v>
      </c>
      <c r="J639" s="47" t="s">
        <v>464</v>
      </c>
      <c r="K639" s="47" t="s">
        <v>465</v>
      </c>
      <c r="L639" s="47" t="s">
        <v>466</v>
      </c>
      <c r="Q639">
        <f>F639</f>
        <v>1</v>
      </c>
      <c r="R639">
        <f>G639</f>
        <v>2</v>
      </c>
    </row>
    <row r="640" spans="1:18" x14ac:dyDescent="0.25">
      <c r="A640" s="189">
        <f t="array" ref="A640:A648">IF(A639=$Q626,$Q627:$Q635,IF(A639=$R626,$R627:$R635,A627:A635))</f>
        <v>0.10959457320029248</v>
      </c>
      <c r="B640" s="190">
        <f t="array" ref="B640:B648">IF(B639=$Q626,$Q627:$Q635,IF(B639=$R626,$R627:$R635,B627:B635))</f>
        <v>0.89031895338361389</v>
      </c>
      <c r="C640" s="190">
        <f t="array" ref="C640:C648">IF(C639=$Q626,$Q627:$Q635,IF(C639=$R626,$R627:$R635,C627:C635))</f>
        <v>-0.3403766446748544</v>
      </c>
      <c r="D640" s="191">
        <f t="array" ref="D640:D648">IF(D639=$Q626,$Q627:$Q635,IF(D639=$R626,$R627:$R635,D627:D635))</f>
        <v>0.2818952474428057</v>
      </c>
      <c r="F640" s="156">
        <f>INDEX(A640:D648,,F639)</f>
        <v>0.10959457320029248</v>
      </c>
      <c r="G640" s="158">
        <f>INDEX(A640:D648,,G639)</f>
        <v>0.89031895338361389</v>
      </c>
      <c r="I640" s="156">
        <f>F640^2-G640^2</f>
        <v>-0.78065686827913938</v>
      </c>
      <c r="J640" s="157">
        <f>2*F640*G640</f>
        <v>0.19514825141641651</v>
      </c>
      <c r="K640" s="157">
        <f>I640^2-J640^2</f>
        <v>0.57134230596050861</v>
      </c>
      <c r="L640" s="158">
        <f t="shared" ref="L640:L648" si="207">I640*J640</f>
        <v>-0.15234382280088984</v>
      </c>
      <c r="N640" t="s">
        <v>390</v>
      </c>
      <c r="O640" s="172">
        <f>L649*B650-2*I649*J649</f>
        <v>4.2297553330289173E-2</v>
      </c>
      <c r="Q640" s="156">
        <f t="array" ref="Q640:R648">MMULT(F640:G648,N644:O645)</f>
        <v>0.11006121930548211</v>
      </c>
      <c r="R640" s="158">
        <v>0.89026138702857294</v>
      </c>
    </row>
    <row r="641" spans="1:18" x14ac:dyDescent="0.25">
      <c r="A641" s="194">
        <v>0.79440992169284852</v>
      </c>
      <c r="B641" s="195">
        <v>-0.6012454600874868</v>
      </c>
      <c r="C641" s="195">
        <v>8.3544182412940884E-2</v>
      </c>
      <c r="D641" s="196">
        <v>-2.0907956024009834E-2</v>
      </c>
      <c r="F641" s="123">
        <f>INDEX(A641:D649,,F639)</f>
        <v>0.79440992169284852</v>
      </c>
      <c r="G641" s="90">
        <f>INDEX(A640:D648,,G639)</f>
        <v>-0.6012454600874868</v>
      </c>
      <c r="I641" s="123">
        <f t="shared" ref="I641:I648" si="208">F641^2-G641^2</f>
        <v>0.26959102040822408</v>
      </c>
      <c r="J641" s="37">
        <f t="shared" ref="J641:J648" si="209">2*F641*G641</f>
        <v>-0.95527071773256211</v>
      </c>
      <c r="K641" s="37">
        <f t="shared" ref="K641:K648" si="210">I641^2-J641^2</f>
        <v>-0.83986282587253691</v>
      </c>
      <c r="L641" s="90">
        <f t="shared" si="207"/>
        <v>-0.25753240755961804</v>
      </c>
      <c r="N641" t="s">
        <v>392</v>
      </c>
      <c r="O641" s="173">
        <f>K649*B650-(I649^2-J649^2)</f>
        <v>20.174304049744624</v>
      </c>
      <c r="Q641" s="123">
        <v>0.79409466943486384</v>
      </c>
      <c r="R641" s="90">
        <v>-0.6016617678854006</v>
      </c>
    </row>
    <row r="642" spans="1:18" x14ac:dyDescent="0.25">
      <c r="A642" s="194">
        <v>0.98381550374791404</v>
      </c>
      <c r="B642" s="195">
        <v>0.11816573140756263</v>
      </c>
      <c r="C642" s="195">
        <v>0.11385651285265377</v>
      </c>
      <c r="D642" s="196">
        <v>7.1976447447669387E-2</v>
      </c>
      <c r="F642" s="123">
        <f>INDEX(A642:D650,,F639)</f>
        <v>0.98381550374791404</v>
      </c>
      <c r="G642" s="90">
        <f>INDEX(A640:D648,,G639)</f>
        <v>0.11816573140756263</v>
      </c>
      <c r="I642" s="123">
        <f t="shared" si="208"/>
        <v>0.95392980533567762</v>
      </c>
      <c r="J642" s="37">
        <f t="shared" si="209"/>
        <v>0.23250655714094387</v>
      </c>
      <c r="K642" s="37">
        <f t="shared" si="210"/>
        <v>0.85592277439422881</v>
      </c>
      <c r="L642" s="90">
        <f t="shared" si="207"/>
        <v>0.22179493479272919</v>
      </c>
      <c r="N642" t="s">
        <v>467</v>
      </c>
      <c r="O642" s="174">
        <f>0.25*ATAN(O640/O641)</f>
        <v>5.2415056362803154E-4</v>
      </c>
      <c r="Q642" s="123">
        <v>0.9838773052361075</v>
      </c>
      <c r="R642" s="90">
        <v>0.11765004774831843</v>
      </c>
    </row>
    <row r="643" spans="1:18" x14ac:dyDescent="0.25">
      <c r="A643" s="194">
        <v>4.9151384665896081E-2</v>
      </c>
      <c r="B643" s="195">
        <v>9.6543962132590545E-5</v>
      </c>
      <c r="C643" s="195">
        <v>7.9966059700472394E-2</v>
      </c>
      <c r="D643" s="196">
        <v>0.99558503472112803</v>
      </c>
      <c r="F643" s="123">
        <f>INDEX(A643:D651,,F639)</f>
        <v>4.9151384665896081E-2</v>
      </c>
      <c r="G643" s="90">
        <f>INDEX(A640:D648,,G639)</f>
        <v>9.6543962132590545E-5</v>
      </c>
      <c r="I643" s="123">
        <f t="shared" si="208"/>
        <v>2.41584929383826E-3</v>
      </c>
      <c r="J643" s="37">
        <f t="shared" si="209"/>
        <v>9.4905388398973255E-6</v>
      </c>
      <c r="K643" s="37">
        <f t="shared" si="210"/>
        <v>5.8362377402113485E-6</v>
      </c>
      <c r="L643" s="90">
        <f t="shared" si="207"/>
        <v>2.2927711554510532E-8</v>
      </c>
      <c r="Q643" s="123">
        <v>4.9151428517692414E-2</v>
      </c>
      <c r="R643" s="90">
        <v>7.0781224074566436E-5</v>
      </c>
    </row>
    <row r="644" spans="1:18" x14ac:dyDescent="0.25">
      <c r="A644" s="194">
        <v>0.35415028744149202</v>
      </c>
      <c r="B644" s="195">
        <v>-0.1118274865050502</v>
      </c>
      <c r="C644" s="195">
        <v>0.88588512818505072</v>
      </c>
      <c r="D644" s="196">
        <v>0.27799231433194038</v>
      </c>
      <c r="F644" s="123">
        <f>INDEX(A644:D652,,F639)</f>
        <v>0.35415028744149202</v>
      </c>
      <c r="G644" s="90">
        <f>INDEX(A640:D648,,G639)</f>
        <v>-0.1118274865050502</v>
      </c>
      <c r="I644" s="123">
        <f t="shared" si="208"/>
        <v>0.11291703935685425</v>
      </c>
      <c r="J644" s="37">
        <f t="shared" si="209"/>
        <v>-7.9207472979246199E-2</v>
      </c>
      <c r="K644" s="37">
        <f t="shared" si="210"/>
        <v>6.476434001359355E-3</v>
      </c>
      <c r="L644" s="90">
        <f t="shared" si="207"/>
        <v>-8.9438733437545125E-3</v>
      </c>
      <c r="N644" s="156">
        <f>COS(O642)</f>
        <v>0.99999986263309648</v>
      </c>
      <c r="O644" s="158">
        <f>-N645</f>
        <v>-5.2415053962771797E-4</v>
      </c>
      <c r="Q644" s="123">
        <v>0.35409162435556679</v>
      </c>
      <c r="R644" s="90">
        <v>-0.11201309920792643</v>
      </c>
    </row>
    <row r="645" spans="1:18" x14ac:dyDescent="0.25">
      <c r="A645" s="194">
        <v>-3.1054870704394333E-2</v>
      </c>
      <c r="B645" s="195">
        <v>2.0877136615501248E-2</v>
      </c>
      <c r="C645" s="195">
        <v>0.99764018335211868</v>
      </c>
      <c r="D645" s="196">
        <v>-5.7565655849837596E-2</v>
      </c>
      <c r="F645" s="123">
        <f>INDEX(A645:D653,,F639)</f>
        <v>-3.1054870704394333E-2</v>
      </c>
      <c r="G645" s="90">
        <f>INDEX(A640:D648,,G639)</f>
        <v>2.0877136615501248E-2</v>
      </c>
      <c r="I645" s="123">
        <f t="shared" si="208"/>
        <v>5.2855016120434656E-4</v>
      </c>
      <c r="J645" s="37">
        <f t="shared" si="209"/>
        <v>-1.296673556544736E-3</v>
      </c>
      <c r="K645" s="37">
        <f t="shared" si="210"/>
        <v>-1.401997039333234E-6</v>
      </c>
      <c r="L645" s="90">
        <f t="shared" si="207"/>
        <v>-6.853570173411336E-7</v>
      </c>
      <c r="N645" s="91">
        <f>SIN(O642)</f>
        <v>5.2415053962771797E-4</v>
      </c>
      <c r="O645" s="93">
        <f>N644</f>
        <v>0.99999986263309648</v>
      </c>
      <c r="Q645" s="123">
        <v>-3.1043923676060011E-2</v>
      </c>
      <c r="R645" s="90">
        <v>2.0893411174911416E-2</v>
      </c>
    </row>
    <row r="646" spans="1:18" x14ac:dyDescent="0.25">
      <c r="A646" s="194">
        <v>0.96183433342412783</v>
      </c>
      <c r="B646" s="195">
        <v>-2.1472143809539292E-2</v>
      </c>
      <c r="C646" s="195">
        <v>0.16723485730756743</v>
      </c>
      <c r="D646" s="196">
        <v>0.21551372250532783</v>
      </c>
      <c r="F646" s="123">
        <f>INDEX(A646:D654,,F639)</f>
        <v>0.96183433342412783</v>
      </c>
      <c r="G646" s="90">
        <f>INDEX(A640:D648,,G639)</f>
        <v>-2.1472143809539292E-2</v>
      </c>
      <c r="I646" s="123">
        <f t="shared" si="208"/>
        <v>0.92466423199365877</v>
      </c>
      <c r="J646" s="37">
        <f t="shared" si="209"/>
        <v>-4.1305290256470478E-2</v>
      </c>
      <c r="K646" s="37">
        <f t="shared" si="210"/>
        <v>0.85329781492525147</v>
      </c>
      <c r="L646" s="90">
        <f t="shared" si="207"/>
        <v>-3.8193524492274429E-2</v>
      </c>
      <c r="Q646" s="123">
        <v>0.96182294666415902</v>
      </c>
      <c r="R646" s="90">
        <v>-2.1976286844874109E-2</v>
      </c>
    </row>
    <row r="647" spans="1:18" x14ac:dyDescent="0.25">
      <c r="A647" s="194">
        <v>0.67557802810412215</v>
      </c>
      <c r="B647" s="195">
        <v>-0.22003058126099628</v>
      </c>
      <c r="C647" s="195">
        <v>0.56811546892784148</v>
      </c>
      <c r="D647" s="196">
        <v>0.41524171902374274</v>
      </c>
      <c r="F647" s="123">
        <f>INDEX(A647:D655,,F639)</f>
        <v>0.67557802810412215</v>
      </c>
      <c r="G647" s="90">
        <f>INDEX(A640:D648,,G639)</f>
        <v>-0.22003058126099628</v>
      </c>
      <c r="I647" s="123">
        <f t="shared" si="208"/>
        <v>0.4079922153670022</v>
      </c>
      <c r="J647" s="37">
        <f t="shared" si="209"/>
        <v>-0.29729565242181538</v>
      </c>
      <c r="K647" s="37">
        <f t="shared" si="210"/>
        <v>7.8072942851161439E-2</v>
      </c>
      <c r="L647" s="90">
        <f t="shared" si="207"/>
        <v>-0.12129431185055473</v>
      </c>
      <c r="Q647" s="123">
        <v>0.67546260615415776</v>
      </c>
      <c r="R647" s="90">
        <v>-0.22038465562406806</v>
      </c>
    </row>
    <row r="648" spans="1:18" x14ac:dyDescent="0.25">
      <c r="A648" s="200">
        <v>7.108105061860924E-2</v>
      </c>
      <c r="B648" s="201">
        <v>-0.92537719946702701</v>
      </c>
      <c r="C648" s="201">
        <v>-0.20499188230908777</v>
      </c>
      <c r="D648" s="202">
        <v>0.3108099920158523</v>
      </c>
      <c r="F648" s="91">
        <f>INDEX(A648:D656,,F639)</f>
        <v>7.108105061860924E-2</v>
      </c>
      <c r="G648" s="93">
        <f>INDEX(A640:D648,,G639)</f>
        <v>-0.92537719946702701</v>
      </c>
      <c r="I648" s="91">
        <f t="shared" si="208"/>
        <v>-0.85127044553639264</v>
      </c>
      <c r="J648" s="92">
        <f t="shared" si="209"/>
        <v>-0.1315535671132452</v>
      </c>
      <c r="K648" s="92">
        <f t="shared" si="210"/>
        <v>0.70735503042350933</v>
      </c>
      <c r="L648" s="93">
        <f t="shared" si="207"/>
        <v>0.11198766368839397</v>
      </c>
      <c r="Q648" s="91">
        <v>7.0596003895965584E-2</v>
      </c>
      <c r="R648" s="93">
        <v>-0.92541432952186564</v>
      </c>
    </row>
    <row r="649" spans="1:18" x14ac:dyDescent="0.25">
      <c r="I649">
        <f>SUM(I640:I648)</f>
        <v>1.0401113981009273</v>
      </c>
      <c r="J649">
        <f>SUM(J640:J648)</f>
        <v>-1.078265074963684</v>
      </c>
      <c r="K649">
        <f>SUM(K640:K648)</f>
        <v>2.2326089109241831</v>
      </c>
      <c r="L649">
        <f>SUM(L640:L648)</f>
        <v>-0.24452600399527419</v>
      </c>
    </row>
    <row r="650" spans="1:18" x14ac:dyDescent="0.25">
      <c r="A650" s="47" t="s">
        <v>53</v>
      </c>
      <c r="B650">
        <f>COUNT(A640:A648)</f>
        <v>9</v>
      </c>
      <c r="I650" s="47" t="s">
        <v>462</v>
      </c>
      <c r="J650" s="47" t="s">
        <v>389</v>
      </c>
      <c r="K650" s="47" t="s">
        <v>469</v>
      </c>
      <c r="L650" s="47" t="s">
        <v>470</v>
      </c>
      <c r="N650" s="47"/>
    </row>
    <row r="652" spans="1:18" x14ac:dyDescent="0.25">
      <c r="A652">
        <v>1</v>
      </c>
      <c r="B652">
        <v>2</v>
      </c>
      <c r="C652">
        <v>3</v>
      </c>
      <c r="D652">
        <v>4</v>
      </c>
      <c r="F652">
        <v>1</v>
      </c>
      <c r="G652">
        <v>3</v>
      </c>
      <c r="I652" s="47" t="s">
        <v>207</v>
      </c>
      <c r="J652" s="47" t="s">
        <v>464</v>
      </c>
      <c r="K652" s="47" t="s">
        <v>465</v>
      </c>
      <c r="L652" s="47" t="s">
        <v>466</v>
      </c>
      <c r="Q652">
        <f>F652</f>
        <v>1</v>
      </c>
      <c r="R652">
        <f>G652</f>
        <v>3</v>
      </c>
    </row>
    <row r="653" spans="1:18" x14ac:dyDescent="0.25">
      <c r="A653" s="189">
        <f t="array" ref="A653:A661">IF(A652=$Q639,$Q640:$Q648,IF(A652=$R639,$R640:$R648,A640:A648))</f>
        <v>0.11006121930548211</v>
      </c>
      <c r="B653" s="190">
        <f t="array" ref="B653:B661">IF(B652=$Q639,$Q640:$Q648,IF(B652=$R639,$R640:$R648,B640:B648))</f>
        <v>0.89026138702857294</v>
      </c>
      <c r="C653" s="190">
        <f t="array" ref="C653:C661">IF(C652=$Q639,$Q640:$Q648,IF(C652=$R639,$R640:$R648,C640:C648))</f>
        <v>-0.3403766446748544</v>
      </c>
      <c r="D653" s="191">
        <f t="array" ref="D653:D661">IF(D652=$Q639,$Q640:$Q648,IF(D652=$R639,$R640:$R648,D640:D648))</f>
        <v>0.2818952474428057</v>
      </c>
      <c r="F653" s="156">
        <f>INDEX(A653:D661,,F652)</f>
        <v>0.11006121930548211</v>
      </c>
      <c r="G653" s="158">
        <f>INDEX(A653:D661,,G652)</f>
        <v>-0.3403766446748544</v>
      </c>
      <c r="I653" s="156">
        <f>F653^2-G653^2</f>
        <v>-0.10374278824510266</v>
      </c>
      <c r="J653" s="157">
        <f>2*F653*G653</f>
        <v>-7.4924537072046618E-2</v>
      </c>
      <c r="K653" s="157">
        <f>I653^2-J653^2</f>
        <v>5.1488798574077224E-3</v>
      </c>
      <c r="L653" s="158">
        <f t="shared" ref="L653:L661" si="211">I653*J653</f>
        <v>7.7728803838276765E-3</v>
      </c>
      <c r="N653" t="s">
        <v>390</v>
      </c>
      <c r="O653" s="172">
        <f>L662*B663-2*I662*J662</f>
        <v>-5.4997119275337347E-3</v>
      </c>
      <c r="Q653" s="156">
        <f t="array" ref="Q653:R661">MMULT(F653:G661,N657:O658)</f>
        <v>0.11008026901013279</v>
      </c>
      <c r="R653" s="158">
        <v>-0.34037048433990025</v>
      </c>
    </row>
    <row r="654" spans="1:18" x14ac:dyDescent="0.25">
      <c r="A654" s="194">
        <v>0.79409466943486384</v>
      </c>
      <c r="B654" s="195">
        <v>-0.6016617678854006</v>
      </c>
      <c r="C654" s="195">
        <v>8.3544182412940884E-2</v>
      </c>
      <c r="D654" s="196">
        <v>-2.0907956024009834E-2</v>
      </c>
      <c r="F654" s="123">
        <f>INDEX(A654:D662,,F652)</f>
        <v>0.79409466943486384</v>
      </c>
      <c r="G654" s="90">
        <f>INDEX(A653:D661,,G652)</f>
        <v>8.3544182412940884E-2</v>
      </c>
      <c r="I654" s="123">
        <f t="shared" ref="I654:I661" si="212">F654^2-G654^2</f>
        <v>0.6236067136098189</v>
      </c>
      <c r="J654" s="37">
        <f t="shared" ref="J654:J661" si="213">2*F654*G654</f>
        <v>0.13268397983282051</v>
      </c>
      <c r="K654" s="37">
        <f t="shared" ref="K654:K661" si="214">I654^2-J654^2</f>
        <v>0.37128029475496238</v>
      </c>
      <c r="L654" s="90">
        <f t="shared" si="211"/>
        <v>8.2742620612216683E-2</v>
      </c>
      <c r="N654" t="s">
        <v>392</v>
      </c>
      <c r="O654" s="173">
        <f>K662*B663-(I662^2-J662^2)</f>
        <v>24.566739433518258</v>
      </c>
      <c r="Q654" s="123">
        <v>0.79408999246967227</v>
      </c>
      <c r="R654" s="90">
        <v>8.3588625418941964E-2</v>
      </c>
    </row>
    <row r="655" spans="1:18" x14ac:dyDescent="0.25">
      <c r="A655" s="194">
        <v>0.9838773052361075</v>
      </c>
      <c r="B655" s="195">
        <v>0.11765004774831843</v>
      </c>
      <c r="C655" s="195">
        <v>0.11385651285265377</v>
      </c>
      <c r="D655" s="196">
        <v>7.1976447447669387E-2</v>
      </c>
      <c r="F655" s="123">
        <f>INDEX(A655:D663,,F652)</f>
        <v>0.9838773052361075</v>
      </c>
      <c r="G655" s="90">
        <f>INDEX(A653:D661,,G652)</f>
        <v>0.11385651285265377</v>
      </c>
      <c r="I655" s="123">
        <f t="shared" si="212"/>
        <v>0.95505124623969817</v>
      </c>
      <c r="J655" s="37">
        <f t="shared" si="213"/>
        <v>0.22404167809809847</v>
      </c>
      <c r="K655" s="37">
        <f t="shared" si="214"/>
        <v>0.86192820941898862</v>
      </c>
      <c r="L655" s="90">
        <f t="shared" si="211"/>
        <v>0.21397128387722222</v>
      </c>
      <c r="N655" t="s">
        <v>467</v>
      </c>
      <c r="O655" s="174">
        <f>0.25*ATAN(O653/O654)</f>
        <v>-5.5967051005492386E-5</v>
      </c>
      <c r="Q655" s="123">
        <v>0.98387093148194393</v>
      </c>
      <c r="R655" s="90">
        <v>0.11391157738563332</v>
      </c>
    </row>
    <row r="656" spans="1:18" x14ac:dyDescent="0.25">
      <c r="A656" s="194">
        <v>4.9151428517692414E-2</v>
      </c>
      <c r="B656" s="195">
        <v>7.0781224074566436E-5</v>
      </c>
      <c r="C656" s="195">
        <v>7.9966059700472394E-2</v>
      </c>
      <c r="D656" s="196">
        <v>0.99558503472112803</v>
      </c>
      <c r="F656" s="123">
        <f>INDEX(A656:D664,,F652)</f>
        <v>4.9151428517692414E-2</v>
      </c>
      <c r="G656" s="90">
        <f>INDEX(A653:D661,,G652)</f>
        <v>7.9966059700472394E-2</v>
      </c>
      <c r="I656" s="123">
        <f t="shared" si="212"/>
        <v>-3.978707778689688E-3</v>
      </c>
      <c r="J656" s="37">
        <f t="shared" si="213"/>
        <v>7.8608921344185852E-3</v>
      </c>
      <c r="K656" s="37">
        <f t="shared" si="214"/>
        <v>-4.5963509560758145E-5</v>
      </c>
      <c r="L656" s="90">
        <f t="shared" si="211"/>
        <v>-3.1276192682651806E-5</v>
      </c>
      <c r="Q656" s="123">
        <v>4.914695297617401E-2</v>
      </c>
      <c r="R656" s="90">
        <v>7.996881043573853E-2</v>
      </c>
    </row>
    <row r="657" spans="1:18" x14ac:dyDescent="0.25">
      <c r="A657" s="194">
        <v>0.35409162435556679</v>
      </c>
      <c r="B657" s="195">
        <v>-0.11201309920792643</v>
      </c>
      <c r="C657" s="195">
        <v>0.88588512818505072</v>
      </c>
      <c r="D657" s="196">
        <v>0.27799231433194038</v>
      </c>
      <c r="F657" s="123">
        <f>INDEX(A657:D665,,F652)</f>
        <v>0.35409162435556679</v>
      </c>
      <c r="G657" s="90">
        <f>INDEX(A653:D661,,G652)</f>
        <v>0.88588512818505072</v>
      </c>
      <c r="I657" s="123">
        <f t="shared" si="212"/>
        <v>-0.65941158190067983</v>
      </c>
      <c r="J657" s="37">
        <f t="shared" si="213"/>
        <v>0.62736900806296825</v>
      </c>
      <c r="K657" s="37">
        <f t="shared" si="214"/>
        <v>4.1231762066844257E-2</v>
      </c>
      <c r="L657" s="90">
        <f t="shared" si="211"/>
        <v>-0.41369439004226227</v>
      </c>
      <c r="N657" s="156">
        <f>COS(O655)</f>
        <v>0.99999999843384457</v>
      </c>
      <c r="O657" s="158">
        <f>-N658</f>
        <v>5.5967050976274689E-5</v>
      </c>
      <c r="Q657" s="123">
        <v>0.35404204342287604</v>
      </c>
      <c r="R657" s="90">
        <v>0.88590494426160749</v>
      </c>
    </row>
    <row r="658" spans="1:18" x14ac:dyDescent="0.25">
      <c r="A658" s="194">
        <v>-3.1043923676060011E-2</v>
      </c>
      <c r="B658" s="195">
        <v>2.0893411174911416E-2</v>
      </c>
      <c r="C658" s="195">
        <v>0.99764018335211868</v>
      </c>
      <c r="D658" s="196">
        <v>-5.7565655849837596E-2</v>
      </c>
      <c r="F658" s="123">
        <f>INDEX(A658:D666,,F652)</f>
        <v>-3.1043923676060011E-2</v>
      </c>
      <c r="G658" s="90">
        <f>INDEX(A653:D661,,G652)</f>
        <v>0.99764018335211868</v>
      </c>
      <c r="I658" s="123">
        <f t="shared" si="212"/>
        <v>-0.99432221024164402</v>
      </c>
      <c r="J658" s="37">
        <f t="shared" si="213"/>
        <v>-6.1941331416307373E-2</v>
      </c>
      <c r="K658" s="37">
        <f t="shared" si="214"/>
        <v>0.98483992924220332</v>
      </c>
      <c r="L658" s="90">
        <f t="shared" si="211"/>
        <v>6.1589641559172931E-2</v>
      </c>
      <c r="N658" s="91">
        <f>SIN(O655)</f>
        <v>-5.5967050976274689E-5</v>
      </c>
      <c r="O658" s="93">
        <f>N657</f>
        <v>0.99999999843384457</v>
      </c>
      <c r="Q658" s="123">
        <v>-3.1099758606438051E-2</v>
      </c>
      <c r="R658" s="90">
        <v>0.99763844435280025</v>
      </c>
    </row>
    <row r="659" spans="1:18" x14ac:dyDescent="0.25">
      <c r="A659" s="194">
        <v>0.96182294666415902</v>
      </c>
      <c r="B659" s="195">
        <v>-2.1976286844874109E-2</v>
      </c>
      <c r="C659" s="195">
        <v>0.16723485730756743</v>
      </c>
      <c r="D659" s="196">
        <v>0.21551372250532783</v>
      </c>
      <c r="F659" s="123">
        <f>INDEX(A659:D667,,F652)</f>
        <v>0.96182294666415902</v>
      </c>
      <c r="G659" s="90">
        <f>INDEX(A653:D661,,G652)</f>
        <v>0.16723485730756743</v>
      </c>
      <c r="I659" s="123">
        <f t="shared" si="212"/>
        <v>0.89713588323104321</v>
      </c>
      <c r="J659" s="37">
        <f t="shared" si="213"/>
        <v>0.32170064648104935</v>
      </c>
      <c r="K659" s="37">
        <f t="shared" si="214"/>
        <v>0.70136148703441892</v>
      </c>
      <c r="L659" s="90">
        <f t="shared" si="211"/>
        <v>0.28860919361677378</v>
      </c>
      <c r="Q659" s="123">
        <v>0.96181358551601082</v>
      </c>
      <c r="R659" s="90">
        <v>0.16728868743953776</v>
      </c>
    </row>
    <row r="660" spans="1:18" x14ac:dyDescent="0.25">
      <c r="A660" s="194">
        <v>0.67546260615415776</v>
      </c>
      <c r="B660" s="195">
        <v>-0.22038465562406806</v>
      </c>
      <c r="C660" s="195">
        <v>0.56811546892784148</v>
      </c>
      <c r="D660" s="196">
        <v>0.41524171902374274</v>
      </c>
      <c r="F660" s="123">
        <f>INDEX(A660:D668,,F652)</f>
        <v>0.67546260615415776</v>
      </c>
      <c r="G660" s="90">
        <f>INDEX(A653:D661,,G652)</f>
        <v>0.56811546892784148</v>
      </c>
      <c r="I660" s="123">
        <f t="shared" si="212"/>
        <v>0.1334945462774656</v>
      </c>
      <c r="J660" s="37">
        <f t="shared" si="213"/>
        <v>0.76748151047698254</v>
      </c>
      <c r="K660" s="37">
        <f t="shared" si="214"/>
        <v>-0.57120707503820434</v>
      </c>
      <c r="L660" s="90">
        <f t="shared" si="211"/>
        <v>0.10245459601746874</v>
      </c>
      <c r="Q660" s="123">
        <v>0.67543080934886846</v>
      </c>
      <c r="R660" s="90">
        <v>0.56815327168819552</v>
      </c>
    </row>
    <row r="661" spans="1:18" x14ac:dyDescent="0.25">
      <c r="A661" s="200">
        <v>7.0596003895965584E-2</v>
      </c>
      <c r="B661" s="201">
        <v>-0.92541432952186564</v>
      </c>
      <c r="C661" s="201">
        <v>-0.20499188230908777</v>
      </c>
      <c r="D661" s="202">
        <v>0.3108099920158523</v>
      </c>
      <c r="F661" s="91">
        <f>INDEX(A661:D669,,F652)</f>
        <v>7.0596003895965584E-2</v>
      </c>
      <c r="G661" s="93">
        <f>INDEX(A653:D661,,G652)</f>
        <v>-0.20499188230908777</v>
      </c>
      <c r="I661" s="91">
        <f t="shared" si="212"/>
        <v>-3.7037876046543704E-2</v>
      </c>
      <c r="J661" s="92">
        <f t="shared" si="213"/>
        <v>-2.8943215444267357E-2</v>
      </c>
      <c r="K661" s="92">
        <f t="shared" si="214"/>
        <v>5.3409454178585949E-4</v>
      </c>
      <c r="L661" s="93">
        <f t="shared" si="211"/>
        <v>1.0719952260131837E-3</v>
      </c>
      <c r="Q661" s="91">
        <v>7.0607476576528175E-2</v>
      </c>
      <c r="R661" s="93">
        <v>-0.20498793093788983</v>
      </c>
    </row>
    <row r="662" spans="1:18" x14ac:dyDescent="0.25">
      <c r="I662">
        <f>SUM(I653:I661)</f>
        <v>0.81079522514536595</v>
      </c>
      <c r="J662">
        <f>SUM(J653:J661)</f>
        <v>1.9153286311537165</v>
      </c>
      <c r="K662">
        <f>SUM(K653:K661)</f>
        <v>2.3950716183688461</v>
      </c>
      <c r="L662">
        <f>SUM(L653:L661)</f>
        <v>0.34448654505775028</v>
      </c>
    </row>
    <row r="663" spans="1:18" x14ac:dyDescent="0.25">
      <c r="A663" s="47" t="s">
        <v>53</v>
      </c>
      <c r="B663">
        <f>COUNT(A653:A661)</f>
        <v>9</v>
      </c>
      <c r="I663" s="47" t="s">
        <v>462</v>
      </c>
      <c r="J663" s="47" t="s">
        <v>389</v>
      </c>
      <c r="K663" s="47" t="s">
        <v>469</v>
      </c>
      <c r="L663" s="47" t="s">
        <v>470</v>
      </c>
      <c r="N663" s="47"/>
    </row>
    <row r="665" spans="1:18" x14ac:dyDescent="0.25">
      <c r="A665">
        <v>1</v>
      </c>
      <c r="B665">
        <v>2</v>
      </c>
      <c r="C665">
        <v>3</v>
      </c>
      <c r="D665">
        <v>4</v>
      </c>
      <c r="F665">
        <v>1</v>
      </c>
      <c r="G665">
        <v>4</v>
      </c>
      <c r="I665" s="47" t="s">
        <v>207</v>
      </c>
      <c r="J665" s="47" t="s">
        <v>464</v>
      </c>
      <c r="K665" s="47" t="s">
        <v>465</v>
      </c>
      <c r="L665" s="47" t="s">
        <v>466</v>
      </c>
      <c r="Q665">
        <f>F665</f>
        <v>1</v>
      </c>
      <c r="R665">
        <f>G665</f>
        <v>4</v>
      </c>
    </row>
    <row r="666" spans="1:18" x14ac:dyDescent="0.25">
      <c r="A666" s="189">
        <f t="array" ref="A666:A674">IF(A665=$Q652,$Q653:$Q661,IF(A665=$R652,$R653:$R661,A653:A661))</f>
        <v>0.11008026901013279</v>
      </c>
      <c r="B666" s="190">
        <f t="array" ref="B666:B674">IF(B665=$Q652,$Q653:$Q661,IF(B665=$R652,$R653:$R661,B653:B661))</f>
        <v>0.89026138702857294</v>
      </c>
      <c r="C666" s="190">
        <f t="array" ref="C666:C674">IF(C665=$Q652,$Q653:$Q661,IF(C665=$R652,$R653:$R661,C653:C661))</f>
        <v>-0.34037048433990025</v>
      </c>
      <c r="D666" s="191">
        <f t="array" ref="D666:D674">IF(D665=$Q652,$Q653:$Q661,IF(D665=$R652,$R653:$R661,D653:D661))</f>
        <v>0.2818952474428057</v>
      </c>
      <c r="F666" s="156">
        <f>INDEX(A666:D674,,F665)</f>
        <v>0.11008026901013279</v>
      </c>
      <c r="G666" s="158">
        <f>INDEX(A666:D674,,G665)</f>
        <v>0.2818952474428057</v>
      </c>
      <c r="I666" s="156">
        <f>F666^2-G666^2</f>
        <v>-6.7347264905497445E-2</v>
      </c>
      <c r="J666" s="157">
        <f>2*F666*G666</f>
        <v>6.2062209342363998E-2</v>
      </c>
      <c r="K666" s="157">
        <f>I666^2-J666^2</f>
        <v>6.8393626179583415E-4</v>
      </c>
      <c r="L666" s="158">
        <f t="shared" ref="L666:L674" si="215">I666*J666</f>
        <v>-4.1797200532006267E-3</v>
      </c>
      <c r="N666" t="s">
        <v>390</v>
      </c>
      <c r="O666" s="172">
        <f>L675*B676-2*I675*J675</f>
        <v>-3.0620002796841739E-2</v>
      </c>
      <c r="Q666" s="156">
        <f t="array" ref="Q666:R674">MMULT(F666:G674,N670:O671)</f>
        <v>0.1099862403871516</v>
      </c>
      <c r="R666" s="158">
        <v>0.28193194760736773</v>
      </c>
    </row>
    <row r="667" spans="1:18" x14ac:dyDescent="0.25">
      <c r="A667" s="194">
        <v>0.79408999246967227</v>
      </c>
      <c r="B667" s="195">
        <v>-0.6016617678854006</v>
      </c>
      <c r="C667" s="195">
        <v>8.3588625418941964E-2</v>
      </c>
      <c r="D667" s="196">
        <v>-2.0907956024009834E-2</v>
      </c>
      <c r="F667" s="123">
        <f>INDEX(A667:D675,,F665)</f>
        <v>0.79408999246967227</v>
      </c>
      <c r="G667" s="90">
        <f>INDEX(A666:D674,,G665)</f>
        <v>-2.0907956024009834E-2</v>
      </c>
      <c r="I667" s="123">
        <f t="shared" ref="I667:I674" si="216">F667^2-G667^2</f>
        <v>0.63014177351538214</v>
      </c>
      <c r="J667" s="37">
        <f t="shared" ref="J667:J674" si="217">2*F667*G667</f>
        <v>-3.3205597283324416E-2</v>
      </c>
      <c r="K667" s="37">
        <f t="shared" ref="K667:K674" si="218">I667^2-J667^2</f>
        <v>0.3959760430381688</v>
      </c>
      <c r="L667" s="90">
        <f t="shared" si="215"/>
        <v>-2.0924233962751601E-2</v>
      </c>
      <c r="N667" t="s">
        <v>392</v>
      </c>
      <c r="O667" s="173">
        <f>K675*B676-(I675^2-J675^2)</f>
        <v>22.950963837919559</v>
      </c>
      <c r="Q667" s="123">
        <v>0.79409692187691305</v>
      </c>
      <c r="R667" s="90">
        <v>-2.0643096453730581E-2</v>
      </c>
    </row>
    <row r="668" spans="1:18" x14ac:dyDescent="0.25">
      <c r="A668" s="194">
        <v>0.98387093148194393</v>
      </c>
      <c r="B668" s="195">
        <v>0.11765004774831843</v>
      </c>
      <c r="C668" s="195">
        <v>0.11391157738563332</v>
      </c>
      <c r="D668" s="196">
        <v>7.1976447447669387E-2</v>
      </c>
      <c r="F668" s="123">
        <f>INDEX(A668:D676,,F665)</f>
        <v>0.98387093148194393</v>
      </c>
      <c r="G668" s="90">
        <f>INDEX(A666:D674,,G665)</f>
        <v>7.1976447447669387E-2</v>
      </c>
      <c r="I668" s="123">
        <f t="shared" si="216"/>
        <v>0.96282140082796097</v>
      </c>
      <c r="J668" s="37">
        <f t="shared" si="217"/>
        <v>0.14163106879019932</v>
      </c>
      <c r="K668" s="37">
        <f t="shared" si="218"/>
        <v>0.90696569024566287</v>
      </c>
      <c r="L668" s="90">
        <f t="shared" si="215"/>
        <v>0.13636542405334101</v>
      </c>
      <c r="N668" t="s">
        <v>467</v>
      </c>
      <c r="O668" s="174">
        <f>0.25*ATAN(O666/O667)</f>
        <v>-3.3353702316936813E-4</v>
      </c>
      <c r="Q668" s="123">
        <v>0.98384686994605142</v>
      </c>
      <c r="R668" s="90">
        <v>7.2304600819674394E-2</v>
      </c>
    </row>
    <row r="669" spans="1:18" x14ac:dyDescent="0.25">
      <c r="A669" s="194">
        <v>4.914695297617401E-2</v>
      </c>
      <c r="B669" s="195">
        <v>7.0781224074566436E-5</v>
      </c>
      <c r="C669" s="195">
        <v>7.996881043573853E-2</v>
      </c>
      <c r="D669" s="196">
        <v>0.99558503472112803</v>
      </c>
      <c r="F669" s="123">
        <f>INDEX(A669:D677,,F665)</f>
        <v>4.914695297617401E-2</v>
      </c>
      <c r="G669" s="90">
        <f>INDEX(A666:D674,,G665)</f>
        <v>0.99558503472112803</v>
      </c>
      <c r="I669" s="123">
        <f t="shared" si="216"/>
        <v>-0.98877413837382744</v>
      </c>
      <c r="J669" s="37">
        <f t="shared" si="217"/>
        <v>9.7859941770443701E-2</v>
      </c>
      <c r="K669" s="37">
        <f t="shared" si="218"/>
        <v>0.96809772851359022</v>
      </c>
      <c r="L669" s="90">
        <f t="shared" si="215"/>
        <v>-9.6761379605383391E-2</v>
      </c>
      <c r="Q669" s="123">
        <v>4.8814885779813827E-2</v>
      </c>
      <c r="R669" s="90">
        <v>0.9956013716713209</v>
      </c>
    </row>
    <row r="670" spans="1:18" x14ac:dyDescent="0.25">
      <c r="A670" s="194">
        <v>0.35404204342287604</v>
      </c>
      <c r="B670" s="195">
        <v>-0.11201309920792643</v>
      </c>
      <c r="C670" s="195">
        <v>0.88590494426160749</v>
      </c>
      <c r="D670" s="196">
        <v>0.27799231433194038</v>
      </c>
      <c r="F670" s="123">
        <f>INDEX(A670:D678,,F665)</f>
        <v>0.35404204342287604</v>
      </c>
      <c r="G670" s="90">
        <f>INDEX(A666:D674,,G665)</f>
        <v>0.27799231433194038</v>
      </c>
      <c r="I670" s="123">
        <f t="shared" si="216"/>
        <v>4.8066041683417299E-2</v>
      </c>
      <c r="J670" s="37">
        <f t="shared" si="217"/>
        <v>0.19684193404386929</v>
      </c>
      <c r="K670" s="37">
        <f t="shared" si="218"/>
        <v>-3.6436402635018975E-2</v>
      </c>
      <c r="L670" s="90">
        <f t="shared" si="215"/>
        <v>9.4614126067970993E-3</v>
      </c>
      <c r="N670" s="156">
        <f>COS(O668)</f>
        <v>0.99999994437652762</v>
      </c>
      <c r="O670" s="158">
        <f>-N671</f>
        <v>3.3353701698520563E-4</v>
      </c>
      <c r="Q670" s="123">
        <v>0.35394930300256117</v>
      </c>
      <c r="R670" s="90">
        <v>0.2781103849960932</v>
      </c>
    </row>
    <row r="671" spans="1:18" x14ac:dyDescent="0.25">
      <c r="A671" s="194">
        <v>-3.1099758606438051E-2</v>
      </c>
      <c r="B671" s="195">
        <v>2.0893411174911416E-2</v>
      </c>
      <c r="C671" s="195">
        <v>0.99763844435280025</v>
      </c>
      <c r="D671" s="196">
        <v>-5.7565655849837596E-2</v>
      </c>
      <c r="F671" s="123">
        <f>INDEX(A671:D679,,F665)</f>
        <v>-3.1099758606438051E-2</v>
      </c>
      <c r="G671" s="90">
        <f>INDEX(A666:D674,,G665)</f>
        <v>-5.7565655849837596E-2</v>
      </c>
      <c r="I671" s="123">
        <f t="shared" si="216"/>
        <v>-2.3466097480432237E-3</v>
      </c>
      <c r="J671" s="37">
        <f t="shared" si="217"/>
        <v>3.5805560019024755E-3</v>
      </c>
      <c r="K671" s="37">
        <f t="shared" si="218"/>
        <v>-7.3138039731483588E-6</v>
      </c>
      <c r="L671" s="90">
        <f t="shared" si="215"/>
        <v>-8.4021676174790195E-6</v>
      </c>
      <c r="N671" s="91">
        <f>SIN(O668)</f>
        <v>-3.3353701698520563E-4</v>
      </c>
      <c r="O671" s="93">
        <f>N670</f>
        <v>0.99999994437652762</v>
      </c>
      <c r="Q671" s="123">
        <v>-3.1080556599428533E-2</v>
      </c>
      <c r="R671" s="90">
        <v>-5.757602556855048E-2</v>
      </c>
    </row>
    <row r="672" spans="1:18" x14ac:dyDescent="0.25">
      <c r="A672" s="194">
        <v>0.96181358551601082</v>
      </c>
      <c r="B672" s="195">
        <v>-2.1976286844874109E-2</v>
      </c>
      <c r="C672" s="195">
        <v>0.16728868743953776</v>
      </c>
      <c r="D672" s="196">
        <v>0.21551372250532783</v>
      </c>
      <c r="F672" s="123">
        <f>INDEX(A672:D680,,F665)</f>
        <v>0.96181358551601082</v>
      </c>
      <c r="G672" s="90">
        <f>INDEX(A666:D674,,G665)</f>
        <v>0.21551372250532783</v>
      </c>
      <c r="I672" s="123">
        <f t="shared" si="216"/>
        <v>0.87863920869506118</v>
      </c>
      <c r="J672" s="37">
        <f t="shared" si="217"/>
        <v>0.4145680523415039</v>
      </c>
      <c r="K672" s="37">
        <f t="shared" si="218"/>
        <v>0.60014018903405542</v>
      </c>
      <c r="L672" s="90">
        <f t="shared" si="215"/>
        <v>0.36425574545959172</v>
      </c>
      <c r="Q672" s="123">
        <v>0.9617416502124756</v>
      </c>
      <c r="R672" s="90">
        <v>0.21583451095191508</v>
      </c>
    </row>
    <row r="673" spans="1:18" x14ac:dyDescent="0.25">
      <c r="A673" s="194">
        <v>0.67543080934886846</v>
      </c>
      <c r="B673" s="195">
        <v>-0.22038465562406806</v>
      </c>
      <c r="C673" s="195">
        <v>0.56815327168819552</v>
      </c>
      <c r="D673" s="196">
        <v>0.41524171902374274</v>
      </c>
      <c r="F673" s="123">
        <f>INDEX(A673:D681,,F665)</f>
        <v>0.67543080934886846</v>
      </c>
      <c r="G673" s="90">
        <f>INDEX(A666:D674,,G665)</f>
        <v>0.41524171902374274</v>
      </c>
      <c r="I673" s="123">
        <f t="shared" si="216"/>
        <v>0.28378109299987453</v>
      </c>
      <c r="J673" s="37">
        <f t="shared" si="217"/>
        <v>0.56093410071124394</v>
      </c>
      <c r="K673" s="37">
        <f t="shared" si="218"/>
        <v>-0.23411535659652849</v>
      </c>
      <c r="L673" s="90">
        <f t="shared" si="215"/>
        <v>0.15918249220073849</v>
      </c>
      <c r="Q673" s="123">
        <v>0.67529227329477048</v>
      </c>
      <c r="R673" s="90">
        <v>0.41546697710388658</v>
      </c>
    </row>
    <row r="674" spans="1:18" x14ac:dyDescent="0.25">
      <c r="A674" s="200">
        <v>7.0607476576528175E-2</v>
      </c>
      <c r="B674" s="201">
        <v>-0.92541432952186564</v>
      </c>
      <c r="C674" s="201">
        <v>-0.20498793093788983</v>
      </c>
      <c r="D674" s="202">
        <v>0.3108099920158523</v>
      </c>
      <c r="F674" s="91">
        <f>INDEX(A674:D682,,F665)</f>
        <v>7.0607476576528175E-2</v>
      </c>
      <c r="G674" s="93">
        <f>INDEX(A666:D674,,G665)</f>
        <v>0.3108099920158523</v>
      </c>
      <c r="I674" s="91">
        <f t="shared" si="216"/>
        <v>-9.1617435388389193E-2</v>
      </c>
      <c r="J674" s="92">
        <f t="shared" si="217"/>
        <v>4.3891018462020398E-2</v>
      </c>
      <c r="K674" s="92">
        <f t="shared" si="218"/>
        <v>6.4673329655122536E-3</v>
      </c>
      <c r="L674" s="93">
        <f t="shared" si="215"/>
        <v>-4.0211825480747513E-3</v>
      </c>
      <c r="Q674" s="91">
        <v>7.050380601150899E-2</v>
      </c>
      <c r="R674" s="93">
        <v>0.31083352493463551</v>
      </c>
    </row>
    <row r="675" spans="1:18" x14ac:dyDescent="0.25">
      <c r="I675">
        <f>SUM(I666:I674)</f>
        <v>1.6533640693059388</v>
      </c>
      <c r="J675">
        <f>SUM(J666:J674)</f>
        <v>1.4881632841802228</v>
      </c>
      <c r="K675">
        <f>SUM(K666:K674)</f>
        <v>2.6077718470232649</v>
      </c>
      <c r="L675">
        <f>SUM(L666:L674)</f>
        <v>0.54337015598344052</v>
      </c>
    </row>
    <row r="676" spans="1:18" x14ac:dyDescent="0.25">
      <c r="A676" s="47" t="s">
        <v>53</v>
      </c>
      <c r="B676">
        <f>COUNT(A666:A674)</f>
        <v>9</v>
      </c>
      <c r="I676" s="47" t="s">
        <v>462</v>
      </c>
      <c r="J676" s="47" t="s">
        <v>389</v>
      </c>
      <c r="K676" s="47" t="s">
        <v>469</v>
      </c>
      <c r="L676" s="47" t="s">
        <v>470</v>
      </c>
      <c r="N676" s="47"/>
    </row>
    <row r="678" spans="1:18" x14ac:dyDescent="0.25">
      <c r="A678">
        <v>1</v>
      </c>
      <c r="B678">
        <v>2</v>
      </c>
      <c r="C678">
        <v>3</v>
      </c>
      <c r="D678">
        <v>4</v>
      </c>
      <c r="F678">
        <v>2</v>
      </c>
      <c r="G678">
        <v>3</v>
      </c>
      <c r="I678" s="47" t="s">
        <v>207</v>
      </c>
      <c r="J678" s="47" t="s">
        <v>464</v>
      </c>
      <c r="K678" s="47" t="s">
        <v>465</v>
      </c>
      <c r="L678" s="47" t="s">
        <v>466</v>
      </c>
      <c r="Q678">
        <f>F678</f>
        <v>2</v>
      </c>
      <c r="R678">
        <f>G678</f>
        <v>3</v>
      </c>
    </row>
    <row r="679" spans="1:18" x14ac:dyDescent="0.25">
      <c r="A679" s="189">
        <f t="array" ref="A679:A687">IF(A678=$Q665,$Q666:$Q674,IF(A678=$R665,$R666:$R674,A666:A674))</f>
        <v>0.1099862403871516</v>
      </c>
      <c r="B679" s="190">
        <f t="array" ref="B679:B687">IF(B678=$Q665,$Q666:$Q674,IF(B678=$R665,$R666:$R674,B666:B674))</f>
        <v>0.89026138702857294</v>
      </c>
      <c r="C679" s="190">
        <f t="array" ref="C679:C687">IF(C678=$Q665,$Q666:$Q674,IF(C678=$R665,$R666:$R674,C666:C674))</f>
        <v>-0.34037048433990025</v>
      </c>
      <c r="D679" s="191">
        <f t="array" ref="D679:D687">IF(D678=$Q665,$Q666:$Q674,IF(D678=$R665,$R666:$R674,D666:D674))</f>
        <v>0.28193194760736773</v>
      </c>
      <c r="F679" s="156">
        <f>INDEX(A679:D687,,F678)</f>
        <v>0.89026138702857294</v>
      </c>
      <c r="G679" s="158">
        <f>INDEX(A679:D687,,G678)</f>
        <v>-0.34037048433990025</v>
      </c>
      <c r="I679" s="156">
        <f>F679^2-G679^2</f>
        <v>0.67671327062426023</v>
      </c>
      <c r="J679" s="157">
        <f>2*F679*G679</f>
        <v>-0.60603739898405351</v>
      </c>
      <c r="K679" s="157">
        <f>I679^2-J679^2</f>
        <v>9.0659521671626386E-2</v>
      </c>
      <c r="L679" s="158">
        <f t="shared" ref="L679:L687" si="219">I679*J679</f>
        <v>-0.41011355038711855</v>
      </c>
      <c r="N679" t="s">
        <v>390</v>
      </c>
      <c r="O679" s="172">
        <f>L688*B689-2*I688*J688</f>
        <v>6.8169692588459785E-2</v>
      </c>
      <c r="Q679" s="156">
        <f t="array" ref="Q679:R687">MMULT(F679:G687,N683:O684)</f>
        <v>0.88998499135021203</v>
      </c>
      <c r="R679" s="158">
        <v>-0.34109253731968381</v>
      </c>
    </row>
    <row r="680" spans="1:18" x14ac:dyDescent="0.25">
      <c r="A680" s="194">
        <v>0.79409692187691305</v>
      </c>
      <c r="B680" s="195">
        <v>-0.6016617678854006</v>
      </c>
      <c r="C680" s="195">
        <v>8.3588625418941964E-2</v>
      </c>
      <c r="D680" s="196">
        <v>-2.0643096453730581E-2</v>
      </c>
      <c r="F680" s="123">
        <f>INDEX(A680:D688,,F678)</f>
        <v>-0.6016617678854006</v>
      </c>
      <c r="G680" s="90">
        <f>INDEX(A679:D687,,G678)</f>
        <v>8.3588625418941964E-2</v>
      </c>
      <c r="I680" s="123">
        <f t="shared" ref="I680:I687" si="220">F680^2-G680^2</f>
        <v>0.35500982463555747</v>
      </c>
      <c r="J680" s="37">
        <f t="shared" ref="J680:J687" si="221">2*F680*G680</f>
        <v>-0.10058416028934232</v>
      </c>
      <c r="K680" s="37">
        <f t="shared" ref="K680:K687" si="222">I680^2-J680^2</f>
        <v>0.11591480228665715</v>
      </c>
      <c r="L680" s="90">
        <f t="shared" si="219"/>
        <v>-3.5708365105434223E-2</v>
      </c>
      <c r="N680" t="s">
        <v>392</v>
      </c>
      <c r="O680" s="173">
        <f>K688*B689-(I688^2-J688^2)</f>
        <v>21.009266718935489</v>
      </c>
      <c r="Q680" s="123">
        <v>-0.60159376425548183</v>
      </c>
      <c r="R680" s="90">
        <v>8.4076655757312616E-2</v>
      </c>
    </row>
    <row r="681" spans="1:18" x14ac:dyDescent="0.25">
      <c r="A681" s="194">
        <v>0.98384686994605142</v>
      </c>
      <c r="B681" s="195">
        <v>0.11765004774831843</v>
      </c>
      <c r="C681" s="195">
        <v>0.11391157738563332</v>
      </c>
      <c r="D681" s="196">
        <v>7.2304600819674394E-2</v>
      </c>
      <c r="F681" s="123">
        <f>INDEX(A681:D689,,F678)</f>
        <v>0.11765004774831843</v>
      </c>
      <c r="G681" s="90">
        <f>INDEX(A679:D687,,G678)</f>
        <v>0.11391157738563332</v>
      </c>
      <c r="I681" s="123">
        <f t="shared" si="220"/>
        <v>8.6568627269847931E-4</v>
      </c>
      <c r="J681" s="37">
        <f t="shared" si="221"/>
        <v>2.6803405037012059E-2</v>
      </c>
      <c r="K681" s="37">
        <f t="shared" si="222"/>
        <v>-7.1767310885538483E-4</v>
      </c>
      <c r="L681" s="90">
        <f t="shared" si="219"/>
        <v>2.3203339802118614E-5</v>
      </c>
      <c r="N681" t="s">
        <v>467</v>
      </c>
      <c r="O681" s="174">
        <f>0.25*ATAN(O679/O680)</f>
        <v>8.1118315864506067E-4</v>
      </c>
      <c r="Q681" s="123">
        <v>0.11774241218340521</v>
      </c>
      <c r="R681" s="90">
        <v>0.11381610418081374</v>
      </c>
    </row>
    <row r="682" spans="1:18" x14ac:dyDescent="0.25">
      <c r="A682" s="194">
        <v>4.8814885779813827E-2</v>
      </c>
      <c r="B682" s="195">
        <v>7.0781224074566436E-5</v>
      </c>
      <c r="C682" s="195">
        <v>7.996881043573853E-2</v>
      </c>
      <c r="D682" s="196">
        <v>0.9956013716713209</v>
      </c>
      <c r="F682" s="123">
        <f>INDEX(A682:D690,,F678)</f>
        <v>7.0781224074566436E-5</v>
      </c>
      <c r="G682" s="90">
        <f>INDEX(A679:D687,,G678)</f>
        <v>7.996881043573853E-2</v>
      </c>
      <c r="I682" s="123">
        <f t="shared" si="220"/>
        <v>-6.3950056325254023E-3</v>
      </c>
      <c r="J682" s="37">
        <f t="shared" si="221"/>
        <v>1.1320580580857072E-5</v>
      </c>
      <c r="K682" s="37">
        <f t="shared" si="222"/>
        <v>4.089596888448693E-5</v>
      </c>
      <c r="L682" s="90">
        <f t="shared" si="219"/>
        <v>-7.2395176578038667E-8</v>
      </c>
      <c r="Q682" s="123">
        <v>1.3565054591505304E-4</v>
      </c>
      <c r="R682" s="90">
        <v>7.9968726708746329E-2</v>
      </c>
    </row>
    <row r="683" spans="1:18" x14ac:dyDescent="0.25">
      <c r="A683" s="194">
        <v>0.35394930300256117</v>
      </c>
      <c r="B683" s="195">
        <v>-0.11201309920792643</v>
      </c>
      <c r="C683" s="195">
        <v>0.88590494426160749</v>
      </c>
      <c r="D683" s="196">
        <v>0.2781103849960932</v>
      </c>
      <c r="F683" s="123">
        <f>INDEX(A683:D691,,F678)</f>
        <v>-0.11201309920792643</v>
      </c>
      <c r="G683" s="90">
        <f>INDEX(A679:D687,,G678)</f>
        <v>0.88590494426160749</v>
      </c>
      <c r="I683" s="123">
        <f t="shared" si="220"/>
        <v>-0.77228063587299711</v>
      </c>
      <c r="J683" s="37">
        <f t="shared" si="221"/>
        <v>-0.19846591682073594</v>
      </c>
      <c r="K683" s="37">
        <f t="shared" si="222"/>
        <v>0.55702866040490551</v>
      </c>
      <c r="L683" s="90">
        <f t="shared" si="219"/>
        <v>0.15327138444143532</v>
      </c>
      <c r="N683" s="156">
        <f>COS(O681)</f>
        <v>0.99999967099095965</v>
      </c>
      <c r="O683" s="158">
        <f>-N684</f>
        <v>-8.111830696828612E-4</v>
      </c>
      <c r="Q683" s="123">
        <v>-0.11129443126247079</v>
      </c>
      <c r="R683" s="90">
        <v>0.88599551592053216</v>
      </c>
    </row>
    <row r="684" spans="1:18" x14ac:dyDescent="0.25">
      <c r="A684" s="194">
        <v>-3.1080556599428533E-2</v>
      </c>
      <c r="B684" s="195">
        <v>2.0893411174911416E-2</v>
      </c>
      <c r="C684" s="195">
        <v>0.99763844435280025</v>
      </c>
      <c r="D684" s="196">
        <v>-5.757602556855048E-2</v>
      </c>
      <c r="F684" s="123">
        <f>INDEX(A684:D692,,F678)</f>
        <v>2.0893411174911416E-2</v>
      </c>
      <c r="G684" s="90">
        <f>INDEX(A679:D687,,G678)</f>
        <v>0.99763844435280025</v>
      </c>
      <c r="I684" s="123">
        <f t="shared" si="220"/>
        <v>-0.9948459310201514</v>
      </c>
      <c r="J684" s="37">
        <f t="shared" si="221"/>
        <v>4.1688140443524077E-2</v>
      </c>
      <c r="K684" s="37">
        <f t="shared" si="222"/>
        <v>0.98798052541371284</v>
      </c>
      <c r="L684" s="90">
        <f t="shared" si="219"/>
        <v>-4.1473276892036538E-2</v>
      </c>
      <c r="N684" s="91">
        <f>SIN(O681)</f>
        <v>8.111830696828612E-4</v>
      </c>
      <c r="O684" s="93">
        <f>N683</f>
        <v>0.99999967099095965</v>
      </c>
      <c r="Q684" s="123">
        <v>2.1702671716513994E-2</v>
      </c>
      <c r="R684" s="90">
        <v>0.99762116773932008</v>
      </c>
    </row>
    <row r="685" spans="1:18" x14ac:dyDescent="0.25">
      <c r="A685" s="194">
        <v>0.9617416502124756</v>
      </c>
      <c r="B685" s="195">
        <v>-2.1976286844874109E-2</v>
      </c>
      <c r="C685" s="195">
        <v>0.16728868743953776</v>
      </c>
      <c r="D685" s="196">
        <v>0.21583451095191508</v>
      </c>
      <c r="F685" s="123">
        <f>INDEX(A685:D693,,F678)</f>
        <v>-2.1976286844874109E-2</v>
      </c>
      <c r="G685" s="90">
        <f>INDEX(A679:D687,,G678)</f>
        <v>0.16728868743953776</v>
      </c>
      <c r="I685" s="123">
        <f t="shared" si="220"/>
        <v>-2.7502547761755172E-2</v>
      </c>
      <c r="J685" s="37">
        <f t="shared" si="221"/>
        <v>-7.3527683621475402E-3</v>
      </c>
      <c r="K685" s="37">
        <f t="shared" si="222"/>
        <v>7.0232693080022658E-4</v>
      </c>
      <c r="L685" s="90">
        <f t="shared" si="219"/>
        <v>2.0221986306108507E-4</v>
      </c>
      <c r="Q685" s="123">
        <v>-2.1840577863476644E-2</v>
      </c>
      <c r="R685" s="90">
        <v>0.16730645919187029</v>
      </c>
    </row>
    <row r="686" spans="1:18" x14ac:dyDescent="0.25">
      <c r="A686" s="194">
        <v>0.67529227329477048</v>
      </c>
      <c r="B686" s="195">
        <v>-0.22038465562406806</v>
      </c>
      <c r="C686" s="195">
        <v>0.56815327168819552</v>
      </c>
      <c r="D686" s="196">
        <v>0.41546697710388658</v>
      </c>
      <c r="F686" s="123">
        <f>INDEX(A686:D694,,F678)</f>
        <v>-0.22038465562406806</v>
      </c>
      <c r="G686" s="90">
        <f>INDEX(A679:D687,,G678)</f>
        <v>0.56815327168819552</v>
      </c>
      <c r="I686" s="123">
        <f t="shared" si="220"/>
        <v>-0.27422874369546146</v>
      </c>
      <c r="J686" s="37">
        <f t="shared" si="221"/>
        <v>-0.25042452624538108</v>
      </c>
      <c r="K686" s="37">
        <f t="shared" si="222"/>
        <v>1.248896052356753E-2</v>
      </c>
      <c r="L686" s="90">
        <f t="shared" si="219"/>
        <v>6.8673603222801971E-2</v>
      </c>
      <c r="Q686" s="123">
        <v>-0.2199237068005456</v>
      </c>
      <c r="R686" s="90">
        <v>0.56833185706209299</v>
      </c>
    </row>
    <row r="687" spans="1:18" x14ac:dyDescent="0.25">
      <c r="A687" s="200">
        <v>7.050380601150899E-2</v>
      </c>
      <c r="B687" s="201">
        <v>-0.92541432952186564</v>
      </c>
      <c r="C687" s="201">
        <v>-0.20498793093788983</v>
      </c>
      <c r="D687" s="202">
        <v>0.31083352493463551</v>
      </c>
      <c r="F687" s="91">
        <f>INDEX(A687:D695,,F678)</f>
        <v>-0.92541432952186564</v>
      </c>
      <c r="G687" s="93">
        <f>INDEX(A679:D687,,G678)</f>
        <v>-0.20498793093788983</v>
      </c>
      <c r="I687" s="91">
        <f t="shared" si="220"/>
        <v>0.81437162945420705</v>
      </c>
      <c r="J687" s="92">
        <f t="shared" si="221"/>
        <v>0.37939753733792364</v>
      </c>
      <c r="K687" s="92">
        <f t="shared" si="222"/>
        <v>0.51925865952181915</v>
      </c>
      <c r="L687" s="93">
        <f t="shared" si="219"/>
        <v>0.30897059069279825</v>
      </c>
      <c r="Q687" s="91">
        <v>-0.92558030779125133</v>
      </c>
      <c r="R687" s="93">
        <v>-0.20423718305845734</v>
      </c>
    </row>
    <row r="688" spans="1:18" x14ac:dyDescent="0.25">
      <c r="I688">
        <f>SUM(I679:I687)</f>
        <v>-0.22829245299616729</v>
      </c>
      <c r="J688">
        <f>SUM(J679:J687)</f>
        <v>-0.71496436730261959</v>
      </c>
      <c r="K688">
        <f>SUM(K679:K687)</f>
        <v>2.2833566796131182</v>
      </c>
      <c r="L688">
        <f>SUM(L679:L687)</f>
        <v>4.3845736780132816E-2</v>
      </c>
    </row>
    <row r="689" spans="1:18" x14ac:dyDescent="0.25">
      <c r="A689" s="47" t="s">
        <v>53</v>
      </c>
      <c r="B689">
        <f>COUNT(A679:A687)</f>
        <v>9</v>
      </c>
      <c r="I689" s="47" t="s">
        <v>462</v>
      </c>
      <c r="J689" s="47" t="s">
        <v>389</v>
      </c>
      <c r="K689" s="47" t="s">
        <v>469</v>
      </c>
      <c r="L689" s="47" t="s">
        <v>470</v>
      </c>
      <c r="N689" s="47"/>
    </row>
    <row r="691" spans="1:18" x14ac:dyDescent="0.25">
      <c r="A691">
        <v>1</v>
      </c>
      <c r="B691">
        <v>2</v>
      </c>
      <c r="C691">
        <v>3</v>
      </c>
      <c r="D691">
        <v>4</v>
      </c>
      <c r="F691">
        <v>2</v>
      </c>
      <c r="G691">
        <v>4</v>
      </c>
      <c r="I691" s="47" t="s">
        <v>207</v>
      </c>
      <c r="J691" s="47" t="s">
        <v>464</v>
      </c>
      <c r="K691" s="47" t="s">
        <v>465</v>
      </c>
      <c r="L691" s="47" t="s">
        <v>466</v>
      </c>
      <c r="Q691">
        <f>F691</f>
        <v>2</v>
      </c>
      <c r="R691">
        <f>G691</f>
        <v>4</v>
      </c>
    </row>
    <row r="692" spans="1:18" x14ac:dyDescent="0.25">
      <c r="A692" s="189">
        <f t="array" ref="A692:A700">IF(A691=$Q678,$Q679:$Q687,IF(A691=$R678,$R679:$R687,A679:A687))</f>
        <v>0.1099862403871516</v>
      </c>
      <c r="B692" s="190">
        <f t="array" ref="B692:B700">IF(B691=$Q678,$Q679:$Q687,IF(B691=$R678,$R679:$R687,B679:B687))</f>
        <v>0.88998499135021203</v>
      </c>
      <c r="C692" s="190">
        <f t="array" ref="C692:C700">IF(C691=$Q678,$Q679:$Q687,IF(C691=$R678,$R679:$R687,C679:C687))</f>
        <v>-0.34109253731968381</v>
      </c>
      <c r="D692" s="191">
        <f t="array" ref="D692:D700">IF(D691=$Q678,$Q679:$Q687,IF(D691=$R678,$R679:$R687,D679:D687))</f>
        <v>0.28193194760736773</v>
      </c>
      <c r="F692" s="156">
        <f>INDEX(A692:D700,,F691)</f>
        <v>0.88998499135021203</v>
      </c>
      <c r="G692" s="158">
        <f>INDEX(A692:D700,,G691)</f>
        <v>0.28193194760736773</v>
      </c>
      <c r="I692" s="156">
        <f>F692^2-G692^2</f>
        <v>0.71258766174695343</v>
      </c>
      <c r="J692" s="157">
        <f>2*F692*G692</f>
        <v>0.50183040390538325</v>
      </c>
      <c r="K692" s="157">
        <f>I692^2-J692^2</f>
        <v>0.25594742139015042</v>
      </c>
      <c r="L692" s="158">
        <f t="shared" ref="L692:L700" si="223">I692*J692</f>
        <v>0.35759815411246626</v>
      </c>
      <c r="N692" t="s">
        <v>390</v>
      </c>
      <c r="O692" s="172">
        <f>L701*B702-2*I701*J701</f>
        <v>-4.0219763699036681E-2</v>
      </c>
      <c r="Q692" s="156">
        <f t="array" ref="Q692:R700">MMULT(F692:G700,N696:O697)</f>
        <v>0.88978373543441036</v>
      </c>
      <c r="R692" s="158">
        <v>0.28256647371319116</v>
      </c>
    </row>
    <row r="693" spans="1:18" x14ac:dyDescent="0.25">
      <c r="A693" s="194">
        <v>0.79409692187691305</v>
      </c>
      <c r="B693" s="195">
        <v>-0.60159376425548183</v>
      </c>
      <c r="C693" s="195">
        <v>8.4076655757312616E-2</v>
      </c>
      <c r="D693" s="196">
        <v>-2.0643096453730581E-2</v>
      </c>
      <c r="F693" s="123">
        <f>INDEX(A693:D701,,F691)</f>
        <v>-0.60159376425548183</v>
      </c>
      <c r="G693" s="90">
        <f>INDEX(A692:D700,,G691)</f>
        <v>-2.0643096453730581E-2</v>
      </c>
      <c r="I693" s="123">
        <f t="shared" ref="I693:I700" si="224">F693^2-G693^2</f>
        <v>0.36148891975988223</v>
      </c>
      <c r="J693" s="37">
        <f t="shared" ref="J693:J700" si="225">2*F693*G693</f>
        <v>2.4837516202977535E-2</v>
      </c>
      <c r="K693" s="37">
        <f t="shared" ref="K693:K700" si="226">I693^2-J693^2</f>
        <v>0.13005733689803339</v>
      </c>
      <c r="L693" s="90">
        <f t="shared" si="223"/>
        <v>8.97848690173292E-3</v>
      </c>
      <c r="N693" t="s">
        <v>392</v>
      </c>
      <c r="O693" s="173">
        <f>K701*B702-(I701^2-J701^2)</f>
        <v>14.101406920535409</v>
      </c>
      <c r="Q693" s="123">
        <v>-0.60157889190083269</v>
      </c>
      <c r="R693" s="90">
        <v>-2.1072053569705658E-2</v>
      </c>
    </row>
    <row r="694" spans="1:18" x14ac:dyDescent="0.25">
      <c r="A694" s="194">
        <v>0.98384686994605142</v>
      </c>
      <c r="B694" s="195">
        <v>0.11774241218340521</v>
      </c>
      <c r="C694" s="195">
        <v>0.11381610418081374</v>
      </c>
      <c r="D694" s="196">
        <v>7.2304600819674394E-2</v>
      </c>
      <c r="F694" s="123">
        <f>INDEX(A694:D702,,F691)</f>
        <v>0.11774241218340521</v>
      </c>
      <c r="G694" s="90">
        <f>INDEX(A692:D700,,G691)</f>
        <v>7.2304600819674394E-2</v>
      </c>
      <c r="I694" s="123">
        <f t="shared" si="224"/>
        <v>8.6353203270744285E-3</v>
      </c>
      <c r="J694" s="37">
        <f t="shared" si="225"/>
        <v>1.7026636224933361E-2</v>
      </c>
      <c r="K694" s="37">
        <f t="shared" si="226"/>
        <v>-2.1533758398502821E-4</v>
      </c>
      <c r="L694" s="90">
        <f t="shared" si="223"/>
        <v>1.4703045789486887E-4</v>
      </c>
      <c r="N694" t="s">
        <v>467</v>
      </c>
      <c r="O694" s="174">
        <f>0.25*ATAN(O692/O693)</f>
        <v>-7.1304329533360719E-4</v>
      </c>
      <c r="Q694" s="123">
        <v>0.1176908259450081</v>
      </c>
      <c r="R694" s="90">
        <v>7.2388537869203823E-2</v>
      </c>
    </row>
    <row r="695" spans="1:18" x14ac:dyDescent="0.25">
      <c r="A695" s="194">
        <v>4.8814885779813827E-2</v>
      </c>
      <c r="B695" s="195">
        <v>1.3565054591505304E-4</v>
      </c>
      <c r="C695" s="195">
        <v>7.9968726708746329E-2</v>
      </c>
      <c r="D695" s="196">
        <v>0.9956013716713209</v>
      </c>
      <c r="F695" s="123">
        <f>INDEX(A695:D703,,F691)</f>
        <v>1.3565054591505304E-4</v>
      </c>
      <c r="G695" s="90">
        <f>INDEX(A692:D700,,G691)</f>
        <v>0.9956013716713209</v>
      </c>
      <c r="I695" s="123">
        <f t="shared" si="224"/>
        <v>-0.99122207287274511</v>
      </c>
      <c r="J695" s="37">
        <f t="shared" si="225"/>
        <v>2.701077391619806E-4</v>
      </c>
      <c r="K695" s="37">
        <f t="shared" si="226"/>
        <v>0.98252112479195086</v>
      </c>
      <c r="L695" s="90">
        <f t="shared" si="223"/>
        <v>-2.6773675311110915E-4</v>
      </c>
      <c r="Q695" s="123">
        <v>-5.742563113081651E-4</v>
      </c>
      <c r="R695" s="90">
        <v>0.99560121529886403</v>
      </c>
    </row>
    <row r="696" spans="1:18" x14ac:dyDescent="0.25">
      <c r="A696" s="194">
        <v>0.35394930300256117</v>
      </c>
      <c r="B696" s="195">
        <v>-0.11129443126247079</v>
      </c>
      <c r="C696" s="195">
        <v>0.88599551592053216</v>
      </c>
      <c r="D696" s="196">
        <v>0.2781103849960932</v>
      </c>
      <c r="F696" s="123">
        <f>INDEX(A696:D704,,F691)</f>
        <v>-0.11129443126247079</v>
      </c>
      <c r="G696" s="90">
        <f>INDEX(A692:D700,,G691)</f>
        <v>0.2781103849960932</v>
      </c>
      <c r="I696" s="123">
        <f t="shared" si="224"/>
        <v>-6.4958935812638341E-2</v>
      </c>
      <c r="J696" s="37">
        <f t="shared" si="225"/>
        <v>-6.1904274252653969E-2</v>
      </c>
      <c r="K696" s="37">
        <f t="shared" si="226"/>
        <v>3.8752417116267104E-4</v>
      </c>
      <c r="L696" s="90">
        <f t="shared" si="223"/>
        <v>4.0212357777061093E-3</v>
      </c>
      <c r="N696" s="156">
        <f>COS(O694)</f>
        <v>0.99999974578464024</v>
      </c>
      <c r="O696" s="158">
        <f>-N697</f>
        <v>7.1304323491142019E-4</v>
      </c>
      <c r="Q696" s="123">
        <v>-0.11149270769829699</v>
      </c>
      <c r="R696" s="90">
        <v>0.27803095655486659</v>
      </c>
    </row>
    <row r="697" spans="1:18" x14ac:dyDescent="0.25">
      <c r="A697" s="194">
        <v>-3.1080556599428533E-2</v>
      </c>
      <c r="B697" s="195">
        <v>2.1702671716513994E-2</v>
      </c>
      <c r="C697" s="195">
        <v>0.99762116773932008</v>
      </c>
      <c r="D697" s="196">
        <v>-5.757602556855048E-2</v>
      </c>
      <c r="F697" s="123">
        <f>INDEX(A697:D705,,F691)</f>
        <v>2.1702671716513994E-2</v>
      </c>
      <c r="G697" s="90">
        <f>INDEX(A692:D700,,G691)</f>
        <v>-5.757602556855048E-2</v>
      </c>
      <c r="I697" s="123">
        <f t="shared" si="224"/>
        <v>-2.8439927606356019E-3</v>
      </c>
      <c r="J697" s="37">
        <f t="shared" si="225"/>
        <v>-2.4991071633117339E-3</v>
      </c>
      <c r="K697" s="37">
        <f t="shared" si="226"/>
        <v>1.8427582088316902E-6</v>
      </c>
      <c r="L697" s="90">
        <f t="shared" si="223"/>
        <v>7.107442680511146E-6</v>
      </c>
      <c r="N697" s="91">
        <f>SIN(O694)</f>
        <v>-7.1304323491142019E-4</v>
      </c>
      <c r="O697" s="93">
        <f>N696</f>
        <v>0.99999974578464024</v>
      </c>
      <c r="Q697" s="123">
        <v>2.1743720394886236E-2</v>
      </c>
      <c r="R697" s="90">
        <v>-5.7560535988593467E-2</v>
      </c>
    </row>
    <row r="698" spans="1:18" x14ac:dyDescent="0.25">
      <c r="A698" s="194">
        <v>0.9617416502124756</v>
      </c>
      <c r="B698" s="195">
        <v>-2.1840577863476644E-2</v>
      </c>
      <c r="C698" s="195">
        <v>0.16730645919187029</v>
      </c>
      <c r="D698" s="196">
        <v>0.21583451095191508</v>
      </c>
      <c r="F698" s="123">
        <f>INDEX(A698:D706,,F691)</f>
        <v>-2.1840577863476644E-2</v>
      </c>
      <c r="G698" s="90">
        <f>INDEX(A692:D700,,G691)</f>
        <v>0.21583451095191508</v>
      </c>
      <c r="I698" s="123">
        <f t="shared" si="224"/>
        <v>-4.6107525276441762E-2</v>
      </c>
      <c r="J698" s="37">
        <f t="shared" si="225"/>
        <v>-9.4279008841414071E-3</v>
      </c>
      <c r="K698" s="37">
        <f t="shared" si="226"/>
        <v>2.0370185720365217E-3</v>
      </c>
      <c r="L698" s="90">
        <f t="shared" si="223"/>
        <v>4.3469717831933754E-4</v>
      </c>
      <c r="Q698" s="123">
        <v>-2.1994471649160963E-2</v>
      </c>
      <c r="R698" s="90">
        <v>0.21581888280717512</v>
      </c>
    </row>
    <row r="699" spans="1:18" x14ac:dyDescent="0.25">
      <c r="A699" s="194">
        <v>0.67529227329477048</v>
      </c>
      <c r="B699" s="195">
        <v>-0.2199237068005456</v>
      </c>
      <c r="C699" s="195">
        <v>0.56833185706209299</v>
      </c>
      <c r="D699" s="196">
        <v>0.41546697710388658</v>
      </c>
      <c r="F699" s="123">
        <f>INDEX(A699:D707,,F691)</f>
        <v>-0.2199237068005456</v>
      </c>
      <c r="G699" s="90">
        <f>INDEX(A692:D700,,G691)</f>
        <v>0.41546697710388658</v>
      </c>
      <c r="I699" s="123">
        <f t="shared" si="224"/>
        <v>-0.12424637225094906</v>
      </c>
      <c r="J699" s="37">
        <f t="shared" si="225"/>
        <v>-0.1827420753158083</v>
      </c>
      <c r="K699" s="37">
        <f t="shared" si="226"/>
        <v>-1.7957505073207147E-2</v>
      </c>
      <c r="L699" s="90">
        <f t="shared" si="223"/>
        <v>2.2705039915598888E-2</v>
      </c>
      <c r="Q699" s="123">
        <v>-0.22021989680991438</v>
      </c>
      <c r="R699" s="90">
        <v>0.41531005637446877</v>
      </c>
    </row>
    <row r="700" spans="1:18" x14ac:dyDescent="0.25">
      <c r="A700" s="200">
        <v>7.050380601150899E-2</v>
      </c>
      <c r="B700" s="201">
        <v>-0.92558030779125133</v>
      </c>
      <c r="C700" s="201">
        <v>-0.20423718305845734</v>
      </c>
      <c r="D700" s="202">
        <v>0.31083352493463551</v>
      </c>
      <c r="F700" s="91">
        <f>INDEX(A700:D708,,F691)</f>
        <v>-0.92558030779125133</v>
      </c>
      <c r="G700" s="93">
        <f>INDEX(A692:D700,,G691)</f>
        <v>0.31083352493463551</v>
      </c>
      <c r="I700" s="91">
        <f t="shared" si="224"/>
        <v>0.76008142594765693</v>
      </c>
      <c r="J700" s="92">
        <f t="shared" si="225"/>
        <v>-0.57540277936167905</v>
      </c>
      <c r="K700" s="92">
        <f t="shared" si="226"/>
        <v>0.24663541557347834</v>
      </c>
      <c r="L700" s="93">
        <f t="shared" si="223"/>
        <v>-0.43735296503147003</v>
      </c>
      <c r="Q700" s="91">
        <v>-0.92580171023665869</v>
      </c>
      <c r="R700" s="93">
        <v>0.3101734671391414</v>
      </c>
    </row>
    <row r="701" spans="1:18" x14ac:dyDescent="0.25">
      <c r="I701">
        <f>SUM(I692:I700)</f>
        <v>0.613414428808157</v>
      </c>
      <c r="J701">
        <f>SUM(J692:J700)</f>
        <v>-0.28801147290513829</v>
      </c>
      <c r="K701">
        <f>SUM(K692:K700)</f>
        <v>1.5994148414978286</v>
      </c>
      <c r="L701">
        <f>SUM(L692:L700)</f>
        <v>-4.3728949998182165E-2</v>
      </c>
    </row>
    <row r="702" spans="1:18" x14ac:dyDescent="0.25">
      <c r="A702" s="47" t="s">
        <v>53</v>
      </c>
      <c r="B702">
        <f>COUNT(A692:A700)</f>
        <v>9</v>
      </c>
      <c r="I702" s="47" t="s">
        <v>462</v>
      </c>
      <c r="J702" s="47" t="s">
        <v>389</v>
      </c>
      <c r="K702" s="47" t="s">
        <v>469</v>
      </c>
      <c r="L702" s="47" t="s">
        <v>470</v>
      </c>
      <c r="N702" s="47"/>
    </row>
    <row r="704" spans="1:18" x14ac:dyDescent="0.25">
      <c r="A704">
        <v>1</v>
      </c>
      <c r="B704">
        <v>2</v>
      </c>
      <c r="C704">
        <v>3</v>
      </c>
      <c r="D704">
        <v>4</v>
      </c>
      <c r="F704">
        <v>3</v>
      </c>
      <c r="G704">
        <v>4</v>
      </c>
      <c r="I704" s="47" t="s">
        <v>207</v>
      </c>
      <c r="J704" s="47" t="s">
        <v>464</v>
      </c>
      <c r="K704" s="47" t="s">
        <v>465</v>
      </c>
      <c r="L704" s="47" t="s">
        <v>466</v>
      </c>
      <c r="Q704">
        <f>F704</f>
        <v>3</v>
      </c>
      <c r="R704">
        <f>G704</f>
        <v>4</v>
      </c>
    </row>
    <row r="705" spans="1:18" x14ac:dyDescent="0.25">
      <c r="A705" s="189">
        <f t="array" ref="A705:A713">IF(A704=$Q691,$Q692:$Q700,IF(A704=$R691,$R692:$R700,A692:A700))</f>
        <v>0.1099862403871516</v>
      </c>
      <c r="B705" s="190">
        <f t="array" ref="B705:B713">IF(B704=$Q691,$Q692:$Q700,IF(B704=$R691,$R692:$R700,B692:B700))</f>
        <v>0.88978373543441036</v>
      </c>
      <c r="C705" s="190">
        <f t="array" ref="C705:C713">IF(C704=$Q691,$Q692:$Q700,IF(C704=$R691,$R692:$R700,C692:C700))</f>
        <v>-0.34109253731968381</v>
      </c>
      <c r="D705" s="191">
        <f t="array" ref="D705:D713">IF(D704=$Q691,$Q692:$Q700,IF(D704=$R691,$R692:$R700,D692:D700))</f>
        <v>0.28256647371319116</v>
      </c>
      <c r="F705" s="156">
        <f>INDEX(A705:D713,,F704)</f>
        <v>-0.34109253731968381</v>
      </c>
      <c r="G705" s="158">
        <f>INDEX(A705:D713,,G704)</f>
        <v>0.28256647371319116</v>
      </c>
      <c r="I705" s="156">
        <f>F705^2-G705^2</f>
        <v>3.6500306948472339E-2</v>
      </c>
      <c r="J705" s="157">
        <f>2*F705*G705</f>
        <v>-0.19276263096061622</v>
      </c>
      <c r="K705" s="157">
        <f>I705^2-J705^2</f>
        <v>-3.5825159487526022E-2</v>
      </c>
      <c r="L705" s="158">
        <f t="shared" ref="L705:L713" si="227">I705*J705</f>
        <v>-7.0358951982575895E-3</v>
      </c>
      <c r="N705" t="s">
        <v>390</v>
      </c>
      <c r="O705" s="172">
        <f>L714*B715-2*I714*J714</f>
        <v>2.1964082475150137E-2</v>
      </c>
      <c r="Q705" s="156">
        <f t="array" ref="Q705:R713">MMULT(F705:G713,N709:O710)</f>
        <v>-0.34100211506218636</v>
      </c>
      <c r="R705" s="158">
        <v>0.28267558897966916</v>
      </c>
    </row>
    <row r="706" spans="1:18" x14ac:dyDescent="0.25">
      <c r="A706" s="194">
        <v>0.79409692187691305</v>
      </c>
      <c r="B706" s="195">
        <v>-0.60157889190083269</v>
      </c>
      <c r="C706" s="195">
        <v>8.4076655757312616E-2</v>
      </c>
      <c r="D706" s="196">
        <v>-2.1072053569705658E-2</v>
      </c>
      <c r="F706" s="123">
        <f>INDEX(A706:D714,,F704)</f>
        <v>8.4076655757312616E-2</v>
      </c>
      <c r="G706" s="90">
        <f>INDEX(A705:D713,,G704)</f>
        <v>-2.1072053569705658E-2</v>
      </c>
      <c r="I706" s="123">
        <f t="shared" ref="I706:I713" si="228">F706^2-G706^2</f>
        <v>6.6248526016891036E-3</v>
      </c>
      <c r="J706" s="37">
        <f t="shared" ref="J706:J713" si="229">2*F706*G706</f>
        <v>-3.543335588159586E-3</v>
      </c>
      <c r="K706" s="37">
        <f t="shared" ref="K706:K713" si="230">I706^2-J706^2</f>
        <v>3.1333444903788642E-5</v>
      </c>
      <c r="L706" s="90">
        <f t="shared" si="227"/>
        <v>-2.3474075989876622E-5</v>
      </c>
      <c r="N706" t="s">
        <v>392</v>
      </c>
      <c r="O706" s="173">
        <f>K714*B715-(I714^2-J714^2)</f>
        <v>17.162556204531796</v>
      </c>
      <c r="Q706" s="123">
        <v>8.4069909625368311E-2</v>
      </c>
      <c r="R706" s="90">
        <v>-2.1098952119965538E-2</v>
      </c>
    </row>
    <row r="707" spans="1:18" x14ac:dyDescent="0.25">
      <c r="A707" s="194">
        <v>0.98384686994605142</v>
      </c>
      <c r="B707" s="195">
        <v>0.1176908259450081</v>
      </c>
      <c r="C707" s="195">
        <v>0.11381610418081374</v>
      </c>
      <c r="D707" s="196">
        <v>7.2388537869203823E-2</v>
      </c>
      <c r="F707" s="123">
        <f>INDEX(A707:D715,,F704)</f>
        <v>0.11381610418081374</v>
      </c>
      <c r="G707" s="90">
        <f>INDEX(A705:D713,,G704)</f>
        <v>7.2388537869203823E-2</v>
      </c>
      <c r="I707" s="123">
        <f t="shared" si="228"/>
        <v>7.7140051560566905E-3</v>
      </c>
      <c r="J707" s="37">
        <f t="shared" si="229"/>
        <v>1.6477962735236166E-2</v>
      </c>
      <c r="K707" s="37">
        <f t="shared" si="230"/>
        <v>-2.1201738035616253E-4</v>
      </c>
      <c r="L707" s="90">
        <f t="shared" si="227"/>
        <v>1.2711108950092179E-4</v>
      </c>
      <c r="N707" t="s">
        <v>467</v>
      </c>
      <c r="O707" s="174">
        <f>0.25*ATAN(O705/O706)</f>
        <v>3.1994171238898956E-4</v>
      </c>
      <c r="Q707" s="123">
        <v>0.11383925846792003</v>
      </c>
      <c r="R707" s="90">
        <v>7.2352119645612986E-2</v>
      </c>
    </row>
    <row r="708" spans="1:18" x14ac:dyDescent="0.25">
      <c r="A708" s="194">
        <v>4.8814885779813827E-2</v>
      </c>
      <c r="B708" s="195">
        <v>-5.742563113081651E-4</v>
      </c>
      <c r="C708" s="195">
        <v>7.9968726708746329E-2</v>
      </c>
      <c r="D708" s="196">
        <v>0.99560121529886403</v>
      </c>
      <c r="F708" s="123">
        <f>INDEX(A708:D716,,F704)</f>
        <v>7.9968726708746329E-2</v>
      </c>
      <c r="G708" s="90">
        <f>INDEX(A705:D713,,G704)</f>
        <v>0.99560121529886403</v>
      </c>
      <c r="I708" s="123">
        <f t="shared" si="228"/>
        <v>-0.98482678265315693</v>
      </c>
      <c r="J708" s="37">
        <f t="shared" si="229"/>
        <v>0.15923392299426115</v>
      </c>
      <c r="K708" s="37">
        <f t="shared" si="230"/>
        <v>0.94452834959882614</v>
      </c>
      <c r="L708" s="90">
        <f t="shared" si="227"/>
        <v>-0.15681783207167874</v>
      </c>
      <c r="Q708" s="123">
        <v>8.0287256968083934E-2</v>
      </c>
      <c r="R708" s="90">
        <v>0.99557557901172622</v>
      </c>
    </row>
    <row r="709" spans="1:18" x14ac:dyDescent="0.25">
      <c r="A709" s="194">
        <v>0.35394930300256117</v>
      </c>
      <c r="B709" s="195">
        <v>-0.11149270769829699</v>
      </c>
      <c r="C709" s="195">
        <v>0.88599551592053216</v>
      </c>
      <c r="D709" s="196">
        <v>0.27803095655486659</v>
      </c>
      <c r="F709" s="123">
        <f>INDEX(A709:D717,,F704)</f>
        <v>0.88599551592053216</v>
      </c>
      <c r="G709" s="90">
        <f>INDEX(A705:D713,,G704)</f>
        <v>0.27803095655486659</v>
      </c>
      <c r="I709" s="123">
        <f t="shared" si="228"/>
        <v>0.70768684142847582</v>
      </c>
      <c r="J709" s="37">
        <f t="shared" si="229"/>
        <v>0.49266836158941618</v>
      </c>
      <c r="K709" s="37">
        <f t="shared" si="230"/>
        <v>0.25809855101981294</v>
      </c>
      <c r="L709" s="90">
        <f t="shared" si="227"/>
        <v>0.34865491668495618</v>
      </c>
      <c r="N709" s="156">
        <f>COS(O707)</f>
        <v>0.99999994881865073</v>
      </c>
      <c r="O709" s="158">
        <f>-N710</f>
        <v>-3.1994170693064002E-4</v>
      </c>
      <c r="Q709" s="123">
        <v>0.8860844242729059</v>
      </c>
      <c r="R709" s="90">
        <v>0.2777474754071706</v>
      </c>
    </row>
    <row r="710" spans="1:18" x14ac:dyDescent="0.25">
      <c r="A710" s="194">
        <v>-3.1080556599428533E-2</v>
      </c>
      <c r="B710" s="195">
        <v>2.1743720394886236E-2</v>
      </c>
      <c r="C710" s="195">
        <v>0.99762116773932008</v>
      </c>
      <c r="D710" s="196">
        <v>-5.7560535988593467E-2</v>
      </c>
      <c r="F710" s="123">
        <f>INDEX(A710:D718,,F704)</f>
        <v>0.99762116773932008</v>
      </c>
      <c r="G710" s="90">
        <f>INDEX(A705:D713,,G704)</f>
        <v>-5.7560535988593467E-2</v>
      </c>
      <c r="I710" s="123">
        <f t="shared" si="228"/>
        <v>0.99193477901827043</v>
      </c>
      <c r="J710" s="37">
        <f t="shared" si="229"/>
        <v>-0.11484721825728354</v>
      </c>
      <c r="K710" s="37">
        <f t="shared" si="230"/>
        <v>0.97074472228458886</v>
      </c>
      <c r="L710" s="90">
        <f t="shared" si="227"/>
        <v>-0.11392095006290162</v>
      </c>
      <c r="N710" s="91">
        <f>SIN(O707)</f>
        <v>3.1994170693064002E-4</v>
      </c>
      <c r="O710" s="93">
        <f>N709</f>
        <v>0.99999994881865073</v>
      </c>
      <c r="Q710" s="123">
        <v>0.99760270066358658</v>
      </c>
      <c r="R710" s="90">
        <v>-5.7879713661844225E-2</v>
      </c>
    </row>
    <row r="711" spans="1:18" x14ac:dyDescent="0.25">
      <c r="A711" s="194">
        <v>0.9617416502124756</v>
      </c>
      <c r="B711" s="195">
        <v>-2.1994471649160963E-2</v>
      </c>
      <c r="C711" s="195">
        <v>0.16730645919187029</v>
      </c>
      <c r="D711" s="196">
        <v>0.21581888280717512</v>
      </c>
      <c r="F711" s="123">
        <f>INDEX(A711:D719,,F704)</f>
        <v>0.16730645919187029</v>
      </c>
      <c r="G711" s="90">
        <f>INDEX(A705:D713,,G704)</f>
        <v>0.21581888280717512</v>
      </c>
      <c r="I711" s="123">
        <f t="shared" si="228"/>
        <v>-1.858633888881623E-2</v>
      </c>
      <c r="J711" s="37">
        <f t="shared" si="229"/>
        <v>7.2215786218427364E-2</v>
      </c>
      <c r="K711" s="37">
        <f t="shared" si="230"/>
        <v>-4.8696677858556811E-3</v>
      </c>
      <c r="L711" s="90">
        <f t="shared" si="227"/>
        <v>-1.3422270757779957E-3</v>
      </c>
      <c r="Q711" s="123">
        <v>0.16737550009065313</v>
      </c>
      <c r="R711" s="90">
        <v>0.21576534344713913</v>
      </c>
    </row>
    <row r="712" spans="1:18" x14ac:dyDescent="0.25">
      <c r="A712" s="194">
        <v>0.67529227329477048</v>
      </c>
      <c r="B712" s="195">
        <v>-0.22021989680991438</v>
      </c>
      <c r="C712" s="195">
        <v>0.56833185706209299</v>
      </c>
      <c r="D712" s="196">
        <v>0.41531005637446877</v>
      </c>
      <c r="F712" s="123">
        <f>INDEX(A712:D720,,F704)</f>
        <v>0.56833185706209299</v>
      </c>
      <c r="G712" s="90">
        <f>INDEX(A705:D713,,G704)</f>
        <v>0.41531005637446877</v>
      </c>
      <c r="I712" s="123">
        <f t="shared" si="228"/>
        <v>0.15051865682588289</v>
      </c>
      <c r="J712" s="37">
        <f t="shared" si="229"/>
        <v>0.47206787119172872</v>
      </c>
      <c r="K712" s="37">
        <f t="shared" si="230"/>
        <v>-0.20019220895882267</v>
      </c>
      <c r="L712" s="90">
        <f t="shared" si="227"/>
        <v>7.1055021902432902E-2</v>
      </c>
      <c r="Q712" s="123">
        <v>0.56846470298244367</v>
      </c>
      <c r="R712" s="90">
        <v>0.41512820205388823</v>
      </c>
    </row>
    <row r="713" spans="1:18" x14ac:dyDescent="0.25">
      <c r="A713" s="200">
        <v>7.050380601150899E-2</v>
      </c>
      <c r="B713" s="201">
        <v>-0.92580171023665869</v>
      </c>
      <c r="C713" s="201">
        <v>-0.20423718305845734</v>
      </c>
      <c r="D713" s="202">
        <v>0.3101734671391414</v>
      </c>
      <c r="F713" s="91">
        <f>INDEX(A713:D721,,F704)</f>
        <v>-0.20423718305845734</v>
      </c>
      <c r="G713" s="93">
        <f>INDEX(A705:D713,,G704)</f>
        <v>0.3101734671391414</v>
      </c>
      <c r="I713" s="91">
        <f t="shared" si="228"/>
        <v>-5.4494752773462218E-2</v>
      </c>
      <c r="J713" s="92">
        <f t="shared" si="229"/>
        <v>-0.12669791037594644</v>
      </c>
      <c r="K713" s="92">
        <f t="shared" si="230"/>
        <v>-1.3082682413790589E-2</v>
      </c>
      <c r="L713" s="93">
        <f t="shared" si="227"/>
        <v>6.9043713028514751E-3</v>
      </c>
      <c r="Q713" s="91">
        <v>-0.20413793517680165</v>
      </c>
      <c r="R713" s="93">
        <v>0.31023879525701126</v>
      </c>
    </row>
    <row r="714" spans="1:18" x14ac:dyDescent="0.25">
      <c r="I714">
        <f>SUM(I705:I713)</f>
        <v>0.84307156766341174</v>
      </c>
      <c r="J714">
        <f>SUM(J705:J713)</f>
        <v>0.77481280954706366</v>
      </c>
      <c r="K714">
        <f>SUM(K705:K713)</f>
        <v>1.9192212203217807</v>
      </c>
      <c r="L714">
        <f>SUM(L705:L713)</f>
        <v>0.14760104249513567</v>
      </c>
    </row>
    <row r="715" spans="1:18" x14ac:dyDescent="0.25">
      <c r="A715" s="47" t="s">
        <v>53</v>
      </c>
      <c r="B715">
        <f>COUNT(A705:A713)</f>
        <v>9</v>
      </c>
      <c r="I715" s="47" t="s">
        <v>462</v>
      </c>
      <c r="J715" s="47" t="s">
        <v>389</v>
      </c>
      <c r="K715" s="47" t="s">
        <v>469</v>
      </c>
      <c r="L715" s="47" t="s">
        <v>470</v>
      </c>
      <c r="N715" s="47"/>
    </row>
    <row r="717" spans="1:18" x14ac:dyDescent="0.25">
      <c r="A717">
        <v>1</v>
      </c>
      <c r="B717">
        <v>2</v>
      </c>
      <c r="C717">
        <v>3</v>
      </c>
      <c r="D717">
        <v>4</v>
      </c>
      <c r="F717">
        <v>1</v>
      </c>
      <c r="G717">
        <v>2</v>
      </c>
      <c r="I717" s="47" t="s">
        <v>207</v>
      </c>
      <c r="J717" s="47" t="s">
        <v>464</v>
      </c>
      <c r="K717" s="47" t="s">
        <v>465</v>
      </c>
      <c r="L717" s="47" t="s">
        <v>466</v>
      </c>
      <c r="Q717">
        <f>F717</f>
        <v>1</v>
      </c>
      <c r="R717">
        <f>G717</f>
        <v>2</v>
      </c>
    </row>
    <row r="718" spans="1:18" x14ac:dyDescent="0.25">
      <c r="A718" s="189">
        <f t="array" ref="A718:A726">IF(A717=$Q704,$Q705:$Q713,IF(A717=$R704,$R705:$R713,A705:A713))</f>
        <v>0.1099862403871516</v>
      </c>
      <c r="B718" s="190">
        <f t="array" ref="B718:B726">IF(B717=$Q704,$Q705:$Q713,IF(B717=$R704,$R705:$R713,B705:B713))</f>
        <v>0.88978373543441036</v>
      </c>
      <c r="C718" s="190">
        <f t="array" ref="C718:C726">IF(C717=$Q704,$Q705:$Q713,IF(C717=$R704,$R705:$R713,C705:C713))</f>
        <v>-0.34100211506218636</v>
      </c>
      <c r="D718" s="191">
        <f t="array" ref="D718:D726">IF(D717=$Q704,$Q705:$Q713,IF(D717=$R704,$R705:$R713,D705:D713))</f>
        <v>0.28267558897966916</v>
      </c>
      <c r="F718" s="156">
        <f>INDEX(A718:D726,,F717)</f>
        <v>0.1099862403871516</v>
      </c>
      <c r="G718" s="158">
        <f>INDEX(A718:D726,,G717)</f>
        <v>0.88978373543441036</v>
      </c>
      <c r="I718" s="156">
        <f>F718^2-G718^2</f>
        <v>-0.77961812276911246</v>
      </c>
      <c r="J718" s="157">
        <f>2*F718*G718</f>
        <v>0.19572793563613353</v>
      </c>
      <c r="K718" s="157">
        <f>I718^2-J718^2</f>
        <v>0.56949499256165248</v>
      </c>
      <c r="L718" s="158">
        <f t="shared" ref="L718:L726" si="231">I718*J718</f>
        <v>-0.15259304575411609</v>
      </c>
      <c r="N718" t="s">
        <v>390</v>
      </c>
      <c r="O718" s="172">
        <f>L727*B728-2*I727*J727</f>
        <v>2.3989625714835316E-2</v>
      </c>
      <c r="Q718" s="156">
        <f t="array" ref="Q718:R726">MMULT(F718:G726,N722:O723)</f>
        <v>0.11025081845331883</v>
      </c>
      <c r="R718" s="158">
        <v>0.88975099097921018</v>
      </c>
    </row>
    <row r="719" spans="1:18" x14ac:dyDescent="0.25">
      <c r="A719" s="194">
        <v>0.79409692187691305</v>
      </c>
      <c r="B719" s="195">
        <v>-0.60157889190083269</v>
      </c>
      <c r="C719" s="195">
        <v>8.4069909625368311E-2</v>
      </c>
      <c r="D719" s="196">
        <v>-2.1098952119965538E-2</v>
      </c>
      <c r="F719" s="123">
        <f>INDEX(A719:D727,,F717)</f>
        <v>0.79409692187691305</v>
      </c>
      <c r="G719" s="90">
        <f>INDEX(A718:D726,,G717)</f>
        <v>-0.60157889190083269</v>
      </c>
      <c r="I719" s="123">
        <f t="shared" ref="I719:I726" si="232">F719^2-G719^2</f>
        <v>0.26869275815375443</v>
      </c>
      <c r="J719" s="37">
        <f t="shared" ref="J719:J726" si="233">2*F719*G719</f>
        <v>-0.95542389264915095</v>
      </c>
      <c r="K719" s="37">
        <f t="shared" ref="K719:K726" si="234">I719^2-J719^2</f>
        <v>-0.84063901636058436</v>
      </c>
      <c r="L719" s="90">
        <f t="shared" si="231"/>
        <v>-0.25671548092189694</v>
      </c>
      <c r="N719" t="s">
        <v>392</v>
      </c>
      <c r="O719" s="173">
        <f>K727*B728-(I727^2-J727^2)</f>
        <v>20.169071852007669</v>
      </c>
      <c r="Q719" s="123">
        <v>0.79391800340864971</v>
      </c>
      <c r="R719" s="90">
        <v>-0.60181499514273085</v>
      </c>
    </row>
    <row r="720" spans="1:18" x14ac:dyDescent="0.25">
      <c r="A720" s="194">
        <v>0.98384686994605142</v>
      </c>
      <c r="B720" s="195">
        <v>0.1176908259450081</v>
      </c>
      <c r="C720" s="195">
        <v>0.11383925846792003</v>
      </c>
      <c r="D720" s="196">
        <v>7.2352119645612986E-2</v>
      </c>
      <c r="F720" s="123">
        <f>INDEX(A720:D728,,F717)</f>
        <v>0.98384686994605142</v>
      </c>
      <c r="G720" s="90">
        <f>INDEX(A718:D726,,G717)</f>
        <v>0.1176908259450081</v>
      </c>
      <c r="I720" s="123">
        <f t="shared" si="232"/>
        <v>0.95410353299102435</v>
      </c>
      <c r="J720" s="37">
        <f t="shared" si="233"/>
        <v>0.2315795014547235</v>
      </c>
      <c r="K720" s="37">
        <f t="shared" si="234"/>
        <v>0.85668448617193649</v>
      </c>
      <c r="L720" s="90">
        <f t="shared" si="231"/>
        <v>0.22095082050625175</v>
      </c>
      <c r="N720" t="s">
        <v>467</v>
      </c>
      <c r="O720" s="174">
        <f>0.25*ATAN(O718/O719)</f>
        <v>2.9735644974001008E-4</v>
      </c>
      <c r="Q720" s="123">
        <v>0.98388182257541379</v>
      </c>
      <c r="R720" s="90">
        <v>0.11739826753382254</v>
      </c>
    </row>
    <row r="721" spans="1:18" x14ac:dyDescent="0.25">
      <c r="A721" s="194">
        <v>4.8814885779813827E-2</v>
      </c>
      <c r="B721" s="195">
        <v>-5.742563113081651E-4</v>
      </c>
      <c r="C721" s="195">
        <v>8.0287256968083934E-2</v>
      </c>
      <c r="D721" s="196">
        <v>0.99557557901172622</v>
      </c>
      <c r="F721" s="123">
        <f>INDEX(A721:D729,,F717)</f>
        <v>4.8814885779813827E-2</v>
      </c>
      <c r="G721" s="90">
        <f>INDEX(A718:D726,,G717)</f>
        <v>-5.742563113081651E-4</v>
      </c>
      <c r="I721" s="123">
        <f t="shared" si="232"/>
        <v>2.3825633033851927E-3</v>
      </c>
      <c r="J721" s="37">
        <f t="shared" si="233"/>
        <v>-5.6064512489690582E-5</v>
      </c>
      <c r="K721" s="37">
        <f t="shared" si="234"/>
        <v>5.6734646650770546E-6</v>
      </c>
      <c r="L721" s="90">
        <f t="shared" si="231"/>
        <v>-1.3357725008011758E-7</v>
      </c>
      <c r="Q721" s="123">
        <v>4.881471286287134E-2</v>
      </c>
      <c r="R721" s="90">
        <v>-5.8877170683608595E-4</v>
      </c>
    </row>
    <row r="722" spans="1:18" x14ac:dyDescent="0.25">
      <c r="A722" s="194">
        <v>0.35394930300256117</v>
      </c>
      <c r="B722" s="195">
        <v>-0.11149270769829699</v>
      </c>
      <c r="C722" s="195">
        <v>0.8860844242729059</v>
      </c>
      <c r="D722" s="196">
        <v>0.2777474754071706</v>
      </c>
      <c r="F722" s="123">
        <f>INDEX(A722:D730,,F717)</f>
        <v>0.35394930300256117</v>
      </c>
      <c r="G722" s="90">
        <f>INDEX(A718:D726,,G717)</f>
        <v>-0.11149270769829699</v>
      </c>
      <c r="I722" s="123">
        <f t="shared" si="232"/>
        <v>0.11284948522610096</v>
      </c>
      <c r="J722" s="37">
        <f t="shared" si="233"/>
        <v>-7.8925532359361006E-2</v>
      </c>
      <c r="K722" s="37">
        <f t="shared" si="234"/>
        <v>6.5057666575874364E-3</v>
      </c>
      <c r="L722" s="90">
        <f t="shared" si="231"/>
        <v>-8.906705697949862E-3</v>
      </c>
      <c r="N722" s="156">
        <f>COS(O720)</f>
        <v>0.99999995578957124</v>
      </c>
      <c r="O722" s="158">
        <f>-N723</f>
        <v>-2.9735644535792467E-4</v>
      </c>
      <c r="Q722" s="123">
        <v>0.35391613427906621</v>
      </c>
      <c r="R722" s="90">
        <v>-0.11159795187573433</v>
      </c>
    </row>
    <row r="723" spans="1:18" x14ac:dyDescent="0.25">
      <c r="A723" s="194">
        <v>-3.1080556599428533E-2</v>
      </c>
      <c r="B723" s="195">
        <v>2.1743720394886236E-2</v>
      </c>
      <c r="C723" s="195">
        <v>0.99760270066358658</v>
      </c>
      <c r="D723" s="196">
        <v>-5.7879713661844225E-2</v>
      </c>
      <c r="F723" s="123">
        <f>INDEX(A723:D731,,F717)</f>
        <v>-3.1080556599428533E-2</v>
      </c>
      <c r="G723" s="90">
        <f>INDEX(A718:D726,,G717)</f>
        <v>2.1743720394886236E-2</v>
      </c>
      <c r="I723" s="123">
        <f t="shared" si="232"/>
        <v>4.9321162191928898E-4</v>
      </c>
      <c r="J723" s="37">
        <f t="shared" si="233"/>
        <v>-1.3516138648308204E-3</v>
      </c>
      <c r="K723" s="37">
        <f t="shared" si="234"/>
        <v>-1.5836023356066516E-6</v>
      </c>
      <c r="L723" s="90">
        <f t="shared" si="231"/>
        <v>-6.6663166648180758E-7</v>
      </c>
      <c r="N723" s="91">
        <f>SIN(O720)</f>
        <v>2.9735644535792467E-4</v>
      </c>
      <c r="O723" s="93">
        <f>N722</f>
        <v>0.99999995578957124</v>
      </c>
      <c r="Q723" s="123">
        <v>-3.107408958993832E-2</v>
      </c>
      <c r="R723" s="90">
        <v>2.1752961437417187E-2</v>
      </c>
    </row>
    <row r="724" spans="1:18" x14ac:dyDescent="0.25">
      <c r="A724" s="194">
        <v>0.9617416502124756</v>
      </c>
      <c r="B724" s="195">
        <v>-2.1994471649160963E-2</v>
      </c>
      <c r="C724" s="195">
        <v>0.16737550009065313</v>
      </c>
      <c r="D724" s="196">
        <v>0.21576534344713913</v>
      </c>
      <c r="F724" s="123">
        <f>INDEX(A724:D732,,F717)</f>
        <v>0.9617416502124756</v>
      </c>
      <c r="G724" s="90">
        <f>INDEX(A718:D726,,G717)</f>
        <v>-2.1994471649160963E-2</v>
      </c>
      <c r="I724" s="123">
        <f t="shared" si="232"/>
        <v>0.92446324497028998</v>
      </c>
      <c r="J724" s="37">
        <f t="shared" si="233"/>
        <v>-4.2305998918831147E-2</v>
      </c>
      <c r="K724" s="37">
        <f t="shared" si="234"/>
        <v>0.85284249375647825</v>
      </c>
      <c r="L724" s="90">
        <f t="shared" si="231"/>
        <v>-3.911034104221222E-2</v>
      </c>
      <c r="Q724" s="123">
        <v>0.96173506749555771</v>
      </c>
      <c r="R724" s="90">
        <v>-2.2280450755235787E-2</v>
      </c>
    </row>
    <row r="725" spans="1:18" x14ac:dyDescent="0.25">
      <c r="A725" s="194">
        <v>0.67529227329477048</v>
      </c>
      <c r="B725" s="195">
        <v>-0.22021989680991438</v>
      </c>
      <c r="C725" s="195">
        <v>0.56846470298244367</v>
      </c>
      <c r="D725" s="196">
        <v>0.41512820205388823</v>
      </c>
      <c r="F725" s="123">
        <f>INDEX(A725:D733,,F717)</f>
        <v>0.67529227329477048</v>
      </c>
      <c r="G725" s="90">
        <f>INDEX(A718:D726,,G717)</f>
        <v>-0.22021989680991438</v>
      </c>
      <c r="I725" s="123">
        <f t="shared" si="232"/>
        <v>0.4075228514206497</v>
      </c>
      <c r="J725" s="37">
        <f t="shared" si="233"/>
        <v>-0.29742558948301373</v>
      </c>
      <c r="K725" s="37">
        <f t="shared" si="234"/>
        <v>7.761289315069872E-2</v>
      </c>
      <c r="L725" s="90">
        <f t="shared" si="231"/>
        <v>-0.12120772431158536</v>
      </c>
      <c r="Q725" s="123">
        <v>0.67522675963409706</v>
      </c>
      <c r="R725" s="90">
        <v>-0.22042068958386293</v>
      </c>
    </row>
    <row r="726" spans="1:18" x14ac:dyDescent="0.25">
      <c r="A726" s="200">
        <v>7.050380601150899E-2</v>
      </c>
      <c r="B726" s="201">
        <v>-0.92580171023665869</v>
      </c>
      <c r="C726" s="201">
        <v>-0.20413793517680165</v>
      </c>
      <c r="D726" s="202">
        <v>0.31023879525701126</v>
      </c>
      <c r="F726" s="91">
        <f>INDEX(A726:D734,,F717)</f>
        <v>7.050380601150899E-2</v>
      </c>
      <c r="G726" s="93">
        <f>INDEX(A718:D726,,G717)</f>
        <v>-0.92580171023665869</v>
      </c>
      <c r="I726" s="91">
        <f t="shared" si="232"/>
        <v>-0.85213802001501371</v>
      </c>
      <c r="J726" s="92">
        <f t="shared" si="233"/>
        <v>-0.13054508836729728</v>
      </c>
      <c r="K726" s="92">
        <f t="shared" si="234"/>
        <v>0.70909718505828245</v>
      </c>
      <c r="L726" s="93">
        <f t="shared" si="231"/>
        <v>0.11124243312399371</v>
      </c>
      <c r="Q726" s="91">
        <v>7.0228509788843235E-2</v>
      </c>
      <c r="R726" s="93">
        <v>-0.92582263406770793</v>
      </c>
    </row>
    <row r="727" spans="1:18" x14ac:dyDescent="0.25">
      <c r="I727">
        <f>SUM(I718:I726)</f>
        <v>1.0387515049029978</v>
      </c>
      <c r="J727">
        <f>SUM(J718:J726)</f>
        <v>-1.0787263430641176</v>
      </c>
      <c r="K727">
        <f>SUM(K718:K726)</f>
        <v>2.2316028908583809</v>
      </c>
      <c r="L727">
        <f>SUM(L718:L726)</f>
        <v>-0.24634084430643158</v>
      </c>
    </row>
    <row r="728" spans="1:18" x14ac:dyDescent="0.25">
      <c r="A728" s="47" t="s">
        <v>53</v>
      </c>
      <c r="B728">
        <f>COUNT(A718:A726)</f>
        <v>9</v>
      </c>
      <c r="I728" s="47" t="s">
        <v>462</v>
      </c>
      <c r="J728" s="47" t="s">
        <v>389</v>
      </c>
      <c r="K728" s="47" t="s">
        <v>469</v>
      </c>
      <c r="L728" s="47" t="s">
        <v>470</v>
      </c>
      <c r="N728" s="47"/>
    </row>
    <row r="730" spans="1:18" x14ac:dyDescent="0.25">
      <c r="A730">
        <v>1</v>
      </c>
      <c r="B730">
        <v>2</v>
      </c>
      <c r="C730">
        <v>3</v>
      </c>
      <c r="D730">
        <v>4</v>
      </c>
      <c r="F730">
        <v>1</v>
      </c>
      <c r="G730">
        <v>3</v>
      </c>
      <c r="I730" s="47" t="s">
        <v>207</v>
      </c>
      <c r="J730" s="47" t="s">
        <v>464</v>
      </c>
      <c r="K730" s="47" t="s">
        <v>465</v>
      </c>
      <c r="L730" s="47" t="s">
        <v>466</v>
      </c>
      <c r="Q730">
        <f>F730</f>
        <v>1</v>
      </c>
      <c r="R730">
        <f>G730</f>
        <v>3</v>
      </c>
    </row>
    <row r="731" spans="1:18" x14ac:dyDescent="0.25">
      <c r="A731" s="189">
        <f t="array" ref="A731:A739">IF(A730=$Q717,$Q718:$Q726,IF(A730=$R717,$R718:$R726,A718:A726))</f>
        <v>0.11025081845331883</v>
      </c>
      <c r="B731" s="190">
        <f t="array" ref="B731:B739">IF(B730=$Q717,$Q718:$Q726,IF(B730=$R717,$R718:$R726,B718:B726))</f>
        <v>0.88975099097921018</v>
      </c>
      <c r="C731" s="190">
        <f t="array" ref="C731:C739">IF(C730=$Q717,$Q718:$Q726,IF(C730=$R717,$R718:$R726,C718:C726))</f>
        <v>-0.34100211506218636</v>
      </c>
      <c r="D731" s="191">
        <f t="array" ref="D731:D739">IF(D730=$Q717,$Q718:$Q726,IF(D730=$R717,$R718:$R726,D718:D726))</f>
        <v>0.28267558897966916</v>
      </c>
      <c r="F731" s="156">
        <f>INDEX(A731:D739,,F730)</f>
        <v>0.11025081845331883</v>
      </c>
      <c r="G731" s="158">
        <f>INDEX(A731:D739,,G730)</f>
        <v>-0.34100211506218636</v>
      </c>
      <c r="I731" s="156">
        <f>F731^2-G731^2</f>
        <v>-0.10412719950725792</v>
      </c>
      <c r="J731" s="157">
        <f>2*F731*G731</f>
        <v>-7.5191524559837686E-2</v>
      </c>
      <c r="K731" s="157">
        <f>I731^2-J731^2</f>
        <v>5.1887083115916199E-3</v>
      </c>
      <c r="L731" s="158">
        <f t="shared" ref="L731:L739" si="235">I731*J731</f>
        <v>7.8294828790971029E-3</v>
      </c>
      <c r="N731" t="s">
        <v>390</v>
      </c>
      <c r="O731" s="172">
        <f>L740*B741-2*I740*J740</f>
        <v>-3.8014012496789817E-4</v>
      </c>
      <c r="Q731" s="156">
        <f t="array" ref="Q731:R739">MMULT(F731:G739,N735:O736)</f>
        <v>0.11025213770374277</v>
      </c>
      <c r="R731" s="158">
        <v>-0.34100168852700158</v>
      </c>
    </row>
    <row r="732" spans="1:18" x14ac:dyDescent="0.25">
      <c r="A732" s="194">
        <v>0.79391800340864971</v>
      </c>
      <c r="B732" s="195">
        <v>-0.60181499514273085</v>
      </c>
      <c r="C732" s="195">
        <v>8.4069909625368311E-2</v>
      </c>
      <c r="D732" s="196">
        <v>-2.1098952119965538E-2</v>
      </c>
      <c r="F732" s="123">
        <f>INDEX(A732:D740,,F730)</f>
        <v>0.79391800340864971</v>
      </c>
      <c r="G732" s="90">
        <f>INDEX(A731:D739,,G730)</f>
        <v>8.4069909625368311E-2</v>
      </c>
      <c r="I732" s="123">
        <f t="shared" ref="I732:I739" si="236">F732^2-G732^2</f>
        <v>0.62323804643195913</v>
      </c>
      <c r="J732" s="37">
        <f t="shared" ref="J732:J739" si="237">2*F732*G732</f>
        <v>0.13348922959303605</v>
      </c>
      <c r="K732" s="37">
        <f t="shared" ref="K732:K739" si="238">I732^2-J732^2</f>
        <v>0.37060628810298257</v>
      </c>
      <c r="L732" s="90">
        <f t="shared" si="235"/>
        <v>8.3195566671271051E-2</v>
      </c>
      <c r="N732" t="s">
        <v>392</v>
      </c>
      <c r="O732" s="173">
        <f>K740*B741-(I740^2-J740^2)</f>
        <v>24.564802708981951</v>
      </c>
      <c r="Q732" s="123">
        <v>0.79391767815741399</v>
      </c>
      <c r="R732" s="90">
        <v>8.4072981093423246E-2</v>
      </c>
    </row>
    <row r="733" spans="1:18" x14ac:dyDescent="0.25">
      <c r="A733" s="194">
        <v>0.98388182257541379</v>
      </c>
      <c r="B733" s="195">
        <v>0.11739826753382254</v>
      </c>
      <c r="C733" s="195">
        <v>0.11383925846792003</v>
      </c>
      <c r="D733" s="196">
        <v>7.2352119645612986E-2</v>
      </c>
      <c r="F733" s="123">
        <f>INDEX(A733:D741,,F730)</f>
        <v>0.98388182257541379</v>
      </c>
      <c r="G733" s="90">
        <f>INDEX(A731:D739,,G730)</f>
        <v>0.11383925846792003</v>
      </c>
      <c r="I733" s="123">
        <f t="shared" si="236"/>
        <v>0.95506406402579214</v>
      </c>
      <c r="J733" s="37">
        <f t="shared" si="237"/>
        <v>0.22400875420410155</v>
      </c>
      <c r="K733" s="37">
        <f t="shared" si="238"/>
        <v>0.8619674444333888</v>
      </c>
      <c r="L733" s="90">
        <f t="shared" si="235"/>
        <v>0.21394271116752397</v>
      </c>
      <c r="N733" t="s">
        <v>467</v>
      </c>
      <c r="O733" s="174">
        <f>0.25*ATAN(O731/O732)</f>
        <v>-3.8687479952623215E-6</v>
      </c>
      <c r="Q733" s="123">
        <v>0.98388138215264787</v>
      </c>
      <c r="R733" s="90">
        <v>0.11384306485789676</v>
      </c>
    </row>
    <row r="734" spans="1:18" x14ac:dyDescent="0.25">
      <c r="A734" s="194">
        <v>4.881471286287134E-2</v>
      </c>
      <c r="B734" s="195">
        <v>-5.8877170683608595E-4</v>
      </c>
      <c r="C734" s="195">
        <v>8.0287256968083934E-2</v>
      </c>
      <c r="D734" s="196">
        <v>0.99557557901172622</v>
      </c>
      <c r="F734" s="123">
        <f>INDEX(A734:D742,,F730)</f>
        <v>4.881471286287134E-2</v>
      </c>
      <c r="G734" s="90">
        <f>INDEX(A731:D739,,G730)</f>
        <v>8.0287256968083934E-2</v>
      </c>
      <c r="I734" s="123">
        <f t="shared" si="236"/>
        <v>-4.0631674395745655E-3</v>
      </c>
      <c r="J734" s="37">
        <f t="shared" si="237"/>
        <v>7.8383987908891666E-3</v>
      </c>
      <c r="K734" s="37">
        <f t="shared" si="238"/>
        <v>-4.4931165962993823E-5</v>
      </c>
      <c r="L734" s="90">
        <f t="shared" si="235"/>
        <v>-3.1848726745541504E-5</v>
      </c>
      <c r="Q734" s="123">
        <v>4.8814402251341593E-2</v>
      </c>
      <c r="R734" s="90">
        <v>8.0287445819305622E-2</v>
      </c>
    </row>
    <row r="735" spans="1:18" x14ac:dyDescent="0.25">
      <c r="A735" s="194">
        <v>0.35391613427906621</v>
      </c>
      <c r="B735" s="195">
        <v>-0.11159795187573433</v>
      </c>
      <c r="C735" s="195">
        <v>0.8860844242729059</v>
      </c>
      <c r="D735" s="196">
        <v>0.2777474754071706</v>
      </c>
      <c r="F735" s="123">
        <f>INDEX(A735:D743,,F730)</f>
        <v>0.35391613427906621</v>
      </c>
      <c r="G735" s="90">
        <f>INDEX(A731:D739,,G730)</f>
        <v>0.8860844242729059</v>
      </c>
      <c r="I735" s="123">
        <f t="shared" si="236"/>
        <v>-0.65988897683600911</v>
      </c>
      <c r="J735" s="37">
        <f t="shared" si="237"/>
        <v>0.62719914816711764</v>
      </c>
      <c r="K735" s="37">
        <f t="shared" si="238"/>
        <v>4.2074690288117E-2</v>
      </c>
      <c r="L735" s="90">
        <f t="shared" si="235"/>
        <v>-0.41388180415641573</v>
      </c>
      <c r="N735" s="156">
        <f>COS(O733)</f>
        <v>0.99999999999251643</v>
      </c>
      <c r="O735" s="158">
        <f>-N736</f>
        <v>3.8687479952526704E-6</v>
      </c>
      <c r="Q735" s="123">
        <v>0.35391270623907761</v>
      </c>
      <c r="R735" s="90">
        <v>0.88608579347860983</v>
      </c>
    </row>
    <row r="736" spans="1:18" x14ac:dyDescent="0.25">
      <c r="A736" s="194">
        <v>-3.107408958993832E-2</v>
      </c>
      <c r="B736" s="195">
        <v>2.1752961437417187E-2</v>
      </c>
      <c r="C736" s="195">
        <v>0.99760270066358658</v>
      </c>
      <c r="D736" s="196">
        <v>-5.7879713661844225E-2</v>
      </c>
      <c r="F736" s="123">
        <f>INDEX(A736:D744,,F730)</f>
        <v>-3.107408958993832E-2</v>
      </c>
      <c r="G736" s="90">
        <f>INDEX(A731:D739,,G730)</f>
        <v>0.99760270066358658</v>
      </c>
      <c r="I736" s="123">
        <f t="shared" si="236"/>
        <v>-0.99424554932743803</v>
      </c>
      <c r="J736" s="37">
        <f t="shared" si="237"/>
        <v>-6.1999191391169418E-2</v>
      </c>
      <c r="K736" s="37">
        <f t="shared" si="238"/>
        <v>0.98468031262426015</v>
      </c>
      <c r="L736" s="90">
        <f t="shared" si="235"/>
        <v>6.1642420102570206E-2</v>
      </c>
      <c r="N736" s="91">
        <f>SIN(O733)</f>
        <v>-3.8687479952526704E-6</v>
      </c>
      <c r="O736" s="93">
        <f>N735</f>
        <v>0.99999999999251643</v>
      </c>
      <c r="Q736" s="123">
        <v>-3.1077949063154024E-2</v>
      </c>
      <c r="R736" s="90">
        <v>0.99760258043829919</v>
      </c>
    </row>
    <row r="737" spans="1:18" x14ac:dyDescent="0.25">
      <c r="A737" s="194">
        <v>0.96173506749555771</v>
      </c>
      <c r="B737" s="195">
        <v>-2.2280450755235787E-2</v>
      </c>
      <c r="C737" s="195">
        <v>0.16737550009065313</v>
      </c>
      <c r="D737" s="196">
        <v>0.21576534344713913</v>
      </c>
      <c r="F737" s="123">
        <f>INDEX(A737:D745,,F730)</f>
        <v>0.96173506749555771</v>
      </c>
      <c r="G737" s="90">
        <f>INDEX(A731:D739,,G730)</f>
        <v>0.16737550009065313</v>
      </c>
      <c r="I737" s="123">
        <f t="shared" si="236"/>
        <v>0.89691978202008871</v>
      </c>
      <c r="J737" s="37">
        <f t="shared" si="237"/>
        <v>0.32194177575357402</v>
      </c>
      <c r="K737" s="37">
        <f t="shared" si="238"/>
        <v>0.7008185884035989</v>
      </c>
      <c r="L737" s="90">
        <f t="shared" si="235"/>
        <v>0.2887559473320559</v>
      </c>
      <c r="Q737" s="123">
        <v>0.96173441995473008</v>
      </c>
      <c r="R737" s="90">
        <v>0.16737922080001491</v>
      </c>
    </row>
    <row r="738" spans="1:18" x14ac:dyDescent="0.25">
      <c r="A738" s="194">
        <v>0.67522675963409706</v>
      </c>
      <c r="B738" s="195">
        <v>-0.22042068958386293</v>
      </c>
      <c r="C738" s="195">
        <v>0.56846470298244367</v>
      </c>
      <c r="D738" s="196">
        <v>0.41512820205388823</v>
      </c>
      <c r="F738" s="123">
        <f>INDEX(A738:D746,,F730)</f>
        <v>0.67522675963409706</v>
      </c>
      <c r="G738" s="90">
        <f>INDEX(A731:D739,,G730)</f>
        <v>0.56846470298244367</v>
      </c>
      <c r="I738" s="123">
        <f t="shared" si="236"/>
        <v>0.1327790583890448</v>
      </c>
      <c r="J738" s="37">
        <f t="shared" si="237"/>
        <v>0.76768515872238974</v>
      </c>
      <c r="K738" s="37">
        <f t="shared" si="238"/>
        <v>-0.57171022457593934</v>
      </c>
      <c r="L738" s="90">
        <f t="shared" si="235"/>
        <v>0.10193251251440331</v>
      </c>
      <c r="Q738" s="123">
        <v>0.675224560382364</v>
      </c>
      <c r="R738" s="90">
        <v>0.5684673152603622</v>
      </c>
    </row>
    <row r="739" spans="1:18" x14ac:dyDescent="0.25">
      <c r="A739" s="200">
        <v>7.0228509788843235E-2</v>
      </c>
      <c r="B739" s="201">
        <v>-0.92582263406770793</v>
      </c>
      <c r="C739" s="201">
        <v>-0.20413793517680165</v>
      </c>
      <c r="D739" s="202">
        <v>0.31023879525701126</v>
      </c>
      <c r="F739" s="91">
        <f>INDEX(A739:D747,,F730)</f>
        <v>7.0228509788843235E-2</v>
      </c>
      <c r="G739" s="93">
        <f>INDEX(A731:D739,,G730)</f>
        <v>-0.20413793517680165</v>
      </c>
      <c r="I739" s="91">
        <f t="shared" si="236"/>
        <v>-3.6740252991086422E-2</v>
      </c>
      <c r="J739" s="92">
        <f t="shared" si="237"/>
        <v>-2.8672605957676522E-2</v>
      </c>
      <c r="K739" s="92">
        <f t="shared" si="238"/>
        <v>5.2772785744484762E-4</v>
      </c>
      <c r="L739" s="93">
        <f t="shared" si="235"/>
        <v>1.0534387967987672E-3</v>
      </c>
      <c r="Q739" s="91">
        <v>7.0229299546545138E-2</v>
      </c>
      <c r="R739" s="93">
        <v>-0.20413766347886753</v>
      </c>
    </row>
    <row r="740" spans="1:18" x14ac:dyDescent="0.25">
      <c r="I740">
        <f>SUM(I731:I739)</f>
        <v>0.80893580476551874</v>
      </c>
      <c r="J740">
        <f>SUM(J731:J739)</f>
        <v>1.9162991433224243</v>
      </c>
      <c r="K740">
        <f>SUM(K731:K739)</f>
        <v>2.3941086042794812</v>
      </c>
      <c r="L740">
        <f>SUM(L731:L739)</f>
        <v>0.34443842658055901</v>
      </c>
    </row>
    <row r="741" spans="1:18" x14ac:dyDescent="0.25">
      <c r="A741" s="47" t="s">
        <v>53</v>
      </c>
      <c r="B741">
        <f>COUNT(A731:A739)</f>
        <v>9</v>
      </c>
      <c r="I741" s="47" t="s">
        <v>462</v>
      </c>
      <c r="J741" s="47" t="s">
        <v>389</v>
      </c>
      <c r="K741" s="47" t="s">
        <v>469</v>
      </c>
      <c r="L741" s="47" t="s">
        <v>470</v>
      </c>
      <c r="N741" s="47"/>
    </row>
    <row r="743" spans="1:18" x14ac:dyDescent="0.25">
      <c r="A743">
        <v>1</v>
      </c>
      <c r="B743">
        <v>2</v>
      </c>
      <c r="C743">
        <v>3</v>
      </c>
      <c r="D743">
        <v>4</v>
      </c>
      <c r="F743">
        <v>1</v>
      </c>
      <c r="G743">
        <v>4</v>
      </c>
      <c r="I743" s="47" t="s">
        <v>207</v>
      </c>
      <c r="J743" s="47" t="s">
        <v>464</v>
      </c>
      <c r="K743" s="47" t="s">
        <v>465</v>
      </c>
      <c r="L743" s="47" t="s">
        <v>466</v>
      </c>
      <c r="Q743">
        <f>F743</f>
        <v>1</v>
      </c>
      <c r="R743">
        <f>G743</f>
        <v>4</v>
      </c>
    </row>
    <row r="744" spans="1:18" x14ac:dyDescent="0.25">
      <c r="A744" s="189">
        <f t="array" ref="A744:A752">IF(A743=$Q730,$Q731:$Q739,IF(A743=$R730,$R731:$R739,A731:A739))</f>
        <v>0.11025213770374277</v>
      </c>
      <c r="B744" s="190">
        <f t="array" ref="B744:B752">IF(B743=$Q730,$Q731:$Q739,IF(B743=$R730,$R731:$R739,B731:B739))</f>
        <v>0.88975099097921018</v>
      </c>
      <c r="C744" s="190">
        <f t="array" ref="C744:C752">IF(C743=$Q730,$Q731:$Q739,IF(C743=$R730,$R731:$R739,C731:C739))</f>
        <v>-0.34100168852700158</v>
      </c>
      <c r="D744" s="191">
        <f t="array" ref="D744:D752">IF(D743=$Q730,$Q731:$Q739,IF(D743=$R730,$R731:$R739,D731:D739))</f>
        <v>0.28267558897966916</v>
      </c>
      <c r="F744" s="156">
        <f>INDEX(A744:D752,,F743)</f>
        <v>0.11025213770374277</v>
      </c>
      <c r="G744" s="158">
        <f>INDEX(A744:D752,,G743)</f>
        <v>0.28267558897966916</v>
      </c>
      <c r="I744" s="156">
        <f>F744^2-G744^2</f>
        <v>-6.7749954736757795E-2</v>
      </c>
      <c r="J744" s="157">
        <f>2*F744*G744</f>
        <v>6.2331175923346152E-2</v>
      </c>
      <c r="K744" s="157">
        <f>I744^2-J744^2</f>
        <v>7.0488087484560326E-4</v>
      </c>
      <c r="L744" s="158">
        <f t="shared" ref="L744:L752" si="239">I744*J744</f>
        <v>-4.222934347495589E-3</v>
      </c>
      <c r="N744" t="s">
        <v>390</v>
      </c>
      <c r="O744" s="172">
        <f>L753*B754-2*I753*J753</f>
        <v>-1.536486005871307E-2</v>
      </c>
      <c r="Q744" s="156">
        <f t="array" ref="Q744:R752">MMULT(F744:G752,N748:O749)</f>
        <v>0.11020481147696992</v>
      </c>
      <c r="R744" s="158">
        <v>0.28269404309354207</v>
      </c>
    </row>
    <row r="745" spans="1:18" x14ac:dyDescent="0.25">
      <c r="A745" s="194">
        <v>0.79391767815741399</v>
      </c>
      <c r="B745" s="195">
        <v>-0.60181499514273085</v>
      </c>
      <c r="C745" s="195">
        <v>8.4072981093423246E-2</v>
      </c>
      <c r="D745" s="196">
        <v>-2.1098952119965538E-2</v>
      </c>
      <c r="F745" s="123">
        <f>INDEX(A745:D753,,F743)</f>
        <v>0.79391767815741399</v>
      </c>
      <c r="G745" s="90">
        <f>INDEX(A744:D752,,G743)</f>
        <v>-2.1098952119965538E-2</v>
      </c>
      <c r="I745" s="123">
        <f t="shared" ref="I745:I752" si="240">F745^2-G745^2</f>
        <v>0.6298601139102985</v>
      </c>
      <c r="J745" s="37">
        <f t="shared" ref="J745:J752" si="241">2*F745*G745</f>
        <v>-3.3501662157274972E-2</v>
      </c>
      <c r="K745" s="37">
        <f t="shared" ref="K745:K752" si="242">I745^2-J745^2</f>
        <v>0.39560140172779401</v>
      </c>
      <c r="L745" s="90">
        <f t="shared" si="239"/>
        <v>-2.110136074256555E-2</v>
      </c>
      <c r="N745" t="s">
        <v>392</v>
      </c>
      <c r="O745" s="173">
        <f>K753*B754-(I753^2-J753^2)</f>
        <v>22.94400111825075</v>
      </c>
      <c r="Q745" s="123">
        <v>0.79392119935324834</v>
      </c>
      <c r="R745" s="90">
        <v>-2.0966036557238447E-2</v>
      </c>
    </row>
    <row r="746" spans="1:18" x14ac:dyDescent="0.25">
      <c r="A746" s="194">
        <v>0.98388138215264787</v>
      </c>
      <c r="B746" s="195">
        <v>0.11739826753382254</v>
      </c>
      <c r="C746" s="195">
        <v>0.11384306485789676</v>
      </c>
      <c r="D746" s="196">
        <v>7.2352119645612986E-2</v>
      </c>
      <c r="F746" s="123">
        <f>INDEX(A746:D754,,F743)</f>
        <v>0.98388138215264787</v>
      </c>
      <c r="G746" s="90">
        <f>INDEX(A744:D752,,G743)</f>
        <v>7.2352119645612986E-2</v>
      </c>
      <c r="I746" s="123">
        <f t="shared" si="240"/>
        <v>0.96278774492939168</v>
      </c>
      <c r="J746" s="37">
        <f t="shared" si="241"/>
        <v>0.14237180695719889</v>
      </c>
      <c r="K746" s="37">
        <f t="shared" si="242"/>
        <v>0.90669051036996551</v>
      </c>
      <c r="L746" s="90">
        <f t="shared" si="239"/>
        <v>0.1370738309618442</v>
      </c>
      <c r="N746" t="s">
        <v>467</v>
      </c>
      <c r="O746" s="174">
        <f>0.25*ATAN(O744/O745)</f>
        <v>-1.6741693921113268E-4</v>
      </c>
      <c r="Q746" s="123">
        <v>0.98386925539396186</v>
      </c>
      <c r="R746" s="90">
        <v>7.2516837040432117E-2</v>
      </c>
    </row>
    <row r="747" spans="1:18" x14ac:dyDescent="0.25">
      <c r="A747" s="194">
        <v>4.8814402251341593E-2</v>
      </c>
      <c r="B747" s="195">
        <v>-5.8877170683608595E-4</v>
      </c>
      <c r="C747" s="195">
        <v>8.0287445819305622E-2</v>
      </c>
      <c r="D747" s="196">
        <v>0.99557557901172622</v>
      </c>
      <c r="F747" s="123">
        <f>INDEX(A747:D755,,F743)</f>
        <v>4.8814402251341593E-2</v>
      </c>
      <c r="G747" s="90">
        <f>INDEX(A744:D752,,G743)</f>
        <v>0.99557557901172622</v>
      </c>
      <c r="I747" s="123">
        <f t="shared" si="240"/>
        <v>-0.98878788765737813</v>
      </c>
      <c r="J747" s="37">
        <f t="shared" si="241"/>
        <v>9.7196853570981442E-2</v>
      </c>
      <c r="K747" s="37">
        <f t="shared" si="242"/>
        <v>0.96825425843384094</v>
      </c>
      <c r="L747" s="90">
        <f t="shared" si="239"/>
        <v>-9.6107071529394225E-2</v>
      </c>
      <c r="Q747" s="123">
        <v>4.8647725351833149E-2</v>
      </c>
      <c r="R747" s="90">
        <v>0.99558373741729145</v>
      </c>
    </row>
    <row r="748" spans="1:18" x14ac:dyDescent="0.25">
      <c r="A748" s="194">
        <v>0.35391270623907761</v>
      </c>
      <c r="B748" s="195">
        <v>-0.11159795187573433</v>
      </c>
      <c r="C748" s="195">
        <v>0.88608579347860983</v>
      </c>
      <c r="D748" s="196">
        <v>0.2777474754071706</v>
      </c>
      <c r="F748" s="123">
        <f>INDEX(A748:D756,,F743)</f>
        <v>0.35391270623907761</v>
      </c>
      <c r="G748" s="90">
        <f>INDEX(A744:D752,,G743)</f>
        <v>0.2777474754071706</v>
      </c>
      <c r="I748" s="123">
        <f t="shared" si="240"/>
        <v>4.8110543542410802E-2</v>
      </c>
      <c r="J748" s="37">
        <f t="shared" si="241"/>
        <v>0.19659672134484679</v>
      </c>
      <c r="K748" s="37">
        <f t="shared" si="242"/>
        <v>-3.633564644359713E-2</v>
      </c>
      <c r="L748" s="90">
        <f t="shared" si="239"/>
        <v>9.4583751225564543E-3</v>
      </c>
      <c r="N748" s="156">
        <f>COS(O746)</f>
        <v>0.99999998598578421</v>
      </c>
      <c r="O748" s="158">
        <f>-N749</f>
        <v>1.674169384290603E-4</v>
      </c>
      <c r="Q748" s="123">
        <v>0.35386620164727955</v>
      </c>
      <c r="R748" s="90">
        <v>0.27780672249650723</v>
      </c>
    </row>
    <row r="749" spans="1:18" x14ac:dyDescent="0.25">
      <c r="A749" s="194">
        <v>-3.1077949063154024E-2</v>
      </c>
      <c r="B749" s="195">
        <v>2.1752961437417187E-2</v>
      </c>
      <c r="C749" s="195">
        <v>0.99760258043829919</v>
      </c>
      <c r="D749" s="196">
        <v>-5.7879713661844225E-2</v>
      </c>
      <c r="F749" s="123">
        <f>INDEX(A749:D757,,F743)</f>
        <v>-3.1077949063154024E-2</v>
      </c>
      <c r="G749" s="90">
        <f>INDEX(A744:D752,,G743)</f>
        <v>-5.7879713661844225E-2</v>
      </c>
      <c r="I749" s="123">
        <f t="shared" si="240"/>
        <v>-2.3842223356050811E-3</v>
      </c>
      <c r="J749" s="37">
        <f t="shared" si="241"/>
        <v>3.5975655859454697E-3</v>
      </c>
      <c r="K749" s="37">
        <f t="shared" si="242"/>
        <v>-7.2579619995810219E-6</v>
      </c>
      <c r="L749" s="90">
        <f t="shared" si="239"/>
        <v>-8.5773962238153706E-6</v>
      </c>
      <c r="N749" s="91">
        <f>SIN(O746)</f>
        <v>-1.674169384290603E-4</v>
      </c>
      <c r="O749" s="93">
        <f>N748</f>
        <v>0.99999998598578421</v>
      </c>
      <c r="Q749" s="123">
        <v>-3.1068258583162523E-2</v>
      </c>
      <c r="R749" s="90">
        <v>-5.7884915825790237E-2</v>
      </c>
    </row>
    <row r="750" spans="1:18" x14ac:dyDescent="0.25">
      <c r="A750" s="194">
        <v>0.96173441995473008</v>
      </c>
      <c r="B750" s="195">
        <v>-2.2280450755235787E-2</v>
      </c>
      <c r="C750" s="195">
        <v>0.16737922080001491</v>
      </c>
      <c r="D750" s="196">
        <v>0.21576534344713913</v>
      </c>
      <c r="F750" s="123">
        <f>INDEX(A750:D758,,F743)</f>
        <v>0.96173441995473008</v>
      </c>
      <c r="G750" s="90">
        <f>INDEX(A744:D752,,G743)</f>
        <v>0.21576534344713913</v>
      </c>
      <c r="I750" s="123">
        <f t="shared" si="240"/>
        <v>0.87837841109279913</v>
      </c>
      <c r="J750" s="37">
        <f t="shared" si="241"/>
        <v>0.41501791485293493</v>
      </c>
      <c r="K750" s="37">
        <f t="shared" si="242"/>
        <v>0.59930876342503248</v>
      </c>
      <c r="L750" s="90">
        <f t="shared" si="239"/>
        <v>0.3645427766235676</v>
      </c>
      <c r="Q750" s="123">
        <v>0.96169828370355748</v>
      </c>
      <c r="R750" s="90">
        <v>0.21592635105552771</v>
      </c>
    </row>
    <row r="751" spans="1:18" x14ac:dyDescent="0.25">
      <c r="A751" s="194">
        <v>0.675224560382364</v>
      </c>
      <c r="B751" s="195">
        <v>-0.22042068958386293</v>
      </c>
      <c r="C751" s="195">
        <v>0.5684673152603622</v>
      </c>
      <c r="D751" s="196">
        <v>0.41512820205388823</v>
      </c>
      <c r="F751" s="123">
        <f>INDEX(A751:D759,,F743)</f>
        <v>0.675224560382364</v>
      </c>
      <c r="G751" s="90">
        <f>INDEX(A744:D752,,G743)</f>
        <v>0.41512820205388823</v>
      </c>
      <c r="I751" s="123">
        <f t="shared" si="240"/>
        <v>0.28359678280306289</v>
      </c>
      <c r="J751" s="37">
        <f t="shared" si="241"/>
        <v>0.56060951546831572</v>
      </c>
      <c r="K751" s="37">
        <f t="shared" si="242"/>
        <v>-0.23385589361737213</v>
      </c>
      <c r="L751" s="90">
        <f t="shared" si="239"/>
        <v>0.15898705499559826</v>
      </c>
      <c r="Q751" s="123">
        <v>0.67515505142697785</v>
      </c>
      <c r="R751" s="90">
        <v>0.41524124026484333</v>
      </c>
    </row>
    <row r="752" spans="1:18" x14ac:dyDescent="0.25">
      <c r="A752" s="200">
        <v>7.0229299546545138E-2</v>
      </c>
      <c r="B752" s="201">
        <v>-0.92582263406770793</v>
      </c>
      <c r="C752" s="201">
        <v>-0.20413766347886753</v>
      </c>
      <c r="D752" s="202">
        <v>0.31023879525701126</v>
      </c>
      <c r="F752" s="91">
        <f>INDEX(A752:D760,,F743)</f>
        <v>7.0229299546545138E-2</v>
      </c>
      <c r="G752" s="93">
        <f>INDEX(A744:D752,,G743)</f>
        <v>0.31023879525701126</v>
      </c>
      <c r="I752" s="91">
        <f t="shared" si="240"/>
        <v>-9.1315955567723386E-2</v>
      </c>
      <c r="J752" s="92">
        <f t="shared" si="241"/>
        <v>4.3575706566127859E-2</v>
      </c>
      <c r="K752" s="92">
        <f t="shared" si="242"/>
        <v>6.4397615385091535E-3</v>
      </c>
      <c r="L752" s="93">
        <f t="shared" si="239"/>
        <v>-3.9791572846246837E-3</v>
      </c>
      <c r="Q752" s="91">
        <v>7.0177359333052733E-2</v>
      </c>
      <c r="R752" s="93">
        <v>0.31025054848357592</v>
      </c>
    </row>
    <row r="753" spans="1:18" x14ac:dyDescent="0.25">
      <c r="I753">
        <f>SUM(I744:I752)</f>
        <v>1.6524955759804985</v>
      </c>
      <c r="J753">
        <f>SUM(J744:J752)</f>
        <v>1.4877955981124225</v>
      </c>
      <c r="K753">
        <f>SUM(K744:K752)</f>
        <v>2.6068007783470186</v>
      </c>
      <c r="L753">
        <f>SUM(L744:L752)</f>
        <v>0.54464293640326256</v>
      </c>
    </row>
    <row r="754" spans="1:18" x14ac:dyDescent="0.25">
      <c r="A754" s="47" t="s">
        <v>53</v>
      </c>
      <c r="B754">
        <f>COUNT(A744:A752)</f>
        <v>9</v>
      </c>
      <c r="I754" s="47" t="s">
        <v>462</v>
      </c>
      <c r="J754" s="47" t="s">
        <v>389</v>
      </c>
      <c r="K754" s="47" t="s">
        <v>469</v>
      </c>
      <c r="L754" s="47" t="s">
        <v>470</v>
      </c>
      <c r="N754" s="47"/>
    </row>
    <row r="756" spans="1:18" x14ac:dyDescent="0.25">
      <c r="A756">
        <v>1</v>
      </c>
      <c r="B756">
        <v>2</v>
      </c>
      <c r="C756">
        <v>3</v>
      </c>
      <c r="D756">
        <v>4</v>
      </c>
      <c r="F756">
        <v>2</v>
      </c>
      <c r="G756">
        <v>3</v>
      </c>
      <c r="I756" s="47" t="s">
        <v>207</v>
      </c>
      <c r="J756" s="47" t="s">
        <v>464</v>
      </c>
      <c r="K756" s="47" t="s">
        <v>465</v>
      </c>
      <c r="L756" s="47" t="s">
        <v>466</v>
      </c>
      <c r="Q756">
        <f>F756</f>
        <v>2</v>
      </c>
      <c r="R756">
        <f>G756</f>
        <v>3</v>
      </c>
    </row>
    <row r="757" spans="1:18" x14ac:dyDescent="0.25">
      <c r="A757" s="189">
        <f t="array" ref="A757:A765">IF(A756=$Q743,$Q744:$Q752,IF(A756=$R743,$R744:$R752,A744:A752))</f>
        <v>0.11020481147696992</v>
      </c>
      <c r="B757" s="190">
        <f t="array" ref="B757:B765">IF(B756=$Q743,$Q744:$Q752,IF(B756=$R743,$R744:$R752,B744:B752))</f>
        <v>0.88975099097921018</v>
      </c>
      <c r="C757" s="190">
        <f t="array" ref="C757:C765">IF(C756=$Q743,$Q744:$Q752,IF(C756=$R743,$R744:$R752,C744:C752))</f>
        <v>-0.34100168852700158</v>
      </c>
      <c r="D757" s="191">
        <f t="array" ref="D757:D765">IF(D756=$Q743,$Q744:$Q752,IF(D756=$R743,$R744:$R752,D744:D752))</f>
        <v>0.28269404309354207</v>
      </c>
      <c r="F757" s="156">
        <f>INDEX(A757:D765,,F756)</f>
        <v>0.88975099097921018</v>
      </c>
      <c r="G757" s="158">
        <f>INDEX(A757:D765,,G756)</f>
        <v>-0.34100168852700158</v>
      </c>
      <c r="I757" s="156">
        <f>F757^2-G757^2</f>
        <v>0.67537467437022036</v>
      </c>
      <c r="J757" s="157">
        <f>2*F757*G757</f>
        <v>-0.60681318058496725</v>
      </c>
      <c r="K757" s="157">
        <f>I757^2-J757^2</f>
        <v>8.7908714649037101E-2</v>
      </c>
      <c r="L757" s="158">
        <f t="shared" ref="L757:L765" si="243">I757*J757</f>
        <v>-0.40982625424113001</v>
      </c>
      <c r="N757" t="s">
        <v>390</v>
      </c>
      <c r="O757" s="172">
        <f>L766*B767-2*I766*J766</f>
        <v>4.233828617354557E-2</v>
      </c>
      <c r="Q757" s="156">
        <f t="array" ref="Q757:R765">MMULT(F757:G765,N761:O762)</f>
        <v>0.88957913948586276</v>
      </c>
      <c r="R757" s="158">
        <v>-0.34144975050268334</v>
      </c>
    </row>
    <row r="758" spans="1:18" x14ac:dyDescent="0.25">
      <c r="A758" s="194">
        <v>0.79392119935324834</v>
      </c>
      <c r="B758" s="195">
        <v>-0.60181499514273085</v>
      </c>
      <c r="C758" s="195">
        <v>8.4072981093423246E-2</v>
      </c>
      <c r="D758" s="196">
        <v>-2.0966036557238447E-2</v>
      </c>
      <c r="F758" s="123">
        <f>INDEX(A758:D766,,F756)</f>
        <v>-0.60181499514273085</v>
      </c>
      <c r="G758" s="90">
        <f>INDEX(A757:D765,,G756)</f>
        <v>8.4072981093423246E-2</v>
      </c>
      <c r="I758" s="123">
        <f t="shared" ref="I758:I765" si="244">F758^2-G758^2</f>
        <v>0.35511302222871005</v>
      </c>
      <c r="J758" s="37">
        <f t="shared" ref="J758:J765" si="245">2*F758*G758</f>
        <v>-0.10119276141674682</v>
      </c>
      <c r="K758" s="37">
        <f t="shared" ref="K758:K765" si="246">I758^2-J758^2</f>
        <v>0.11586528359326166</v>
      </c>
      <c r="L758" s="90">
        <f t="shared" si="243"/>
        <v>-3.593486733436977E-2</v>
      </c>
      <c r="N758" t="s">
        <v>392</v>
      </c>
      <c r="O758" s="173">
        <f>K766*B767-(I766^2-J766^2)</f>
        <v>21.016536783143902</v>
      </c>
      <c r="Q758" s="123">
        <v>-0.60177257715071875</v>
      </c>
      <c r="R758" s="90">
        <v>8.437606247012476E-2</v>
      </c>
    </row>
    <row r="759" spans="1:18" x14ac:dyDescent="0.25">
      <c r="A759" s="194">
        <v>0.98386925539396186</v>
      </c>
      <c r="B759" s="195">
        <v>0.11739826753382254</v>
      </c>
      <c r="C759" s="195">
        <v>0.11384306485789676</v>
      </c>
      <c r="D759" s="196">
        <v>7.2516837040432117E-2</v>
      </c>
      <c r="F759" s="123">
        <f>INDEX(A759:D767,,F756)</f>
        <v>0.11739826753382254</v>
      </c>
      <c r="G759" s="90">
        <f>INDEX(A757:D765,,G756)</f>
        <v>0.11384306485789676</v>
      </c>
      <c r="I759" s="123">
        <f t="shared" si="244"/>
        <v>8.2210980370368315E-4</v>
      </c>
      <c r="J759" s="37">
        <f t="shared" si="245"/>
        <v>2.6729957170115351E-2</v>
      </c>
      <c r="K759" s="37">
        <f t="shared" si="246"/>
        <v>-7.1381474578685535E-4</v>
      </c>
      <c r="L759" s="90">
        <f t="shared" si="243"/>
        <v>2.1974959842131388E-5</v>
      </c>
      <c r="N759" t="s">
        <v>467</v>
      </c>
      <c r="O759" s="174">
        <f>0.25*ATAN(O757/O758)</f>
        <v>5.0362994313372196E-4</v>
      </c>
      <c r="Q759" s="123">
        <v>0.11745558741904824</v>
      </c>
      <c r="R759" s="90">
        <v>0.1137839251398394</v>
      </c>
    </row>
    <row r="760" spans="1:18" x14ac:dyDescent="0.25">
      <c r="A760" s="194">
        <v>4.8647725351833149E-2</v>
      </c>
      <c r="B760" s="195">
        <v>-5.8877170683608595E-4</v>
      </c>
      <c r="C760" s="195">
        <v>8.0287445819305622E-2</v>
      </c>
      <c r="D760" s="196">
        <v>0.99558373741729145</v>
      </c>
      <c r="F760" s="123">
        <f>INDEX(A760:D768,,F756)</f>
        <v>-5.8877170683608595E-4</v>
      </c>
      <c r="G760" s="90">
        <f>INDEX(A757:D765,,G756)</f>
        <v>8.0287445819305622E-2</v>
      </c>
      <c r="I760" s="123">
        <f t="shared" si="244"/>
        <v>-6.4457273040651655E-3</v>
      </c>
      <c r="J760" s="37">
        <f t="shared" si="245"/>
        <v>-9.4541953025084686E-5</v>
      </c>
      <c r="K760" s="37">
        <f t="shared" si="246"/>
        <v>4.1538462297489394E-5</v>
      </c>
      <c r="L760" s="90">
        <f t="shared" si="243"/>
        <v>6.0939164799343468E-7</v>
      </c>
      <c r="Q760" s="123">
        <v>-5.4833647210416269E-4</v>
      </c>
      <c r="R760" s="90">
        <v>8.0287732160175429E-2</v>
      </c>
    </row>
    <row r="761" spans="1:18" x14ac:dyDescent="0.25">
      <c r="A761" s="194">
        <v>0.35386620164727955</v>
      </c>
      <c r="B761" s="195">
        <v>-0.11159795187573433</v>
      </c>
      <c r="C761" s="195">
        <v>0.88608579347860983</v>
      </c>
      <c r="D761" s="196">
        <v>0.27780672249650723</v>
      </c>
      <c r="F761" s="123">
        <f>INDEX(A761:D769,,F756)</f>
        <v>-0.11159795187573433</v>
      </c>
      <c r="G761" s="90">
        <f>INDEX(A757:D765,,G756)</f>
        <v>0.88608579347860983</v>
      </c>
      <c r="I761" s="123">
        <f t="shared" si="244"/>
        <v>-0.77269393054175883</v>
      </c>
      <c r="J761" s="37">
        <f t="shared" si="245"/>
        <v>-0.19777071947679553</v>
      </c>
      <c r="K761" s="37">
        <f t="shared" si="246"/>
        <v>0.55794265281370303</v>
      </c>
      <c r="L761" s="90">
        <f t="shared" si="243"/>
        <v>0.15281623457859672</v>
      </c>
      <c r="N761" s="156">
        <f>COS(O759)</f>
        <v>0.99999987317844286</v>
      </c>
      <c r="O761" s="158">
        <f>-N762</f>
        <v>-5.0362992184334386E-4</v>
      </c>
      <c r="Q761" s="123">
        <v>-0.11115167840379217</v>
      </c>
      <c r="R761" s="90">
        <v>0.88614188517161074</v>
      </c>
    </row>
    <row r="762" spans="1:18" x14ac:dyDescent="0.25">
      <c r="A762" s="194">
        <v>-3.1068258583162523E-2</v>
      </c>
      <c r="B762" s="195">
        <v>2.1752961437417187E-2</v>
      </c>
      <c r="C762" s="195">
        <v>0.99760258043829919</v>
      </c>
      <c r="D762" s="196">
        <v>-5.7884915825790237E-2</v>
      </c>
      <c r="F762" s="123">
        <f>INDEX(A762:D770,,F756)</f>
        <v>2.1752961437417187E-2</v>
      </c>
      <c r="G762" s="90">
        <f>INDEX(A757:D765,,G756)</f>
        <v>0.99760258043829919</v>
      </c>
      <c r="I762" s="123">
        <f t="shared" si="244"/>
        <v>-0.99473771716585546</v>
      </c>
      <c r="J762" s="37">
        <f t="shared" si="245"/>
        <v>4.3401620924284401E-2</v>
      </c>
      <c r="K762" s="37">
        <f t="shared" si="246"/>
        <v>0.98761942525348223</v>
      </c>
      <c r="L762" s="90">
        <f t="shared" si="243"/>
        <v>-4.3173229319520494E-2</v>
      </c>
      <c r="N762" s="91">
        <f>SIN(O759)</f>
        <v>5.0362992184334386E-4</v>
      </c>
      <c r="O762" s="93">
        <f>N761</f>
        <v>0.99999987317844286</v>
      </c>
      <c r="Q762" s="123">
        <v>2.2255381188289604E-2</v>
      </c>
      <c r="R762" s="90">
        <v>0.99759149847851791</v>
      </c>
    </row>
    <row r="763" spans="1:18" x14ac:dyDescent="0.25">
      <c r="A763" s="194">
        <v>0.96169828370355748</v>
      </c>
      <c r="B763" s="195">
        <v>-2.2280450755235787E-2</v>
      </c>
      <c r="C763" s="195">
        <v>0.16737922080001491</v>
      </c>
      <c r="D763" s="196">
        <v>0.21592635105552771</v>
      </c>
      <c r="F763" s="123">
        <f>INDEX(A763:D771,,F756)</f>
        <v>-2.2280450755235787E-2</v>
      </c>
      <c r="G763" s="90">
        <f>INDEX(A757:D765,,G756)</f>
        <v>0.16737922080001491</v>
      </c>
      <c r="I763" s="123">
        <f t="shared" si="244"/>
        <v>-2.7519385069763657E-2</v>
      </c>
      <c r="J763" s="37">
        <f t="shared" si="245"/>
        <v>-7.4585689729689394E-3</v>
      </c>
      <c r="K763" s="37">
        <f t="shared" si="246"/>
        <v>7.0168630349339597E-4</v>
      </c>
      <c r="L763" s="90">
        <f t="shared" si="243"/>
        <v>2.0525523163652387E-4</v>
      </c>
      <c r="Q763" s="123">
        <v>-2.2196150745704614E-2</v>
      </c>
      <c r="R763" s="90">
        <v>0.16739042067439397</v>
      </c>
    </row>
    <row r="764" spans="1:18" x14ac:dyDescent="0.25">
      <c r="A764" s="194">
        <v>0.67515505142697785</v>
      </c>
      <c r="B764" s="195">
        <v>-0.22042068958386293</v>
      </c>
      <c r="C764" s="195">
        <v>0.5684673152603622</v>
      </c>
      <c r="D764" s="196">
        <v>0.41524124026484333</v>
      </c>
      <c r="F764" s="123">
        <f>INDEX(A764:D772,,F756)</f>
        <v>-0.22042068958386293</v>
      </c>
      <c r="G764" s="90">
        <f>INDEX(A757:D765,,G756)</f>
        <v>0.5684673152603622</v>
      </c>
      <c r="I764" s="123">
        <f t="shared" si="244"/>
        <v>-0.27456980812269832</v>
      </c>
      <c r="J764" s="37">
        <f t="shared" si="245"/>
        <v>-0.2506039152711525</v>
      </c>
      <c r="K764" s="37">
        <f t="shared" si="246"/>
        <v>1.2586257183304389E-2</v>
      </c>
      <c r="L764" s="90">
        <f t="shared" si="243"/>
        <v>6.8808268930797292E-2</v>
      </c>
      <c r="Q764" s="123">
        <v>-0.22013436448021279</v>
      </c>
      <c r="R764" s="90">
        <v>0.56857825362111991</v>
      </c>
    </row>
    <row r="765" spans="1:18" x14ac:dyDescent="0.25">
      <c r="A765" s="200">
        <v>7.0177359333052733E-2</v>
      </c>
      <c r="B765" s="201">
        <v>-0.92582263406770793</v>
      </c>
      <c r="C765" s="201">
        <v>-0.20413766347886753</v>
      </c>
      <c r="D765" s="202">
        <v>0.31025054848357592</v>
      </c>
      <c r="F765" s="91">
        <f>INDEX(A765:D773,,F756)</f>
        <v>-0.92582263406770793</v>
      </c>
      <c r="G765" s="93">
        <f>INDEX(A757:D765,,G756)</f>
        <v>-0.20413766347886753</v>
      </c>
      <c r="I765" s="91">
        <f t="shared" si="244"/>
        <v>0.8154753641014576</v>
      </c>
      <c r="J765" s="92">
        <f t="shared" si="245"/>
        <v>0.37799053862886495</v>
      </c>
      <c r="K765" s="92">
        <f t="shared" si="246"/>
        <v>0.52212322216346541</v>
      </c>
      <c r="L765" s="93">
        <f t="shared" si="243"/>
        <v>0.30824197211527971</v>
      </c>
      <c r="Q765" s="91">
        <v>-0.92592532648894299</v>
      </c>
      <c r="R765" s="93">
        <v>-0.20367136560897486</v>
      </c>
    </row>
    <row r="766" spans="1:18" x14ac:dyDescent="0.25">
      <c r="I766">
        <f>SUM(I757:I765)</f>
        <v>-0.22918139770004964</v>
      </c>
      <c r="J766">
        <f>SUM(J757:J765)</f>
        <v>-0.71581157095239134</v>
      </c>
      <c r="K766">
        <f>SUM(K757:K765)</f>
        <v>2.284074965676258</v>
      </c>
      <c r="L766">
        <f>SUM(L757:L765)</f>
        <v>4.1159964312780017E-2</v>
      </c>
    </row>
    <row r="767" spans="1:18" x14ac:dyDescent="0.25">
      <c r="A767" s="47" t="s">
        <v>53</v>
      </c>
      <c r="B767">
        <f>COUNT(A757:A765)</f>
        <v>9</v>
      </c>
      <c r="I767" s="47" t="s">
        <v>462</v>
      </c>
      <c r="J767" s="47" t="s">
        <v>389</v>
      </c>
      <c r="K767" s="47" t="s">
        <v>469</v>
      </c>
      <c r="L767" s="47" t="s">
        <v>470</v>
      </c>
      <c r="N767" s="47"/>
    </row>
    <row r="769" spans="1:18" x14ac:dyDescent="0.25">
      <c r="A769">
        <v>1</v>
      </c>
      <c r="B769">
        <v>2</v>
      </c>
      <c r="C769">
        <v>3</v>
      </c>
      <c r="D769">
        <v>4</v>
      </c>
      <c r="F769">
        <v>2</v>
      </c>
      <c r="G769">
        <v>4</v>
      </c>
      <c r="I769" s="47" t="s">
        <v>207</v>
      </c>
      <c r="J769" s="47" t="s">
        <v>464</v>
      </c>
      <c r="K769" s="47" t="s">
        <v>465</v>
      </c>
      <c r="L769" s="47" t="s">
        <v>466</v>
      </c>
      <c r="Q769">
        <f>F769</f>
        <v>2</v>
      </c>
      <c r="R769">
        <f>G769</f>
        <v>4</v>
      </c>
    </row>
    <row r="770" spans="1:18" x14ac:dyDescent="0.25">
      <c r="A770" s="189">
        <f t="array" ref="A770:A778">IF(A769=$Q756,$Q757:$Q765,IF(A769=$R756,$R757:$R765,A757:A765))</f>
        <v>0.11020481147696992</v>
      </c>
      <c r="B770" s="190">
        <f t="array" ref="B770:B778">IF(B769=$Q756,$Q757:$Q765,IF(B769=$R756,$R757:$R765,B757:B765))</f>
        <v>0.88957913948586276</v>
      </c>
      <c r="C770" s="190">
        <f t="array" ref="C770:C778">IF(C769=$Q756,$Q757:$Q765,IF(C769=$R756,$R757:$R765,C757:C765))</f>
        <v>-0.34144975050268334</v>
      </c>
      <c r="D770" s="191">
        <f t="array" ref="D770:D778">IF(D769=$Q756,$Q757:$Q765,IF(D769=$R756,$R757:$R765,D757:D765))</f>
        <v>0.28269404309354207</v>
      </c>
      <c r="F770" s="156">
        <f>INDEX(A770:D778,,F769)</f>
        <v>0.88957913948586276</v>
      </c>
      <c r="G770" s="158">
        <f>INDEX(A770:D778,,G769)</f>
        <v>0.28269404309354207</v>
      </c>
      <c r="I770" s="156">
        <f>F770^2-G770^2</f>
        <v>0.71143512340783466</v>
      </c>
      <c r="J770" s="157">
        <f>2*F770*G770</f>
        <v>0.5029574471858651</v>
      </c>
      <c r="K770" s="157">
        <f>I770^2-J770^2</f>
        <v>0.2531737411385987</v>
      </c>
      <c r="L770" s="158">
        <f t="shared" ref="L770:L778" si="247">I770*J770</f>
        <v>0.35782159350756543</v>
      </c>
      <c r="N770" t="s">
        <v>390</v>
      </c>
      <c r="O770" s="172">
        <f>L779*B780-2*I779*J779</f>
        <v>-2.5322150627481665E-2</v>
      </c>
      <c r="Q770" s="156">
        <f t="array" ref="Q770:R778">MMULT(F770:G778,N774:O775)</f>
        <v>0.88945210722544565</v>
      </c>
      <c r="R770" s="158">
        <v>0.28309347636636911</v>
      </c>
    </row>
    <row r="771" spans="1:18" x14ac:dyDescent="0.25">
      <c r="A771" s="194">
        <v>0.79392119935324834</v>
      </c>
      <c r="B771" s="195">
        <v>-0.60177257715071875</v>
      </c>
      <c r="C771" s="195">
        <v>8.437606247012476E-2</v>
      </c>
      <c r="D771" s="196">
        <v>-2.0966036557238447E-2</v>
      </c>
      <c r="F771" s="123">
        <f>INDEX(A771:D779,,F769)</f>
        <v>-0.60177257715071875</v>
      </c>
      <c r="G771" s="90">
        <f>INDEX(A770:D778,,G769)</f>
        <v>-2.0966036557238447E-2</v>
      </c>
      <c r="I771" s="123">
        <f t="shared" ref="I771:I778" si="248">F771^2-G771^2</f>
        <v>0.36169065992169824</v>
      </c>
      <c r="J771" s="37">
        <f t="shared" ref="J771:J778" si="249">2*F771*G771</f>
        <v>2.5233571703371125E-2</v>
      </c>
      <c r="K771" s="37">
        <f t="shared" ref="K771:K778" si="250">I771^2-J771^2</f>
        <v>0.13018340033368439</v>
      </c>
      <c r="L771" s="90">
        <f t="shared" si="247"/>
        <v>9.1267472015737934E-3</v>
      </c>
      <c r="N771" t="s">
        <v>392</v>
      </c>
      <c r="O771" s="173">
        <f>K779*B780-(I779^2-J779^2)</f>
        <v>14.097739402019405</v>
      </c>
      <c r="Q771" s="123">
        <v>-0.6017631017687527</v>
      </c>
      <c r="R771" s="90">
        <v>-2.1236257890384552E-2</v>
      </c>
    </row>
    <row r="772" spans="1:18" x14ac:dyDescent="0.25">
      <c r="A772" s="194">
        <v>0.98386925539396186</v>
      </c>
      <c r="B772" s="195">
        <v>0.11745558741904824</v>
      </c>
      <c r="C772" s="195">
        <v>0.1137839251398394</v>
      </c>
      <c r="D772" s="196">
        <v>7.2516837040432117E-2</v>
      </c>
      <c r="F772" s="123">
        <f>INDEX(A772:D780,,F769)</f>
        <v>0.11745558741904824</v>
      </c>
      <c r="G772" s="90">
        <f>INDEX(A770:D778,,G769)</f>
        <v>7.2516837040432117E-2</v>
      </c>
      <c r="I772" s="123">
        <f t="shared" si="248"/>
        <v>8.5371233616050972E-3</v>
      </c>
      <c r="J772" s="37">
        <f t="shared" si="249"/>
        <v>1.7035015384710701E-2</v>
      </c>
      <c r="K772" s="37">
        <f t="shared" si="250"/>
        <v>-2.1730927386606676E-4</v>
      </c>
      <c r="L772" s="90">
        <f t="shared" si="247"/>
        <v>1.4543002780611597E-4</v>
      </c>
      <c r="N772" t="s">
        <v>467</v>
      </c>
      <c r="O772" s="174">
        <f>0.25*ATAN(O770/O771)</f>
        <v>-4.4904581283047564E-4</v>
      </c>
      <c r="Q772" s="123">
        <v>0.11742301219611197</v>
      </c>
      <c r="R772" s="90">
        <v>7.2569572667158591E-2</v>
      </c>
    </row>
    <row r="773" spans="1:18" x14ac:dyDescent="0.25">
      <c r="A773" s="194">
        <v>4.8647725351833149E-2</v>
      </c>
      <c r="B773" s="195">
        <v>-5.4833647210416269E-4</v>
      </c>
      <c r="C773" s="195">
        <v>8.0287732160175429E-2</v>
      </c>
      <c r="D773" s="196">
        <v>0.99558373741729145</v>
      </c>
      <c r="F773" s="123">
        <f>INDEX(A773:D781,,F769)</f>
        <v>-5.4833647210416269E-4</v>
      </c>
      <c r="G773" s="90">
        <f>INDEX(A770:D778,,G769)</f>
        <v>0.99558373741729145</v>
      </c>
      <c r="I773" s="123">
        <f t="shared" si="248"/>
        <v>-0.99118667753689571</v>
      </c>
      <c r="J773" s="37">
        <f t="shared" si="249"/>
        <v>-1.0918297485193493E-3</v>
      </c>
      <c r="K773" s="37">
        <f t="shared" si="250"/>
        <v>0.98244983763443039</v>
      </c>
      <c r="L773" s="90">
        <f t="shared" si="247"/>
        <v>1.0822071008708381E-3</v>
      </c>
      <c r="Q773" s="123">
        <v>-9.9539911040519681E-4</v>
      </c>
      <c r="R773" s="90">
        <v>0.99558339081328595</v>
      </c>
    </row>
    <row r="774" spans="1:18" x14ac:dyDescent="0.25">
      <c r="A774" s="194">
        <v>0.35386620164727955</v>
      </c>
      <c r="B774" s="195">
        <v>-0.11115167840379217</v>
      </c>
      <c r="C774" s="195">
        <v>0.88614188517161074</v>
      </c>
      <c r="D774" s="196">
        <v>0.27780672249650723</v>
      </c>
      <c r="F774" s="123">
        <f>INDEX(A774:D782,,F769)</f>
        <v>-0.11115167840379217</v>
      </c>
      <c r="G774" s="90">
        <f>INDEX(A770:D778,,G769)</f>
        <v>0.27780672249650723</v>
      </c>
      <c r="I774" s="123">
        <f t="shared" si="248"/>
        <v>-6.4821879452271344E-2</v>
      </c>
      <c r="J774" s="37">
        <f t="shared" si="249"/>
        <v>-6.1757366954686616E-2</v>
      </c>
      <c r="K774" s="37">
        <f t="shared" si="250"/>
        <v>3.8790368254897978E-4</v>
      </c>
      <c r="L774" s="90">
        <f t="shared" si="247"/>
        <v>4.0032285960263821E-3</v>
      </c>
      <c r="N774" s="156">
        <f>COS(O772)</f>
        <v>0.99999989917893073</v>
      </c>
      <c r="O774" s="158">
        <f>-N775</f>
        <v>4.4904579773938255E-4</v>
      </c>
      <c r="Q774" s="123">
        <v>-0.1112764151386819</v>
      </c>
      <c r="R774" s="90">
        <v>0.27775678229363754</v>
      </c>
    </row>
    <row r="775" spans="1:18" x14ac:dyDescent="0.25">
      <c r="A775" s="194">
        <v>-3.1068258583162523E-2</v>
      </c>
      <c r="B775" s="195">
        <v>2.2255381188289604E-2</v>
      </c>
      <c r="C775" s="195">
        <v>0.99759149847851791</v>
      </c>
      <c r="D775" s="196">
        <v>-5.7884915825790237E-2</v>
      </c>
      <c r="F775" s="123">
        <f>INDEX(A775:D783,,F769)</f>
        <v>2.2255381188289604E-2</v>
      </c>
      <c r="G775" s="90">
        <f>INDEX(A770:D778,,G769)</f>
        <v>-5.7884915825790237E-2</v>
      </c>
      <c r="I775" s="123">
        <f t="shared" si="248"/>
        <v>-2.8553614883227462E-3</v>
      </c>
      <c r="J775" s="37">
        <f t="shared" si="249"/>
        <v>-2.5765017335100384E-3</v>
      </c>
      <c r="K775" s="37">
        <f t="shared" si="250"/>
        <v>1.5147280462164554E-6</v>
      </c>
      <c r="L775" s="90">
        <f t="shared" si="247"/>
        <v>7.3568438244613587E-6</v>
      </c>
      <c r="N775" s="91">
        <f>SIN(O772)</f>
        <v>-4.4904579773938255E-4</v>
      </c>
      <c r="O775" s="93">
        <f>N774</f>
        <v>0.99999989917893073</v>
      </c>
      <c r="Q775" s="123">
        <v>2.2281371922682345E-2</v>
      </c>
      <c r="R775" s="90">
        <v>-5.7874916304371443E-2</v>
      </c>
    </row>
    <row r="776" spans="1:18" x14ac:dyDescent="0.25">
      <c r="A776" s="194">
        <v>0.96169828370355748</v>
      </c>
      <c r="B776" s="195">
        <v>-2.2196150745704614E-2</v>
      </c>
      <c r="C776" s="195">
        <v>0.16739042067439397</v>
      </c>
      <c r="D776" s="196">
        <v>0.21592635105552771</v>
      </c>
      <c r="F776" s="123">
        <f>INDEX(A776:D784,,F769)</f>
        <v>-2.2196150745704614E-2</v>
      </c>
      <c r="G776" s="90">
        <f>INDEX(A770:D778,,G769)</f>
        <v>0.21592635105552771</v>
      </c>
      <c r="I776" s="123">
        <f t="shared" si="248"/>
        <v>-4.6131519972228946E-2</v>
      </c>
      <c r="J776" s="37">
        <f t="shared" si="249"/>
        <v>-9.585467675996856E-3</v>
      </c>
      <c r="K776" s="37">
        <f t="shared" si="250"/>
        <v>2.0362359443805776E-3</v>
      </c>
      <c r="L776" s="90">
        <f t="shared" si="247"/>
        <v>4.4219219353840394E-4</v>
      </c>
      <c r="Q776" s="123">
        <v>-2.2293109328427645E-2</v>
      </c>
      <c r="R776" s="90">
        <v>0.21591636219738378</v>
      </c>
    </row>
    <row r="777" spans="1:18" x14ac:dyDescent="0.25">
      <c r="A777" s="194">
        <v>0.67515505142697785</v>
      </c>
      <c r="B777" s="195">
        <v>-0.22013436448021279</v>
      </c>
      <c r="C777" s="195">
        <v>0.56857825362111991</v>
      </c>
      <c r="D777" s="196">
        <v>0.41524124026484333</v>
      </c>
      <c r="F777" s="123">
        <f>INDEX(A777:D785,,F769)</f>
        <v>-0.22013436448021279</v>
      </c>
      <c r="G777" s="90">
        <f>INDEX(A770:D778,,G769)</f>
        <v>0.41524124026484333</v>
      </c>
      <c r="I777" s="123">
        <f t="shared" si="248"/>
        <v>-0.12396614919157818</v>
      </c>
      <c r="J777" s="37">
        <f t="shared" si="249"/>
        <v>-0.18281773306335325</v>
      </c>
      <c r="K777" s="37">
        <f t="shared" si="250"/>
        <v>-1.8054717377034863E-2</v>
      </c>
      <c r="L777" s="90">
        <f t="shared" si="247"/>
        <v>2.2663210371797766E-2</v>
      </c>
      <c r="Q777" s="123">
        <v>-0.22032080462001979</v>
      </c>
      <c r="R777" s="90">
        <v>0.41514234798846961</v>
      </c>
    </row>
    <row r="778" spans="1:18" x14ac:dyDescent="0.25">
      <c r="A778" s="200">
        <v>7.0177359333052733E-2</v>
      </c>
      <c r="B778" s="201">
        <v>-0.92592532648894299</v>
      </c>
      <c r="C778" s="201">
        <v>-0.20367136560897486</v>
      </c>
      <c r="D778" s="202">
        <v>0.31025054848357592</v>
      </c>
      <c r="F778" s="91">
        <f>INDEX(A778:D786,,F769)</f>
        <v>-0.92592532648894299</v>
      </c>
      <c r="G778" s="93">
        <f>INDEX(A770:D778,,G769)</f>
        <v>0.31025054848357592</v>
      </c>
      <c r="I778" s="91">
        <f t="shared" si="248"/>
        <v>0.76108230739929594</v>
      </c>
      <c r="J778" s="92">
        <f t="shared" si="249"/>
        <v>-0.57453768079605738</v>
      </c>
      <c r="K778" s="92">
        <f t="shared" si="250"/>
        <v>0.24915273198172411</v>
      </c>
      <c r="L778" s="93">
        <f t="shared" si="247"/>
        <v>-0.43727046378810353</v>
      </c>
      <c r="Q778" s="91">
        <v>-0.92606454984120434</v>
      </c>
      <c r="R778" s="93">
        <v>0.30983473432690356</v>
      </c>
    </row>
    <row r="779" spans="1:18" x14ac:dyDescent="0.25">
      <c r="I779">
        <f>SUM(I770:I778)</f>
        <v>0.61378362644913709</v>
      </c>
      <c r="J779">
        <f>SUM(J770:J778)</f>
        <v>-0.28714054569817649</v>
      </c>
      <c r="K779">
        <f>SUM(K770:K778)</f>
        <v>1.5991133387925125</v>
      </c>
      <c r="L779">
        <f>SUM(L770:L778)</f>
        <v>-4.197849794510039E-2</v>
      </c>
    </row>
    <row r="780" spans="1:18" x14ac:dyDescent="0.25">
      <c r="A780" s="47" t="s">
        <v>53</v>
      </c>
      <c r="B780">
        <f>COUNT(A770:A778)</f>
        <v>9</v>
      </c>
      <c r="I780" s="47" t="s">
        <v>462</v>
      </c>
      <c r="J780" s="47" t="s">
        <v>389</v>
      </c>
      <c r="K780" s="47" t="s">
        <v>469</v>
      </c>
      <c r="L780" s="47" t="s">
        <v>470</v>
      </c>
      <c r="N780" s="47"/>
    </row>
    <row r="782" spans="1:18" x14ac:dyDescent="0.25">
      <c r="A782">
        <v>1</v>
      </c>
      <c r="B782">
        <v>2</v>
      </c>
      <c r="C782">
        <v>3</v>
      </c>
      <c r="D782">
        <v>4</v>
      </c>
      <c r="F782">
        <v>3</v>
      </c>
      <c r="G782">
        <v>4</v>
      </c>
      <c r="I782" s="47" t="s">
        <v>207</v>
      </c>
      <c r="J782" s="47" t="s">
        <v>464</v>
      </c>
      <c r="K782" s="47" t="s">
        <v>465</v>
      </c>
      <c r="L782" s="47" t="s">
        <v>466</v>
      </c>
      <c r="Q782">
        <f>F782</f>
        <v>3</v>
      </c>
      <c r="R782">
        <f>G782</f>
        <v>4</v>
      </c>
    </row>
    <row r="783" spans="1:18" x14ac:dyDescent="0.25">
      <c r="A783" s="189">
        <f t="array" ref="A783:A791">IF(A782=$Q769,$Q770:$Q778,IF(A782=$R769,$R770:$R778,A770:A778))</f>
        <v>0.11020481147696992</v>
      </c>
      <c r="B783" s="190">
        <f t="array" ref="B783:B791">IF(B782=$Q769,$Q770:$Q778,IF(B782=$R769,$R770:$R778,B770:B778))</f>
        <v>0.88945210722544565</v>
      </c>
      <c r="C783" s="190">
        <f t="array" ref="C783:C791">IF(C782=$Q769,$Q770:$Q778,IF(C782=$R769,$R770:$R778,C770:C778))</f>
        <v>-0.34144975050268334</v>
      </c>
      <c r="D783" s="191">
        <f t="array" ref="D783:D791">IF(D782=$Q769,$Q770:$Q778,IF(D782=$R769,$R770:$R778,D770:D778))</f>
        <v>0.28309347636636911</v>
      </c>
      <c r="F783" s="156">
        <f>INDEX(A783:D791,,F782)</f>
        <v>-0.34144975050268334</v>
      </c>
      <c r="G783" s="158">
        <f>INDEX(A783:D791,,G782)</f>
        <v>0.28309347636636911</v>
      </c>
      <c r="I783" s="156">
        <f>F783^2-G783^2</f>
        <v>3.6446015757148717E-2</v>
      </c>
      <c r="J783" s="157">
        <f>2*F783*G783</f>
        <v>-0.19332439374846802</v>
      </c>
      <c r="K783" s="157">
        <f>I783^2-J783^2</f>
        <v>-3.6046009153642367E-2</v>
      </c>
      <c r="L783" s="158">
        <f t="shared" ref="L783:L791" si="251">I783*J783</f>
        <v>-7.0459039007978886E-3</v>
      </c>
      <c r="N783" t="s">
        <v>390</v>
      </c>
      <c r="O783" s="172">
        <f>L792*B793-2*I792*J792</f>
        <v>1.1235621595518497E-2</v>
      </c>
      <c r="Q783" s="156">
        <f t="array" ref="Q783:R791">MMULT(F783:G791,N787:O788)</f>
        <v>-0.34140341538629027</v>
      </c>
      <c r="R783" s="158">
        <v>0.28314935359650178</v>
      </c>
    </row>
    <row r="784" spans="1:18" x14ac:dyDescent="0.25">
      <c r="A784" s="194">
        <v>0.79392119935324834</v>
      </c>
      <c r="B784" s="195">
        <v>-0.6017631017687527</v>
      </c>
      <c r="C784" s="195">
        <v>8.437606247012476E-2</v>
      </c>
      <c r="D784" s="196">
        <v>-2.1236257890384552E-2</v>
      </c>
      <c r="F784" s="123">
        <f>INDEX(A784:D792,,F782)</f>
        <v>8.437606247012476E-2</v>
      </c>
      <c r="G784" s="90">
        <f>INDEX(A783:D791,,G782)</f>
        <v>-2.1236257890384552E-2</v>
      </c>
      <c r="I784" s="123">
        <f t="shared" ref="I784:I791" si="252">F784^2-G784^2</f>
        <v>6.6683412687754762E-3</v>
      </c>
      <c r="J784" s="37">
        <f t="shared" ref="J784:J791" si="253">2*F784*G784</f>
        <v>-3.5836636447815337E-3</v>
      </c>
      <c r="K784" s="37">
        <f t="shared" ref="K784:K791" si="254">I784^2-J784^2</f>
        <v>3.1624130157925257E-5</v>
      </c>
      <c r="L784" s="90">
        <f t="shared" si="251"/>
        <v>-2.3897092175907039E-5</v>
      </c>
      <c r="N784" t="s">
        <v>392</v>
      </c>
      <c r="O784" s="173">
        <f>K792*B793-(I792^2-J792^2)</f>
        <v>17.163249413409581</v>
      </c>
      <c r="Q784" s="123">
        <v>8.4372585854301171E-2</v>
      </c>
      <c r="R784" s="90">
        <v>-2.1250066433023046E-2</v>
      </c>
    </row>
    <row r="785" spans="1:18" x14ac:dyDescent="0.25">
      <c r="A785" s="194">
        <v>0.98386925539396186</v>
      </c>
      <c r="B785" s="195">
        <v>0.11742301219611197</v>
      </c>
      <c r="C785" s="195">
        <v>0.1137839251398394</v>
      </c>
      <c r="D785" s="196">
        <v>7.2569572667158591E-2</v>
      </c>
      <c r="F785" s="123">
        <f>INDEX(A785:D793,,F782)</f>
        <v>0.1137839251398394</v>
      </c>
      <c r="G785" s="90">
        <f>INDEX(A783:D791,,G782)</f>
        <v>7.2569572667158591E-2</v>
      </c>
      <c r="I785" s="123">
        <f t="shared" si="252"/>
        <v>7.6804387431345647E-3</v>
      </c>
      <c r="J785" s="37">
        <f t="shared" si="253"/>
        <v>1.6514501647580216E-2</v>
      </c>
      <c r="K785" s="37">
        <f t="shared" si="254"/>
        <v>-2.1373962538088725E-4</v>
      </c>
      <c r="L785" s="90">
        <f t="shared" si="251"/>
        <v>1.268386182776347E-4</v>
      </c>
      <c r="N785" t="s">
        <v>467</v>
      </c>
      <c r="O785" s="174">
        <f>0.25*ATAN(O783/O784)</f>
        <v>1.6365811216603553E-4</v>
      </c>
      <c r="Q785" s="123">
        <v>0.11379580021525673</v>
      </c>
      <c r="R785" s="90">
        <v>7.2550950033007586E-2</v>
      </c>
    </row>
    <row r="786" spans="1:18" x14ac:dyDescent="0.25">
      <c r="A786" s="194">
        <v>4.8647725351833149E-2</v>
      </c>
      <c r="B786" s="195">
        <v>-9.9539911040519681E-4</v>
      </c>
      <c r="C786" s="195">
        <v>8.0287732160175429E-2</v>
      </c>
      <c r="D786" s="196">
        <v>0.99558339081328595</v>
      </c>
      <c r="F786" s="123">
        <f>INDEX(A786:D794,,F782)</f>
        <v>8.0287732160175429E-2</v>
      </c>
      <c r="G786" s="90">
        <f>INDEX(A783:D791,,G782)</f>
        <v>0.99558339081328595</v>
      </c>
      <c r="I786" s="123">
        <f t="shared" si="252"/>
        <v>-0.98474016812785592</v>
      </c>
      <c r="J786" s="37">
        <f t="shared" si="253"/>
        <v>0.15986626524947273</v>
      </c>
      <c r="K786" s="37">
        <f t="shared" si="254"/>
        <v>0.94415597595966316</v>
      </c>
      <c r="L786" s="90">
        <f t="shared" si="251"/>
        <v>-0.15742673291973819</v>
      </c>
      <c r="Q786" s="123">
        <v>8.0450666382480024E-2</v>
      </c>
      <c r="R786" s="90">
        <v>0.99557023774182751</v>
      </c>
    </row>
    <row r="787" spans="1:18" x14ac:dyDescent="0.25">
      <c r="A787" s="194">
        <v>0.35386620164727955</v>
      </c>
      <c r="B787" s="195">
        <v>-0.1112764151386819</v>
      </c>
      <c r="C787" s="195">
        <v>0.88614188517161074</v>
      </c>
      <c r="D787" s="196">
        <v>0.27775678229363754</v>
      </c>
      <c r="F787" s="123">
        <f>INDEX(A787:D795,,F782)</f>
        <v>0.88614188517161074</v>
      </c>
      <c r="G787" s="90">
        <f>INDEX(A783:D791,,G782)</f>
        <v>0.27775678229363754</v>
      </c>
      <c r="I787" s="123">
        <f t="shared" si="252"/>
        <v>0.70809861054538092</v>
      </c>
      <c r="J787" s="37">
        <f t="shared" si="253"/>
        <v>0.49226383736176926</v>
      </c>
      <c r="K787" s="37">
        <f t="shared" si="254"/>
        <v>0.25907995668216466</v>
      </c>
      <c r="L787" s="90">
        <f t="shared" si="251"/>
        <v>0.34857133925760619</v>
      </c>
      <c r="N787" s="156">
        <f>COS(O785)</f>
        <v>0.99999998660801115</v>
      </c>
      <c r="O787" s="158">
        <f>-N788</f>
        <v>-1.6365811143546633E-4</v>
      </c>
      <c r="Q787" s="123">
        <v>0.88618733045483711</v>
      </c>
      <c r="R787" s="90">
        <v>0.27761175426653073</v>
      </c>
    </row>
    <row r="788" spans="1:18" x14ac:dyDescent="0.25">
      <c r="A788" s="194">
        <v>-3.1068258583162523E-2</v>
      </c>
      <c r="B788" s="195">
        <v>2.2281371922682345E-2</v>
      </c>
      <c r="C788" s="195">
        <v>0.99759149847851791</v>
      </c>
      <c r="D788" s="196">
        <v>-5.7874916304371443E-2</v>
      </c>
      <c r="F788" s="123">
        <f>INDEX(A788:D796,,F782)</f>
        <v>0.99759149847851791</v>
      </c>
      <c r="G788" s="90">
        <f>INDEX(A783:D791,,G782)</f>
        <v>-5.7874916304371443E-2</v>
      </c>
      <c r="I788" s="123">
        <f t="shared" si="252"/>
        <v>0.99183929189937681</v>
      </c>
      <c r="J788" s="37">
        <f t="shared" si="253"/>
        <v>-0.11547104896079344</v>
      </c>
      <c r="K788" s="37">
        <f t="shared" si="254"/>
        <v>0.97041161780735119</v>
      </c>
      <c r="L788" s="90">
        <f t="shared" si="251"/>
        <v>-0.11452872343615163</v>
      </c>
      <c r="N788" s="91">
        <f>SIN(O785)</f>
        <v>1.6365811143546633E-4</v>
      </c>
      <c r="O788" s="93">
        <f>N787</f>
        <v>0.99999998660801115</v>
      </c>
      <c r="Q788" s="123">
        <v>0.99758201341928188</v>
      </c>
      <c r="R788" s="90">
        <v>-5.803817946993628E-2</v>
      </c>
    </row>
    <row r="789" spans="1:18" x14ac:dyDescent="0.25">
      <c r="A789" s="194">
        <v>0.96169828370355748</v>
      </c>
      <c r="B789" s="195">
        <v>-2.2293109328427645E-2</v>
      </c>
      <c r="C789" s="195">
        <v>0.16739042067439397</v>
      </c>
      <c r="D789" s="196">
        <v>0.21591636219738378</v>
      </c>
      <c r="F789" s="123">
        <f>INDEX(A789:D797,,F782)</f>
        <v>0.16739042067439397</v>
      </c>
      <c r="G789" s="90">
        <f>INDEX(A783:D791,,G782)</f>
        <v>0.21591636219738378</v>
      </c>
      <c r="I789" s="123">
        <f t="shared" si="252"/>
        <v>-1.8600322531001239E-2</v>
      </c>
      <c r="J789" s="37">
        <f t="shared" si="253"/>
        <v>7.2284661397409772E-2</v>
      </c>
      <c r="K789" s="37">
        <f t="shared" si="254"/>
        <v>-4.8791002750809102E-3</v>
      </c>
      <c r="L789" s="90">
        <f t="shared" si="251"/>
        <v>-1.3445180160360365E-3</v>
      </c>
      <c r="Q789" s="123">
        <v>0.16742575489676856</v>
      </c>
      <c r="R789" s="90">
        <v>0.21588896450571429</v>
      </c>
    </row>
    <row r="790" spans="1:18" x14ac:dyDescent="0.25">
      <c r="A790" s="194">
        <v>0.67515505142697785</v>
      </c>
      <c r="B790" s="195">
        <v>-0.22032080462001979</v>
      </c>
      <c r="C790" s="195">
        <v>0.56857825362111991</v>
      </c>
      <c r="D790" s="196">
        <v>0.41514234798846961</v>
      </c>
      <c r="F790" s="123">
        <f>INDEX(A790:D798,,F782)</f>
        <v>0.56857825362111991</v>
      </c>
      <c r="G790" s="90">
        <f>INDEX(A783:D791,,G782)</f>
        <v>0.41514234798846961</v>
      </c>
      <c r="I790" s="123">
        <f t="shared" si="252"/>
        <v>0.15093806139746296</v>
      </c>
      <c r="J790" s="37">
        <f t="shared" si="253"/>
        <v>0.4720818224469106</v>
      </c>
      <c r="K790" s="37">
        <f t="shared" si="254"/>
        <v>-0.20007894870637213</v>
      </c>
      <c r="L790" s="90">
        <f t="shared" si="251"/>
        <v>7.1255115101117997E-2</v>
      </c>
      <c r="Q790" s="123">
        <v>0.56864618741937489</v>
      </c>
      <c r="R790" s="90">
        <v>0.41504928998569701</v>
      </c>
    </row>
    <row r="791" spans="1:18" x14ac:dyDescent="0.25">
      <c r="A791" s="200">
        <v>7.0177359333052733E-2</v>
      </c>
      <c r="B791" s="201">
        <v>-0.92606454984120434</v>
      </c>
      <c r="C791" s="201">
        <v>-0.20367136560897486</v>
      </c>
      <c r="D791" s="202">
        <v>0.30983473432690356</v>
      </c>
      <c r="F791" s="91">
        <f>INDEX(A791:D799,,F782)</f>
        <v>-0.20367136560897486</v>
      </c>
      <c r="G791" s="93">
        <f>INDEX(A783:D791,,G782)</f>
        <v>0.30983473432690356</v>
      </c>
      <c r="I791" s="91">
        <f t="shared" si="252"/>
        <v>-5.4515537426398204E-2</v>
      </c>
      <c r="J791" s="92">
        <f t="shared" si="253"/>
        <v>-0.12620892690690874</v>
      </c>
      <c r="K791" s="92">
        <f t="shared" si="254"/>
        <v>-1.2956749410104411E-2</v>
      </c>
      <c r="L791" s="93">
        <f t="shared" si="251"/>
        <v>6.8803474783391385E-3</v>
      </c>
      <c r="Q791" s="91">
        <v>-0.20362065591393316</v>
      </c>
      <c r="R791" s="93">
        <v>0.3098680626486493</v>
      </c>
    </row>
    <row r="792" spans="1:18" x14ac:dyDescent="0.25">
      <c r="I792">
        <f>SUM(I783:I791)</f>
        <v>0.84381473152602415</v>
      </c>
      <c r="J792">
        <f>SUM(J783:J791)</f>
        <v>0.77442305484219076</v>
      </c>
      <c r="K792">
        <f>SUM(K783:K791)</f>
        <v>1.9195046274087562</v>
      </c>
      <c r="L792">
        <f>SUM(L783:L791)</f>
        <v>0.14646386509044132</v>
      </c>
    </row>
    <row r="793" spans="1:18" x14ac:dyDescent="0.25">
      <c r="A793" s="47" t="s">
        <v>53</v>
      </c>
      <c r="B793">
        <f>COUNT(A783:A791)</f>
        <v>9</v>
      </c>
      <c r="I793" s="47" t="s">
        <v>462</v>
      </c>
      <c r="J793" s="47" t="s">
        <v>389</v>
      </c>
      <c r="K793" s="47" t="s">
        <v>469</v>
      </c>
      <c r="L793" s="47" t="s">
        <v>470</v>
      </c>
      <c r="N793" s="47"/>
    </row>
    <row r="795" spans="1:18" x14ac:dyDescent="0.25">
      <c r="A795">
        <v>1</v>
      </c>
      <c r="B795">
        <v>2</v>
      </c>
      <c r="C795">
        <v>3</v>
      </c>
      <c r="D795">
        <v>4</v>
      </c>
      <c r="F795">
        <v>1</v>
      </c>
      <c r="G795">
        <v>2</v>
      </c>
      <c r="I795" s="47" t="s">
        <v>207</v>
      </c>
      <c r="J795" s="47" t="s">
        <v>464</v>
      </c>
      <c r="K795" s="47" t="s">
        <v>465</v>
      </c>
      <c r="L795" s="47" t="s">
        <v>466</v>
      </c>
      <c r="Q795">
        <f>F795</f>
        <v>1</v>
      </c>
      <c r="R795">
        <f>G795</f>
        <v>2</v>
      </c>
    </row>
    <row r="796" spans="1:18" x14ac:dyDescent="0.25">
      <c r="A796" s="189">
        <f t="array" ref="A796:A804">IF(A795=$Q782,$Q783:$Q791,IF(A795=$R782,$R783:$R791,A783:A791))</f>
        <v>0.11020481147696992</v>
      </c>
      <c r="B796" s="190">
        <f t="array" ref="B796:B804">IF(B795=$Q782,$Q783:$Q791,IF(B795=$R782,$R783:$R791,B783:B791))</f>
        <v>0.88945210722544565</v>
      </c>
      <c r="C796" s="190">
        <f t="array" ref="C796:C804">IF(C795=$Q782,$Q783:$Q791,IF(C795=$R782,$R783:$R791,C783:C791))</f>
        <v>-0.34140341538629027</v>
      </c>
      <c r="D796" s="191">
        <f t="array" ref="D796:D804">IF(D795=$Q782,$Q783:$Q791,IF(D795=$R782,$R783:$R791,D783:D791))</f>
        <v>0.28314935359650178</v>
      </c>
      <c r="F796" s="156">
        <f>INDEX(A796:D804,,F795)</f>
        <v>0.11020481147696992</v>
      </c>
      <c r="G796" s="158">
        <f>INDEX(A796:D804,,G795)</f>
        <v>0.88945210722544565</v>
      </c>
      <c r="I796" s="156">
        <f>F796^2-G796^2</f>
        <v>-0.77897995057511116</v>
      </c>
      <c r="J796" s="157">
        <f>2*F796*G796</f>
        <v>0.19604380358914775</v>
      </c>
      <c r="K796" s="157">
        <f>I796^2-J796^2</f>
        <v>0.56837659047230227</v>
      </c>
      <c r="L796" s="158">
        <f t="shared" ref="L796:L804" si="255">I796*J796</f>
        <v>-0.15271419243043111</v>
      </c>
      <c r="N796" t="s">
        <v>390</v>
      </c>
      <c r="O796" s="172">
        <f>L805*B806-2*I805*J805</f>
        <v>1.3936237567567122E-2</v>
      </c>
      <c r="Q796" s="156">
        <f t="array" ref="Q796:R804">MMULT(F796:G804,N800:O801)</f>
        <v>0.11035847379284502</v>
      </c>
      <c r="R796" s="158">
        <v>0.88943305469415412</v>
      </c>
    </row>
    <row r="797" spans="1:18" x14ac:dyDescent="0.25">
      <c r="A797" s="194">
        <v>0.79392119935324834</v>
      </c>
      <c r="B797" s="195">
        <v>-0.6017631017687527</v>
      </c>
      <c r="C797" s="195">
        <v>8.4372585854301171E-2</v>
      </c>
      <c r="D797" s="196">
        <v>-2.1250066433023046E-2</v>
      </c>
      <c r="F797" s="123">
        <f>INDEX(A797:D805,,F795)</f>
        <v>0.79392119935324834</v>
      </c>
      <c r="G797" s="90">
        <f>INDEX(A796:D804,,G795)</f>
        <v>-0.6017631017687527</v>
      </c>
      <c r="I797" s="123">
        <f t="shared" ref="I797:I804" si="256">F797^2-G797^2</f>
        <v>0.26819204013215003</v>
      </c>
      <c r="J797" s="37">
        <f t="shared" ref="J797:J804" si="257">2*F797*G797</f>
        <v>-0.95550496696555798</v>
      </c>
      <c r="K797" s="37">
        <f t="shared" ref="K797:K804" si="258">I797^2-J797^2</f>
        <v>-0.84106277150560727</v>
      </c>
      <c r="L797" s="90">
        <f t="shared" si="255"/>
        <v>-0.25625882644689563</v>
      </c>
      <c r="N797" t="s">
        <v>392</v>
      </c>
      <c r="O797" s="173">
        <f>K805*B806-(I805^2-J805^2)</f>
        <v>20.166755098753228</v>
      </c>
      <c r="Q797" s="123">
        <v>0.79381722541354471</v>
      </c>
      <c r="R797" s="90">
        <v>-0.60190025259140068</v>
      </c>
    </row>
    <row r="798" spans="1:18" x14ac:dyDescent="0.25">
      <c r="A798" s="194">
        <v>0.98386925539396186</v>
      </c>
      <c r="B798" s="195">
        <v>0.11742301219611197</v>
      </c>
      <c r="C798" s="195">
        <v>0.11379580021525673</v>
      </c>
      <c r="D798" s="196">
        <v>7.2550950033007586E-2</v>
      </c>
      <c r="F798" s="123">
        <f>INDEX(A798:D806,,F795)</f>
        <v>0.98386925539396186</v>
      </c>
      <c r="G798" s="90">
        <f>INDEX(A796:D804,,G795)</f>
        <v>0.11742301219611197</v>
      </c>
      <c r="I798" s="123">
        <f t="shared" si="256"/>
        <v>0.9542105479162607</v>
      </c>
      <c r="J798" s="37">
        <f t="shared" si="257"/>
        <v>0.23105778315100955</v>
      </c>
      <c r="K798" s="37">
        <f t="shared" si="258"/>
        <v>0.85713007059999158</v>
      </c>
      <c r="L798" s="90">
        <f t="shared" si="255"/>
        <v>0.22047777386084139</v>
      </c>
      <c r="N798" t="s">
        <v>467</v>
      </c>
      <c r="O798" s="174">
        <f>0.25*ATAN(O796/O797)</f>
        <v>1.7276249055570237E-4</v>
      </c>
      <c r="Q798" s="123">
        <v>0.98388952700318366</v>
      </c>
      <c r="R798" s="90">
        <v>0.1172530347416593</v>
      </c>
    </row>
    <row r="799" spans="1:18" x14ac:dyDescent="0.25">
      <c r="A799" s="194">
        <v>4.8647725351833149E-2</v>
      </c>
      <c r="B799" s="195">
        <v>-9.9539911040519681E-4</v>
      </c>
      <c r="C799" s="195">
        <v>8.0450666382480024E-2</v>
      </c>
      <c r="D799" s="196">
        <v>0.99557023774182751</v>
      </c>
      <c r="F799" s="123">
        <f>INDEX(A799:D807,,F795)</f>
        <v>4.8647725351833149E-2</v>
      </c>
      <c r="G799" s="90">
        <f>INDEX(A796:D804,,G795)</f>
        <v>-9.9539911040519681E-4</v>
      </c>
      <c r="I799" s="123">
        <f t="shared" si="256"/>
        <v>2.365610362518394E-3</v>
      </c>
      <c r="J799" s="37">
        <f t="shared" si="257"/>
        <v>-9.684780507690212E-5</v>
      </c>
      <c r="K799" s="37">
        <f t="shared" si="258"/>
        <v>5.5867328899061935E-6</v>
      </c>
      <c r="L799" s="90">
        <f t="shared" si="255"/>
        <v>-2.2910417127708118E-7</v>
      </c>
      <c r="Q799" s="123">
        <v>4.8647552658213231E-2</v>
      </c>
      <c r="R799" s="90">
        <v>-1.0038035977002634E-3</v>
      </c>
    </row>
    <row r="800" spans="1:18" x14ac:dyDescent="0.25">
      <c r="A800" s="194">
        <v>0.35386620164727955</v>
      </c>
      <c r="B800" s="195">
        <v>-0.1112764151386819</v>
      </c>
      <c r="C800" s="195">
        <v>0.88618733045483711</v>
      </c>
      <c r="D800" s="196">
        <v>0.27761175426653073</v>
      </c>
      <c r="F800" s="123">
        <f>INDEX(A800:D808,,F795)</f>
        <v>0.35386620164727955</v>
      </c>
      <c r="G800" s="90">
        <f>INDEX(A796:D804,,G795)</f>
        <v>-0.1112764151386819</v>
      </c>
      <c r="I800" s="123">
        <f t="shared" si="256"/>
        <v>0.11283884810215684</v>
      </c>
      <c r="J800" s="37">
        <f t="shared" si="257"/>
        <v>-7.8753924716102403E-2</v>
      </c>
      <c r="K800" s="37">
        <f t="shared" si="258"/>
        <v>6.5304249828321004E-3</v>
      </c>
      <c r="L800" s="90">
        <f t="shared" si="255"/>
        <v>-8.8865021484889738E-3</v>
      </c>
      <c r="N800" s="156">
        <f>COS(O798)</f>
        <v>0.99999998507656096</v>
      </c>
      <c r="O800" s="158">
        <f>-N801</f>
        <v>-1.7276248969629886E-4</v>
      </c>
      <c r="Q800" s="123">
        <v>0.35384697197585507</v>
      </c>
      <c r="R800" s="90">
        <v>-0.11133754828407105</v>
      </c>
    </row>
    <row r="801" spans="1:18" x14ac:dyDescent="0.25">
      <c r="A801" s="194">
        <v>-3.1068258583162523E-2</v>
      </c>
      <c r="B801" s="195">
        <v>2.2281371922682345E-2</v>
      </c>
      <c r="C801" s="195">
        <v>0.99758201341928188</v>
      </c>
      <c r="D801" s="196">
        <v>-5.803817946993628E-2</v>
      </c>
      <c r="F801" s="123">
        <f>INDEX(A801:D809,,F795)</f>
        <v>-3.1068258583162523E-2</v>
      </c>
      <c r="G801" s="90">
        <f>INDEX(A796:D804,,G795)</f>
        <v>2.2281371922682345E-2</v>
      </c>
      <c r="I801" s="123">
        <f t="shared" si="256"/>
        <v>4.6877715663335459E-4</v>
      </c>
      <c r="J801" s="37">
        <f t="shared" si="257"/>
        <v>-1.3844868489630243E-3</v>
      </c>
      <c r="K801" s="37">
        <f t="shared" si="258"/>
        <v>-1.6970518123703115E-6</v>
      </c>
      <c r="L801" s="90">
        <f t="shared" si="255"/>
        <v>-6.4901580845315914E-7</v>
      </c>
      <c r="N801" s="91">
        <f>SIN(O798)</f>
        <v>1.7276248969629886E-4</v>
      </c>
      <c r="O801" s="93">
        <f>N800</f>
        <v>0.99999998507656096</v>
      </c>
      <c r="Q801" s="123">
        <v>-3.1064408734230047E-2</v>
      </c>
      <c r="R801" s="90">
        <v>2.2286739019871004E-2</v>
      </c>
    </row>
    <row r="802" spans="1:18" x14ac:dyDescent="0.25">
      <c r="A802" s="194">
        <v>0.96169828370355748</v>
      </c>
      <c r="B802" s="195">
        <v>-2.2293109328427645E-2</v>
      </c>
      <c r="C802" s="195">
        <v>0.16742575489676856</v>
      </c>
      <c r="D802" s="196">
        <v>0.21588896450571429</v>
      </c>
      <c r="F802" s="123">
        <f>INDEX(A802:D810,,F795)</f>
        <v>0.96169828370355748</v>
      </c>
      <c r="G802" s="90">
        <f>INDEX(A796:D804,,G795)</f>
        <v>-2.2293109328427645E-2</v>
      </c>
      <c r="I802" s="123">
        <f t="shared" si="256"/>
        <v>0.9243666061548389</v>
      </c>
      <c r="J802" s="37">
        <f t="shared" si="257"/>
        <v>-4.2878489959129268E-2</v>
      </c>
      <c r="K802" s="37">
        <f t="shared" si="258"/>
        <v>0.85261505767303991</v>
      </c>
      <c r="L802" s="90">
        <f t="shared" si="255"/>
        <v>-3.9635444240564657E-2</v>
      </c>
      <c r="Q802" s="123">
        <v>0.96169441793864108</v>
      </c>
      <c r="R802" s="90">
        <v>-2.2459254385567069E-2</v>
      </c>
    </row>
    <row r="803" spans="1:18" x14ac:dyDescent="0.25">
      <c r="A803" s="194">
        <v>0.67515505142697785</v>
      </c>
      <c r="B803" s="195">
        <v>-0.22032080462001979</v>
      </c>
      <c r="C803" s="195">
        <v>0.56864618741937489</v>
      </c>
      <c r="D803" s="196">
        <v>0.41504928998569701</v>
      </c>
      <c r="F803" s="123">
        <f>INDEX(A803:D811,,F795)</f>
        <v>0.67515505142697785</v>
      </c>
      <c r="G803" s="90">
        <f>INDEX(A796:D804,,G795)</f>
        <v>-0.22032080462001979</v>
      </c>
      <c r="I803" s="123">
        <f t="shared" si="256"/>
        <v>0.40729308651895219</v>
      </c>
      <c r="J803" s="37">
        <f t="shared" si="257"/>
        <v>-0.29750140834732519</v>
      </c>
      <c r="K803" s="37">
        <f t="shared" si="258"/>
        <v>7.7380570357492739E-2</v>
      </c>
      <c r="L803" s="90">
        <f t="shared" si="255"/>
        <v>-0.12117026684951725</v>
      </c>
      <c r="Q803" s="123">
        <v>0.67511697818060457</v>
      </c>
      <c r="R803" s="90">
        <v>-0.22043744279969127</v>
      </c>
    </row>
    <row r="804" spans="1:18" x14ac:dyDescent="0.25">
      <c r="A804" s="200">
        <v>7.0177359333052733E-2</v>
      </c>
      <c r="B804" s="201">
        <v>-0.92606454984120434</v>
      </c>
      <c r="C804" s="201">
        <v>-0.20362065591393316</v>
      </c>
      <c r="D804" s="202">
        <v>0.3098680626486493</v>
      </c>
      <c r="F804" s="91">
        <f>INDEX(A804:D812,,F795)</f>
        <v>7.0177359333052733E-2</v>
      </c>
      <c r="G804" s="93">
        <f>INDEX(A796:D804,,G795)</f>
        <v>-0.92606454984120434</v>
      </c>
      <c r="I804" s="91">
        <f t="shared" si="256"/>
        <v>-0.85267068870963203</v>
      </c>
      <c r="J804" s="92">
        <f t="shared" si="257"/>
        <v>-0.12997752935961585</v>
      </c>
      <c r="K804" s="92">
        <f t="shared" si="258"/>
        <v>0.71015314524612849</v>
      </c>
      <c r="L804" s="93">
        <f t="shared" si="255"/>
        <v>0.11082802947584006</v>
      </c>
      <c r="Q804" s="91">
        <v>7.0017369068515134E-2</v>
      </c>
      <c r="R804" s="93">
        <v>-0.92607666003645517</v>
      </c>
    </row>
    <row r="805" spans="1:18" x14ac:dyDescent="0.25">
      <c r="I805">
        <f>SUM(I796:I804)</f>
        <v>1.0380848770587672</v>
      </c>
      <c r="J805">
        <f>SUM(J796:J804)</f>
        <v>-1.0789960672616132</v>
      </c>
      <c r="K805">
        <f>SUM(K796:K804)</f>
        <v>2.2311269775072571</v>
      </c>
      <c r="L805">
        <f>SUM(L796:L804)</f>
        <v>-0.24736030689919589</v>
      </c>
    </row>
    <row r="806" spans="1:18" x14ac:dyDescent="0.25">
      <c r="A806" s="47" t="s">
        <v>53</v>
      </c>
      <c r="B806">
        <f>COUNT(A796:A804)</f>
        <v>9</v>
      </c>
      <c r="I806" s="47" t="s">
        <v>462</v>
      </c>
      <c r="J806" s="47" t="s">
        <v>389</v>
      </c>
      <c r="K806" s="47" t="s">
        <v>469</v>
      </c>
      <c r="L806" s="47" t="s">
        <v>470</v>
      </c>
      <c r="N806" s="47"/>
    </row>
    <row r="808" spans="1:18" x14ac:dyDescent="0.25">
      <c r="A808">
        <v>1</v>
      </c>
      <c r="B808">
        <v>2</v>
      </c>
      <c r="C808">
        <v>3</v>
      </c>
      <c r="D808">
        <v>4</v>
      </c>
      <c r="F808">
        <v>1</v>
      </c>
      <c r="G808">
        <v>3</v>
      </c>
      <c r="I808" s="47" t="s">
        <v>207</v>
      </c>
      <c r="J808" s="47" t="s">
        <v>464</v>
      </c>
      <c r="K808" s="47" t="s">
        <v>465</v>
      </c>
      <c r="L808" s="47" t="s">
        <v>466</v>
      </c>
      <c r="Q808">
        <f>F808</f>
        <v>1</v>
      </c>
      <c r="R808">
        <f>G808</f>
        <v>3</v>
      </c>
    </row>
    <row r="809" spans="1:18" x14ac:dyDescent="0.25">
      <c r="A809" s="189">
        <f t="array" ref="A809:A817">IF(A808=$Q795,$Q796:$Q804,IF(A808=$R795,$R796:$R804,A796:A804))</f>
        <v>0.11035847379284502</v>
      </c>
      <c r="B809" s="190">
        <f t="array" ref="B809:B817">IF(B808=$Q795,$Q796:$Q804,IF(B808=$R795,$R796:$R804,B796:B804))</f>
        <v>0.88943305469415412</v>
      </c>
      <c r="C809" s="190">
        <f t="array" ref="C809:C817">IF(C808=$Q795,$Q796:$Q804,IF(C808=$R795,$R796:$R804,C796:C804))</f>
        <v>-0.34140341538629027</v>
      </c>
      <c r="D809" s="191">
        <f t="array" ref="D809:D817">IF(D808=$Q795,$Q796:$Q804,IF(D808=$R795,$R796:$R804,D796:D804))</f>
        <v>0.28314935359650178</v>
      </c>
      <c r="F809" s="156">
        <f>INDEX(A809:D817,,F808)</f>
        <v>0.11035847379284502</v>
      </c>
      <c r="G809" s="158">
        <f>INDEX(A809:D817,,G808)</f>
        <v>-0.34140341538629027</v>
      </c>
      <c r="I809" s="156">
        <f>F809^2-G809^2</f>
        <v>-0.1043772992995378</v>
      </c>
      <c r="J809" s="157">
        <f>2*F809*G809</f>
        <v>-7.5353519739391389E-2</v>
      </c>
      <c r="K809" s="157">
        <f>I809^2-J809^2</f>
        <v>5.2164676719504473E-3</v>
      </c>
      <c r="L809" s="158">
        <f t="shared" ref="L809:L817" si="259">I809*J809</f>
        <v>7.8651968831120848E-3</v>
      </c>
      <c r="N809" t="s">
        <v>390</v>
      </c>
      <c r="O809" s="172">
        <f>L818*B819-2*I818*J818</f>
        <v>1.1083587670754902E-3</v>
      </c>
      <c r="Q809" s="156">
        <f t="array" ref="Q809:R817">MMULT(F809:G817,N813:O814)</f>
        <v>0.11035462264282188</v>
      </c>
      <c r="R809" s="158">
        <v>-0.34140466024451149</v>
      </c>
    </row>
    <row r="810" spans="1:18" x14ac:dyDescent="0.25">
      <c r="A810" s="194">
        <v>0.79381722541354471</v>
      </c>
      <c r="B810" s="195">
        <v>-0.60190025259140068</v>
      </c>
      <c r="C810" s="195">
        <v>8.4372585854301171E-2</v>
      </c>
      <c r="D810" s="196">
        <v>-2.1250066433023046E-2</v>
      </c>
      <c r="F810" s="123">
        <f>INDEX(A810:D818,,F808)</f>
        <v>0.79381722541354471</v>
      </c>
      <c r="G810" s="90">
        <f>INDEX(A809:D817,,G808)</f>
        <v>8.4372585854301171E-2</v>
      </c>
      <c r="I810" s="123">
        <f t="shared" ref="I810:I817" si="260">F810^2-G810^2</f>
        <v>0.62302705411951698</v>
      </c>
      <c r="J810" s="37">
        <f t="shared" ref="J810:J817" si="261">2*F810*G810</f>
        <v>0.1339528240076549</v>
      </c>
      <c r="K810" s="37">
        <f t="shared" ref="K810:K817" si="262">I810^2-J810^2</f>
        <v>0.37021935110521775</v>
      </c>
      <c r="L810" s="90">
        <f t="shared" si="259"/>
        <v>8.345623333247934E-2</v>
      </c>
      <c r="N810" t="s">
        <v>392</v>
      </c>
      <c r="O810" s="173">
        <f>K818*B819-(I818^2-J818^2)</f>
        <v>24.563971534541171</v>
      </c>
      <c r="Q810" s="123">
        <v>0.79381817711360503</v>
      </c>
      <c r="R810" s="90">
        <v>8.4363631329105293E-2</v>
      </c>
    </row>
    <row r="811" spans="1:18" x14ac:dyDescent="0.25">
      <c r="A811" s="194">
        <v>0.98388952700318366</v>
      </c>
      <c r="B811" s="195">
        <v>0.1172530347416593</v>
      </c>
      <c r="C811" s="195">
        <v>0.11379580021525673</v>
      </c>
      <c r="D811" s="196">
        <v>7.2550950033007586E-2</v>
      </c>
      <c r="F811" s="123">
        <f>INDEX(A811:D819,,F808)</f>
        <v>0.98388952700318366</v>
      </c>
      <c r="G811" s="90">
        <f>INDEX(A809:D817,,G808)</f>
        <v>0.11379580021525673</v>
      </c>
      <c r="I811" s="123">
        <f t="shared" si="260"/>
        <v>0.95508911719991785</v>
      </c>
      <c r="J811" s="37">
        <f t="shared" si="261"/>
        <v>0.22392499209747546</v>
      </c>
      <c r="K811" s="37">
        <f t="shared" si="262"/>
        <v>0.86205281970786396</v>
      </c>
      <c r="L811" s="90">
        <f t="shared" si="259"/>
        <v>0.21386832302137643</v>
      </c>
      <c r="N811" t="s">
        <v>467</v>
      </c>
      <c r="O811" s="174">
        <f>0.25*ATAN(O809/O810)</f>
        <v>1.1280329452881485E-5</v>
      </c>
      <c r="Q811" s="123">
        <v>0.98389081059470251</v>
      </c>
      <c r="R811" s="90">
        <v>0.11378470161000712</v>
      </c>
    </row>
    <row r="812" spans="1:18" x14ac:dyDescent="0.25">
      <c r="A812" s="194">
        <v>4.8647552658213231E-2</v>
      </c>
      <c r="B812" s="195">
        <v>-1.0038035977002634E-3</v>
      </c>
      <c r="C812" s="195">
        <v>8.0450666382480024E-2</v>
      </c>
      <c r="D812" s="196">
        <v>0.99557023774182751</v>
      </c>
      <c r="F812" s="123">
        <f>INDEX(A812:D820,,F808)</f>
        <v>4.8647552658213231E-2</v>
      </c>
      <c r="G812" s="90">
        <f>INDEX(A809:D817,,G808)</f>
        <v>8.0450666382480024E-2</v>
      </c>
      <c r="I812" s="123">
        <f t="shared" si="260"/>
        <v>-4.1057253417514719E-3</v>
      </c>
      <c r="J812" s="37">
        <f t="shared" si="261"/>
        <v>7.827456058460084E-3</v>
      </c>
      <c r="K812" s="37">
        <f t="shared" si="262"/>
        <v>-4.4412087765223238E-5</v>
      </c>
      <c r="L812" s="90">
        <f t="shared" si="259"/>
        <v>-3.2137384700665659E-5</v>
      </c>
      <c r="Q812" s="123">
        <v>4.8648460165139608E-2</v>
      </c>
      <c r="R812" s="90">
        <v>8.0450117616940472E-2</v>
      </c>
    </row>
    <row r="813" spans="1:18" x14ac:dyDescent="0.25">
      <c r="A813" s="194">
        <v>0.35384697197585507</v>
      </c>
      <c r="B813" s="195">
        <v>-0.11133754828407105</v>
      </c>
      <c r="C813" s="195">
        <v>0.88618733045483711</v>
      </c>
      <c r="D813" s="196">
        <v>0.27761175426653073</v>
      </c>
      <c r="F813" s="123">
        <f>INDEX(A813:D821,,F808)</f>
        <v>0.35384697197585507</v>
      </c>
      <c r="G813" s="90">
        <f>INDEX(A809:D817,,G808)</f>
        <v>0.88618733045483711</v>
      </c>
      <c r="I813" s="123">
        <f t="shared" si="260"/>
        <v>-0.66012030508218911</v>
      </c>
      <c r="J813" s="37">
        <f t="shared" si="261"/>
        <v>0.62714940696962118</v>
      </c>
      <c r="K813" s="37">
        <f t="shared" si="262"/>
        <v>4.2442438519454895E-2</v>
      </c>
      <c r="L813" s="90">
        <f t="shared" si="259"/>
        <v>-0.41399405786090032</v>
      </c>
      <c r="N813" s="156">
        <f>COS(O811)</f>
        <v>0.99999999993637712</v>
      </c>
      <c r="O813" s="158">
        <f>-N814</f>
        <v>-1.1280329452642256E-5</v>
      </c>
      <c r="Q813" s="123">
        <v>0.3538569684383866</v>
      </c>
      <c r="R813" s="90">
        <v>0.88618333888803558</v>
      </c>
    </row>
    <row r="814" spans="1:18" x14ac:dyDescent="0.25">
      <c r="A814" s="194">
        <v>-3.1064408734230047E-2</v>
      </c>
      <c r="B814" s="195">
        <v>2.2286739019871004E-2</v>
      </c>
      <c r="C814" s="195">
        <v>0.99758201341928188</v>
      </c>
      <c r="D814" s="196">
        <v>-5.803817946993628E-2</v>
      </c>
      <c r="F814" s="123">
        <f>INDEX(A814:D822,,F808)</f>
        <v>-3.1064408734230047E-2</v>
      </c>
      <c r="G814" s="90">
        <f>INDEX(A809:D817,,G808)</f>
        <v>0.99758201341928188</v>
      </c>
      <c r="I814" s="123">
        <f t="shared" si="260"/>
        <v>-0.99420487600766094</v>
      </c>
      <c r="J814" s="37">
        <f t="shared" si="261"/>
        <v>-6.1978590821545471E-2</v>
      </c>
      <c r="K814" s="37">
        <f t="shared" si="262"/>
        <v>0.98460198975718394</v>
      </c>
      <c r="L814" s="90">
        <f t="shared" si="259"/>
        <v>6.1619417202864166E-2</v>
      </c>
      <c r="N814" s="91">
        <f>SIN(O811)</f>
        <v>1.1280329452642256E-5</v>
      </c>
      <c r="O814" s="93">
        <f>N813</f>
        <v>0.99999999993637712</v>
      </c>
      <c r="Q814" s="123">
        <v>-3.1053155678486238E-2</v>
      </c>
      <c r="R814" s="90">
        <v>0.9975823637725777</v>
      </c>
    </row>
    <row r="815" spans="1:18" x14ac:dyDescent="0.25">
      <c r="A815" s="194">
        <v>0.96169441793864108</v>
      </c>
      <c r="B815" s="195">
        <v>-2.2459254385567069E-2</v>
      </c>
      <c r="C815" s="195">
        <v>0.16742575489676856</v>
      </c>
      <c r="D815" s="196">
        <v>0.21588896450571429</v>
      </c>
      <c r="F815" s="123">
        <f>INDEX(A815:D823,,F808)</f>
        <v>0.96169441793864108</v>
      </c>
      <c r="G815" s="90">
        <f>INDEX(A809:D817,,G808)</f>
        <v>0.16742575489676856</v>
      </c>
      <c r="I815" s="123">
        <f t="shared" si="260"/>
        <v>0.8968247700915889</v>
      </c>
      <c r="J815" s="37">
        <f t="shared" si="261"/>
        <v>0.32202482780677083</v>
      </c>
      <c r="K815" s="37">
        <f t="shared" si="262"/>
        <v>0.70059467852585089</v>
      </c>
      <c r="L815" s="90">
        <f t="shared" si="259"/>
        <v>0.28879984216159077</v>
      </c>
      <c r="Q815" s="123">
        <v>0.96169630649512949</v>
      </c>
      <c r="R815" s="90">
        <v>0.16741490665624933</v>
      </c>
    </row>
    <row r="816" spans="1:18" x14ac:dyDescent="0.25">
      <c r="A816" s="194">
        <v>0.67511697818060457</v>
      </c>
      <c r="B816" s="195">
        <v>-0.22043744279969127</v>
      </c>
      <c r="C816" s="195">
        <v>0.56864618741937489</v>
      </c>
      <c r="D816" s="196">
        <v>0.41504928998569701</v>
      </c>
      <c r="F816" s="123">
        <f>INDEX(A816:D824,,F808)</f>
        <v>0.67511697818060457</v>
      </c>
      <c r="G816" s="90">
        <f>INDEX(A809:D817,,G808)</f>
        <v>0.56864618741937489</v>
      </c>
      <c r="I816" s="123">
        <f t="shared" si="260"/>
        <v>0.13242444776112006</v>
      </c>
      <c r="J816" s="37">
        <f t="shared" si="261"/>
        <v>0.76780539140898019</v>
      </c>
      <c r="K816" s="37">
        <f t="shared" si="262"/>
        <v>-0.5719888847118596</v>
      </c>
      <c r="L816" s="90">
        <f t="shared" si="259"/>
        <v>0.10167620494534484</v>
      </c>
      <c r="Q816" s="123">
        <v>0.6751233926539878</v>
      </c>
      <c r="R816" s="90">
        <v>0.56863857184126299</v>
      </c>
    </row>
    <row r="817" spans="1:18" x14ac:dyDescent="0.25">
      <c r="A817" s="200">
        <v>7.0017369068515134E-2</v>
      </c>
      <c r="B817" s="201">
        <v>-0.92607666003645517</v>
      </c>
      <c r="C817" s="201">
        <v>-0.20362065591393316</v>
      </c>
      <c r="D817" s="202">
        <v>0.3098680626486493</v>
      </c>
      <c r="F817" s="91">
        <f>INDEX(A817:D825,,F808)</f>
        <v>7.0017369068515134E-2</v>
      </c>
      <c r="G817" s="93">
        <f>INDEX(A809:D817,,G808)</f>
        <v>-0.20362065591393316</v>
      </c>
      <c r="I817" s="91">
        <f t="shared" si="260"/>
        <v>-3.6558939543543702E-2</v>
      </c>
      <c r="J817" s="92">
        <f t="shared" si="261"/>
        <v>-2.8513965230197974E-2</v>
      </c>
      <c r="K817" s="92">
        <f t="shared" si="262"/>
        <v>5.2350984739954433E-4</v>
      </c>
      <c r="L817" s="93">
        <f t="shared" si="259"/>
        <v>1.0424403309975149E-3</v>
      </c>
      <c r="Q817" s="91">
        <v>7.0015072155978367E-2</v>
      </c>
      <c r="R817" s="93">
        <v>-0.20362144571996871</v>
      </c>
    </row>
    <row r="818" spans="1:18" x14ac:dyDescent="0.25">
      <c r="I818">
        <f>SUM(I809:I817)</f>
        <v>0.80799824389746078</v>
      </c>
      <c r="J818">
        <f>SUM(J809:J817)</f>
        <v>1.9168388225578279</v>
      </c>
      <c r="K818">
        <f>SUM(K809:K817)</f>
        <v>2.3936179583352968</v>
      </c>
      <c r="L818">
        <f>SUM(L809:L817)</f>
        <v>0.34430146263216421</v>
      </c>
    </row>
    <row r="819" spans="1:18" x14ac:dyDescent="0.25">
      <c r="A819" s="47" t="s">
        <v>53</v>
      </c>
      <c r="B819">
        <f>COUNT(A809:A817)</f>
        <v>9</v>
      </c>
      <c r="I819" s="47" t="s">
        <v>462</v>
      </c>
      <c r="J819" s="47" t="s">
        <v>389</v>
      </c>
      <c r="K819" s="47" t="s">
        <v>469</v>
      </c>
      <c r="L819" s="47" t="s">
        <v>470</v>
      </c>
      <c r="N819" s="47"/>
    </row>
    <row r="821" spans="1:18" x14ac:dyDescent="0.25">
      <c r="A821">
        <v>1</v>
      </c>
      <c r="B821">
        <v>2</v>
      </c>
      <c r="C821">
        <v>3</v>
      </c>
      <c r="D821">
        <v>4</v>
      </c>
      <c r="F821">
        <v>1</v>
      </c>
      <c r="G821">
        <v>4</v>
      </c>
      <c r="I821" s="47" t="s">
        <v>207</v>
      </c>
      <c r="J821" s="47" t="s">
        <v>464</v>
      </c>
      <c r="K821" s="47" t="s">
        <v>465</v>
      </c>
      <c r="L821" s="47" t="s">
        <v>466</v>
      </c>
      <c r="Q821">
        <f>F821</f>
        <v>1</v>
      </c>
      <c r="R821">
        <f>G821</f>
        <v>4</v>
      </c>
    </row>
    <row r="822" spans="1:18" x14ac:dyDescent="0.25">
      <c r="A822" s="189">
        <f t="array" ref="A822:A830">IF(A821=$Q808,$Q809:$Q817,IF(A821=$R808,$R809:$R817,A809:A817))</f>
        <v>0.11035462264282188</v>
      </c>
      <c r="B822" s="190">
        <f t="array" ref="B822:B830">IF(B821=$Q808,$Q809:$Q817,IF(B821=$R808,$R809:$R817,B809:B817))</f>
        <v>0.88943305469415412</v>
      </c>
      <c r="C822" s="190">
        <f t="array" ref="C822:C830">IF(C821=$Q808,$Q809:$Q817,IF(C821=$R808,$R809:$R817,C809:C817))</f>
        <v>-0.34140466024451149</v>
      </c>
      <c r="D822" s="191">
        <f t="array" ref="D822:D830">IF(D821=$Q808,$Q809:$Q817,IF(D821=$R808,$R809:$R817,D809:D817))</f>
        <v>0.28314935359650178</v>
      </c>
      <c r="F822" s="156">
        <f>INDEX(A822:D830,,F821)</f>
        <v>0.11035462264282188</v>
      </c>
      <c r="G822" s="158">
        <f>INDEX(A822:D830,,G821)</f>
        <v>0.28314935359650178</v>
      </c>
      <c r="I822" s="156">
        <f>F822^2-G822^2</f>
        <v>-6.7995413703477184E-2</v>
      </c>
      <c r="J822" s="157">
        <f>2*F822*G822</f>
        <v>6.249368013540179E-2</v>
      </c>
      <c r="K822" s="157">
        <f>I822^2-J822^2</f>
        <v>7.1791622784110045E-4</v>
      </c>
      <c r="L822" s="158">
        <f t="shared" ref="L822:L830" si="263">I822*J822</f>
        <v>-4.2492836346594183E-3</v>
      </c>
      <c r="N822" t="s">
        <v>390</v>
      </c>
      <c r="O822" s="172">
        <f>L831*B832-2*I831*J831</f>
        <v>-7.7337628204894315E-3</v>
      </c>
      <c r="Q822" s="156">
        <f t="array" ref="Q822:R830">MMULT(F822:G830,N826:O827)</f>
        <v>0.1103307580277018</v>
      </c>
      <c r="R822" s="158">
        <v>0.28315865343264562</v>
      </c>
    </row>
    <row r="823" spans="1:18" x14ac:dyDescent="0.25">
      <c r="A823" s="194">
        <v>0.79381817711360503</v>
      </c>
      <c r="B823" s="195">
        <v>-0.60190025259140068</v>
      </c>
      <c r="C823" s="195">
        <v>8.4363631329105293E-2</v>
      </c>
      <c r="D823" s="196">
        <v>-2.1250066433023046E-2</v>
      </c>
      <c r="F823" s="123">
        <f>INDEX(A823:D831,,F821)</f>
        <v>0.79381817711360503</v>
      </c>
      <c r="G823" s="90">
        <f>INDEX(A822:D830,,G821)</f>
        <v>-2.1250066433023046E-2</v>
      </c>
      <c r="I823" s="123">
        <f t="shared" ref="I823:I830" si="264">F823^2-G823^2</f>
        <v>0.62969573299255899</v>
      </c>
      <c r="J823" s="37">
        <f t="shared" ref="J823:J830" si="265">2*F823*G823</f>
        <v>-3.3737377998810721E-2</v>
      </c>
      <c r="K823" s="37">
        <f t="shared" ref="K823:K830" si="266">I823^2-J823^2</f>
        <v>0.39537850547480152</v>
      </c>
      <c r="L823" s="90">
        <f t="shared" si="263"/>
        <v>-2.1244282968208149E-2</v>
      </c>
      <c r="N823" t="s">
        <v>392</v>
      </c>
      <c r="O823" s="173">
        <f>K831*B832-(I831^2-J831^2)</f>
        <v>22.940301070948742</v>
      </c>
      <c r="Q823" s="123">
        <v>0.79381996527951182</v>
      </c>
      <c r="R823" s="90">
        <v>-2.1183162252351211E-2</v>
      </c>
    </row>
    <row r="824" spans="1:18" x14ac:dyDescent="0.25">
      <c r="A824" s="194">
        <v>0.98389081059470251</v>
      </c>
      <c r="B824" s="195">
        <v>0.1172530347416593</v>
      </c>
      <c r="C824" s="195">
        <v>0.11378470161000712</v>
      </c>
      <c r="D824" s="196">
        <v>7.2550950033007586E-2</v>
      </c>
      <c r="F824" s="123">
        <f>INDEX(A824:D832,,F821)</f>
        <v>0.98389081059470251</v>
      </c>
      <c r="G824" s="90">
        <f>INDEX(A822:D830,,G821)</f>
        <v>7.2550950033007586E-2</v>
      </c>
      <c r="I824" s="123">
        <f t="shared" si="264"/>
        <v>0.96277748682200881</v>
      </c>
      <c r="J824" s="37">
        <f t="shared" si="265"/>
        <v>0.14276442607478318</v>
      </c>
      <c r="K824" s="37">
        <f t="shared" si="266"/>
        <v>0.90655880777884112</v>
      </c>
      <c r="L824" s="90">
        <f t="shared" si="263"/>
        <v>0.13745037534386623</v>
      </c>
      <c r="N824" t="s">
        <v>467</v>
      </c>
      <c r="O824" s="174">
        <f>0.25*ATAN(O822/O823)</f>
        <v>-8.4281397436553193E-5</v>
      </c>
      <c r="Q824" s="123">
        <v>0.98388469240479337</v>
      </c>
      <c r="R824" s="90">
        <v>7.263387346767379E-2</v>
      </c>
    </row>
    <row r="825" spans="1:18" x14ac:dyDescent="0.25">
      <c r="A825" s="194">
        <v>4.8648460165139608E-2</v>
      </c>
      <c r="B825" s="195">
        <v>-1.0038035977002634E-3</v>
      </c>
      <c r="C825" s="195">
        <v>8.0450117616940472E-2</v>
      </c>
      <c r="D825" s="196">
        <v>0.99557023774182751</v>
      </c>
      <c r="F825" s="123">
        <f>INDEX(A825:D833,,F821)</f>
        <v>4.8648460165139608E-2</v>
      </c>
      <c r="G825" s="90">
        <f>INDEX(A822:D830,,G821)</f>
        <v>0.99557023774182751</v>
      </c>
      <c r="I825" s="123">
        <f t="shared" si="264"/>
        <v>-0.98879342560087979</v>
      </c>
      <c r="J825" s="37">
        <f t="shared" si="265"/>
        <v>9.6865918104763735E-2</v>
      </c>
      <c r="K825" s="37">
        <f t="shared" si="266"/>
        <v>0.96832943242124381</v>
      </c>
      <c r="L825" s="90">
        <f t="shared" si="263"/>
        <v>-9.578038298678361E-2</v>
      </c>
      <c r="Q825" s="123">
        <v>4.8564551941572207E-2</v>
      </c>
      <c r="R825" s="90">
        <v>0.99557433436608467</v>
      </c>
    </row>
    <row r="826" spans="1:18" x14ac:dyDescent="0.25">
      <c r="A826" s="194">
        <v>0.3538569684383866</v>
      </c>
      <c r="B826" s="195">
        <v>-0.11133754828407105</v>
      </c>
      <c r="C826" s="195">
        <v>0.88618333888803558</v>
      </c>
      <c r="D826" s="196">
        <v>0.27761175426653073</v>
      </c>
      <c r="F826" s="123">
        <f>INDEX(A826:D834,,F821)</f>
        <v>0.3538569684383866</v>
      </c>
      <c r="G826" s="90">
        <f>INDEX(A822:D830,,G821)</f>
        <v>0.27761175426653073</v>
      </c>
      <c r="I826" s="123">
        <f t="shared" si="264"/>
        <v>4.8146468005464682E-2</v>
      </c>
      <c r="J826" s="37">
        <f t="shared" si="265"/>
        <v>0.1964697075352338</v>
      </c>
      <c r="K826" s="37">
        <f t="shared" si="266"/>
        <v>-3.6282263597579065E-2</v>
      </c>
      <c r="L826" s="90">
        <f t="shared" si="263"/>
        <v>9.4593224878881371E-3</v>
      </c>
      <c r="N826" s="156">
        <f>COS(O824)</f>
        <v>0.99999999644832305</v>
      </c>
      <c r="O826" s="158">
        <f>-N827</f>
        <v>8.4281397336773091E-5</v>
      </c>
      <c r="Q826" s="123">
        <v>0.35383356967503427</v>
      </c>
      <c r="R826" s="90">
        <v>0.27764157684030077</v>
      </c>
    </row>
    <row r="827" spans="1:18" x14ac:dyDescent="0.25">
      <c r="A827" s="194">
        <v>-3.1053155678486238E-2</v>
      </c>
      <c r="B827" s="195">
        <v>2.2286739019871004E-2</v>
      </c>
      <c r="C827" s="195">
        <v>0.9975823637725777</v>
      </c>
      <c r="D827" s="196">
        <v>-5.803817946993628E-2</v>
      </c>
      <c r="F827" s="123">
        <f>INDEX(A827:D835,,F821)</f>
        <v>-3.1053155678486238E-2</v>
      </c>
      <c r="G827" s="90">
        <f>INDEX(A822:D830,,G821)</f>
        <v>-5.803817946993628E-2</v>
      </c>
      <c r="I827" s="123">
        <f t="shared" si="264"/>
        <v>-2.4041317985922309E-3</v>
      </c>
      <c r="J827" s="37">
        <f t="shared" si="265"/>
        <v>3.6045372447517103E-3</v>
      </c>
      <c r="K827" s="37">
        <f t="shared" si="266"/>
        <v>-7.2128390437999354E-6</v>
      </c>
      <c r="L827" s="90">
        <f t="shared" si="263"/>
        <v>-8.6657826093176128E-6</v>
      </c>
      <c r="N827" s="91">
        <f>SIN(O824)</f>
        <v>-8.4281397336773091E-5</v>
      </c>
      <c r="O827" s="93">
        <f>N826</f>
        <v>0.99999999644832305</v>
      </c>
      <c r="Q827" s="123">
        <v>-3.1048264029330853E-2</v>
      </c>
      <c r="R827" s="90">
        <v>-5.8040796467155709E-2</v>
      </c>
    </row>
    <row r="828" spans="1:18" x14ac:dyDescent="0.25">
      <c r="A828" s="194">
        <v>0.96169630649512949</v>
      </c>
      <c r="B828" s="195">
        <v>-2.2459254385567069E-2</v>
      </c>
      <c r="C828" s="195">
        <v>0.16741490665624933</v>
      </c>
      <c r="D828" s="196">
        <v>0.21588896450571429</v>
      </c>
      <c r="F828" s="123">
        <f>INDEX(A828:D836,,F821)</f>
        <v>0.96169630649512949</v>
      </c>
      <c r="G828" s="90">
        <f>INDEX(A822:D830,,G821)</f>
        <v>0.21588896450571429</v>
      </c>
      <c r="I828" s="123">
        <f t="shared" si="264"/>
        <v>0.87825174093102454</v>
      </c>
      <c r="J828" s="37">
        <f t="shared" si="265"/>
        <v>0.41523923955640707</v>
      </c>
      <c r="K828" s="37">
        <f t="shared" si="266"/>
        <v>0.59890249438099219</v>
      </c>
      <c r="L828" s="90">
        <f t="shared" si="263"/>
        <v>0.36468458504328927</v>
      </c>
      <c r="Q828" s="123">
        <v>0.96167810765589679</v>
      </c>
      <c r="R828" s="90">
        <v>0.21597001684747144</v>
      </c>
    </row>
    <row r="829" spans="1:18" x14ac:dyDescent="0.25">
      <c r="A829" s="194">
        <v>0.6751233926539878</v>
      </c>
      <c r="B829" s="195">
        <v>-0.22043744279969127</v>
      </c>
      <c r="C829" s="195">
        <v>0.56863857184126299</v>
      </c>
      <c r="D829" s="196">
        <v>0.41504928998569701</v>
      </c>
      <c r="F829" s="123">
        <f>INDEX(A829:D837,,F821)</f>
        <v>0.6751233926539878</v>
      </c>
      <c r="G829" s="90">
        <f>INDEX(A822:D830,,G821)</f>
        <v>0.41504928998569701</v>
      </c>
      <c r="I829" s="123">
        <f t="shared" si="264"/>
        <v>0.28352568219099938</v>
      </c>
      <c r="J829" s="37">
        <f t="shared" si="265"/>
        <v>0.56041896954754511</v>
      </c>
      <c r="K829" s="37">
        <f t="shared" si="266"/>
        <v>-0.23368260896686072</v>
      </c>
      <c r="L829" s="90">
        <f t="shared" si="263"/>
        <v>0.15889317065374464</v>
      </c>
      <c r="Q829" s="123">
        <v>0.67508840932204395</v>
      </c>
      <c r="R829" s="90">
        <v>0.41510618885448364</v>
      </c>
    </row>
    <row r="830" spans="1:18" x14ac:dyDescent="0.25">
      <c r="A830" s="200">
        <v>7.0015072155978367E-2</v>
      </c>
      <c r="B830" s="201">
        <v>-0.92607666003645517</v>
      </c>
      <c r="C830" s="201">
        <v>-0.20362144571996871</v>
      </c>
      <c r="D830" s="202">
        <v>0.3098680626486493</v>
      </c>
      <c r="F830" s="91">
        <f>INDEX(A830:D838,,F821)</f>
        <v>7.0015072155978367E-2</v>
      </c>
      <c r="G830" s="93">
        <f>INDEX(A822:D830,,G821)</f>
        <v>0.3098680626486493</v>
      </c>
      <c r="I830" s="91">
        <f t="shared" si="264"/>
        <v>-9.1116105920620402E-2</v>
      </c>
      <c r="J830" s="92">
        <f t="shared" si="265"/>
        <v>4.3390869530356813E-2</v>
      </c>
      <c r="K830" s="92">
        <f t="shared" si="266"/>
        <v>6.4193771995372691E-3</v>
      </c>
      <c r="L830" s="93">
        <f t="shared" si="263"/>
        <v>-3.9536070641158121E-3</v>
      </c>
      <c r="Q830" s="91">
        <v>6.9988955793997387E-2</v>
      </c>
      <c r="R830" s="93">
        <v>0.30987396251621396</v>
      </c>
    </row>
    <row r="831" spans="1:18" x14ac:dyDescent="0.25">
      <c r="I831">
        <f>SUM(I822:I830)</f>
        <v>1.6520880339184869</v>
      </c>
      <c r="J831">
        <f>SUM(J822:J830)</f>
        <v>1.4875099697304326</v>
      </c>
      <c r="K831">
        <f>SUM(K822:K830)</f>
        <v>2.6063344480797732</v>
      </c>
      <c r="L831">
        <f>SUM(L822:L830)</f>
        <v>0.54525123109241191</v>
      </c>
    </row>
    <row r="832" spans="1:18" x14ac:dyDescent="0.25">
      <c r="A832" s="47" t="s">
        <v>53</v>
      </c>
      <c r="B832">
        <f>COUNT(A822:A830)</f>
        <v>9</v>
      </c>
      <c r="I832" s="47" t="s">
        <v>462</v>
      </c>
      <c r="J832" s="47" t="s">
        <v>389</v>
      </c>
      <c r="K832" s="47" t="s">
        <v>469</v>
      </c>
      <c r="L832" s="47" t="s">
        <v>470</v>
      </c>
      <c r="N832" s="47"/>
    </row>
    <row r="834" spans="1:18" x14ac:dyDescent="0.25">
      <c r="A834">
        <v>1</v>
      </c>
      <c r="B834">
        <v>2</v>
      </c>
      <c r="C834">
        <v>3</v>
      </c>
      <c r="D834">
        <v>4</v>
      </c>
      <c r="F834">
        <v>2</v>
      </c>
      <c r="G834">
        <v>3</v>
      </c>
      <c r="I834" s="47" t="s">
        <v>207</v>
      </c>
      <c r="J834" s="47" t="s">
        <v>464</v>
      </c>
      <c r="K834" s="47" t="s">
        <v>465</v>
      </c>
      <c r="L834" s="47" t="s">
        <v>466</v>
      </c>
      <c r="Q834">
        <f>F834</f>
        <v>2</v>
      </c>
      <c r="R834">
        <f>G834</f>
        <v>3</v>
      </c>
    </row>
    <row r="835" spans="1:18" x14ac:dyDescent="0.25">
      <c r="A835" s="189">
        <f t="array" ref="A835:A843">IF(A834=$Q821,$Q822:$Q830,IF(A834=$R821,$R822:$R830,A822:A830))</f>
        <v>0.1103307580277018</v>
      </c>
      <c r="B835" s="190">
        <f t="array" ref="B835:B843">IF(B834=$Q821,$Q822:$Q830,IF(B834=$R821,$R822:$R830,B822:B830))</f>
        <v>0.88943305469415412</v>
      </c>
      <c r="C835" s="190">
        <f t="array" ref="C835:C843">IF(C834=$Q821,$Q822:$Q830,IF(C834=$R821,$R822:$R830,C822:C830))</f>
        <v>-0.34140466024451149</v>
      </c>
      <c r="D835" s="191">
        <f t="array" ref="D835:D843">IF(D834=$Q821,$Q822:$Q830,IF(D834=$R821,$R822:$R830,D822:D830))</f>
        <v>0.28315865343264562</v>
      </c>
      <c r="F835" s="156">
        <f>INDEX(A835:D843,,F834)</f>
        <v>0.88943305469415412</v>
      </c>
      <c r="G835" s="158">
        <f>INDEX(A835:D843,,G834)</f>
        <v>-0.34140466024451149</v>
      </c>
      <c r="I835" s="156">
        <f>F835^2-G835^2</f>
        <v>0.67453401674590385</v>
      </c>
      <c r="J835" s="157">
        <f>2*F835*G835</f>
        <v>-0.60731317969619136</v>
      </c>
      <c r="K835" s="157">
        <f>I835^2-J835^2</f>
        <v>8.616684151466486E-2</v>
      </c>
      <c r="L835" s="158">
        <f t="shared" ref="L835:L843" si="267">I835*J835</f>
        <v>-0.40965339852319888</v>
      </c>
      <c r="N835" t="s">
        <v>390</v>
      </c>
      <c r="O835" s="172">
        <f>L844*B845-2*I844*J844</f>
        <v>2.6304716885876045E-2</v>
      </c>
      <c r="Q835" s="156">
        <f t="array" ref="Q835:R843">MMULT(F835:G843,N839:O840)</f>
        <v>0.88932620209673263</v>
      </c>
      <c r="R835" s="158">
        <v>-0.34168290428911707</v>
      </c>
    </row>
    <row r="836" spans="1:18" x14ac:dyDescent="0.25">
      <c r="A836" s="194">
        <v>0.79381996527951182</v>
      </c>
      <c r="B836" s="195">
        <v>-0.60190025259140068</v>
      </c>
      <c r="C836" s="195">
        <v>8.4363631329105293E-2</v>
      </c>
      <c r="D836" s="196">
        <v>-2.1183162252351211E-2</v>
      </c>
      <c r="F836" s="123">
        <f>INDEX(A836:D844,,F834)</f>
        <v>-0.60190025259140068</v>
      </c>
      <c r="G836" s="90">
        <f>INDEX(A835:D843,,G834)</f>
        <v>8.4363631329105293E-2</v>
      </c>
      <c r="I836" s="123">
        <f t="shared" ref="I836:I843" si="268">F836^2-G836^2</f>
        <v>0.35516669177855875</v>
      </c>
      <c r="J836" s="37">
        <f t="shared" ref="J836:J843" si="269">2*F836*G836</f>
        <v>-0.10155698201303257</v>
      </c>
      <c r="K836" s="37">
        <f t="shared" ref="K836:K843" si="270">I836^2-J836^2</f>
        <v>0.11582955835333032</v>
      </c>
      <c r="L836" s="90">
        <f t="shared" si="267"/>
        <v>-3.6069657328583374E-2</v>
      </c>
      <c r="N836" t="s">
        <v>392</v>
      </c>
      <c r="O836" s="173">
        <f>K844*B845-(I844^2-J844^2)</f>
        <v>21.020097070454959</v>
      </c>
      <c r="Q836" s="123">
        <v>-0.60187382981969717</v>
      </c>
      <c r="R836" s="90">
        <v>8.4551932791600934E-2</v>
      </c>
    </row>
    <row r="837" spans="1:18" x14ac:dyDescent="0.25">
      <c r="A837" s="194">
        <v>0.98388469240479337</v>
      </c>
      <c r="B837" s="195">
        <v>0.1172530347416593</v>
      </c>
      <c r="C837" s="195">
        <v>0.11378470161000712</v>
      </c>
      <c r="D837" s="196">
        <v>7.263387346767379E-2</v>
      </c>
      <c r="F837" s="123">
        <f>INDEX(A837:D845,,F834)</f>
        <v>0.1172530347416593</v>
      </c>
      <c r="G837" s="90">
        <f>INDEX(A835:D843,,G834)</f>
        <v>0.11378470161000712</v>
      </c>
      <c r="I837" s="123">
        <f t="shared" si="268"/>
        <v>8.0131583565040687E-4</v>
      </c>
      <c r="J837" s="37">
        <f t="shared" si="269"/>
        <v>2.6683203141895002E-2</v>
      </c>
      <c r="K837" s="37">
        <f t="shared" si="270"/>
        <v>-7.1135122284317115E-4</v>
      </c>
      <c r="L837" s="90">
        <f t="shared" si="267"/>
        <v>2.1381673223477156E-5</v>
      </c>
      <c r="N837" t="s">
        <v>467</v>
      </c>
      <c r="O837" s="174">
        <f>0.25*ATAN(O835/O836)</f>
        <v>3.1285182778256109E-4</v>
      </c>
      <c r="Q837" s="123">
        <v>0.11728862675480642</v>
      </c>
      <c r="R837" s="90">
        <v>0.11374801321596271</v>
      </c>
    </row>
    <row r="838" spans="1:18" x14ac:dyDescent="0.25">
      <c r="A838" s="194">
        <v>4.8564551941572207E-2</v>
      </c>
      <c r="B838" s="195">
        <v>-1.0038035977002634E-3</v>
      </c>
      <c r="C838" s="195">
        <v>8.0450117616940472E-2</v>
      </c>
      <c r="D838" s="196">
        <v>0.99557433436608467</v>
      </c>
      <c r="F838" s="123">
        <f>INDEX(A838:D846,,F834)</f>
        <v>-1.0038035977002634E-3</v>
      </c>
      <c r="G838" s="90">
        <f>INDEX(A835:D843,,G834)</f>
        <v>8.0450117616940472E-2</v>
      </c>
      <c r="I838" s="123">
        <f t="shared" si="268"/>
        <v>-6.4712138029167999E-3</v>
      </c>
      <c r="J838" s="37">
        <f t="shared" si="269"/>
        <v>-1.6151223499858837E-4</v>
      </c>
      <c r="K838" s="37">
        <f t="shared" si="270"/>
        <v>4.1850521881006672E-5</v>
      </c>
      <c r="L838" s="90">
        <f t="shared" si="267"/>
        <v>1.0451802044628069E-6</v>
      </c>
      <c r="Q838" s="123">
        <v>-9.7863458264478196E-4</v>
      </c>
      <c r="R838" s="90">
        <v>8.0450427721647094E-2</v>
      </c>
    </row>
    <row r="839" spans="1:18" x14ac:dyDescent="0.25">
      <c r="A839" s="194">
        <v>0.35383356967503427</v>
      </c>
      <c r="B839" s="195">
        <v>-0.11133754828407105</v>
      </c>
      <c r="C839" s="195">
        <v>0.88618333888803558</v>
      </c>
      <c r="D839" s="196">
        <v>0.27764157684030077</v>
      </c>
      <c r="F839" s="123">
        <f>INDEX(A839:D847,,F834)</f>
        <v>-0.11133754828407105</v>
      </c>
      <c r="G839" s="90">
        <f>INDEX(A835:D843,,G834)</f>
        <v>0.88618333888803558</v>
      </c>
      <c r="I839" s="123">
        <f t="shared" si="268"/>
        <v>-0.7729248604648391</v>
      </c>
      <c r="J839" s="37">
        <f t="shared" si="269"/>
        <v>-0.19733096056397192</v>
      </c>
      <c r="K839" s="37">
        <f t="shared" si="270"/>
        <v>0.55847333192749116</v>
      </c>
      <c r="L839" s="90">
        <f t="shared" si="267"/>
        <v>0.15252200515930067</v>
      </c>
      <c r="N839" s="156">
        <f>COS(O837)</f>
        <v>0.99999995106186734</v>
      </c>
      <c r="O839" s="158">
        <f>-N840</f>
        <v>-3.1285182267909965E-4</v>
      </c>
      <c r="Q839" s="123">
        <v>-0.11106029876262037</v>
      </c>
      <c r="R839" s="90">
        <v>0.88621812767479102</v>
      </c>
    </row>
    <row r="840" spans="1:18" x14ac:dyDescent="0.25">
      <c r="A840" s="194">
        <v>-3.1048264029330853E-2</v>
      </c>
      <c r="B840" s="195">
        <v>2.2286739019871004E-2</v>
      </c>
      <c r="C840" s="195">
        <v>0.9975823637725777</v>
      </c>
      <c r="D840" s="196">
        <v>-5.8040796467155709E-2</v>
      </c>
      <c r="F840" s="123">
        <f>INDEX(A840:D848,,F834)</f>
        <v>2.2286739019871004E-2</v>
      </c>
      <c r="G840" s="90">
        <f>INDEX(A835:D843,,G834)</f>
        <v>0.9975823637725777</v>
      </c>
      <c r="I840" s="123">
        <f t="shared" si="268"/>
        <v>-0.99467387377394367</v>
      </c>
      <c r="J840" s="37">
        <f t="shared" si="269"/>
        <v>4.4465715584450914E-2</v>
      </c>
      <c r="K840" s="37">
        <f t="shared" si="270"/>
        <v>0.98739891530602597</v>
      </c>
      <c r="L840" s="90">
        <f t="shared" si="267"/>
        <v>-4.4228885570516206E-2</v>
      </c>
      <c r="N840" s="91">
        <f>SIN(O837)</f>
        <v>3.1285182267909965E-4</v>
      </c>
      <c r="O840" s="93">
        <f>N839</f>
        <v>0.99999995106186734</v>
      </c>
      <c r="Q840" s="123">
        <v>2.2598833389978389E-2</v>
      </c>
      <c r="R840" s="90">
        <v>0.99757534250583568</v>
      </c>
    </row>
    <row r="841" spans="1:18" x14ac:dyDescent="0.25">
      <c r="A841" s="194">
        <v>0.96167810765589679</v>
      </c>
      <c r="B841" s="195">
        <v>-2.2459254385567069E-2</v>
      </c>
      <c r="C841" s="195">
        <v>0.16741490665624933</v>
      </c>
      <c r="D841" s="196">
        <v>0.21597001684747144</v>
      </c>
      <c r="F841" s="123">
        <f>INDEX(A841:D849,,F834)</f>
        <v>-2.2459254385567069E-2</v>
      </c>
      <c r="G841" s="90">
        <f>INDEX(A835:D843,,G834)</f>
        <v>0.16741490665624933</v>
      </c>
      <c r="I841" s="123">
        <f t="shared" si="268"/>
        <v>-2.7523332863165065E-2</v>
      </c>
      <c r="J841" s="37">
        <f t="shared" si="269"/>
        <v>-7.5200279530573391E-3</v>
      </c>
      <c r="K841" s="37">
        <f t="shared" si="270"/>
        <v>7.0098303148181831E-4</v>
      </c>
      <c r="L841" s="90">
        <f t="shared" si="267"/>
        <v>2.0697623249230296E-4</v>
      </c>
      <c r="Q841" s="123">
        <v>-2.2406877227762041E-2</v>
      </c>
      <c r="R841" s="90">
        <v>0.16742192488194696</v>
      </c>
    </row>
    <row r="842" spans="1:18" x14ac:dyDescent="0.25">
      <c r="A842" s="194">
        <v>0.67508840932204395</v>
      </c>
      <c r="B842" s="195">
        <v>-0.22043744279969127</v>
      </c>
      <c r="C842" s="195">
        <v>0.56863857184126299</v>
      </c>
      <c r="D842" s="196">
        <v>0.41510618885448364</v>
      </c>
      <c r="F842" s="123">
        <f>INDEX(A842:D850,,F834)</f>
        <v>-0.22043744279969127</v>
      </c>
      <c r="G842" s="90">
        <f>INDEX(A835:D843,,G834)</f>
        <v>0.56863857184126299</v>
      </c>
      <c r="I842" s="123">
        <f t="shared" si="268"/>
        <v>-0.27475715919760402</v>
      </c>
      <c r="J842" s="37">
        <f t="shared" si="269"/>
        <v>-0.25069846530791307</v>
      </c>
      <c r="K842" s="37">
        <f t="shared" si="270"/>
        <v>1.2641776022594628E-2</v>
      </c>
      <c r="L842" s="90">
        <f t="shared" si="267"/>
        <v>6.8881198143201275E-2</v>
      </c>
      <c r="Q842" s="123">
        <v>-0.22025953239824828</v>
      </c>
      <c r="R842" s="90">
        <v>0.5687075082689198</v>
      </c>
    </row>
    <row r="843" spans="1:18" x14ac:dyDescent="0.25">
      <c r="A843" s="200">
        <v>6.9988955793997387E-2</v>
      </c>
      <c r="B843" s="201">
        <v>-0.92607666003645517</v>
      </c>
      <c r="C843" s="201">
        <v>-0.20362144571996871</v>
      </c>
      <c r="D843" s="202">
        <v>0.30987396251621396</v>
      </c>
      <c r="F843" s="91">
        <f>INDEX(A843:D851,,F834)</f>
        <v>-0.92607666003645517</v>
      </c>
      <c r="G843" s="93">
        <f>INDEX(A835:D843,,G834)</f>
        <v>-0.20362144571996871</v>
      </c>
      <c r="I843" s="91">
        <f t="shared" si="268"/>
        <v>0.81615628710718602</v>
      </c>
      <c r="J843" s="92">
        <f t="shared" si="269"/>
        <v>0.37713813672828594</v>
      </c>
      <c r="K843" s="92">
        <f t="shared" si="270"/>
        <v>0.52387791080970425</v>
      </c>
      <c r="L843" s="93">
        <f t="shared" si="267"/>
        <v>0.3078036613986801</v>
      </c>
      <c r="Q843" s="91">
        <v>-0.92614031805642272</v>
      </c>
      <c r="R843" s="93">
        <v>-0.2033317109840824</v>
      </c>
    </row>
    <row r="844" spans="1:18" x14ac:dyDescent="0.25">
      <c r="I844">
        <f>SUM(I835:I843)</f>
        <v>-0.22969212863516952</v>
      </c>
      <c r="J844">
        <f>SUM(J835:J843)</f>
        <v>-0.71629407231453301</v>
      </c>
      <c r="K844">
        <f>SUM(K835:K843)</f>
        <v>2.2844198162643305</v>
      </c>
      <c r="L844">
        <f>SUM(L835:L843)</f>
        <v>3.9484326364803812E-2</v>
      </c>
    </row>
    <row r="845" spans="1:18" x14ac:dyDescent="0.25">
      <c r="A845" s="47" t="s">
        <v>53</v>
      </c>
      <c r="B845">
        <f>COUNT(A835:A843)</f>
        <v>9</v>
      </c>
      <c r="I845" s="47" t="s">
        <v>462</v>
      </c>
      <c r="J845" s="47" t="s">
        <v>389</v>
      </c>
      <c r="K845" s="47" t="s">
        <v>469</v>
      </c>
      <c r="L845" s="47" t="s">
        <v>470</v>
      </c>
      <c r="N845" s="47"/>
    </row>
    <row r="847" spans="1:18" x14ac:dyDescent="0.25">
      <c r="A847">
        <v>1</v>
      </c>
      <c r="B847">
        <v>2</v>
      </c>
      <c r="C847">
        <v>3</v>
      </c>
      <c r="D847">
        <v>4</v>
      </c>
      <c r="F847">
        <v>2</v>
      </c>
      <c r="G847">
        <v>4</v>
      </c>
      <c r="I847" s="47" t="s">
        <v>207</v>
      </c>
      <c r="J847" s="47" t="s">
        <v>464</v>
      </c>
      <c r="K847" s="47" t="s">
        <v>465</v>
      </c>
      <c r="L847" s="47" t="s">
        <v>466</v>
      </c>
      <c r="Q847">
        <f>F847</f>
        <v>2</v>
      </c>
      <c r="R847">
        <f>G847</f>
        <v>4</v>
      </c>
    </row>
    <row r="848" spans="1:18" x14ac:dyDescent="0.25">
      <c r="A848" s="189">
        <f t="array" ref="A848:A856">IF(A847=$Q834,$Q835:$Q843,IF(A847=$R834,$R835:$R843,A835:A843))</f>
        <v>0.1103307580277018</v>
      </c>
      <c r="B848" s="190">
        <f t="array" ref="B848:B856">IF(B847=$Q834,$Q835:$Q843,IF(B847=$R834,$R835:$R843,B835:B843))</f>
        <v>0.88932620209673263</v>
      </c>
      <c r="C848" s="190">
        <f t="array" ref="C848:C856">IF(C847=$Q834,$Q835:$Q843,IF(C847=$R834,$R835:$R843,C835:C843))</f>
        <v>-0.34168290428911707</v>
      </c>
      <c r="D848" s="191">
        <f t="array" ref="D848:D856">IF(D847=$Q834,$Q835:$Q843,IF(D847=$R834,$R835:$R843,D835:D843))</f>
        <v>0.28315865343264562</v>
      </c>
      <c r="F848" s="156">
        <f>INDEX(A848:D856,,F847)</f>
        <v>0.88932620209673263</v>
      </c>
      <c r="G848" s="158">
        <f>INDEX(A848:D856,,G847)</f>
        <v>0.28315865343264562</v>
      </c>
      <c r="I848" s="156">
        <f>F848^2-G848^2</f>
        <v>0.71072227072200944</v>
      </c>
      <c r="J848" s="157">
        <f>2*F848*G848</f>
        <v>0.50364081969615937</v>
      </c>
      <c r="K848" s="157">
        <f>I848^2-J848^2</f>
        <v>0.25147207083603001</v>
      </c>
      <c r="L848" s="158">
        <f t="shared" ref="L848:L856" si="271">I848*J848</f>
        <v>0.35794874700274854</v>
      </c>
      <c r="N848" t="s">
        <v>390</v>
      </c>
      <c r="O848" s="172">
        <f>L857*B858-2*I857*J857</f>
        <v>-1.5891678622176664E-2</v>
      </c>
      <c r="Q848" s="156">
        <f t="array" ref="Q848:R856">MMULT(F848:G856,N852:O853)</f>
        <v>0.88924635951297648</v>
      </c>
      <c r="R848" s="158">
        <v>0.28340929561767353</v>
      </c>
    </row>
    <row r="849" spans="1:18" x14ac:dyDescent="0.25">
      <c r="A849" s="194">
        <v>0.79381996527951182</v>
      </c>
      <c r="B849" s="195">
        <v>-0.60187382981969717</v>
      </c>
      <c r="C849" s="195">
        <v>8.4551932791600934E-2</v>
      </c>
      <c r="D849" s="196">
        <v>-2.1183162252351211E-2</v>
      </c>
      <c r="F849" s="123">
        <f>INDEX(A849:D857,,F847)</f>
        <v>-0.60187382981969717</v>
      </c>
      <c r="G849" s="90">
        <f>INDEX(A848:D856,,G847)</f>
        <v>-2.1183162252351211E-2</v>
      </c>
      <c r="I849" s="123">
        <f t="shared" ref="I849:I856" si="272">F849^2-G849^2</f>
        <v>0.36180338065882039</v>
      </c>
      <c r="J849" s="37">
        <f t="shared" ref="J849:J856" si="273">2*F849*G849</f>
        <v>2.5499181985029332E-2</v>
      </c>
      <c r="K849" s="37">
        <f t="shared" ref="K849:K856" si="274">I849^2-J849^2</f>
        <v>0.13025147797424563</v>
      </c>
      <c r="L849" s="90">
        <f t="shared" si="271"/>
        <v>9.2256902462181031E-3</v>
      </c>
      <c r="N849" t="s">
        <v>392</v>
      </c>
      <c r="O849" s="173">
        <f>K857*B858-(I857^2-J857^2)</f>
        <v>14.096036828640559</v>
      </c>
      <c r="Q849" s="123">
        <v>-0.60186783551499301</v>
      </c>
      <c r="R849" s="90">
        <v>-2.1352797412434593E-2</v>
      </c>
    </row>
    <row r="850" spans="1:18" x14ac:dyDescent="0.25">
      <c r="A850" s="194">
        <v>0.98388469240479337</v>
      </c>
      <c r="B850" s="195">
        <v>0.11728862675480642</v>
      </c>
      <c r="C850" s="195">
        <v>0.11374801321596271</v>
      </c>
      <c r="D850" s="196">
        <v>7.263387346767379E-2</v>
      </c>
      <c r="F850" s="123">
        <f>INDEX(A850:D858,,F847)</f>
        <v>0.11728862675480642</v>
      </c>
      <c r="G850" s="90">
        <f>INDEX(A848:D856,,G847)</f>
        <v>7.263387346767379E-2</v>
      </c>
      <c r="I850" s="123">
        <f t="shared" si="272"/>
        <v>8.4809423911102466E-3</v>
      </c>
      <c r="J850" s="37">
        <f t="shared" si="273"/>
        <v>1.7038254549811657E-2</v>
      </c>
      <c r="K850" s="37">
        <f t="shared" si="274"/>
        <v>-2.1837573426284685E-4</v>
      </c>
      <c r="L850" s="90">
        <f t="shared" si="271"/>
        <v>1.4450045528202472E-4</v>
      </c>
      <c r="N850" t="s">
        <v>467</v>
      </c>
      <c r="O850" s="174">
        <f>0.25*ATAN(O848/O849)</f>
        <v>-2.8184645235033675E-4</v>
      </c>
      <c r="Q850" s="123">
        <v>0.11726815049696704</v>
      </c>
      <c r="R850" s="90">
        <v>7.2666927965664166E-2</v>
      </c>
    </row>
    <row r="851" spans="1:18" x14ac:dyDescent="0.25">
      <c r="A851" s="194">
        <v>4.8564551941572207E-2</v>
      </c>
      <c r="B851" s="195">
        <v>-9.7863458264478196E-4</v>
      </c>
      <c r="C851" s="195">
        <v>8.0450427721647094E-2</v>
      </c>
      <c r="D851" s="196">
        <v>0.99557433436608467</v>
      </c>
      <c r="F851" s="123">
        <f>INDEX(A851:D859,,F847)</f>
        <v>-9.7863458264478196E-4</v>
      </c>
      <c r="G851" s="90">
        <f>INDEX(A848:D856,,G847)</f>
        <v>0.99557433436608467</v>
      </c>
      <c r="I851" s="123">
        <f t="shared" si="272"/>
        <v>-0.99116729752282617</v>
      </c>
      <c r="J851" s="37">
        <f t="shared" si="273"/>
        <v>-1.9486069464084198E-3</v>
      </c>
      <c r="K851" s="37">
        <f t="shared" si="274"/>
        <v>0.982408814609671</v>
      </c>
      <c r="L851" s="90">
        <f t="shared" si="271"/>
        <v>1.93139548100584E-3</v>
      </c>
      <c r="Q851" s="123">
        <v>-1.2592336342517952E-3</v>
      </c>
      <c r="R851" s="90">
        <v>0.99557401899847364</v>
      </c>
    </row>
    <row r="852" spans="1:18" x14ac:dyDescent="0.25">
      <c r="A852" s="194">
        <v>0.35383356967503427</v>
      </c>
      <c r="B852" s="195">
        <v>-0.11106029876262037</v>
      </c>
      <c r="C852" s="195">
        <v>0.88621812767479102</v>
      </c>
      <c r="D852" s="196">
        <v>0.27764157684030077</v>
      </c>
      <c r="F852" s="123">
        <f>INDEX(A852:D860,,F847)</f>
        <v>-0.11106029876262037</v>
      </c>
      <c r="G852" s="90">
        <f>INDEX(A848:D856,,G847)</f>
        <v>0.27764157684030077</v>
      </c>
      <c r="I852" s="123">
        <f t="shared" si="272"/>
        <v>-6.4750455229126147E-2</v>
      </c>
      <c r="J852" s="37">
        <f t="shared" si="273"/>
        <v>-6.1669912945617647E-2</v>
      </c>
      <c r="K852" s="37">
        <f t="shared" si="274"/>
        <v>3.8944328965901049E-4</v>
      </c>
      <c r="L852" s="90">
        <f t="shared" si="271"/>
        <v>3.9931549371693227E-3</v>
      </c>
      <c r="N852" s="156">
        <f>COS(O850)</f>
        <v>0.9999999602812889</v>
      </c>
      <c r="O852" s="158">
        <f>-N853</f>
        <v>2.8184644861881081E-4</v>
      </c>
      <c r="Q852" s="123">
        <v>-0.11113854664386981</v>
      </c>
      <c r="R852" s="90">
        <v>0.27761026386194643</v>
      </c>
    </row>
    <row r="853" spans="1:18" x14ac:dyDescent="0.25">
      <c r="A853" s="194">
        <v>-3.1048264029330853E-2</v>
      </c>
      <c r="B853" s="195">
        <v>2.2598833389978389E-2</v>
      </c>
      <c r="C853" s="195">
        <v>0.99757534250583568</v>
      </c>
      <c r="D853" s="196">
        <v>-5.8040796467155709E-2</v>
      </c>
      <c r="F853" s="123">
        <f>INDEX(A853:D861,,F847)</f>
        <v>2.2598833389978389E-2</v>
      </c>
      <c r="G853" s="90">
        <f>INDEX(A848:D856,,G847)</f>
        <v>-5.8040796467155709E-2</v>
      </c>
      <c r="I853" s="123">
        <f t="shared" si="272"/>
        <v>-2.8580267839537926E-3</v>
      </c>
      <c r="J853" s="37">
        <f t="shared" si="273"/>
        <v>-2.6233085783657962E-3</v>
      </c>
      <c r="K853" s="37">
        <f t="shared" si="274"/>
        <v>1.2865692004696829E-6</v>
      </c>
      <c r="L853" s="90">
        <f t="shared" si="271"/>
        <v>7.4974861795451925E-6</v>
      </c>
      <c r="N853" s="91">
        <f>SIN(O850)</f>
        <v>-2.8184644861881081E-4</v>
      </c>
      <c r="O853" s="93">
        <f>N852</f>
        <v>0.9999999602812889</v>
      </c>
      <c r="Q853" s="123">
        <v>2.2615191084741127E-2</v>
      </c>
      <c r="R853" s="90">
        <v>-5.8034424760916185E-2</v>
      </c>
    </row>
    <row r="854" spans="1:18" x14ac:dyDescent="0.25">
      <c r="A854" s="194">
        <v>0.96167810765589679</v>
      </c>
      <c r="B854" s="195">
        <v>-2.2406877227762041E-2</v>
      </c>
      <c r="C854" s="195">
        <v>0.16742192488194696</v>
      </c>
      <c r="D854" s="196">
        <v>0.21597001684747144</v>
      </c>
      <c r="F854" s="123">
        <f>INDEX(A854:D862,,F847)</f>
        <v>-2.2406877227762041E-2</v>
      </c>
      <c r="G854" s="90">
        <f>INDEX(A848:D856,,G847)</f>
        <v>0.21597001684747144</v>
      </c>
      <c r="I854" s="123">
        <f t="shared" si="272"/>
        <v>-4.61409800299971E-2</v>
      </c>
      <c r="J854" s="37">
        <f t="shared" si="273"/>
        <v>-9.6784273047579843E-3</v>
      </c>
      <c r="K854" s="37">
        <f t="shared" si="274"/>
        <v>2.0353180830351065E-3</v>
      </c>
      <c r="L854" s="90">
        <f t="shared" si="271"/>
        <v>4.4657212099061684E-4</v>
      </c>
      <c r="Q854" s="123">
        <v>-2.2467746720046363E-2</v>
      </c>
      <c r="R854" s="90">
        <v>0.21596369297064943</v>
      </c>
    </row>
    <row r="855" spans="1:18" x14ac:dyDescent="0.25">
      <c r="A855" s="194">
        <v>0.67508840932204395</v>
      </c>
      <c r="B855" s="195">
        <v>-0.22025953239824828</v>
      </c>
      <c r="C855" s="195">
        <v>0.5687075082689198</v>
      </c>
      <c r="D855" s="196">
        <v>0.41510618885448364</v>
      </c>
      <c r="F855" s="123">
        <f>INDEX(A855:D863,,F847)</f>
        <v>-0.22025953239824828</v>
      </c>
      <c r="G855" s="90">
        <f>INDEX(A848:D856,,G847)</f>
        <v>0.41510618885448364</v>
      </c>
      <c r="I855" s="123">
        <f t="shared" si="272"/>
        <v>-0.12379888641299926</v>
      </c>
      <c r="J855" s="37">
        <f t="shared" si="273"/>
        <v>-0.18286219010541502</v>
      </c>
      <c r="K855" s="37">
        <f t="shared" si="274"/>
        <v>-1.811241629305025E-2</v>
      </c>
      <c r="L855" s="90">
        <f t="shared" si="271"/>
        <v>2.2638135502092552E-2</v>
      </c>
      <c r="Q855" s="123">
        <v>-0.22037651985495188</v>
      </c>
      <c r="R855" s="90">
        <v>0.41504409300001999</v>
      </c>
    </row>
    <row r="856" spans="1:18" x14ac:dyDescent="0.25">
      <c r="A856" s="200">
        <v>6.9988955793997387E-2</v>
      </c>
      <c r="B856" s="201">
        <v>-0.92614031805642272</v>
      </c>
      <c r="C856" s="201">
        <v>-0.2033317109840824</v>
      </c>
      <c r="D856" s="202">
        <v>0.30987396251621396</v>
      </c>
      <c r="F856" s="91">
        <f>INDEX(A856:D864,,F847)</f>
        <v>-0.92614031805642272</v>
      </c>
      <c r="G856" s="93">
        <f>INDEX(A848:D856,,G847)</f>
        <v>0.30987396251621396</v>
      </c>
      <c r="I856" s="91">
        <f t="shared" si="272"/>
        <v>0.76171401608415179</v>
      </c>
      <c r="J856" s="92">
        <f t="shared" si="273"/>
        <v>-0.57397354040434079</v>
      </c>
      <c r="K856" s="92">
        <f t="shared" si="274"/>
        <v>0.25076261721475401</v>
      </c>
      <c r="L856" s="93">
        <f t="shared" si="271"/>
        <v>-0.43720369058742958</v>
      </c>
      <c r="Q856" s="91">
        <v>-0.92622761814717758</v>
      </c>
      <c r="R856" s="93">
        <v>0.30961292084885267</v>
      </c>
    </row>
    <row r="857" spans="1:18" x14ac:dyDescent="0.25">
      <c r="I857">
        <f>SUM(I848:I856)</f>
        <v>0.6140049638771895</v>
      </c>
      <c r="J857">
        <f>SUM(J848:J856)</f>
        <v>-0.2865777300539053</v>
      </c>
      <c r="K857">
        <f>SUM(K848:K856)</f>
        <v>1.5989902365492821</v>
      </c>
      <c r="L857">
        <f>SUM(L848:L856)</f>
        <v>-4.086799735574298E-2</v>
      </c>
    </row>
    <row r="858" spans="1:18" x14ac:dyDescent="0.25">
      <c r="A858" s="47" t="s">
        <v>53</v>
      </c>
      <c r="B858">
        <f>COUNT(A848:A856)</f>
        <v>9</v>
      </c>
      <c r="I858" s="47" t="s">
        <v>462</v>
      </c>
      <c r="J858" s="47" t="s">
        <v>389</v>
      </c>
      <c r="K858" s="47" t="s">
        <v>469</v>
      </c>
      <c r="L858" s="47" t="s">
        <v>470</v>
      </c>
      <c r="N858" s="47"/>
    </row>
    <row r="860" spans="1:18" x14ac:dyDescent="0.25">
      <c r="A860">
        <v>1</v>
      </c>
      <c r="B860">
        <v>2</v>
      </c>
      <c r="C860">
        <v>3</v>
      </c>
      <c r="D860">
        <v>4</v>
      </c>
      <c r="F860">
        <v>3</v>
      </c>
      <c r="G860">
        <v>4</v>
      </c>
      <c r="I860" s="47" t="s">
        <v>207</v>
      </c>
      <c r="J860" s="47" t="s">
        <v>464</v>
      </c>
      <c r="K860" s="47" t="s">
        <v>465</v>
      </c>
      <c r="L860" s="47" t="s">
        <v>466</v>
      </c>
      <c r="Q860">
        <f>F860</f>
        <v>3</v>
      </c>
      <c r="R860">
        <f>G860</f>
        <v>4</v>
      </c>
    </row>
    <row r="861" spans="1:18" x14ac:dyDescent="0.25">
      <c r="A861" s="189">
        <f t="array" ref="A861:A869">IF(A860=$Q847,$Q848:$Q856,IF(A860=$R847,$R848:$R856,A848:A856))</f>
        <v>0.1103307580277018</v>
      </c>
      <c r="B861" s="190">
        <f t="array" ref="B861:B869">IF(B860=$Q847,$Q848:$Q856,IF(B860=$R847,$R848:$R856,B848:B856))</f>
        <v>0.88924635951297648</v>
      </c>
      <c r="C861" s="190">
        <f t="array" ref="C861:C869">IF(C860=$Q847,$Q848:$Q856,IF(C860=$R847,$R848:$R856,C848:C856))</f>
        <v>-0.34168290428911707</v>
      </c>
      <c r="D861" s="191">
        <f t="array" ref="D861:D869">IF(D860=$Q847,$Q848:$Q856,IF(D860=$R847,$R848:$R856,D848:D856))</f>
        <v>0.28340929561767353</v>
      </c>
      <c r="F861" s="156">
        <f>INDEX(A861:D869,,F860)</f>
        <v>-0.34168290428911707</v>
      </c>
      <c r="G861" s="158">
        <f>INDEX(A861:D869,,G860)</f>
        <v>0.28340929561767353</v>
      </c>
      <c r="I861" s="156">
        <f>F861^2-G861^2</f>
        <v>3.6426378240940069E-2</v>
      </c>
      <c r="J861" s="157">
        <f>2*F861*G861</f>
        <v>-0.19367222245835927</v>
      </c>
      <c r="K861" s="157">
        <f>I861^2-J861^2</f>
        <v>-3.6182048720208165E-2</v>
      </c>
      <c r="L861" s="158">
        <f t="shared" ref="L861:L869" si="275">I861*J861</f>
        <v>-7.054777630031683E-3</v>
      </c>
      <c r="N861" t="s">
        <v>390</v>
      </c>
      <c r="O861" s="172">
        <f>L870*B871-2*I870*J870</f>
        <v>5.7420589842611669E-3</v>
      </c>
      <c r="Q861" s="156">
        <f t="array" ref="Q861:R869">MMULT(F861:G869,N865:O866)</f>
        <v>-0.34165919961852276</v>
      </c>
      <c r="R861" s="158">
        <v>0.28343787192607528</v>
      </c>
    </row>
    <row r="862" spans="1:18" x14ac:dyDescent="0.25">
      <c r="A862" s="194">
        <v>0.79381996527951182</v>
      </c>
      <c r="B862" s="195">
        <v>-0.60186783551499301</v>
      </c>
      <c r="C862" s="195">
        <v>8.4551932791600934E-2</v>
      </c>
      <c r="D862" s="196">
        <v>-2.1352797412434593E-2</v>
      </c>
      <c r="F862" s="123">
        <f>INDEX(A862:D870,,F860)</f>
        <v>8.4551932791600934E-2</v>
      </c>
      <c r="G862" s="90">
        <f>INDEX(A861:D869,,G860)</f>
        <v>-2.1352797412434593E-2</v>
      </c>
      <c r="I862" s="123">
        <f t="shared" ref="I862:I869" si="276">F862^2-G862^2</f>
        <v>6.6930873814589273E-3</v>
      </c>
      <c r="J862" s="37">
        <f t="shared" ref="J862:J869" si="277">2*F862*G862</f>
        <v>-3.6108405834576799E-3</v>
      </c>
      <c r="K862" s="37">
        <f t="shared" ref="K862:K869" si="278">I862^2-J862^2</f>
        <v>3.1759248976699723E-5</v>
      </c>
      <c r="L862" s="90">
        <f t="shared" si="275"/>
        <v>-2.4167671545600389E-5</v>
      </c>
      <c r="N862" t="s">
        <v>392</v>
      </c>
      <c r="O862" s="173">
        <f>K870*B871-(I870^2-J870^2)</f>
        <v>17.163652088143852</v>
      </c>
      <c r="Q862" s="123">
        <v>8.4550146614046431E-2</v>
      </c>
      <c r="R862" s="90">
        <v>-2.1359868999484239E-2</v>
      </c>
    </row>
    <row r="863" spans="1:18" x14ac:dyDescent="0.25">
      <c r="A863" s="194">
        <v>0.98388469240479337</v>
      </c>
      <c r="B863" s="195">
        <v>0.11726815049696704</v>
      </c>
      <c r="C863" s="195">
        <v>0.11374801321596271</v>
      </c>
      <c r="D863" s="196">
        <v>7.2666927965664166E-2</v>
      </c>
      <c r="F863" s="123">
        <f>INDEX(A863:D871,,F860)</f>
        <v>0.11374801321596271</v>
      </c>
      <c r="G863" s="90">
        <f>INDEX(A861:D869,,G860)</f>
        <v>7.2666927965664166E-2</v>
      </c>
      <c r="I863" s="123">
        <f t="shared" si="276"/>
        <v>7.6581280906118038E-3</v>
      </c>
      <c r="J863" s="37">
        <f t="shared" si="277"/>
        <v>1.6531437365203558E-2</v>
      </c>
      <c r="K863" s="37">
        <f t="shared" si="278"/>
        <v>-2.1464149550743075E-4</v>
      </c>
      <c r="L863" s="90">
        <f t="shared" si="275"/>
        <v>1.2659986486465496E-4</v>
      </c>
      <c r="N863" t="s">
        <v>467</v>
      </c>
      <c r="O863" s="174">
        <f>0.25*ATAN(O861/O862)</f>
        <v>8.3636902282680642E-5</v>
      </c>
      <c r="Q863" s="123">
        <v>0.11375409045486792</v>
      </c>
      <c r="R863" s="90">
        <v>7.2657414180051713E-2</v>
      </c>
    </row>
    <row r="864" spans="1:18" x14ac:dyDescent="0.25">
      <c r="A864" s="194">
        <v>4.8564551941572207E-2</v>
      </c>
      <c r="B864" s="195">
        <v>-1.2592336342517952E-3</v>
      </c>
      <c r="C864" s="195">
        <v>8.0450427721647094E-2</v>
      </c>
      <c r="D864" s="196">
        <v>0.99557401899847364</v>
      </c>
      <c r="F864" s="123">
        <f>INDEX(A864:D872,,F860)</f>
        <v>8.0450427721647094E-2</v>
      </c>
      <c r="G864" s="90">
        <f>INDEX(A861:D869,,G860)</f>
        <v>0.99557401899847364</v>
      </c>
      <c r="I864" s="123">
        <f t="shared" si="276"/>
        <v>-0.98469535598417723</v>
      </c>
      <c r="J864" s="37">
        <f t="shared" si="277"/>
        <v>0.16018871131397283</v>
      </c>
      <c r="K864" s="37">
        <f t="shared" si="278"/>
        <v>0.94396452086437421</v>
      </c>
      <c r="L864" s="90">
        <f t="shared" si="275"/>
        <v>-0.15773708011195908</v>
      </c>
      <c r="Q864" s="123">
        <v>8.0533694167111508E-2</v>
      </c>
      <c r="R864" s="90">
        <v>0.99556728689183405</v>
      </c>
    </row>
    <row r="865" spans="1:18" x14ac:dyDescent="0.25">
      <c r="A865" s="194">
        <v>0.35383356967503427</v>
      </c>
      <c r="B865" s="195">
        <v>-0.11113854664386981</v>
      </c>
      <c r="C865" s="195">
        <v>0.88621812767479102</v>
      </c>
      <c r="D865" s="196">
        <v>0.27761026386194643</v>
      </c>
      <c r="F865" s="123">
        <f>INDEX(A865:D873,,F860)</f>
        <v>0.88621812767479102</v>
      </c>
      <c r="G865" s="90">
        <f>INDEX(A861:D869,,G860)</f>
        <v>0.27761026386194643</v>
      </c>
      <c r="I865" s="123">
        <f t="shared" si="276"/>
        <v>0.70831511121791269</v>
      </c>
      <c r="J865" s="37">
        <f t="shared" si="277"/>
        <v>0.49204649652607774</v>
      </c>
      <c r="K865" s="37">
        <f t="shared" si="278"/>
        <v>0.25960054203605665</v>
      </c>
      <c r="L865" s="90">
        <f t="shared" si="275"/>
        <v>0.34852396891125303</v>
      </c>
      <c r="N865" s="156">
        <f>COS(O863)</f>
        <v>0.99999999650243432</v>
      </c>
      <c r="O865" s="158">
        <f>-N866</f>
        <v>-8.363690218517212E-5</v>
      </c>
      <c r="Q865" s="123">
        <v>0.8862413430376691</v>
      </c>
      <c r="R865" s="90">
        <v>0.2775361423521272</v>
      </c>
    </row>
    <row r="866" spans="1:18" x14ac:dyDescent="0.25">
      <c r="A866" s="194">
        <v>-3.1048264029330853E-2</v>
      </c>
      <c r="B866" s="195">
        <v>2.2615191084741127E-2</v>
      </c>
      <c r="C866" s="195">
        <v>0.99757534250583568</v>
      </c>
      <c r="D866" s="196">
        <v>-5.8034424760916185E-2</v>
      </c>
      <c r="F866" s="123">
        <f>INDEX(A866:D874,,F860)</f>
        <v>0.99757534250583568</v>
      </c>
      <c r="G866" s="90">
        <f>INDEX(A861:D869,,G860)</f>
        <v>-5.8034424760916185E-2</v>
      </c>
      <c r="I866" s="123">
        <f t="shared" si="276"/>
        <v>0.99178856951830485</v>
      </c>
      <c r="J866" s="37">
        <f t="shared" si="277"/>
        <v>-0.11578742231600023</v>
      </c>
      <c r="K866" s="37">
        <f t="shared" si="278"/>
        <v>0.97023783946058162</v>
      </c>
      <c r="L866" s="90">
        <f t="shared" si="275"/>
        <v>-0.11483664194699772</v>
      </c>
      <c r="N866" s="91">
        <f>SIN(O863)</f>
        <v>8.363690218517212E-5</v>
      </c>
      <c r="O866" s="93">
        <f>N865</f>
        <v>0.99999999650243432</v>
      </c>
      <c r="Q866" s="123">
        <v>0.99757048519724334</v>
      </c>
      <c r="R866" s="90">
        <v>-5.8117858669280473E-2</v>
      </c>
    </row>
    <row r="867" spans="1:18" x14ac:dyDescent="0.25">
      <c r="A867" s="194">
        <v>0.96167810765589679</v>
      </c>
      <c r="B867" s="195">
        <v>-2.2467746720046363E-2</v>
      </c>
      <c r="C867" s="195">
        <v>0.16742192488194696</v>
      </c>
      <c r="D867" s="196">
        <v>0.21596369297064943</v>
      </c>
      <c r="F867" s="123">
        <f>INDEX(A867:D875,,F860)</f>
        <v>0.16742192488194696</v>
      </c>
      <c r="G867" s="90">
        <f>INDEX(A861:D869,,G860)</f>
        <v>0.21596369297064943</v>
      </c>
      <c r="I867" s="123">
        <f t="shared" si="276"/>
        <v>-1.8610215750344647E-2</v>
      </c>
      <c r="J867" s="37">
        <f t="shared" si="277"/>
        <v>7.2314114363519852E-2</v>
      </c>
      <c r="K867" s="37">
        <f t="shared" si="278"/>
        <v>-4.8829910059058519E-3</v>
      </c>
      <c r="L867" s="90">
        <f t="shared" si="275"/>
        <v>-1.3457812701002012E-3</v>
      </c>
      <c r="Q867" s="123">
        <v>0.16743998683064232</v>
      </c>
      <c r="R867" s="90">
        <v>0.21594968956414723</v>
      </c>
    </row>
    <row r="868" spans="1:18" x14ac:dyDescent="0.25">
      <c r="A868" s="194">
        <v>0.67508840932204395</v>
      </c>
      <c r="B868" s="195">
        <v>-0.22037651985495188</v>
      </c>
      <c r="C868" s="195">
        <v>0.5687075082689198</v>
      </c>
      <c r="D868" s="196">
        <v>0.41504409300001999</v>
      </c>
      <c r="F868" s="123">
        <f>INDEX(A868:D876,,F860)</f>
        <v>0.5687075082689198</v>
      </c>
      <c r="G868" s="90">
        <f>INDEX(A861:D869,,G860)</f>
        <v>0.41504409300001999</v>
      </c>
      <c r="I868" s="123">
        <f t="shared" si="276"/>
        <v>0.15116663082723425</v>
      </c>
      <c r="J868" s="37">
        <f t="shared" si="277"/>
        <v>0.47207738390355036</v>
      </c>
      <c r="K868" s="37">
        <f t="shared" si="278"/>
        <v>-0.20000570611756274</v>
      </c>
      <c r="L868" s="90">
        <f t="shared" si="275"/>
        <v>7.1362347614434538E-2</v>
      </c>
      <c r="Q868" s="123">
        <v>0.56874221928203672</v>
      </c>
      <c r="R868" s="90">
        <v>0.41499652661413494</v>
      </c>
    </row>
    <row r="869" spans="1:18" x14ac:dyDescent="0.25">
      <c r="A869" s="200">
        <v>6.9988955793997387E-2</v>
      </c>
      <c r="B869" s="201">
        <v>-0.92622761814717758</v>
      </c>
      <c r="C869" s="201">
        <v>-0.2033317109840824</v>
      </c>
      <c r="D869" s="202">
        <v>0.30961292084885267</v>
      </c>
      <c r="F869" s="91">
        <f>INDEX(A869:D877,,F860)</f>
        <v>-0.2033317109840824</v>
      </c>
      <c r="G869" s="93">
        <f>INDEX(A861:D869,,G860)</f>
        <v>0.30961292084885267</v>
      </c>
      <c r="I869" s="91">
        <f t="shared" si="276"/>
        <v>-5.4516376064843497E-2</v>
      </c>
      <c r="J869" s="92">
        <f t="shared" si="277"/>
        <v>-0.12590824987795299</v>
      </c>
      <c r="K869" s="92">
        <f t="shared" si="278"/>
        <v>-1.288085212808561E-2</v>
      </c>
      <c r="L869" s="93">
        <f t="shared" si="275"/>
        <v>6.8640615000127702E-3</v>
      </c>
      <c r="Q869" s="91">
        <v>-0.20330581520734009</v>
      </c>
      <c r="R869" s="93">
        <v>0.30962992580038384</v>
      </c>
    </row>
    <row r="870" spans="1:18" x14ac:dyDescent="0.25">
      <c r="I870">
        <f>SUM(I861:I869)</f>
        <v>0.84422595747709728</v>
      </c>
      <c r="J870">
        <f>SUM(J861:J869)</f>
        <v>0.77417940823655418</v>
      </c>
      <c r="K870">
        <f>SUM(K861:K869)</f>
        <v>1.9196684221427194</v>
      </c>
      <c r="L870">
        <f>SUM(L861:L869)</f>
        <v>0.14587852925993069</v>
      </c>
    </row>
    <row r="871" spans="1:18" x14ac:dyDescent="0.25">
      <c r="A871" s="47" t="s">
        <v>53</v>
      </c>
      <c r="B871">
        <f>COUNT(A861:A869)</f>
        <v>9</v>
      </c>
      <c r="I871" s="47" t="s">
        <v>462</v>
      </c>
      <c r="J871" s="47" t="s">
        <v>389</v>
      </c>
      <c r="K871" s="47" t="s">
        <v>469</v>
      </c>
      <c r="L871" s="47" t="s">
        <v>470</v>
      </c>
      <c r="N871" s="47"/>
    </row>
    <row r="873" spans="1:18" x14ac:dyDescent="0.25">
      <c r="A873">
        <v>1</v>
      </c>
      <c r="B873">
        <v>2</v>
      </c>
      <c r="C873">
        <v>3</v>
      </c>
      <c r="D873">
        <v>4</v>
      </c>
      <c r="F873">
        <v>1</v>
      </c>
      <c r="G873">
        <v>2</v>
      </c>
      <c r="I873" s="47" t="s">
        <v>207</v>
      </c>
      <c r="J873" s="47" t="s">
        <v>464</v>
      </c>
      <c r="K873" s="47" t="s">
        <v>465</v>
      </c>
      <c r="L873" s="47" t="s">
        <v>466</v>
      </c>
      <c r="Q873">
        <f>F873</f>
        <v>1</v>
      </c>
      <c r="R873">
        <f>G873</f>
        <v>2</v>
      </c>
    </row>
    <row r="874" spans="1:18" x14ac:dyDescent="0.25">
      <c r="A874" s="189">
        <f t="array" ref="A874:A882">IF(A873=$Q860,$Q861:$Q869,IF(A873=$R860,$R861:$R869,A861:A869))</f>
        <v>0.1103307580277018</v>
      </c>
      <c r="B874" s="190">
        <f t="array" ref="B874:B882">IF(B873=$Q860,$Q861:$Q869,IF(B873=$R860,$R861:$R869,B861:B869))</f>
        <v>0.88924635951297648</v>
      </c>
      <c r="C874" s="190">
        <f t="array" ref="C874:C882">IF(C873=$Q860,$Q861:$Q869,IF(C873=$R860,$R861:$R869,C861:C869))</f>
        <v>-0.34165919961852276</v>
      </c>
      <c r="D874" s="191">
        <f t="array" ref="D874:D882">IF(D873=$Q860,$Q861:$Q869,IF(D873=$R860,$R861:$R869,D861:D869))</f>
        <v>0.28343787192607528</v>
      </c>
      <c r="F874" s="156">
        <f>INDEX(A874:D882,,F873)</f>
        <v>0.1103307580277018</v>
      </c>
      <c r="G874" s="158">
        <f>INDEX(A874:D882,,G873)</f>
        <v>0.88924635951297648</v>
      </c>
      <c r="I874" s="156">
        <f>F874^2-G874^2</f>
        <v>-0.77858621174011455</v>
      </c>
      <c r="J874" s="157">
        <f>2*F874*G874</f>
        <v>0.19622244983688186</v>
      </c>
      <c r="K874" s="157">
        <f>I874^2-J874^2</f>
        <v>0.56769323929183479</v>
      </c>
      <c r="L874" s="158">
        <f t="shared" ref="L874:L882" si="279">I874*J874</f>
        <v>-0.1527760938768625</v>
      </c>
      <c r="N874" t="s">
        <v>390</v>
      </c>
      <c r="O874" s="172">
        <f>L883*B884-2*I883*J883</f>
        <v>8.2593103746617658E-3</v>
      </c>
      <c r="Q874" s="156">
        <f t="array" ref="Q874:R882">MMULT(F874:G882,N878:O879)</f>
        <v>0.11042180990153549</v>
      </c>
      <c r="R874" s="158">
        <v>0.88923505777275691</v>
      </c>
    </row>
    <row r="875" spans="1:18" x14ac:dyDescent="0.25">
      <c r="A875" s="194">
        <v>0.79381996527951182</v>
      </c>
      <c r="B875" s="195">
        <v>-0.60186783551499301</v>
      </c>
      <c r="C875" s="195">
        <v>8.4550146614046431E-2</v>
      </c>
      <c r="D875" s="196">
        <v>-2.1359868999484239E-2</v>
      </c>
      <c r="F875" s="123">
        <f>INDEX(A875:D883,,F873)</f>
        <v>0.79381996527951182</v>
      </c>
      <c r="G875" s="90">
        <f>INDEX(A874:D882,,G873)</f>
        <v>-0.60186783551499301</v>
      </c>
      <c r="I875" s="123">
        <f t="shared" ref="I875:I882" si="280">F875^2-G875^2</f>
        <v>0.26790524584886272</v>
      </c>
      <c r="J875" s="37">
        <f t="shared" ref="J875:J882" si="281">2*F875*G875</f>
        <v>-0.95554940858273341</v>
      </c>
      <c r="K875" s="37">
        <f t="shared" ref="K875:K882" si="282">I875^2-J875^2</f>
        <v>-0.841301451489472</v>
      </c>
      <c r="L875" s="90">
        <f t="shared" si="279"/>
        <v>-0.25599669922709256</v>
      </c>
      <c r="N875" t="s">
        <v>392</v>
      </c>
      <c r="O875" s="173">
        <f>K883*B884-(I883^2-J883^2)</f>
        <v>20.165742606297108</v>
      </c>
      <c r="Q875" s="123">
        <v>0.79375833416662778</v>
      </c>
      <c r="R875" s="90">
        <v>-0.60194911383346028</v>
      </c>
    </row>
    <row r="876" spans="1:18" x14ac:dyDescent="0.25">
      <c r="A876" s="194">
        <v>0.98388469240479337</v>
      </c>
      <c r="B876" s="195">
        <v>0.11726815049696704</v>
      </c>
      <c r="C876" s="195">
        <v>0.11375409045486792</v>
      </c>
      <c r="D876" s="196">
        <v>7.2657414180051713E-2</v>
      </c>
      <c r="F876" s="123">
        <f>INDEX(A876:D884,,F873)</f>
        <v>0.98388469240479337</v>
      </c>
      <c r="G876" s="90">
        <f>INDEX(A874:D882,,G873)</f>
        <v>0.11726815049696704</v>
      </c>
      <c r="I876" s="123">
        <f t="shared" si="280"/>
        <v>0.95427726882749553</v>
      </c>
      <c r="J876" s="37">
        <f t="shared" si="281"/>
        <v>0.23075667636117486</v>
      </c>
      <c r="K876" s="37">
        <f t="shared" si="282"/>
        <v>0.85739646211560827</v>
      </c>
      <c r="L876" s="90">
        <f t="shared" si="279"/>
        <v>0.22020585088165226</v>
      </c>
      <c r="N876" t="s">
        <v>467</v>
      </c>
      <c r="O876" s="174">
        <f>0.25*ATAN(O874/O875)</f>
        <v>1.0239283117514852E-4</v>
      </c>
      <c r="Q876" s="123">
        <v>0.98389669466504126</v>
      </c>
      <c r="R876" s="90">
        <v>0.11716740714320109</v>
      </c>
    </row>
    <row r="877" spans="1:18" x14ac:dyDescent="0.25">
      <c r="A877" s="194">
        <v>4.8564551941572207E-2</v>
      </c>
      <c r="B877" s="195">
        <v>-1.2592336342517952E-3</v>
      </c>
      <c r="C877" s="195">
        <v>8.0533694167111508E-2</v>
      </c>
      <c r="D877" s="196">
        <v>0.99556728689183405</v>
      </c>
      <c r="F877" s="123">
        <f>INDEX(A877:D885,,F873)</f>
        <v>4.8564551941572207E-2</v>
      </c>
      <c r="G877" s="90">
        <f>INDEX(A874:D882,,G873)</f>
        <v>-1.2592336342517952E-3</v>
      </c>
      <c r="I877" s="123">
        <f t="shared" si="280"/>
        <v>2.3569300359400336E-3</v>
      </c>
      <c r="J877" s="37">
        <f t="shared" si="281"/>
        <v>-1.2230823447439209E-4</v>
      </c>
      <c r="K877" s="37">
        <f t="shared" si="282"/>
        <v>5.5401598900960458E-6</v>
      </c>
      <c r="L877" s="90">
        <f t="shared" si="279"/>
        <v>-2.8827195147549101E-7</v>
      </c>
      <c r="Q877" s="123">
        <v>4.8564422750493046E-2</v>
      </c>
      <c r="R877" s="90">
        <v>-1.2642062896100698E-3</v>
      </c>
    </row>
    <row r="878" spans="1:18" x14ac:dyDescent="0.25">
      <c r="A878" s="194">
        <v>0.35383356967503427</v>
      </c>
      <c r="B878" s="195">
        <v>-0.11113854664386981</v>
      </c>
      <c r="C878" s="195">
        <v>0.8862413430376691</v>
      </c>
      <c r="D878" s="196">
        <v>0.2775361423521272</v>
      </c>
      <c r="F878" s="123">
        <f>INDEX(A878:D886,,F873)</f>
        <v>0.35383356967503427</v>
      </c>
      <c r="G878" s="90">
        <f>INDEX(A874:D882,,G873)</f>
        <v>-0.11113854664386981</v>
      </c>
      <c r="I878" s="123">
        <f t="shared" si="280"/>
        <v>0.1128464184788657</v>
      </c>
      <c r="J878" s="37">
        <f t="shared" si="281"/>
        <v>-7.8649097374991511E-2</v>
      </c>
      <c r="K878" s="37">
        <f t="shared" si="282"/>
        <v>6.5486336456063859E-3</v>
      </c>
      <c r="L878" s="90">
        <f t="shared" si="279"/>
        <v>-8.8752689553633496E-3</v>
      </c>
      <c r="N878" s="156">
        <f>COS(O876)</f>
        <v>0.99999999475785406</v>
      </c>
      <c r="O878" s="158">
        <f>-N879</f>
        <v>-1.0239283099622912E-4</v>
      </c>
      <c r="Q878" s="123">
        <v>0.3538221880297634</v>
      </c>
      <c r="R878" s="90">
        <v>-0.11117477608216586</v>
      </c>
    </row>
    <row r="879" spans="1:18" x14ac:dyDescent="0.25">
      <c r="A879" s="194">
        <v>-3.1048264029330853E-2</v>
      </c>
      <c r="B879" s="195">
        <v>2.2615191084741127E-2</v>
      </c>
      <c r="C879" s="195">
        <v>0.99757048519724334</v>
      </c>
      <c r="D879" s="196">
        <v>-5.8117858669280473E-2</v>
      </c>
      <c r="F879" s="123">
        <f>INDEX(A879:D887,,F873)</f>
        <v>-3.1048264029330853E-2</v>
      </c>
      <c r="G879" s="90">
        <f>INDEX(A874:D882,,G873)</f>
        <v>2.2615191084741127E-2</v>
      </c>
      <c r="I879" s="123">
        <f t="shared" si="280"/>
        <v>4.5254783143568557E-4</v>
      </c>
      <c r="J879" s="37">
        <f t="shared" si="281"/>
        <v>-1.4043248477456235E-3</v>
      </c>
      <c r="K879" s="37">
        <f t="shared" si="282"/>
        <v>-1.767328738258627E-6</v>
      </c>
      <c r="L879" s="90">
        <f t="shared" si="279"/>
        <v>-6.3552416447853124E-7</v>
      </c>
      <c r="N879" s="91">
        <f>SIN(O876)</f>
        <v>1.0239283099622912E-4</v>
      </c>
      <c r="O879" s="93">
        <f>N878</f>
        <v>0.99999999475785406</v>
      </c>
      <c r="Q879" s="123">
        <v>-3.1045948233132635E-2</v>
      </c>
      <c r="R879" s="90">
        <v>2.2618370085840476E-2</v>
      </c>
    </row>
    <row r="880" spans="1:18" x14ac:dyDescent="0.25">
      <c r="A880" s="194">
        <v>0.96167810765589679</v>
      </c>
      <c r="B880" s="195">
        <v>-2.2467746720046363E-2</v>
      </c>
      <c r="C880" s="195">
        <v>0.16743998683064232</v>
      </c>
      <c r="D880" s="196">
        <v>0.21594968956414723</v>
      </c>
      <c r="F880" s="123">
        <f>INDEX(A880:D888,,F873)</f>
        <v>0.96167810765589679</v>
      </c>
      <c r="G880" s="90">
        <f>INDEX(A874:D882,,G873)</f>
        <v>-2.2467746720046363E-2</v>
      </c>
      <c r="I880" s="123">
        <f t="shared" si="280"/>
        <v>0.92431998310195052</v>
      </c>
      <c r="J880" s="37">
        <f t="shared" si="281"/>
        <v>-4.3213480298052338E-2</v>
      </c>
      <c r="K880" s="37">
        <f t="shared" si="282"/>
        <v>0.85250002628211996</v>
      </c>
      <c r="L880" s="90">
        <f t="shared" si="279"/>
        <v>-3.9943083378872209E-2</v>
      </c>
      <c r="Q880" s="123">
        <v>0.96167580207844705</v>
      </c>
      <c r="R880" s="90">
        <v>-2.2566215546217142E-2</v>
      </c>
    </row>
    <row r="881" spans="1:18" x14ac:dyDescent="0.25">
      <c r="A881" s="194">
        <v>0.67508840932204395</v>
      </c>
      <c r="B881" s="195">
        <v>-0.22037651985495188</v>
      </c>
      <c r="C881" s="195">
        <v>0.56874221928203672</v>
      </c>
      <c r="D881" s="196">
        <v>0.41499652661413494</v>
      </c>
      <c r="F881" s="123">
        <f>INDEX(A881:D889,,F873)</f>
        <v>0.67508840932204395</v>
      </c>
      <c r="G881" s="90">
        <f>INDEX(A874:D882,,G873)</f>
        <v>-0.22037651985495188</v>
      </c>
      <c r="I881" s="123">
        <f t="shared" si="280"/>
        <v>0.40717854989758756</v>
      </c>
      <c r="J881" s="37">
        <f t="shared" si="281"/>
        <v>-0.29754726848161461</v>
      </c>
      <c r="K881" s="37">
        <f t="shared" si="282"/>
        <v>7.7259994515832153E-2</v>
      </c>
      <c r="L881" s="90">
        <f t="shared" si="279"/>
        <v>-0.121154865306332</v>
      </c>
      <c r="Q881" s="123">
        <v>0.67506584080737897</v>
      </c>
      <c r="R881" s="90">
        <v>-0.22044564291310922</v>
      </c>
    </row>
    <row r="882" spans="1:18" x14ac:dyDescent="0.25">
      <c r="A882" s="200">
        <v>6.9988955793997387E-2</v>
      </c>
      <c r="B882" s="201">
        <v>-0.92622761814717758</v>
      </c>
      <c r="C882" s="201">
        <v>-0.20330581520734009</v>
      </c>
      <c r="D882" s="202">
        <v>0.30962992580038384</v>
      </c>
      <c r="F882" s="91">
        <f>INDEX(A882:D890,,F873)</f>
        <v>6.9988955793997387E-2</v>
      </c>
      <c r="G882" s="93">
        <f>INDEX(A874:D882,,G873)</f>
        <v>-0.92622761814717758</v>
      </c>
      <c r="I882" s="91">
        <f t="shared" si="280"/>
        <v>-0.85299914668545962</v>
      </c>
      <c r="J882" s="92">
        <f t="shared" si="281"/>
        <v>-0.12965140764336461</v>
      </c>
      <c r="K882" s="92">
        <f t="shared" si="282"/>
        <v>0.71079805674221641</v>
      </c>
      <c r="L882" s="93">
        <f t="shared" si="279"/>
        <v>0.11059254008635869</v>
      </c>
      <c r="Q882" s="91">
        <v>6.9894116359136088E-2</v>
      </c>
      <c r="R882" s="93">
        <v>-0.92623477965907941</v>
      </c>
    </row>
    <row r="883" spans="1:18" x14ac:dyDescent="0.25">
      <c r="I883">
        <f>SUM(I874:I882)</f>
        <v>1.0377515855965636</v>
      </c>
      <c r="J883">
        <f>SUM(J874:J882)</f>
        <v>-1.0791581692649199</v>
      </c>
      <c r="K883">
        <f>SUM(K874:K882)</f>
        <v>2.2308987339348976</v>
      </c>
      <c r="L883">
        <f>SUM(L874:L882)</f>
        <v>-0.24794854357262766</v>
      </c>
    </row>
    <row r="884" spans="1:18" x14ac:dyDescent="0.25">
      <c r="A884" s="47" t="s">
        <v>53</v>
      </c>
      <c r="B884">
        <f>COUNT(A874:A882)</f>
        <v>9</v>
      </c>
      <c r="I884" s="47" t="s">
        <v>462</v>
      </c>
      <c r="J884" s="47" t="s">
        <v>389</v>
      </c>
      <c r="K884" s="47" t="s">
        <v>469</v>
      </c>
      <c r="L884" s="47" t="s">
        <v>470</v>
      </c>
      <c r="N884" s="47"/>
    </row>
    <row r="886" spans="1:18" x14ac:dyDescent="0.25">
      <c r="A886">
        <v>1</v>
      </c>
      <c r="B886">
        <v>2</v>
      </c>
      <c r="C886">
        <v>3</v>
      </c>
      <c r="D886">
        <v>4</v>
      </c>
      <c r="F886">
        <v>1</v>
      </c>
      <c r="G886">
        <v>3</v>
      </c>
      <c r="I886" s="47" t="s">
        <v>207</v>
      </c>
      <c r="J886" s="47" t="s">
        <v>464</v>
      </c>
      <c r="K886" s="47" t="s">
        <v>465</v>
      </c>
      <c r="L886" s="47" t="s">
        <v>466</v>
      </c>
      <c r="Q886">
        <f>F886</f>
        <v>1</v>
      </c>
      <c r="R886">
        <f>G886</f>
        <v>3</v>
      </c>
    </row>
    <row r="887" spans="1:18" x14ac:dyDescent="0.25">
      <c r="A887" s="189">
        <f t="array" ref="A887:A895">IF(A886=$Q873,$Q874:$Q882,IF(A886=$R873,$R874:$R882,A874:A882))</f>
        <v>0.11042180990153549</v>
      </c>
      <c r="B887" s="190">
        <f t="array" ref="B887:B895">IF(B886=$Q873,$Q874:$Q882,IF(B886=$R873,$R874:$R882,B874:B882))</f>
        <v>0.88923505777275691</v>
      </c>
      <c r="C887" s="190">
        <f t="array" ref="C887:C895">IF(C886=$Q873,$Q874:$Q882,IF(C886=$R873,$R874:$R882,C874:C882))</f>
        <v>-0.34165919961852276</v>
      </c>
      <c r="D887" s="191">
        <f t="array" ref="D887:D895">IF(D886=$Q873,$Q874:$Q882,IF(D886=$R873,$R874:$R882,D874:D882))</f>
        <v>0.28343787192607528</v>
      </c>
      <c r="F887" s="156">
        <f>INDEX(A887:D895,,F886)</f>
        <v>0.11042180990153549</v>
      </c>
      <c r="G887" s="158">
        <f>INDEX(A887:D895,,G886)</f>
        <v>-0.34165919961852276</v>
      </c>
      <c r="I887" s="156">
        <f>F887^2-G887^2</f>
        <v>-0.10453803258203874</v>
      </c>
      <c r="J887" s="157">
        <f>2*F887*G887</f>
        <v>-7.5453254382774573E-2</v>
      </c>
      <c r="K887" s="157">
        <f>I887^2-J887^2</f>
        <v>5.235006659171702E-3</v>
      </c>
      <c r="L887" s="158">
        <f t="shared" ref="L887:L895" si="283">I887*J887</f>
        <v>7.8877347650873463E-3</v>
      </c>
      <c r="N887" t="s">
        <v>390</v>
      </c>
      <c r="O887" s="172">
        <f>L896*B897-2*I896*J896</f>
        <v>1.2878485577463294E-3</v>
      </c>
      <c r="Q887" s="156">
        <f t="array" ref="Q887:R895">MMULT(F887:G895,N891:O892)</f>
        <v>0.11041733167137577</v>
      </c>
      <c r="R887" s="158">
        <v>-0.34166064691806958</v>
      </c>
    </row>
    <row r="888" spans="1:18" x14ac:dyDescent="0.25">
      <c r="A888" s="194">
        <v>0.79375833416662778</v>
      </c>
      <c r="B888" s="195">
        <v>-0.60194911383346028</v>
      </c>
      <c r="C888" s="195">
        <v>8.4550146614046431E-2</v>
      </c>
      <c r="D888" s="196">
        <v>-2.1359868999484239E-2</v>
      </c>
      <c r="F888" s="123">
        <f>INDEX(A888:D896,,F886)</f>
        <v>0.79375833416662778</v>
      </c>
      <c r="G888" s="90">
        <f>INDEX(A887:D895,,G886)</f>
        <v>8.4550146614046431E-2</v>
      </c>
      <c r="I888" s="123">
        <f t="shared" ref="I888:I895" si="284">F888^2-G888^2</f>
        <v>0.62290356576652317</v>
      </c>
      <c r="J888" s="37">
        <f t="shared" ref="J888:J895" si="285">2*F888*G888</f>
        <v>0.13422476705981928</v>
      </c>
      <c r="K888" s="37">
        <f t="shared" ref="K888:K895" si="286">I888^2-J888^2</f>
        <v>0.36999256415238652</v>
      </c>
      <c r="L888" s="90">
        <f t="shared" si="283"/>
        <v>8.3609086015742393E-2</v>
      </c>
      <c r="N888" t="s">
        <v>392</v>
      </c>
      <c r="O888" s="173">
        <f>K896*B897-(I896^2-J896^2)</f>
        <v>24.563623537055321</v>
      </c>
      <c r="Q888" s="123">
        <v>0.79375944232036499</v>
      </c>
      <c r="R888" s="90">
        <v>8.4539742598969431E-2</v>
      </c>
    </row>
    <row r="889" spans="1:18" x14ac:dyDescent="0.25">
      <c r="A889" s="194">
        <v>0.98389669466504126</v>
      </c>
      <c r="B889" s="195">
        <v>0.11716740714320109</v>
      </c>
      <c r="C889" s="195">
        <v>0.11375409045486792</v>
      </c>
      <c r="D889" s="196">
        <v>7.2657414180051713E-2</v>
      </c>
      <c r="F889" s="123">
        <f>INDEX(A889:D897,,F886)</f>
        <v>0.98389669466504126</v>
      </c>
      <c r="G889" s="90">
        <f>INDEX(A887:D895,,G886)</f>
        <v>0.11375409045486792</v>
      </c>
      <c r="I889" s="123">
        <f t="shared" si="284"/>
        <v>0.95511271267757913</v>
      </c>
      <c r="J889" s="37">
        <f t="shared" si="285"/>
        <v>0.22384454720634533</v>
      </c>
      <c r="K889" s="37">
        <f t="shared" si="286"/>
        <v>0.86213391260431005</v>
      </c>
      <c r="L889" s="90">
        <f t="shared" si="283"/>
        <v>0.21379677270033692</v>
      </c>
      <c r="N889" t="s">
        <v>467</v>
      </c>
      <c r="O889" s="174">
        <f>0.25*ATAN(O887/O888)</f>
        <v>1.3107273796794835E-5</v>
      </c>
      <c r="Q889" s="123">
        <v>0.9838981855865333</v>
      </c>
      <c r="R889" s="90">
        <v>0.11374119424173205</v>
      </c>
    </row>
    <row r="890" spans="1:18" x14ac:dyDescent="0.25">
      <c r="A890" s="194">
        <v>4.8564422750493046E-2</v>
      </c>
      <c r="B890" s="195">
        <v>-1.2642062896100698E-3</v>
      </c>
      <c r="C890" s="195">
        <v>8.0533694167111508E-2</v>
      </c>
      <c r="D890" s="196">
        <v>0.99556728689183405</v>
      </c>
      <c r="F890" s="123">
        <f>INDEX(A890:D898,,F886)</f>
        <v>4.8564422750493046E-2</v>
      </c>
      <c r="G890" s="90">
        <f>INDEX(A887:D895,,G886)</f>
        <v>8.0533694167111508E-2</v>
      </c>
      <c r="I890" s="123">
        <f t="shared" si="284"/>
        <v>-4.1271727391132438E-3</v>
      </c>
      <c r="J890" s="37">
        <f t="shared" si="285"/>
        <v>7.8221447383810382E-3</v>
      </c>
      <c r="K890" s="37">
        <f t="shared" si="286"/>
        <v>-4.4152393489702647E-5</v>
      </c>
      <c r="L890" s="90">
        <f t="shared" si="283"/>
        <v>-3.2283342525644318E-5</v>
      </c>
      <c r="Q890" s="123">
        <v>4.8565478323500631E-2</v>
      </c>
      <c r="R890" s="90">
        <v>8.0533057613007886E-2</v>
      </c>
    </row>
    <row r="891" spans="1:18" x14ac:dyDescent="0.25">
      <c r="A891" s="194">
        <v>0.3538221880297634</v>
      </c>
      <c r="B891" s="195">
        <v>-0.11117477608216586</v>
      </c>
      <c r="C891" s="195">
        <v>0.8862413430376691</v>
      </c>
      <c r="D891" s="196">
        <v>0.2775361423521272</v>
      </c>
      <c r="F891" s="123">
        <f>INDEX(A891:D899,,F886)</f>
        <v>0.3538221880297634</v>
      </c>
      <c r="G891" s="90">
        <f>INDEX(A887:D895,,G886)</f>
        <v>0.8862413430376691</v>
      </c>
      <c r="I891" s="123">
        <f t="shared" si="284"/>
        <v>-0.66023357736704225</v>
      </c>
      <c r="J891" s="37">
        <f t="shared" si="285"/>
        <v>0.62714370223204841</v>
      </c>
      <c r="K891" s="37">
        <f t="shared" si="286"/>
        <v>4.2599153433561965E-2</v>
      </c>
      <c r="L891" s="90">
        <f t="shared" si="283"/>
        <v>-0.41406133004787643</v>
      </c>
      <c r="N891" s="156">
        <f>COS(O889)</f>
        <v>0.99999999991409971</v>
      </c>
      <c r="O891" s="158">
        <f>-N892</f>
        <v>-1.3107273796419529E-5</v>
      </c>
      <c r="Q891" s="123">
        <v>0.35383380420730287</v>
      </c>
      <c r="R891" s="90">
        <v>0.88623670531724696</v>
      </c>
    </row>
    <row r="892" spans="1:18" x14ac:dyDescent="0.25">
      <c r="A892" s="194">
        <v>-3.1045948233132635E-2</v>
      </c>
      <c r="B892" s="195">
        <v>2.2618370085840476E-2</v>
      </c>
      <c r="C892" s="195">
        <v>0.99757048519724334</v>
      </c>
      <c r="D892" s="196">
        <v>-5.8117858669280473E-2</v>
      </c>
      <c r="F892" s="123">
        <f>INDEX(A892:D900,,F886)</f>
        <v>-3.1045948233132635E-2</v>
      </c>
      <c r="G892" s="90">
        <f>INDEX(A887:D895,,G886)</f>
        <v>0.99757048519724334</v>
      </c>
      <c r="I892" s="123">
        <f t="shared" si="284"/>
        <v>-0.99418302203496911</v>
      </c>
      <c r="J892" s="37">
        <f t="shared" si="285"/>
        <v>-6.1941043284669248E-2</v>
      </c>
      <c r="K892" s="37">
        <f t="shared" si="286"/>
        <v>0.9845631884593905</v>
      </c>
      <c r="L892" s="90">
        <f t="shared" si="283"/>
        <v>6.1580733600751301E-2</v>
      </c>
      <c r="N892" s="91">
        <f>SIN(O889)</f>
        <v>1.3107273796419529E-5</v>
      </c>
      <c r="O892" s="93">
        <f>N891</f>
        <v>0.99999999991409971</v>
      </c>
      <c r="Q892" s="123">
        <v>-3.1032872800985073E-2</v>
      </c>
      <c r="R892" s="90">
        <v>0.9975708920392955</v>
      </c>
    </row>
    <row r="893" spans="1:18" x14ac:dyDescent="0.25">
      <c r="A893" s="194">
        <v>0.96167580207844705</v>
      </c>
      <c r="B893" s="195">
        <v>-2.2566215546217142E-2</v>
      </c>
      <c r="C893" s="195">
        <v>0.16743998683064232</v>
      </c>
      <c r="D893" s="196">
        <v>0.21594968956414723</v>
      </c>
      <c r="F893" s="123">
        <f>INDEX(A893:D901,,F886)</f>
        <v>0.96167580207844705</v>
      </c>
      <c r="G893" s="90">
        <f>INDEX(A887:D895,,G886)</f>
        <v>0.16743998683064232</v>
      </c>
      <c r="I893" s="123">
        <f t="shared" si="284"/>
        <v>0.89678419911337881</v>
      </c>
      <c r="J893" s="37">
        <f t="shared" si="285"/>
        <v>0.3220459672707251</v>
      </c>
      <c r="K893" s="37">
        <f t="shared" si="286"/>
        <v>0.70050829474408727</v>
      </c>
      <c r="L893" s="90">
        <f t="shared" si="283"/>
        <v>0.28880573483657063</v>
      </c>
      <c r="Q893" s="123">
        <v>0.96167799667759069</v>
      </c>
      <c r="R893" s="90">
        <v>0.16742738186821796</v>
      </c>
    </row>
    <row r="894" spans="1:18" x14ac:dyDescent="0.25">
      <c r="A894" s="194">
        <v>0.67506584080737897</v>
      </c>
      <c r="B894" s="195">
        <v>-0.22044564291310922</v>
      </c>
      <c r="C894" s="195">
        <v>0.56874221928203672</v>
      </c>
      <c r="D894" s="196">
        <v>0.41499652661413494</v>
      </c>
      <c r="F894" s="123">
        <f>INDEX(A894:D902,,F886)</f>
        <v>0.67506584080737897</v>
      </c>
      <c r="G894" s="90">
        <f>INDEX(A887:D895,,G886)</f>
        <v>0.56874221928203672</v>
      </c>
      <c r="I894" s="123">
        <f t="shared" si="284"/>
        <v>0.13224617743111722</v>
      </c>
      <c r="J894" s="37">
        <f t="shared" si="285"/>
        <v>0.76787688892456563</v>
      </c>
      <c r="K894" s="37">
        <f t="shared" si="286"/>
        <v>-0.57214586509932708</v>
      </c>
      <c r="L894" s="90">
        <f t="shared" si="283"/>
        <v>0.10154878329797239</v>
      </c>
      <c r="Q894" s="123">
        <v>0.67507329540937833</v>
      </c>
      <c r="R894" s="90">
        <v>0.56873337096037546</v>
      </c>
    </row>
    <row r="895" spans="1:18" x14ac:dyDescent="0.25">
      <c r="A895" s="200">
        <v>6.9894116359136088E-2</v>
      </c>
      <c r="B895" s="201">
        <v>-0.92623477965907941</v>
      </c>
      <c r="C895" s="201">
        <v>-0.20330581520734009</v>
      </c>
      <c r="D895" s="202">
        <v>0.30962992580038384</v>
      </c>
      <c r="F895" s="91">
        <f>INDEX(A895:D903,,F886)</f>
        <v>6.9894116359136088E-2</v>
      </c>
      <c r="G895" s="93">
        <f>INDEX(A887:D895,,G886)</f>
        <v>-0.20330581520734009</v>
      </c>
      <c r="I895" s="91">
        <f t="shared" si="284"/>
        <v>-3.6448066995496659E-2</v>
      </c>
      <c r="J895" s="92">
        <f t="shared" si="285"/>
        <v>-2.8419760609181693E-2</v>
      </c>
      <c r="K895" s="92">
        <f t="shared" si="286"/>
        <v>5.2077879462501732E-4</v>
      </c>
      <c r="L895" s="93">
        <f t="shared" si="283"/>
        <v>1.0358453386794314E-3</v>
      </c>
      <c r="Q895" s="91">
        <v>6.9891451568147842E-2</v>
      </c>
      <c r="R895" s="93">
        <v>-0.20330673131119595</v>
      </c>
    </row>
    <row r="896" spans="1:18" x14ac:dyDescent="0.25">
      <c r="I896">
        <f>SUM(I887:I895)</f>
        <v>0.80751678326993848</v>
      </c>
      <c r="J896">
        <f>SUM(J887:J895)</f>
        <v>1.9171439591552597</v>
      </c>
      <c r="K896">
        <f>SUM(K887:K895)</f>
        <v>2.3933628813547161</v>
      </c>
      <c r="L896">
        <f>SUM(L887:L895)</f>
        <v>0.34417107716473838</v>
      </c>
    </row>
    <row r="897" spans="1:18" x14ac:dyDescent="0.25">
      <c r="A897" s="47" t="s">
        <v>53</v>
      </c>
      <c r="B897">
        <f>COUNT(A887:A895)</f>
        <v>9</v>
      </c>
      <c r="I897" s="47" t="s">
        <v>462</v>
      </c>
      <c r="J897" s="47" t="s">
        <v>389</v>
      </c>
      <c r="K897" s="47" t="s">
        <v>469</v>
      </c>
      <c r="L897" s="47" t="s">
        <v>470</v>
      </c>
      <c r="N897" s="47"/>
    </row>
    <row r="899" spans="1:18" x14ac:dyDescent="0.25">
      <c r="A899">
        <v>1</v>
      </c>
      <c r="B899">
        <v>2</v>
      </c>
      <c r="C899">
        <v>3</v>
      </c>
      <c r="D899">
        <v>4</v>
      </c>
      <c r="F899">
        <v>1</v>
      </c>
      <c r="G899">
        <v>4</v>
      </c>
      <c r="I899" s="47" t="s">
        <v>207</v>
      </c>
      <c r="J899" s="47" t="s">
        <v>464</v>
      </c>
      <c r="K899" s="47" t="s">
        <v>465</v>
      </c>
      <c r="L899" s="47" t="s">
        <v>466</v>
      </c>
      <c r="Q899">
        <f>F899</f>
        <v>1</v>
      </c>
      <c r="R899">
        <f>G899</f>
        <v>4</v>
      </c>
    </row>
    <row r="900" spans="1:18" x14ac:dyDescent="0.25">
      <c r="A900" s="189">
        <f t="array" ref="A900:A908">IF(A899=$Q886,$Q887:$Q895,IF(A899=$R886,$R887:$R895,A887:A895))</f>
        <v>0.11041733167137577</v>
      </c>
      <c r="B900" s="190">
        <f t="array" ref="B900:B908">IF(B899=$Q886,$Q887:$Q895,IF(B899=$R886,$R887:$R895,B887:B895))</f>
        <v>0.88923505777275691</v>
      </c>
      <c r="C900" s="190">
        <f t="array" ref="C900:C908">IF(C899=$Q886,$Q887:$Q895,IF(C899=$R886,$R887:$R895,C887:C895))</f>
        <v>-0.34166064691806958</v>
      </c>
      <c r="D900" s="191">
        <f t="array" ref="D900:D908">IF(D899=$Q886,$Q887:$Q895,IF(D899=$R886,$R887:$R895,D887:D895))</f>
        <v>0.28343787192607528</v>
      </c>
      <c r="F900" s="156">
        <f>INDEX(A900:D908,,F899)</f>
        <v>0.11041733167137577</v>
      </c>
      <c r="G900" s="158">
        <f>INDEX(A900:D908,,G899)</f>
        <v>0.28343787192607528</v>
      </c>
      <c r="I900" s="156">
        <f>F900^2-G900^2</f>
        <v>-6.8145040108555655E-2</v>
      </c>
      <c r="J900" s="157">
        <f>2*F900*G900</f>
        <v>6.2592907025380756E-2</v>
      </c>
      <c r="K900" s="157">
        <f>I900^2-J900^2</f>
        <v>7.2587448150869885E-4</v>
      </c>
      <c r="L900" s="158">
        <f t="shared" ref="L900:L908" si="287">I900*J900</f>
        <v>-4.2653961597556665E-3</v>
      </c>
      <c r="N900" t="s">
        <v>390</v>
      </c>
      <c r="O900" s="172">
        <f>L909*B910-2*I909*J909</f>
        <v>-3.9033892430309081E-3</v>
      </c>
      <c r="Q900" s="156">
        <f t="array" ref="Q900:R908">MMULT(F900:G908,N904:O905)</f>
        <v>0.11040527348576189</v>
      </c>
      <c r="R900" s="158">
        <v>0.28344256907166043</v>
      </c>
    </row>
    <row r="901" spans="1:18" x14ac:dyDescent="0.25">
      <c r="A901" s="194">
        <v>0.79375944232036499</v>
      </c>
      <c r="B901" s="195">
        <v>-0.60194911383346028</v>
      </c>
      <c r="C901" s="195">
        <v>8.4539742598969431E-2</v>
      </c>
      <c r="D901" s="196">
        <v>-2.1359868999484239E-2</v>
      </c>
      <c r="F901" s="123">
        <f>INDEX(A901:D909,,F899)</f>
        <v>0.79375944232036499</v>
      </c>
      <c r="G901" s="90">
        <f>INDEX(A900:D908,,G899)</f>
        <v>-2.1359868999484239E-2</v>
      </c>
      <c r="I901" s="123">
        <f t="shared" ref="I901:I908" si="288">F901^2-G901^2</f>
        <v>0.62959780826906164</v>
      </c>
      <c r="J901" s="37">
        <f t="shared" ref="J901:J908" si="289">2*F901*G901</f>
        <v>-3.3909195410133326E-2</v>
      </c>
      <c r="K901" s="37">
        <f t="shared" ref="K901:K908" si="290">I901^2-J901^2</f>
        <v>0.39524356664384347</v>
      </c>
      <c r="L901" s="90">
        <f t="shared" si="287"/>
        <v>-2.1349155110387267E-2</v>
      </c>
      <c r="N901" t="s">
        <v>392</v>
      </c>
      <c r="O901" s="173">
        <f>K909*B910-(I909^2-J909^2)</f>
        <v>22.938307898334362</v>
      </c>
      <c r="Q901" s="123">
        <v>0.79376035029902881</v>
      </c>
      <c r="R901" s="90">
        <v>-2.1326100665033664E-2</v>
      </c>
    </row>
    <row r="902" spans="1:18" x14ac:dyDescent="0.25">
      <c r="A902" s="194">
        <v>0.9838981855865333</v>
      </c>
      <c r="B902" s="195">
        <v>0.11716740714320109</v>
      </c>
      <c r="C902" s="195">
        <v>0.11374119424173205</v>
      </c>
      <c r="D902" s="196">
        <v>7.2657414180051713E-2</v>
      </c>
      <c r="F902" s="123">
        <f>INDEX(A902:D910,,F899)</f>
        <v>0.9838981855865333</v>
      </c>
      <c r="G902" s="90">
        <f>INDEX(A900:D908,,G899)</f>
        <v>7.2657414180051713E-2</v>
      </c>
      <c r="I902" s="123">
        <f t="shared" si="288"/>
        <v>0.96277653976514077</v>
      </c>
      <c r="J902" s="37">
        <f t="shared" si="289"/>
        <v>0.14297499596232427</v>
      </c>
      <c r="K902" s="37">
        <f t="shared" si="290"/>
        <v>0.90649681605171106</v>
      </c>
      <c r="L902" s="90">
        <f t="shared" si="287"/>
        <v>0.13765297188554154</v>
      </c>
      <c r="N902" t="s">
        <v>467</v>
      </c>
      <c r="O902" s="174">
        <f>0.25*ATAN(O900/O901)</f>
        <v>-4.2542253145412835E-5</v>
      </c>
      <c r="Q902" s="123">
        <v>0.98389509368607653</v>
      </c>
      <c r="R902" s="90">
        <v>7.2699271359970355E-2</v>
      </c>
    </row>
    <row r="903" spans="1:18" x14ac:dyDescent="0.25">
      <c r="A903" s="194">
        <v>4.8565478323500631E-2</v>
      </c>
      <c r="B903" s="195">
        <v>-1.2642062896100698E-3</v>
      </c>
      <c r="C903" s="195">
        <v>8.0533057613007886E-2</v>
      </c>
      <c r="D903" s="196">
        <v>0.99556728689183405</v>
      </c>
      <c r="F903" s="123">
        <f>INDEX(A903:D911,,F899)</f>
        <v>4.8565478323500631E-2</v>
      </c>
      <c r="G903" s="90">
        <f>INDEX(A900:D908,,G899)</f>
        <v>0.99556728689183405</v>
      </c>
      <c r="I903" s="123">
        <f t="shared" si="288"/>
        <v>-0.98879561704437702</v>
      </c>
      <c r="J903" s="37">
        <f t="shared" si="289"/>
        <v>9.67004029822634E-2</v>
      </c>
      <c r="K903" s="37">
        <f t="shared" si="290"/>
        <v>0.96836580434923814</v>
      </c>
      <c r="L903" s="90">
        <f t="shared" si="287"/>
        <v>-9.561693463528706E-2</v>
      </c>
      <c r="Q903" s="123">
        <v>4.8523124604023207E-2</v>
      </c>
      <c r="R903" s="90">
        <v>0.99556935207579589</v>
      </c>
    </row>
    <row r="904" spans="1:18" x14ac:dyDescent="0.25">
      <c r="A904" s="194">
        <v>0.35383380420730287</v>
      </c>
      <c r="B904" s="195">
        <v>-0.11117477608216586</v>
      </c>
      <c r="C904" s="195">
        <v>0.88623670531724696</v>
      </c>
      <c r="D904" s="196">
        <v>0.2775361423521272</v>
      </c>
      <c r="F904" s="123">
        <f>INDEX(A904:D912,,F899)</f>
        <v>0.35383380420730287</v>
      </c>
      <c r="G904" s="90">
        <f>INDEX(A900:D908,,G899)</f>
        <v>0.2775361423521272</v>
      </c>
      <c r="I904" s="123">
        <f t="shared" si="288"/>
        <v>4.8172050688111728E-2</v>
      </c>
      <c r="J904" s="37">
        <f t="shared" si="289"/>
        <v>0.19640333810694544</v>
      </c>
      <c r="K904" s="37">
        <f t="shared" si="290"/>
        <v>-3.6253724752053122E-2</v>
      </c>
      <c r="L904" s="90">
        <f t="shared" si="287"/>
        <v>9.4611515586021221E-3</v>
      </c>
      <c r="N904" s="156">
        <f>COS(O902)</f>
        <v>0.99999999909507831</v>
      </c>
      <c r="O904" s="158">
        <f>-N905</f>
        <v>4.2542253132580367E-5</v>
      </c>
      <c r="Q904" s="123">
        <v>0.35382199687428961</v>
      </c>
      <c r="R904" s="90">
        <v>0.27755119498824415</v>
      </c>
    </row>
    <row r="905" spans="1:18" x14ac:dyDescent="0.25">
      <c r="A905" s="194">
        <v>-3.1032872800985073E-2</v>
      </c>
      <c r="B905" s="195">
        <v>2.2618370085840476E-2</v>
      </c>
      <c r="C905" s="195">
        <v>0.9975708920392955</v>
      </c>
      <c r="D905" s="196">
        <v>-5.8117858669280473E-2</v>
      </c>
      <c r="F905" s="123">
        <f>INDEX(A905:D913,,F899)</f>
        <v>-3.1032872800985073E-2</v>
      </c>
      <c r="G905" s="90">
        <f>INDEX(A900:D908,,G899)</f>
        <v>-5.8117858669280473E-2</v>
      </c>
      <c r="I905" s="123">
        <f t="shared" si="288"/>
        <v>-2.4146463020203401E-3</v>
      </c>
      <c r="J905" s="37">
        <f t="shared" si="289"/>
        <v>3.607128231098817E-3</v>
      </c>
      <c r="K905" s="37">
        <f t="shared" si="290"/>
        <v>-7.1808573117295766E-6</v>
      </c>
      <c r="L905" s="90">
        <f t="shared" si="287"/>
        <v>-8.7099388441359286E-6</v>
      </c>
      <c r="N905" s="91">
        <f>SIN(O902)</f>
        <v>-4.2542253132580367E-5</v>
      </c>
      <c r="O905" s="93">
        <f>N904</f>
        <v>0.99999999909507831</v>
      </c>
      <c r="Q905" s="123">
        <v>-3.1030400308247719E-2</v>
      </c>
      <c r="R905" s="90">
        <v>-5.8119178825018492E-2</v>
      </c>
    </row>
    <row r="906" spans="1:18" x14ac:dyDescent="0.25">
      <c r="A906" s="194">
        <v>0.96167799667759069</v>
      </c>
      <c r="B906" s="195">
        <v>-2.2566215546217142E-2</v>
      </c>
      <c r="C906" s="195">
        <v>0.16742738186821796</v>
      </c>
      <c r="D906" s="196">
        <v>0.21594968956414723</v>
      </c>
      <c r="F906" s="123">
        <f>INDEX(A906:D914,,F899)</f>
        <v>0.96167799667759069</v>
      </c>
      <c r="G906" s="90">
        <f>INDEX(A900:D908,,G899)</f>
        <v>0.21594968956414723</v>
      </c>
      <c r="I906" s="123">
        <f t="shared" si="288"/>
        <v>0.87819030087097261</v>
      </c>
      <c r="J906" s="37">
        <f t="shared" si="289"/>
        <v>0.41534812968639345</v>
      </c>
      <c r="K906" s="37">
        <f t="shared" si="290"/>
        <v>0.59870413570986425</v>
      </c>
      <c r="L906" s="90">
        <f t="shared" si="287"/>
        <v>0.36475469897548962</v>
      </c>
      <c r="Q906" s="123">
        <v>0.96166880882099004</v>
      </c>
      <c r="R906" s="90">
        <v>0.21599060131749634</v>
      </c>
    </row>
    <row r="907" spans="1:18" x14ac:dyDescent="0.25">
      <c r="A907" s="194">
        <v>0.67507329540937833</v>
      </c>
      <c r="B907" s="195">
        <v>-0.22044564291310922</v>
      </c>
      <c r="C907" s="195">
        <v>0.56873337096037546</v>
      </c>
      <c r="D907" s="196">
        <v>0.41499652661413494</v>
      </c>
      <c r="F907" s="123">
        <f>INDEX(A907:D915,,F899)</f>
        <v>0.67507329540937833</v>
      </c>
      <c r="G907" s="90">
        <f>INDEX(A900:D908,,G899)</f>
        <v>0.41499652661413494</v>
      </c>
      <c r="I907" s="123">
        <f t="shared" si="288"/>
        <v>0.28350183707308135</v>
      </c>
      <c r="J907" s="37">
        <f t="shared" si="289"/>
        <v>0.56030614560969971</v>
      </c>
      <c r="K907" s="37">
        <f t="shared" si="290"/>
        <v>-0.23356968518418608</v>
      </c>
      <c r="L907" s="90">
        <f t="shared" si="287"/>
        <v>0.15884782160368729</v>
      </c>
      <c r="Q907" s="123">
        <v>0.67505563991120554</v>
      </c>
      <c r="R907" s="90">
        <v>0.41502524537761193</v>
      </c>
    </row>
    <row r="908" spans="1:18" x14ac:dyDescent="0.25">
      <c r="A908" s="200">
        <v>6.9891451568147842E-2</v>
      </c>
      <c r="B908" s="201">
        <v>-0.92623477965907941</v>
      </c>
      <c r="C908" s="201">
        <v>-0.20330673131119595</v>
      </c>
      <c r="D908" s="202">
        <v>0.30962992580038384</v>
      </c>
      <c r="F908" s="91">
        <f>INDEX(A908:D916,,F899)</f>
        <v>6.9891451568147842E-2</v>
      </c>
      <c r="G908" s="93">
        <f>INDEX(A900:D908,,G899)</f>
        <v>0.30962992580038384</v>
      </c>
      <c r="I908" s="91">
        <f t="shared" si="288"/>
        <v>-9.0985875948848452E-2</v>
      </c>
      <c r="J908" s="92">
        <f t="shared" si="289"/>
        <v>4.3280969926253472E-2</v>
      </c>
      <c r="K908" s="92">
        <f t="shared" si="290"/>
        <v>6.4051872644219814E-3</v>
      </c>
      <c r="L908" s="93">
        <f t="shared" si="287"/>
        <v>-3.9379569606559387E-3</v>
      </c>
      <c r="Q908" s="91">
        <v>6.9878279150220726E-2</v>
      </c>
      <c r="R908" s="93">
        <v>0.30963289886001744</v>
      </c>
    </row>
    <row r="909" spans="1:18" x14ac:dyDescent="0.25">
      <c r="I909">
        <f>SUM(I900:I908)</f>
        <v>1.6518973572625666</v>
      </c>
      <c r="J909">
        <f>SUM(J900:J908)</f>
        <v>1.4873048221202259</v>
      </c>
      <c r="K909">
        <f>SUM(K900:K908)</f>
        <v>2.6061107937070371</v>
      </c>
      <c r="L909">
        <f>SUM(L900:L908)</f>
        <v>0.54553849121839049</v>
      </c>
    </row>
    <row r="910" spans="1:18" x14ac:dyDescent="0.25">
      <c r="A910" s="47" t="s">
        <v>53</v>
      </c>
      <c r="B910">
        <f>COUNT(A900:A908)</f>
        <v>9</v>
      </c>
      <c r="I910" s="47" t="s">
        <v>462</v>
      </c>
      <c r="J910" s="47" t="s">
        <v>389</v>
      </c>
      <c r="K910" s="47" t="s">
        <v>469</v>
      </c>
      <c r="L910" s="47" t="s">
        <v>470</v>
      </c>
      <c r="N910" s="47"/>
    </row>
    <row r="912" spans="1:18" x14ac:dyDescent="0.25">
      <c r="A912">
        <v>1</v>
      </c>
      <c r="B912">
        <v>2</v>
      </c>
      <c r="C912">
        <v>3</v>
      </c>
      <c r="D912">
        <v>4</v>
      </c>
      <c r="F912">
        <v>2</v>
      </c>
      <c r="G912">
        <v>3</v>
      </c>
      <c r="I912" s="47" t="s">
        <v>207</v>
      </c>
      <c r="J912" s="47" t="s">
        <v>464</v>
      </c>
      <c r="K912" s="47" t="s">
        <v>465</v>
      </c>
      <c r="L912" s="47" t="s">
        <v>466</v>
      </c>
      <c r="Q912">
        <f>F912</f>
        <v>2</v>
      </c>
      <c r="R912">
        <f>G912</f>
        <v>3</v>
      </c>
    </row>
    <row r="913" spans="1:18" x14ac:dyDescent="0.25">
      <c r="A913" s="189">
        <f t="array" ref="A913:A921">IF(A912=$Q899,$Q900:$Q908,IF(A912=$R899,$R900:$R908,A900:A908))</f>
        <v>0.11040527348576189</v>
      </c>
      <c r="B913" s="190">
        <f t="array" ref="B913:B921">IF(B912=$Q899,$Q900:$Q908,IF(B912=$R899,$R900:$R908,B900:B908))</f>
        <v>0.88923505777275691</v>
      </c>
      <c r="C913" s="190">
        <f t="array" ref="C913:C921">IF(C912=$Q899,$Q900:$Q908,IF(C912=$R899,$R900:$R908,C900:C908))</f>
        <v>-0.34166064691806958</v>
      </c>
      <c r="D913" s="191">
        <f t="array" ref="D913:D921">IF(D912=$Q899,$Q900:$Q908,IF(D912=$R899,$R900:$R908,D900:D908))</f>
        <v>0.28344256907166043</v>
      </c>
      <c r="F913" s="156">
        <f>INDEX(A913:D921,,F912)</f>
        <v>0.88923505777275691</v>
      </c>
      <c r="G913" s="158">
        <f>INDEX(A913:D921,,G912)</f>
        <v>-0.34166064691806958</v>
      </c>
      <c r="I913" s="156">
        <f>F913^2-G913^2</f>
        <v>0.67400699031964451</v>
      </c>
      <c r="J913" s="157">
        <f>2*F913*G913</f>
        <v>-0.6076332502017342</v>
      </c>
      <c r="K913" s="157">
        <f>I913^2-J913^2</f>
        <v>8.5067256249022005E-2</v>
      </c>
      <c r="L913" s="158">
        <f t="shared" ref="L913:L921" si="291">I913*J913</f>
        <v>-0.40954905818661441</v>
      </c>
      <c r="N913" t="s">
        <v>390</v>
      </c>
      <c r="O913" s="172">
        <f>L922*B923-2*I922*J922</f>
        <v>1.6351579036204211E-2</v>
      </c>
      <c r="Q913" s="156">
        <f t="array" ref="Q913:R921">MMULT(F913:G921,N917:O918)</f>
        <v>0.88916860184444113</v>
      </c>
      <c r="R913" s="158">
        <v>-0.34183356055044356</v>
      </c>
    </row>
    <row r="914" spans="1:18" x14ac:dyDescent="0.25">
      <c r="A914" s="194">
        <v>0.79376035029902881</v>
      </c>
      <c r="B914" s="195">
        <v>-0.60194911383346028</v>
      </c>
      <c r="C914" s="195">
        <v>8.4539742598969431E-2</v>
      </c>
      <c r="D914" s="196">
        <v>-2.1326100665033664E-2</v>
      </c>
      <c r="F914" s="123">
        <f>INDEX(A914:D922,,F912)</f>
        <v>-0.60194911383346028</v>
      </c>
      <c r="G914" s="90">
        <f>INDEX(A913:D921,,G912)</f>
        <v>8.4539742598969431E-2</v>
      </c>
      <c r="I914" s="123">
        <f t="shared" ref="I914:I921" si="292">F914^2-G914^2</f>
        <v>0.35519576756618809</v>
      </c>
      <c r="J914" s="37">
        <f t="shared" ref="J914:J921" si="293">2*F914*G914</f>
        <v>-0.10177724628231696</v>
      </c>
      <c r="K914" s="37">
        <f t="shared" ref="K914:K921" si="294">I914^2-J914^2</f>
        <v>0.11580542543612211</v>
      </c>
      <c r="L914" s="90">
        <f t="shared" si="291"/>
        <v>-3.6150847114020536E-2</v>
      </c>
      <c r="N914" t="s">
        <v>392</v>
      </c>
      <c r="O914" s="173">
        <f>K922*B923-(I922^2-J922^2)</f>
        <v>21.021840373565198</v>
      </c>
      <c r="Q914" s="123">
        <v>-0.60193266290689185</v>
      </c>
      <c r="R914" s="90">
        <v>8.4656795648112279E-2</v>
      </c>
    </row>
    <row r="915" spans="1:18" x14ac:dyDescent="0.25">
      <c r="A915" s="194">
        <v>0.98389509368607653</v>
      </c>
      <c r="B915" s="195">
        <v>0.11716740714320109</v>
      </c>
      <c r="C915" s="195">
        <v>0.11374119424173205</v>
      </c>
      <c r="D915" s="196">
        <v>7.2699271359970355E-2</v>
      </c>
      <c r="F915" s="123">
        <f>INDEX(A915:D923,,F912)</f>
        <v>0.11716740714320109</v>
      </c>
      <c r="G915" s="90">
        <f>INDEX(A913:D921,,G912)</f>
        <v>0.11374119424173205</v>
      </c>
      <c r="I915" s="123">
        <f t="shared" si="292"/>
        <v>7.9114202912522816E-4</v>
      </c>
      <c r="J915" s="37">
        <f t="shared" si="293"/>
        <v>2.6653521629349877E-2</v>
      </c>
      <c r="K915" s="37">
        <f t="shared" si="294"/>
        <v>-7.0978430953597333E-4</v>
      </c>
      <c r="L915" s="90">
        <f t="shared" si="291"/>
        <v>2.1086721185177018E-5</v>
      </c>
      <c r="N915" t="s">
        <v>467</v>
      </c>
      <c r="O915" s="174">
        <f>0.25*ATAN(O913/O914)</f>
        <v>1.9445937472519891E-4</v>
      </c>
      <c r="Q915" s="123">
        <v>0.11718952296926402</v>
      </c>
      <c r="R915" s="90">
        <v>0.11371840779061415</v>
      </c>
    </row>
    <row r="916" spans="1:18" x14ac:dyDescent="0.25">
      <c r="A916" s="194">
        <v>4.8523124604023207E-2</v>
      </c>
      <c r="B916" s="195">
        <v>-1.2642062896100698E-3</v>
      </c>
      <c r="C916" s="195">
        <v>8.0533057613007886E-2</v>
      </c>
      <c r="D916" s="196">
        <v>0.99556935207579589</v>
      </c>
      <c r="F916" s="123">
        <f>INDEX(A916:D924,,F912)</f>
        <v>-1.2642062896100698E-3</v>
      </c>
      <c r="G916" s="90">
        <f>INDEX(A913:D921,,G912)</f>
        <v>8.0533057613007886E-2</v>
      </c>
      <c r="I916" s="123">
        <f t="shared" si="292"/>
        <v>-6.4839751509573572E-3</v>
      </c>
      <c r="J916" s="37">
        <f t="shared" si="293"/>
        <v>-2.0362079591178936E-4</v>
      </c>
      <c r="K916" s="37">
        <f t="shared" si="294"/>
        <v>4.2000472329704731E-5</v>
      </c>
      <c r="L916" s="90">
        <f t="shared" si="291"/>
        <v>1.3202721809102017E-6</v>
      </c>
      <c r="Q916" s="123">
        <v>-1.2485458577780025E-3</v>
      </c>
      <c r="R916" s="90">
        <v>8.0533301927114373E-2</v>
      </c>
    </row>
    <row r="917" spans="1:18" x14ac:dyDescent="0.25">
      <c r="A917" s="194">
        <v>0.35382199687428961</v>
      </c>
      <c r="B917" s="195">
        <v>-0.11117477608216586</v>
      </c>
      <c r="C917" s="195">
        <v>0.88623670531724696</v>
      </c>
      <c r="D917" s="196">
        <v>0.27755119498824415</v>
      </c>
      <c r="F917" s="123">
        <f>INDEX(A917:D925,,F912)</f>
        <v>-0.11117477608216586</v>
      </c>
      <c r="G917" s="90">
        <f>INDEX(A913:D921,,G912)</f>
        <v>0.88623670531724696</v>
      </c>
      <c r="I917" s="123">
        <f t="shared" si="292"/>
        <v>-0.77305566701464912</v>
      </c>
      <c r="J917" s="37">
        <f t="shared" si="293"/>
        <v>-0.19705433453888269</v>
      </c>
      <c r="K917" s="37">
        <f t="shared" si="294"/>
        <v>0.55878465354290208</v>
      </c>
      <c r="L917" s="90">
        <f t="shared" si="291"/>
        <v>0.15233397002508375</v>
      </c>
      <c r="N917" s="156">
        <f>COS(O915)</f>
        <v>0.99999998109277588</v>
      </c>
      <c r="O917" s="158">
        <f>-N918</f>
        <v>-1.9445937349963659E-4</v>
      </c>
      <c r="Q917" s="123">
        <v>-0.11100243694567108</v>
      </c>
      <c r="R917" s="90">
        <v>0.88625830753827683</v>
      </c>
    </row>
    <row r="918" spans="1:18" x14ac:dyDescent="0.25">
      <c r="A918" s="194">
        <v>-3.1030400308247719E-2</v>
      </c>
      <c r="B918" s="195">
        <v>2.2618370085840476E-2</v>
      </c>
      <c r="C918" s="195">
        <v>0.9975708920392955</v>
      </c>
      <c r="D918" s="196">
        <v>-5.8119178825018492E-2</v>
      </c>
      <c r="F918" s="123">
        <f>INDEX(A918:D926,,F912)</f>
        <v>2.2618370085840476E-2</v>
      </c>
      <c r="G918" s="90">
        <f>INDEX(A913:D921,,G912)</f>
        <v>0.9975708920392955</v>
      </c>
      <c r="I918" s="123">
        <f t="shared" si="292"/>
        <v>-0.99463609397873576</v>
      </c>
      <c r="J918" s="37">
        <f t="shared" si="293"/>
        <v>4.5126855246013599E-2</v>
      </c>
      <c r="K918" s="37">
        <f t="shared" si="294"/>
        <v>0.9872645263808818</v>
      </c>
      <c r="L918" s="90">
        <f t="shared" si="291"/>
        <v>-4.4884799035438787E-2</v>
      </c>
      <c r="N918" s="91">
        <f>SIN(O915)</f>
        <v>1.9445937349963659E-4</v>
      </c>
      <c r="O918" s="93">
        <f>N917</f>
        <v>0.99999998109277588</v>
      </c>
      <c r="Q918" s="123">
        <v>2.281235666887732E-2</v>
      </c>
      <c r="R918" s="90">
        <v>0.99756647482392258</v>
      </c>
    </row>
    <row r="919" spans="1:18" x14ac:dyDescent="0.25">
      <c r="A919" s="194">
        <v>0.96166880882099004</v>
      </c>
      <c r="B919" s="195">
        <v>-2.2566215546217142E-2</v>
      </c>
      <c r="C919" s="195">
        <v>0.16742738186821796</v>
      </c>
      <c r="D919" s="196">
        <v>0.21599060131749634</v>
      </c>
      <c r="F919" s="123">
        <f>INDEX(A919:D927,,F912)</f>
        <v>-2.2566215546217142E-2</v>
      </c>
      <c r="G919" s="90">
        <f>INDEX(A913:D921,,G912)</f>
        <v>0.16742738186821796</v>
      </c>
      <c r="I919" s="123">
        <f t="shared" si="292"/>
        <v>-2.7522694115167747E-2</v>
      </c>
      <c r="J919" s="37">
        <f t="shared" si="293"/>
        <v>-7.5564047751540278E-3</v>
      </c>
      <c r="K919" s="37">
        <f t="shared" si="294"/>
        <v>7.003994382311187E-4</v>
      </c>
      <c r="L919" s="90">
        <f t="shared" si="291"/>
        <v>2.0797261723695722E-4</v>
      </c>
      <c r="Q919" s="123">
        <v>-2.2533657295767867E-2</v>
      </c>
      <c r="R919" s="90">
        <v>0.1674317669147683</v>
      </c>
    </row>
    <row r="920" spans="1:18" x14ac:dyDescent="0.25">
      <c r="A920" s="194">
        <v>0.67505563991120554</v>
      </c>
      <c r="B920" s="195">
        <v>-0.22044564291310922</v>
      </c>
      <c r="C920" s="195">
        <v>0.56873337096037546</v>
      </c>
      <c r="D920" s="196">
        <v>0.41502524537761193</v>
      </c>
      <c r="F920" s="123">
        <f>INDEX(A920:D928,,F912)</f>
        <v>-0.22044564291310922</v>
      </c>
      <c r="G920" s="90">
        <f>INDEX(A913:D921,,G912)</f>
        <v>0.56873337096037546</v>
      </c>
      <c r="I920" s="123">
        <f t="shared" si="292"/>
        <v>-0.27486136576457798</v>
      </c>
      <c r="J920" s="37">
        <f t="shared" si="293"/>
        <v>-0.25074958721499963</v>
      </c>
      <c r="K920" s="37">
        <f t="shared" si="294"/>
        <v>1.2673414901476415E-2</v>
      </c>
      <c r="L920" s="90">
        <f t="shared" si="291"/>
        <v>6.8921374006818956E-2</v>
      </c>
      <c r="Q920" s="123">
        <v>-0.22033504321008876</v>
      </c>
      <c r="R920" s="90">
        <v>0.56877622792881777</v>
      </c>
    </row>
    <row r="921" spans="1:18" x14ac:dyDescent="0.25">
      <c r="A921" s="200">
        <v>6.9878279150220726E-2</v>
      </c>
      <c r="B921" s="201">
        <v>-0.92623477965907941</v>
      </c>
      <c r="C921" s="201">
        <v>-0.20330673131119595</v>
      </c>
      <c r="D921" s="202">
        <v>0.30963289886001744</v>
      </c>
      <c r="F921" s="91">
        <f>INDEX(A921:D929,,F912)</f>
        <v>-0.92623477965907941</v>
      </c>
      <c r="G921" s="93">
        <f>INDEX(A913:D921,,G912)</f>
        <v>-0.20330673131119595</v>
      </c>
      <c r="I921" s="91">
        <f t="shared" si="292"/>
        <v>0.8165772400536605</v>
      </c>
      <c r="J921" s="92">
        <f t="shared" si="293"/>
        <v>0.37661953095846645</v>
      </c>
      <c r="K921" s="92">
        <f t="shared" si="294"/>
        <v>0.52495611787427821</v>
      </c>
      <c r="L921" s="93">
        <f t="shared" si="291"/>
        <v>0.30753893714036867</v>
      </c>
      <c r="Q921" s="91">
        <v>-0.92627429704614994</v>
      </c>
      <c r="R921" s="93">
        <v>-0.20312661243226396</v>
      </c>
    </row>
    <row r="922" spans="1:18" x14ac:dyDescent="0.25">
      <c r="I922">
        <f>SUM(I913:I921)</f>
        <v>-0.2299886560554697</v>
      </c>
      <c r="J922">
        <f>SUM(J913:J921)</f>
        <v>-0.71657453597516951</v>
      </c>
      <c r="K922">
        <f>SUM(K913:K921)</f>
        <v>2.2845840099857075</v>
      </c>
      <c r="L922">
        <f>SUM(L913:L921)</f>
        <v>3.8439956446800705E-2</v>
      </c>
    </row>
    <row r="923" spans="1:18" x14ac:dyDescent="0.25">
      <c r="A923" s="47" t="s">
        <v>53</v>
      </c>
      <c r="B923">
        <f>COUNT(A913:A921)</f>
        <v>9</v>
      </c>
      <c r="I923" s="47" t="s">
        <v>462</v>
      </c>
      <c r="J923" s="47" t="s">
        <v>389</v>
      </c>
      <c r="K923" s="47" t="s">
        <v>469</v>
      </c>
      <c r="L923" s="47" t="s">
        <v>470</v>
      </c>
      <c r="N923" s="47"/>
    </row>
    <row r="925" spans="1:18" x14ac:dyDescent="0.25">
      <c r="A925">
        <v>1</v>
      </c>
      <c r="B925">
        <v>2</v>
      </c>
      <c r="C925">
        <v>3</v>
      </c>
      <c r="D925">
        <v>4</v>
      </c>
      <c r="F925">
        <v>2</v>
      </c>
      <c r="G925">
        <v>4</v>
      </c>
      <c r="I925" s="47" t="s">
        <v>207</v>
      </c>
      <c r="J925" s="47" t="s">
        <v>464</v>
      </c>
      <c r="K925" s="47" t="s">
        <v>465</v>
      </c>
      <c r="L925" s="47" t="s">
        <v>466</v>
      </c>
      <c r="Q925">
        <f>F925</f>
        <v>2</v>
      </c>
      <c r="R925">
        <f>G925</f>
        <v>4</v>
      </c>
    </row>
    <row r="926" spans="1:18" x14ac:dyDescent="0.25">
      <c r="A926" s="189">
        <f t="array" ref="A926:A934">IF(A925=$Q912,$Q913:$Q921,IF(A925=$R912,$R913:$R921,A913:A921))</f>
        <v>0.11040527348576189</v>
      </c>
      <c r="B926" s="190">
        <f t="array" ref="B926:B934">IF(B925=$Q912,$Q913:$Q921,IF(B925=$R912,$R913:$R921,B913:B921))</f>
        <v>0.88916860184444113</v>
      </c>
      <c r="C926" s="190">
        <f t="array" ref="C926:C934">IF(C925=$Q912,$Q913:$Q921,IF(C925=$R912,$R913:$R921,C913:C921))</f>
        <v>-0.34183356055044356</v>
      </c>
      <c r="D926" s="191">
        <f t="array" ref="D926:D934">IF(D925=$Q912,$Q913:$Q921,IF(D925=$R912,$R913:$R921,D913:D921))</f>
        <v>0.28344256907166043</v>
      </c>
      <c r="F926" s="156">
        <f>INDEX(A926:D934,,F925)</f>
        <v>0.88916860184444113</v>
      </c>
      <c r="G926" s="158">
        <f>INDEX(A926:D934,,G925)</f>
        <v>0.28344256907166043</v>
      </c>
      <c r="I926" s="156">
        <f>F926^2-G926^2</f>
        <v>0.71028111254405535</v>
      </c>
      <c r="J926" s="157">
        <f>2*F926*G926</f>
        <v>0.50405646568928952</v>
      </c>
      <c r="K926" s="157">
        <f>I926^2-J926^2</f>
        <v>0.25042633823364308</v>
      </c>
      <c r="L926" s="158">
        <f t="shared" ref="L926:L934" si="295">I926*J926</f>
        <v>0.35802178723481304</v>
      </c>
      <c r="N926" t="s">
        <v>390</v>
      </c>
      <c r="O926" s="172">
        <f>L935*B936-2*I935*J935</f>
        <v>-9.9475837855914628E-3</v>
      </c>
      <c r="Q926" s="156">
        <f t="array" ref="Q926:R934">MMULT(F926:G934,N930:O931)</f>
        <v>0.88911857892712176</v>
      </c>
      <c r="R926" s="158">
        <v>0.28359944477124222</v>
      </c>
    </row>
    <row r="927" spans="1:18" x14ac:dyDescent="0.25">
      <c r="A927" s="194">
        <v>0.79376035029902881</v>
      </c>
      <c r="B927" s="195">
        <v>-0.60193266290689185</v>
      </c>
      <c r="C927" s="195">
        <v>8.4656795648112279E-2</v>
      </c>
      <c r="D927" s="196">
        <v>-2.1326100665033664E-2</v>
      </c>
      <c r="F927" s="123">
        <f>INDEX(A927:D935,,F925)</f>
        <v>-0.60193266290689185</v>
      </c>
      <c r="G927" s="90">
        <f>INDEX(A926:D934,,G925)</f>
        <v>-2.1326100665033664E-2</v>
      </c>
      <c r="I927" s="123">
        <f t="shared" ref="I927:I934" si="296">F927^2-G927^2</f>
        <v>0.36186812810460672</v>
      </c>
      <c r="J927" s="37">
        <f t="shared" ref="J927:J934" si="297">2*F927*G927</f>
        <v>2.5673753125448302E-2</v>
      </c>
      <c r="K927" s="37">
        <f t="shared" ref="K927:K934" si="298">I927^2-J927^2</f>
        <v>0.13028940053838559</v>
      </c>
      <c r="L927" s="90">
        <f t="shared" si="295"/>
        <v>9.2905129849257737E-3</v>
      </c>
      <c r="N927" t="s">
        <v>392</v>
      </c>
      <c r="O927" s="173">
        <f>K935*B936-(I935^2-J935^2)</f>
        <v>14.09528203040867</v>
      </c>
      <c r="Q927" s="123">
        <v>-0.60192889087590784</v>
      </c>
      <c r="R927" s="90">
        <v>-2.1432302084855692E-2</v>
      </c>
    </row>
    <row r="928" spans="1:18" x14ac:dyDescent="0.25">
      <c r="A928" s="194">
        <v>0.98389509368607653</v>
      </c>
      <c r="B928" s="195">
        <v>0.11718952296926402</v>
      </c>
      <c r="C928" s="195">
        <v>0.11371840779061415</v>
      </c>
      <c r="D928" s="196">
        <v>7.2699271359970355E-2</v>
      </c>
      <c r="F928" s="123">
        <f>INDEX(A928:D936,,F925)</f>
        <v>0.11718952296926402</v>
      </c>
      <c r="G928" s="90">
        <f>INDEX(A926:D934,,G925)</f>
        <v>7.2699271359970355E-2</v>
      </c>
      <c r="I928" s="123">
        <f t="shared" si="296"/>
        <v>8.4482002374930525E-3</v>
      </c>
      <c r="J928" s="37">
        <f t="shared" si="297"/>
        <v>1.7039185861776007E-2</v>
      </c>
      <c r="K928" s="37">
        <f t="shared" si="298"/>
        <v>-2.1896176757936966E-4</v>
      </c>
      <c r="L928" s="90">
        <f t="shared" si="295"/>
        <v>1.4395045404414433E-4</v>
      </c>
      <c r="N928" t="s">
        <v>467</v>
      </c>
      <c r="O928" s="174">
        <f>0.25*ATAN(O926/O927)</f>
        <v>-1.7643460614357847E-4</v>
      </c>
      <c r="Q928" s="123">
        <v>0.11717669447801496</v>
      </c>
      <c r="R928" s="90">
        <v>7.2719946515658329E-2</v>
      </c>
    </row>
    <row r="929" spans="1:18" x14ac:dyDescent="0.25">
      <c r="A929" s="194">
        <v>4.8523124604023207E-2</v>
      </c>
      <c r="B929" s="195">
        <v>-1.2485458577780025E-3</v>
      </c>
      <c r="C929" s="195">
        <v>8.0533301927114373E-2</v>
      </c>
      <c r="D929" s="196">
        <v>0.99556935207579589</v>
      </c>
      <c r="F929" s="123">
        <f>INDEX(A929:D937,,F925)</f>
        <v>-1.2485458577780025E-3</v>
      </c>
      <c r="G929" s="90">
        <f>INDEX(A926:D934,,G925)</f>
        <v>0.99556935207579589</v>
      </c>
      <c r="I929" s="123">
        <f t="shared" si="296"/>
        <v>-0.99115677592586104</v>
      </c>
      <c r="J929" s="37">
        <f t="shared" si="297"/>
        <v>-2.4860279813299297E-3</v>
      </c>
      <c r="K929" s="37">
        <f t="shared" si="298"/>
        <v>0.98238557412862348</v>
      </c>
      <c r="L929" s="90">
        <f t="shared" si="295"/>
        <v>2.4640434788364496E-3</v>
      </c>
      <c r="Q929" s="123">
        <v>-1.4241987239556936E-3</v>
      </c>
      <c r="R929" s="90">
        <v>0.99556911629347644</v>
      </c>
    </row>
    <row r="930" spans="1:18" x14ac:dyDescent="0.25">
      <c r="A930" s="194">
        <v>0.35382199687428961</v>
      </c>
      <c r="B930" s="195">
        <v>-0.11100243694567108</v>
      </c>
      <c r="C930" s="195">
        <v>0.88625830753827683</v>
      </c>
      <c r="D930" s="196">
        <v>0.27755119498824415</v>
      </c>
      <c r="F930" s="123">
        <f>INDEX(A930:D938,,F925)</f>
        <v>-0.11100243694567108</v>
      </c>
      <c r="G930" s="90">
        <f>INDEX(A926:D934,,G925)</f>
        <v>0.27755119498824415</v>
      </c>
      <c r="I930" s="123">
        <f t="shared" si="296"/>
        <v>-6.4713124831524638E-2</v>
      </c>
      <c r="J930" s="37">
        <f t="shared" si="297"/>
        <v>-6.1617718041756461E-2</v>
      </c>
      <c r="K930" s="37">
        <f t="shared" si="298"/>
        <v>3.9104534878709081E-4</v>
      </c>
      <c r="L930" s="90">
        <f t="shared" si="295"/>
        <v>3.9874750794698741E-3</v>
      </c>
      <c r="N930" s="156">
        <f>COS(O928)</f>
        <v>0.99999998443541493</v>
      </c>
      <c r="O930" s="158">
        <f>-N931</f>
        <v>1.7643460522820132E-4</v>
      </c>
      <c r="Q930" s="123">
        <v>-0.11105140485348258</v>
      </c>
      <c r="R930" s="90">
        <v>0.27753160599713311</v>
      </c>
    </row>
    <row r="931" spans="1:18" x14ac:dyDescent="0.25">
      <c r="A931" s="194">
        <v>-3.1030400308247719E-2</v>
      </c>
      <c r="B931" s="195">
        <v>2.281235666887732E-2</v>
      </c>
      <c r="C931" s="195">
        <v>0.99756647482392258</v>
      </c>
      <c r="D931" s="196">
        <v>-5.8119178825018492E-2</v>
      </c>
      <c r="F931" s="123">
        <f>INDEX(A931:D939,,F925)</f>
        <v>2.281235666887732E-2</v>
      </c>
      <c r="G931" s="90">
        <f>INDEX(A926:D934,,G925)</f>
        <v>-5.8119178825018492E-2</v>
      </c>
      <c r="I931" s="123">
        <f t="shared" si="296"/>
        <v>-2.8574353305064063E-3</v>
      </c>
      <c r="J931" s="37">
        <f t="shared" si="297"/>
        <v>-2.6516708733171682E-3</v>
      </c>
      <c r="K931" s="37">
        <f t="shared" si="298"/>
        <v>1.1335782476276209E-6</v>
      </c>
      <c r="L931" s="90">
        <f t="shared" si="295"/>
        <v>7.5769780382912538E-6</v>
      </c>
      <c r="N931" s="91">
        <f>SIN(O928)</f>
        <v>-1.7643460522820132E-4</v>
      </c>
      <c r="O931" s="93">
        <f>N930</f>
        <v>0.99999998443541493</v>
      </c>
      <c r="Q931" s="123">
        <v>2.2822610548184633E-2</v>
      </c>
      <c r="R931" s="90">
        <v>-5.8115153031274396E-2</v>
      </c>
    </row>
    <row r="932" spans="1:18" x14ac:dyDescent="0.25">
      <c r="A932" s="194">
        <v>0.96166880882099004</v>
      </c>
      <c r="B932" s="195">
        <v>-2.2533657295767867E-2</v>
      </c>
      <c r="C932" s="195">
        <v>0.1674317669147683</v>
      </c>
      <c r="D932" s="196">
        <v>0.21599060131749634</v>
      </c>
      <c r="F932" s="123">
        <f>INDEX(A932:D940,,F925)</f>
        <v>-2.2533657295767867E-2</v>
      </c>
      <c r="G932" s="90">
        <f>INDEX(A926:D934,,G925)</f>
        <v>0.21599060131749634</v>
      </c>
      <c r="I932" s="123">
        <f t="shared" si="296"/>
        <v>-4.6144174146370537E-2</v>
      </c>
      <c r="J932" s="37">
        <f t="shared" si="297"/>
        <v>-9.7341163783905803E-3</v>
      </c>
      <c r="K932" s="37">
        <f t="shared" si="298"/>
        <v>2.0345317859825191E-3</v>
      </c>
      <c r="L932" s="90">
        <f t="shared" si="295"/>
        <v>4.4917276132549263E-4</v>
      </c>
      <c r="Q932" s="123">
        <v>-2.2571765161517293E-2</v>
      </c>
      <c r="R932" s="90">
        <v>0.21598662223876292</v>
      </c>
    </row>
    <row r="933" spans="1:18" x14ac:dyDescent="0.25">
      <c r="A933" s="194">
        <v>0.67505563991120554</v>
      </c>
      <c r="B933" s="195">
        <v>-0.22033504321008876</v>
      </c>
      <c r="C933" s="195">
        <v>0.56877622792881777</v>
      </c>
      <c r="D933" s="196">
        <v>0.41502524537761193</v>
      </c>
      <c r="F933" s="123">
        <f>INDEX(A933:D941,,F925)</f>
        <v>-0.22033504321008876</v>
      </c>
      <c r="G933" s="90">
        <f>INDEX(A926:D934,,G925)</f>
        <v>0.41502524537761193</v>
      </c>
      <c r="I933" s="123">
        <f t="shared" si="296"/>
        <v>-0.1236984230343553</v>
      </c>
      <c r="J933" s="37">
        <f t="shared" si="297"/>
        <v>-0.18288921074710762</v>
      </c>
      <c r="K933" s="37">
        <f t="shared" si="298"/>
        <v>-1.8147163546513627E-2</v>
      </c>
      <c r="L933" s="90">
        <f t="shared" si="295"/>
        <v>2.2623106959415079E-2</v>
      </c>
      <c r="Q933" s="123">
        <v>-0.22040826459599316</v>
      </c>
      <c r="R933" s="90">
        <v>0.41498636419154949</v>
      </c>
    </row>
    <row r="934" spans="1:18" x14ac:dyDescent="0.25">
      <c r="A934" s="200">
        <v>6.9878279150220726E-2</v>
      </c>
      <c r="B934" s="201">
        <v>-0.92627429704614994</v>
      </c>
      <c r="C934" s="201">
        <v>-0.20312661243226396</v>
      </c>
      <c r="D934" s="202">
        <v>0.30963289886001744</v>
      </c>
      <c r="F934" s="91">
        <f>INDEX(A934:D942,,F925)</f>
        <v>-0.92627429704614994</v>
      </c>
      <c r="G934" s="93">
        <f>INDEX(A926:D934,,G925)</f>
        <v>0.30963289886001744</v>
      </c>
      <c r="I934" s="91">
        <f t="shared" si="296"/>
        <v>0.76211154131188152</v>
      </c>
      <c r="J934" s="92">
        <f t="shared" si="297"/>
        <v>-0.57360999146784863</v>
      </c>
      <c r="K934" s="92">
        <f t="shared" si="298"/>
        <v>0.25178557908902627</v>
      </c>
      <c r="L934" s="93">
        <f t="shared" si="295"/>
        <v>-0.43715479470945734</v>
      </c>
      <c r="Q934" s="91">
        <v>-0.92632891258735084</v>
      </c>
      <c r="R934" s="93">
        <v>0.30946946720077745</v>
      </c>
    </row>
    <row r="935" spans="1:18" x14ac:dyDescent="0.25">
      <c r="I935">
        <f>SUM(I926:I934)</f>
        <v>0.61413904892941873</v>
      </c>
      <c r="J935">
        <f>SUM(J926:J934)</f>
        <v>-0.28621933081323658</v>
      </c>
      <c r="K935">
        <f>SUM(K926:K934)</f>
        <v>1.5989474773886028</v>
      </c>
      <c r="L935">
        <f>SUM(L926:L934)</f>
        <v>-4.0167168778589224E-2</v>
      </c>
    </row>
    <row r="936" spans="1:18" x14ac:dyDescent="0.25">
      <c r="A936" s="47" t="s">
        <v>53</v>
      </c>
      <c r="B936">
        <f>COUNT(A926:A934)</f>
        <v>9</v>
      </c>
      <c r="I936" s="47" t="s">
        <v>462</v>
      </c>
      <c r="J936" s="47" t="s">
        <v>389</v>
      </c>
      <c r="K936" s="47" t="s">
        <v>469</v>
      </c>
      <c r="L936" s="47" t="s">
        <v>470</v>
      </c>
      <c r="N936" s="47"/>
    </row>
    <row r="938" spans="1:18" x14ac:dyDescent="0.25">
      <c r="A938">
        <v>1</v>
      </c>
      <c r="B938">
        <v>2</v>
      </c>
      <c r="C938">
        <v>3</v>
      </c>
      <c r="D938">
        <v>4</v>
      </c>
      <c r="F938">
        <v>3</v>
      </c>
      <c r="G938">
        <v>4</v>
      </c>
      <c r="I938" s="47" t="s">
        <v>207</v>
      </c>
      <c r="J938" s="47" t="s">
        <v>464</v>
      </c>
      <c r="K938" s="47" t="s">
        <v>465</v>
      </c>
      <c r="L938" s="47" t="s">
        <v>466</v>
      </c>
      <c r="Q938">
        <f>F938</f>
        <v>3</v>
      </c>
      <c r="R938">
        <f>G938</f>
        <v>4</v>
      </c>
    </row>
    <row r="939" spans="1:18" x14ac:dyDescent="0.25">
      <c r="A939" s="189">
        <f t="array" ref="A939:A947">IF(A938=$Q925,$Q926:$Q934,IF(A938=$R925,$R926:$R934,A926:A934))</f>
        <v>0.11040527348576189</v>
      </c>
      <c r="B939" s="190">
        <f t="array" ref="B939:B947">IF(B938=$Q925,$Q926:$Q934,IF(B938=$R925,$R926:$R934,B926:B934))</f>
        <v>0.88911857892712176</v>
      </c>
      <c r="C939" s="190">
        <f t="array" ref="C939:C947">IF(C938=$Q925,$Q926:$Q934,IF(C938=$R925,$R926:$R934,C926:C934))</f>
        <v>-0.34183356055044356</v>
      </c>
      <c r="D939" s="191">
        <f t="array" ref="D939:D947">IF(D938=$Q925,$Q926:$Q934,IF(D938=$R925,$R926:$R934,D926:D934))</f>
        <v>0.28359944477124222</v>
      </c>
      <c r="F939" s="156">
        <f>INDEX(A939:D947,,F938)</f>
        <v>-0.34183356055044356</v>
      </c>
      <c r="G939" s="158">
        <f>INDEX(A939:D947,,G938)</f>
        <v>0.28359944477124222</v>
      </c>
      <c r="I939" s="156">
        <f>F939^2-G939^2</f>
        <v>3.6421538044036902E-2</v>
      </c>
      <c r="J939" s="157">
        <f>2*F939*G939</f>
        <v>-0.19388761595256521</v>
      </c>
      <c r="K939" s="157">
        <f>I939^2-J939^2</f>
        <v>-3.626587918627619E-2</v>
      </c>
      <c r="L939" s="158">
        <f t="shared" ref="L939:L947" si="299">I939*J939</f>
        <v>-7.0616851806839702E-3</v>
      </c>
      <c r="N939" t="s">
        <v>390</v>
      </c>
      <c r="O939" s="172">
        <f>L948*B949-2*I948*J948</f>
        <v>2.9327406988954863E-3</v>
      </c>
      <c r="Q939" s="156">
        <f t="array" ref="Q939:R947">MMULT(F939:G947,N943:O944)</f>
        <v>-0.34182144579984264</v>
      </c>
      <c r="R939" s="158">
        <v>0.28361404652177552</v>
      </c>
    </row>
    <row r="940" spans="1:18" x14ac:dyDescent="0.25">
      <c r="A940" s="194">
        <v>0.79376035029902881</v>
      </c>
      <c r="B940" s="195">
        <v>-0.60192889087590784</v>
      </c>
      <c r="C940" s="195">
        <v>8.4656795648112279E-2</v>
      </c>
      <c r="D940" s="196">
        <v>-2.1432302084855692E-2</v>
      </c>
      <c r="F940" s="123">
        <f>INDEX(A940:D948,,F938)</f>
        <v>8.4656795648112279E-2</v>
      </c>
      <c r="G940" s="90">
        <f>INDEX(A939:D947,,G938)</f>
        <v>-2.1432302084855692E-2</v>
      </c>
      <c r="I940" s="123">
        <f t="shared" ref="I940:I947" si="300">F940^2-G940^2</f>
        <v>6.7074294767497326E-3</v>
      </c>
      <c r="J940" s="37">
        <f t="shared" ref="J940:J947" si="301">2*F940*G940</f>
        <v>-3.628780035732478E-3</v>
      </c>
      <c r="K940" s="37">
        <f t="shared" ref="K940:K947" si="302">I940^2-J940^2</f>
        <v>3.1821565637840588E-5</v>
      </c>
      <c r="L940" s="90">
        <f t="shared" si="299"/>
        <v>-2.4339786176312969E-5</v>
      </c>
      <c r="N940" t="s">
        <v>392</v>
      </c>
      <c r="O940" s="173">
        <f>K948*B949-(I948^2-J948^2)</f>
        <v>17.163891046336541</v>
      </c>
      <c r="Q940" s="123">
        <v>8.465588005317852E-2</v>
      </c>
      <c r="R940" s="90">
        <v>-2.1435918326132005E-2</v>
      </c>
    </row>
    <row r="941" spans="1:18" x14ac:dyDescent="0.25">
      <c r="A941" s="194">
        <v>0.98389509368607653</v>
      </c>
      <c r="B941" s="195">
        <v>0.11717669447801496</v>
      </c>
      <c r="C941" s="195">
        <v>0.11371840779061415</v>
      </c>
      <c r="D941" s="196">
        <v>7.2719946515658329E-2</v>
      </c>
      <c r="F941" s="123">
        <f>INDEX(A941:D949,,F938)</f>
        <v>0.11371840779061415</v>
      </c>
      <c r="G941" s="90">
        <f>INDEX(A939:D947,,G938)</f>
        <v>7.2719946515658329E-2</v>
      </c>
      <c r="I941" s="123">
        <f t="shared" si="300"/>
        <v>7.6436856491922051E-3</v>
      </c>
      <c r="J941" s="37">
        <f t="shared" si="301"/>
        <v>1.6539193064758571E-2</v>
      </c>
      <c r="K941" s="37">
        <f t="shared" si="302"/>
        <v>-2.1511897692969115E-4</v>
      </c>
      <c r="L941" s="90">
        <f t="shared" si="299"/>
        <v>1.2642039267831434E-4</v>
      </c>
      <c r="N941" t="s">
        <v>467</v>
      </c>
      <c r="O941" s="174">
        <f>0.25*ATAN(O939/O940)</f>
        <v>4.2716722310185489E-5</v>
      </c>
      <c r="Q941" s="123">
        <v>0.1137215140446229</v>
      </c>
      <c r="R941" s="90">
        <v>7.2715088771665951E-2</v>
      </c>
    </row>
    <row r="942" spans="1:18" x14ac:dyDescent="0.25">
      <c r="A942" s="194">
        <v>4.8523124604023207E-2</v>
      </c>
      <c r="B942" s="195">
        <v>-1.4241987239556936E-3</v>
      </c>
      <c r="C942" s="195">
        <v>8.0533301927114373E-2</v>
      </c>
      <c r="D942" s="196">
        <v>0.99556911629347644</v>
      </c>
      <c r="F942" s="123">
        <f>INDEX(A942:D950,,F938)</f>
        <v>8.0533301927114373E-2</v>
      </c>
      <c r="G942" s="90">
        <f>INDEX(A939:D947,,G938)</f>
        <v>0.99556911629347644</v>
      </c>
      <c r="I942" s="123">
        <f t="shared" si="300"/>
        <v>-0.98467225259808988</v>
      </c>
      <c r="J942" s="37">
        <f t="shared" si="301"/>
        <v>0.16035293646354595</v>
      </c>
      <c r="K942" s="37">
        <f t="shared" si="302"/>
        <v>0.94386638080411456</v>
      </c>
      <c r="L942" s="90">
        <f t="shared" si="299"/>
        <v>-0.15789508715827819</v>
      </c>
      <c r="Q942" s="123">
        <v>8.0575829303107444E-2</v>
      </c>
      <c r="R942" s="90">
        <v>0.99556567526646567</v>
      </c>
    </row>
    <row r="943" spans="1:18" x14ac:dyDescent="0.25">
      <c r="A943" s="194">
        <v>0.35382199687428961</v>
      </c>
      <c r="B943" s="195">
        <v>-0.11105140485348258</v>
      </c>
      <c r="C943" s="195">
        <v>0.88625830753827683</v>
      </c>
      <c r="D943" s="196">
        <v>0.27753160599713311</v>
      </c>
      <c r="F943" s="123">
        <f>INDEX(A943:D951,,F938)</f>
        <v>0.88625830753827683</v>
      </c>
      <c r="G943" s="90">
        <f>INDEX(A939:D947,,G938)</f>
        <v>0.27753160599713311</v>
      </c>
      <c r="I943" s="123">
        <f t="shared" si="300"/>
        <v>0.70842999535326301</v>
      </c>
      <c r="J943" s="37">
        <f t="shared" si="301"/>
        <v>0.49192938283879817</v>
      </c>
      <c r="K943" s="37">
        <f t="shared" si="302"/>
        <v>0.2598785406160633</v>
      </c>
      <c r="L943" s="90">
        <f t="shared" si="299"/>
        <v>0.3484975303986233</v>
      </c>
      <c r="N943" s="156">
        <f>COS(O941)</f>
        <v>0.99999999908764081</v>
      </c>
      <c r="O943" s="158">
        <f>-N944</f>
        <v>-4.271672229719449E-5</v>
      </c>
      <c r="Q943" s="123">
        <v>0.88627016197023301</v>
      </c>
      <c r="R943" s="90">
        <v>0.27749374769391794</v>
      </c>
    </row>
    <row r="944" spans="1:18" x14ac:dyDescent="0.25">
      <c r="A944" s="194">
        <v>-3.1030400308247719E-2</v>
      </c>
      <c r="B944" s="195">
        <v>2.2822610548184633E-2</v>
      </c>
      <c r="C944" s="195">
        <v>0.99756647482392258</v>
      </c>
      <c r="D944" s="196">
        <v>-5.8115153031274396E-2</v>
      </c>
      <c r="F944" s="123">
        <f>INDEX(A944:D952,,F938)</f>
        <v>0.99756647482392258</v>
      </c>
      <c r="G944" s="90">
        <f>INDEX(A939:D947,,G938)</f>
        <v>-5.8115153031274396E-2</v>
      </c>
      <c r="I944" s="123">
        <f t="shared" si="300"/>
        <v>0.99176150068077928</v>
      </c>
      <c r="J944" s="37">
        <f t="shared" si="301"/>
        <v>-0.1159474566865224</v>
      </c>
      <c r="K944" s="37">
        <f t="shared" si="302"/>
        <v>0.97014706152051844</v>
      </c>
      <c r="L944" s="90">
        <f t="shared" si="299"/>
        <v>-0.11499222364354511</v>
      </c>
      <c r="N944" s="91">
        <f>SIN(O941)</f>
        <v>4.271672229719449E-5</v>
      </c>
      <c r="O944" s="93">
        <f>N943</f>
        <v>0.99999999908764081</v>
      </c>
      <c r="Q944" s="123">
        <v>0.99756399142493035</v>
      </c>
      <c r="R944" s="90">
        <v>-5.815776574833055E-2</v>
      </c>
    </row>
    <row r="945" spans="1:18" x14ac:dyDescent="0.25">
      <c r="A945" s="194">
        <v>0.96166880882099004</v>
      </c>
      <c r="B945" s="195">
        <v>-2.2571765161517293E-2</v>
      </c>
      <c r="C945" s="195">
        <v>0.1674317669147683</v>
      </c>
      <c r="D945" s="196">
        <v>0.21598662223876292</v>
      </c>
      <c r="F945" s="123">
        <f>INDEX(A945:D953,,F938)</f>
        <v>0.1674317669147683</v>
      </c>
      <c r="G945" s="90">
        <f>INDEX(A939:D947,,G938)</f>
        <v>0.21598662223876292</v>
      </c>
      <c r="I945" s="123">
        <f t="shared" si="300"/>
        <v>-1.8616824413908776E-2</v>
      </c>
      <c r="J945" s="37">
        <f t="shared" si="301"/>
        <v>7.2326043582777333E-2</v>
      </c>
      <c r="K945" s="37">
        <f t="shared" si="302"/>
        <v>-4.884470429079496E-3</v>
      </c>
      <c r="L945" s="90">
        <f t="shared" si="299"/>
        <v>-1.3464812539332792E-3</v>
      </c>
      <c r="Q945" s="123">
        <v>0.16744099300257245</v>
      </c>
      <c r="R945" s="90">
        <v>0.21597946990541453</v>
      </c>
    </row>
    <row r="946" spans="1:18" x14ac:dyDescent="0.25">
      <c r="A946" s="194">
        <v>0.67505563991120554</v>
      </c>
      <c r="B946" s="195">
        <v>-0.22040826459599316</v>
      </c>
      <c r="C946" s="195">
        <v>0.56877622792881777</v>
      </c>
      <c r="D946" s="196">
        <v>0.41498636419154949</v>
      </c>
      <c r="F946" s="123">
        <f>INDEX(A946:D954,,F938)</f>
        <v>0.56877622792881777</v>
      </c>
      <c r="G946" s="90">
        <f>INDEX(A939:D947,,G938)</f>
        <v>0.41498636419154949</v>
      </c>
      <c r="I946" s="123">
        <f t="shared" si="300"/>
        <v>0.15129271499201308</v>
      </c>
      <c r="J946" s="37">
        <f t="shared" si="301"/>
        <v>0.47206875773352824</v>
      </c>
      <c r="K946" s="37">
        <f t="shared" si="302"/>
        <v>-0.19995942641842207</v>
      </c>
      <c r="L946" s="90">
        <f t="shared" si="299"/>
        <v>7.1420564020412358E-2</v>
      </c>
      <c r="Q946" s="123">
        <v>0.56879395426716584</v>
      </c>
      <c r="R946" s="90">
        <v>0.41496206755675519</v>
      </c>
    </row>
    <row r="947" spans="1:18" x14ac:dyDescent="0.25">
      <c r="A947" s="200">
        <v>6.9878279150220726E-2</v>
      </c>
      <c r="B947" s="201">
        <v>-0.92632891258735084</v>
      </c>
      <c r="C947" s="201">
        <v>-0.20312661243226396</v>
      </c>
      <c r="D947" s="202">
        <v>0.30946946720077745</v>
      </c>
      <c r="F947" s="91">
        <f>INDEX(A947:D955,,F938)</f>
        <v>-0.20312661243226396</v>
      </c>
      <c r="G947" s="93">
        <f>INDEX(A939:D947,,G938)</f>
        <v>0.30946946720077745</v>
      </c>
      <c r="I947" s="91">
        <f t="shared" si="300"/>
        <v>-5.4510930451325899E-2</v>
      </c>
      <c r="J947" s="92">
        <f t="shared" si="301"/>
        <v>-0.12572296904742308</v>
      </c>
      <c r="K947" s="92">
        <f t="shared" si="302"/>
        <v>-1.2834823407430014E-2</v>
      </c>
      <c r="L947" s="93">
        <f t="shared" si="299"/>
        <v>6.8532760218782789E-3</v>
      </c>
      <c r="Q947" s="91">
        <v>-0.20311339272564966</v>
      </c>
      <c r="R947" s="93">
        <v>0.30947814382152455</v>
      </c>
    </row>
    <row r="948" spans="1:18" x14ac:dyDescent="0.25">
      <c r="I948">
        <f>SUM(I939:I947)</f>
        <v>0.84445685673270965</v>
      </c>
      <c r="J948">
        <f>SUM(J939:J947)</f>
        <v>0.77402949196116511</v>
      </c>
      <c r="K948">
        <f>SUM(K939:K947)</f>
        <v>1.9197640860881968</v>
      </c>
      <c r="L948">
        <f>SUM(L939:L947)</f>
        <v>0.1455779738109754</v>
      </c>
    </row>
    <row r="949" spans="1:18" x14ac:dyDescent="0.25">
      <c r="A949" s="47" t="s">
        <v>53</v>
      </c>
      <c r="B949">
        <f>COUNT(A939:A947)</f>
        <v>9</v>
      </c>
      <c r="I949" s="47" t="s">
        <v>462</v>
      </c>
      <c r="J949" s="47" t="s">
        <v>389</v>
      </c>
      <c r="K949" s="47" t="s">
        <v>469</v>
      </c>
      <c r="L949" s="47" t="s">
        <v>470</v>
      </c>
      <c r="N949" s="47"/>
    </row>
    <row r="951" spans="1:18" x14ac:dyDescent="0.25">
      <c r="A951">
        <v>1</v>
      </c>
      <c r="B951">
        <v>2</v>
      </c>
      <c r="C951">
        <v>3</v>
      </c>
      <c r="D951">
        <v>4</v>
      </c>
      <c r="F951">
        <v>1</v>
      </c>
      <c r="G951">
        <v>2</v>
      </c>
      <c r="I951" s="47" t="s">
        <v>207</v>
      </c>
      <c r="J951" s="47" t="s">
        <v>464</v>
      </c>
      <c r="K951" s="47" t="s">
        <v>465</v>
      </c>
      <c r="L951" s="47" t="s">
        <v>466</v>
      </c>
      <c r="Q951">
        <f>F951</f>
        <v>1</v>
      </c>
      <c r="R951">
        <f>G951</f>
        <v>2</v>
      </c>
    </row>
    <row r="952" spans="1:18" x14ac:dyDescent="0.25">
      <c r="A952" s="189">
        <f t="array" ref="A952:A960">IF(A951=$Q938,$Q939:$Q947,IF(A951=$R938,$R939:$R947,A939:A947))</f>
        <v>0.11040527348576189</v>
      </c>
      <c r="B952" s="190">
        <f t="array" ref="B952:B960">IF(B951=$Q938,$Q939:$Q947,IF(B951=$R938,$R939:$R947,B939:B947))</f>
        <v>0.88911857892712176</v>
      </c>
      <c r="C952" s="190">
        <f t="array" ref="C952:C960">IF(C951=$Q938,$Q939:$Q947,IF(C951=$R938,$R939:$R947,C939:C947))</f>
        <v>-0.34182144579984264</v>
      </c>
      <c r="D952" s="191">
        <f t="array" ref="D952:D960">IF(D951=$Q938,$Q939:$Q947,IF(D951=$R938,$R939:$R947,D939:D947))</f>
        <v>0.28361404652177552</v>
      </c>
      <c r="F952" s="156">
        <f>INDEX(A952:D960,,F951)</f>
        <v>0.11040527348576189</v>
      </c>
      <c r="G952" s="158">
        <f>INDEX(A952:D960,,G951)</f>
        <v>0.88911857892712176</v>
      </c>
      <c r="I952" s="156">
        <f>F952^2-G952^2</f>
        <v>-0.77834252297991857</v>
      </c>
      <c r="J952" s="157">
        <f>2*F952*G952</f>
        <v>0.1963267597354417</v>
      </c>
      <c r="K952" s="157">
        <f>I952^2-J952^2</f>
        <v>0.56727288649052721</v>
      </c>
      <c r="L952" s="158">
        <f t="shared" ref="L952:L960" si="303">I952*J952</f>
        <v>-0.15280946550095598</v>
      </c>
      <c r="N952" t="s">
        <v>390</v>
      </c>
      <c r="O952" s="172">
        <f>L961*B962-2*I961*J961</f>
        <v>4.9734358199073903E-3</v>
      </c>
      <c r="Q952" s="156">
        <f t="array" ref="Q952:R960">MMULT(F952:G960,N956:O957)</f>
        <v>0.11046009483004318</v>
      </c>
      <c r="R952" s="158">
        <v>0.8891117698337978</v>
      </c>
    </row>
    <row r="953" spans="1:18" x14ac:dyDescent="0.25">
      <c r="A953" s="194">
        <v>0.79376035029902881</v>
      </c>
      <c r="B953" s="195">
        <v>-0.60192889087590784</v>
      </c>
      <c r="C953" s="195">
        <v>8.465588005317852E-2</v>
      </c>
      <c r="D953" s="196">
        <v>-2.1435918326132005E-2</v>
      </c>
      <c r="F953" s="123">
        <f>INDEX(A953:D961,,F951)</f>
        <v>0.79376035029902881</v>
      </c>
      <c r="G953" s="90">
        <f>INDEX(A952:D960,,G951)</f>
        <v>-0.60192889087590784</v>
      </c>
      <c r="I953" s="123">
        <f t="shared" ref="I953:I960" si="304">F953^2-G953^2</f>
        <v>0.26773710403573631</v>
      </c>
      <c r="J953" s="37">
        <f t="shared" ref="J953:J960" si="305">2*F953*G953</f>
        <v>-0.95557457455353301</v>
      </c>
      <c r="K953" s="37">
        <f t="shared" ref="K953:K960" si="306">I953^2-J953^2</f>
        <v>-0.84143961065572292</v>
      </c>
      <c r="L953" s="90">
        <f t="shared" si="303"/>
        <v>-0.25584276928114374</v>
      </c>
      <c r="N953" t="s">
        <v>392</v>
      </c>
      <c r="O953" s="173">
        <f>K961*B962-(I961^2-J961^2)</f>
        <v>20.165307992723225</v>
      </c>
      <c r="Q953" s="123">
        <v>0.79372323486853091</v>
      </c>
      <c r="R953" s="90">
        <v>-0.60197783165808716</v>
      </c>
    </row>
    <row r="954" spans="1:18" x14ac:dyDescent="0.25">
      <c r="A954" s="194">
        <v>0.98389509368607653</v>
      </c>
      <c r="B954" s="195">
        <v>0.11717669447801496</v>
      </c>
      <c r="C954" s="195">
        <v>0.1137215140446229</v>
      </c>
      <c r="D954" s="196">
        <v>7.2715088771665951E-2</v>
      </c>
      <c r="F954" s="123">
        <f>INDEX(A954:D962,,F951)</f>
        <v>0.98389509368607653</v>
      </c>
      <c r="G954" s="90">
        <f>INDEX(A952:D960,,G951)</f>
        <v>0.11717669447801496</v>
      </c>
      <c r="I954" s="123">
        <f t="shared" si="304"/>
        <v>0.95431917765073926</v>
      </c>
      <c r="J954" s="37">
        <f t="shared" si="305"/>
        <v>0.23057914958254258</v>
      </c>
      <c r="K954" s="37">
        <f t="shared" si="306"/>
        <v>0.85755834860977465</v>
      </c>
      <c r="L954" s="90">
        <f t="shared" si="303"/>
        <v>0.22004610441301883</v>
      </c>
      <c r="N954" t="s">
        <v>467</v>
      </c>
      <c r="O954" s="174">
        <f>0.25*ATAN(O952/O953)</f>
        <v>6.1658315866794036E-5</v>
      </c>
      <c r="Q954" s="123">
        <v>0.98390231673345185</v>
      </c>
      <c r="R954" s="90">
        <v>0.11711602894084899</v>
      </c>
    </row>
    <row r="955" spans="1:18" x14ac:dyDescent="0.25">
      <c r="A955" s="194">
        <v>4.8523124604023207E-2</v>
      </c>
      <c r="B955" s="195">
        <v>-1.4241987239556936E-3</v>
      </c>
      <c r="C955" s="195">
        <v>8.0575829303107444E-2</v>
      </c>
      <c r="D955" s="196">
        <v>0.99556567526646567</v>
      </c>
      <c r="F955" s="123">
        <f>INDEX(A955:D963,,F951)</f>
        <v>4.8523124604023207E-2</v>
      </c>
      <c r="G955" s="90">
        <f>INDEX(A952:D960,,G951)</f>
        <v>-1.4241987239556936E-3</v>
      </c>
      <c r="I955" s="123">
        <f t="shared" si="304"/>
        <v>2.352465279332245E-3</v>
      </c>
      <c r="J955" s="37">
        <f t="shared" si="305"/>
        <v>-1.3821314428678593E-4</v>
      </c>
      <c r="K955" s="37">
        <f t="shared" si="306"/>
        <v>5.5149900172100974E-6</v>
      </c>
      <c r="L955" s="90">
        <f t="shared" si="303"/>
        <v>-3.2514162308200176E-7</v>
      </c>
      <c r="Q955" s="123">
        <v>4.8523036698092138E-2</v>
      </c>
      <c r="R955" s="90">
        <v>-1.4271905753902544E-3</v>
      </c>
    </row>
    <row r="956" spans="1:18" x14ac:dyDescent="0.25">
      <c r="A956" s="194">
        <v>0.35382199687428961</v>
      </c>
      <c r="B956" s="195">
        <v>-0.11105140485348258</v>
      </c>
      <c r="C956" s="195">
        <v>0.88627016197023301</v>
      </c>
      <c r="D956" s="196">
        <v>0.27749374769391794</v>
      </c>
      <c r="F956" s="123">
        <f>INDEX(A956:D964,,F951)</f>
        <v>0.35382199687428961</v>
      </c>
      <c r="G956" s="90">
        <f>INDEX(A952:D960,,G951)</f>
        <v>-0.11105140485348258</v>
      </c>
      <c r="I956" s="123">
        <f t="shared" si="304"/>
        <v>0.11285759095217772</v>
      </c>
      <c r="J956" s="37">
        <f t="shared" si="305"/>
        <v>-7.8584859641908769E-2</v>
      </c>
      <c r="K956" s="37">
        <f t="shared" si="306"/>
        <v>6.5612556705905642E-3</v>
      </c>
      <c r="L956" s="90">
        <f t="shared" si="303"/>
        <v>-8.8688979445008392E-3</v>
      </c>
      <c r="N956" s="156">
        <f>COS(O954)</f>
        <v>0.9999999980991261</v>
      </c>
      <c r="O956" s="158">
        <f>-N957</f>
        <v>-6.1658315827725814E-5</v>
      </c>
      <c r="Q956" s="123">
        <v>0.35381514895912503</v>
      </c>
      <c r="R956" s="90">
        <v>-0.11107322071081795</v>
      </c>
    </row>
    <row r="957" spans="1:18" x14ac:dyDescent="0.25">
      <c r="A957" s="194">
        <v>-3.1030400308247719E-2</v>
      </c>
      <c r="B957" s="195">
        <v>2.2822610548184633E-2</v>
      </c>
      <c r="C957" s="195">
        <v>0.99756399142493035</v>
      </c>
      <c r="D957" s="196">
        <v>-5.815776574833055E-2</v>
      </c>
      <c r="F957" s="123">
        <f>INDEX(A957:D965,,F951)</f>
        <v>-3.1030400308247719E-2</v>
      </c>
      <c r="G957" s="90">
        <f>INDEX(A952:D960,,G951)</f>
        <v>2.2822610548184633E-2</v>
      </c>
      <c r="I957" s="123">
        <f t="shared" si="304"/>
        <v>4.4201419105599157E-4</v>
      </c>
      <c r="J957" s="37">
        <f t="shared" si="305"/>
        <v>-1.4163894827788123E-3</v>
      </c>
      <c r="K957" s="37">
        <f t="shared" si="306"/>
        <v>-1.8107826218315484E-6</v>
      </c>
      <c r="L957" s="90">
        <f t="shared" si="303"/>
        <v>-6.2606425145069104E-7</v>
      </c>
      <c r="N957" s="91">
        <f>SIN(O954)</f>
        <v>6.1658315827725814E-5</v>
      </c>
      <c r="O957" s="93">
        <f>N956</f>
        <v>0.9999999980991261</v>
      </c>
      <c r="Q957" s="123">
        <v>-3.1028993045533648E-2</v>
      </c>
      <c r="R957" s="90">
        <v>2.2824523787024195E-2</v>
      </c>
    </row>
    <row r="958" spans="1:18" x14ac:dyDescent="0.25">
      <c r="A958" s="194">
        <v>0.96166880882099004</v>
      </c>
      <c r="B958" s="195">
        <v>-2.2571765161517293E-2</v>
      </c>
      <c r="C958" s="195">
        <v>0.16744099300257245</v>
      </c>
      <c r="D958" s="196">
        <v>0.21597946990541453</v>
      </c>
      <c r="F958" s="123">
        <f>INDEX(A958:D966,,F951)</f>
        <v>0.96166880882099004</v>
      </c>
      <c r="G958" s="90">
        <f>INDEX(A952:D960,,G951)</f>
        <v>-2.2571765161517293E-2</v>
      </c>
      <c r="I958" s="123">
        <f t="shared" si="304"/>
        <v>0.92429741327667525</v>
      </c>
      <c r="J958" s="37">
        <f t="shared" si="305"/>
        <v>-4.3413125031726917E-2</v>
      </c>
      <c r="K958" s="37">
        <f t="shared" si="306"/>
        <v>0.85244100876493267</v>
      </c>
      <c r="L958" s="90">
        <f t="shared" si="303"/>
        <v>-4.0126639169082066E-2</v>
      </c>
      <c r="Q958" s="123">
        <v>0.96166741525595378</v>
      </c>
      <c r="R958" s="90">
        <v>-2.2631059997747172E-2</v>
      </c>
    </row>
    <row r="959" spans="1:18" x14ac:dyDescent="0.25">
      <c r="A959" s="194">
        <v>0.67505563991120554</v>
      </c>
      <c r="B959" s="195">
        <v>-0.22040826459599316</v>
      </c>
      <c r="C959" s="195">
        <v>0.56879395426716584</v>
      </c>
      <c r="D959" s="196">
        <v>0.41496206755675519</v>
      </c>
      <c r="F959" s="123">
        <f>INDEX(A959:D967,,F951)</f>
        <v>0.67505563991120554</v>
      </c>
      <c r="G959" s="90">
        <f>INDEX(A952:D960,,G951)</f>
        <v>-0.22040826459599316</v>
      </c>
      <c r="I959" s="123">
        <f t="shared" si="304"/>
        <v>0.40712031387370989</v>
      </c>
      <c r="J959" s="37">
        <f t="shared" si="305"/>
        <v>-0.29757568419713293</v>
      </c>
      <c r="K959" s="37">
        <f t="shared" si="306"/>
        <v>7.7195662143236282E-2</v>
      </c>
      <c r="L959" s="90">
        <f t="shared" si="303"/>
        <v>-0.12114910595152073</v>
      </c>
      <c r="Q959" s="123">
        <v>0.67504204862562034</v>
      </c>
      <c r="R959" s="90">
        <v>-0.22044988697087178</v>
      </c>
    </row>
    <row r="960" spans="1:18" x14ac:dyDescent="0.25">
      <c r="A960" s="200">
        <v>6.9878279150220726E-2</v>
      </c>
      <c r="B960" s="201">
        <v>-0.92632891258735084</v>
      </c>
      <c r="C960" s="201">
        <v>-0.20311339272564966</v>
      </c>
      <c r="D960" s="202">
        <v>0.30947814382152455</v>
      </c>
      <c r="F960" s="91">
        <f>INDEX(A960:D968,,F951)</f>
        <v>6.9878279150220726E-2</v>
      </c>
      <c r="G960" s="93">
        <f>INDEX(A952:D960,,G951)</f>
        <v>-0.92632891258735084</v>
      </c>
      <c r="I960" s="91">
        <f t="shared" si="304"/>
        <v>-0.85320228039826762</v>
      </c>
      <c r="J960" s="92">
        <f t="shared" si="305"/>
        <v>-0.12946054067739862</v>
      </c>
      <c r="K960" s="92">
        <f t="shared" si="306"/>
        <v>0.71119409968431968</v>
      </c>
      <c r="L960" s="93">
        <f t="shared" si="303"/>
        <v>0.1104560285275492</v>
      </c>
      <c r="Q960" s="91">
        <v>6.9821163136738265E-2</v>
      </c>
      <c r="R960" s="93">
        <v>-0.92633321940352176</v>
      </c>
    </row>
    <row r="961" spans="1:18" x14ac:dyDescent="0.25">
      <c r="I961">
        <f>SUM(I952:I960)</f>
        <v>1.0375812758812404</v>
      </c>
      <c r="J961">
        <f>SUM(J952:J960)</f>
        <v>-1.0792574774107815</v>
      </c>
      <c r="K961">
        <f>SUM(K952:K960)</f>
        <v>2.2307873549150536</v>
      </c>
      <c r="L961">
        <f>SUM(L952:L960)</f>
        <v>-0.24829569611250979</v>
      </c>
    </row>
    <row r="962" spans="1:18" x14ac:dyDescent="0.25">
      <c r="A962" s="47" t="s">
        <v>53</v>
      </c>
      <c r="B962">
        <f>COUNT(A952:A960)</f>
        <v>9</v>
      </c>
      <c r="I962" s="47" t="s">
        <v>462</v>
      </c>
      <c r="J962" s="47" t="s">
        <v>389</v>
      </c>
      <c r="K962" s="47" t="s">
        <v>469</v>
      </c>
      <c r="L962" s="47" t="s">
        <v>470</v>
      </c>
      <c r="N962" s="47"/>
    </row>
    <row r="964" spans="1:18" x14ac:dyDescent="0.25">
      <c r="A964">
        <v>1</v>
      </c>
      <c r="B964">
        <v>2</v>
      </c>
      <c r="C964">
        <v>3</v>
      </c>
      <c r="D964">
        <v>4</v>
      </c>
      <c r="F964">
        <v>1</v>
      </c>
      <c r="G964">
        <v>3</v>
      </c>
      <c r="I964" s="47" t="s">
        <v>207</v>
      </c>
      <c r="J964" s="47" t="s">
        <v>464</v>
      </c>
      <c r="K964" s="47" t="s">
        <v>465</v>
      </c>
      <c r="L964" s="47" t="s">
        <v>466</v>
      </c>
      <c r="Q964">
        <f>F964</f>
        <v>1</v>
      </c>
      <c r="R964">
        <f>G964</f>
        <v>3</v>
      </c>
    </row>
    <row r="965" spans="1:18" x14ac:dyDescent="0.25">
      <c r="A965" s="189">
        <f t="array" ref="A965:A973">IF(A964=$Q951,$Q952:$Q960,IF(A964=$R951,$R952:$R960,A952:A960))</f>
        <v>0.11046009483004318</v>
      </c>
      <c r="B965" s="190">
        <f t="array" ref="B965:B973">IF(B964=$Q951,$Q952:$Q960,IF(B964=$R951,$R952:$R960,B952:B960))</f>
        <v>0.8891117698337978</v>
      </c>
      <c r="C965" s="190">
        <f t="array" ref="C965:C973">IF(C964=$Q951,$Q952:$Q960,IF(C964=$R951,$R952:$R960,C952:C960))</f>
        <v>-0.34182144579984264</v>
      </c>
      <c r="D965" s="191">
        <f t="array" ref="D965:D973">IF(D964=$Q951,$Q952:$Q960,IF(D964=$R951,$R952:$R960,D952:D960))</f>
        <v>0.28361404652177552</v>
      </c>
      <c r="F965" s="156">
        <f>INDEX(A965:D973,,F964)</f>
        <v>0.11046009483004318</v>
      </c>
      <c r="G965" s="158">
        <f>INDEX(A965:D973,,G964)</f>
        <v>-0.34182144579984264</v>
      </c>
      <c r="I965" s="156">
        <f>F965^2-G965^2</f>
        <v>-0.10464046825883264</v>
      </c>
      <c r="J965" s="157">
        <f>2*F965*G965</f>
        <v>-7.5515258635986168E-2</v>
      </c>
      <c r="K965" s="157">
        <f>I965^2-J965^2</f>
        <v>5.2470733105678766E-3</v>
      </c>
      <c r="L965" s="158">
        <f t="shared" ref="L965:L973" si="307">I965*J965</f>
        <v>7.9019520243564477E-3</v>
      </c>
      <c r="N965" t="s">
        <v>390</v>
      </c>
      <c r="O965" s="172">
        <f>L974*B975-2*I974*J974</f>
        <v>1.0694817524607991E-3</v>
      </c>
      <c r="Q965" s="156">
        <f t="array" ref="Q965:R973">MMULT(F965:G973,N969:O970)</f>
        <v>0.11045637413989907</v>
      </c>
      <c r="R965" s="158">
        <v>-0.34182264812388241</v>
      </c>
    </row>
    <row r="966" spans="1:18" x14ac:dyDescent="0.25">
      <c r="A966" s="194">
        <v>0.79372323486853091</v>
      </c>
      <c r="B966" s="195">
        <v>-0.60197783165808716</v>
      </c>
      <c r="C966" s="195">
        <v>8.465588005317852E-2</v>
      </c>
      <c r="D966" s="196">
        <v>-2.1435918326132005E-2</v>
      </c>
      <c r="F966" s="123">
        <f>INDEX(A966:D974,,F964)</f>
        <v>0.79372323486853091</v>
      </c>
      <c r="G966" s="90">
        <f>INDEX(A965:D973,,G964)</f>
        <v>8.465588005317852E-2</v>
      </c>
      <c r="I966" s="123">
        <f t="shared" ref="I966:I973" si="308">F966^2-G966^2</f>
        <v>0.62282995554258702</v>
      </c>
      <c r="J966" s="37">
        <f t="shared" ref="J966:J973" si="309">2*F966*G966</f>
        <v>0.1343866779329024</v>
      </c>
      <c r="K966" s="37">
        <f t="shared" ref="K966:K973" si="310">I966^2-J966^2</f>
        <v>0.36985737431533933</v>
      </c>
      <c r="L966" s="90">
        <f t="shared" si="307"/>
        <v>8.3700048642465566E-2</v>
      </c>
      <c r="N966" t="s">
        <v>392</v>
      </c>
      <c r="O966" s="173">
        <f>K974*B975-(I974^2-J974^2)</f>
        <v>24.563483347694135</v>
      </c>
      <c r="Q966" s="123">
        <v>0.7937241562901558</v>
      </c>
      <c r="R966" s="90">
        <v>8.464724047022143E-2</v>
      </c>
    </row>
    <row r="967" spans="1:18" x14ac:dyDescent="0.25">
      <c r="A967" s="194">
        <v>0.98390231673345185</v>
      </c>
      <c r="B967" s="195">
        <v>0.11711602894084899</v>
      </c>
      <c r="C967" s="195">
        <v>0.1137215140446229</v>
      </c>
      <c r="D967" s="196">
        <v>7.2715088771665951E-2</v>
      </c>
      <c r="F967" s="123">
        <f>INDEX(A967:D975,,F964)</f>
        <v>0.98390231673345185</v>
      </c>
      <c r="G967" s="90">
        <f>INDEX(A965:D973,,G964)</f>
        <v>0.1137215140446229</v>
      </c>
      <c r="I967" s="123">
        <f t="shared" si="308"/>
        <v>0.95513118611685244</v>
      </c>
      <c r="J967" s="37">
        <f t="shared" si="309"/>
        <v>0.22378172226188051</v>
      </c>
      <c r="K967" s="37">
        <f t="shared" si="310"/>
        <v>0.86219732347449196</v>
      </c>
      <c r="L967" s="90">
        <f t="shared" si="307"/>
        <v>0.21374090181526198</v>
      </c>
      <c r="N967" t="s">
        <v>467</v>
      </c>
      <c r="O967" s="174">
        <f>0.25*ATAN(O965/O966)</f>
        <v>1.0884874680094936E-5</v>
      </c>
      <c r="Q967" s="123">
        <v>0.98390355451959399</v>
      </c>
      <c r="R967" s="90">
        <v>0.11371080438447112</v>
      </c>
    </row>
    <row r="968" spans="1:18" x14ac:dyDescent="0.25">
      <c r="A968" s="194">
        <v>4.8523036698092138E-2</v>
      </c>
      <c r="B968" s="195">
        <v>-1.4271905753902544E-3</v>
      </c>
      <c r="C968" s="195">
        <v>8.0575829303107444E-2</v>
      </c>
      <c r="D968" s="196">
        <v>0.99556567526646567</v>
      </c>
      <c r="F968" s="123">
        <f>INDEX(A968:D976,,F964)</f>
        <v>4.8523036698092138E-2</v>
      </c>
      <c r="G968" s="90">
        <f>INDEX(A965:D973,,G964)</f>
        <v>8.0575829303107444E-2</v>
      </c>
      <c r="I968" s="123">
        <f t="shared" si="308"/>
        <v>-4.1379791774791112E-3</v>
      </c>
      <c r="J968" s="37">
        <f t="shared" si="309"/>
        <v>7.8195678445077809E-3</v>
      </c>
      <c r="K968" s="37">
        <f t="shared" si="310"/>
        <v>-4.4022769601609362E-5</v>
      </c>
      <c r="L968" s="90">
        <f t="shared" si="307"/>
        <v>-3.2357208917458415E-5</v>
      </c>
      <c r="Q968" s="123">
        <v>4.8523913753021806E-2</v>
      </c>
      <c r="R968" s="90">
        <v>8.0575301131160557E-2</v>
      </c>
    </row>
    <row r="969" spans="1:18" x14ac:dyDescent="0.25">
      <c r="A969" s="194">
        <v>0.35381514895912503</v>
      </c>
      <c r="B969" s="195">
        <v>-0.11107322071081795</v>
      </c>
      <c r="C969" s="195">
        <v>0.88627016197023301</v>
      </c>
      <c r="D969" s="196">
        <v>0.27749374769391794</v>
      </c>
      <c r="F969" s="123">
        <f>INDEX(A969:D977,,F964)</f>
        <v>0.35381514895912503</v>
      </c>
      <c r="G969" s="90">
        <f>INDEX(A965:D973,,G964)</f>
        <v>0.88627016197023301</v>
      </c>
      <c r="I969" s="123">
        <f t="shared" si="308"/>
        <v>-0.6602896403657752</v>
      </c>
      <c r="J969" s="37">
        <f t="shared" si="309"/>
        <v>0.62715161875105174</v>
      </c>
      <c r="K969" s="37">
        <f t="shared" si="310"/>
        <v>4.2663256272300221E-2</v>
      </c>
      <c r="L969" s="90">
        <f t="shared" si="307"/>
        <v>-0.41410171679994573</v>
      </c>
      <c r="N969" s="156">
        <f>COS(O967)</f>
        <v>0.99999999994075972</v>
      </c>
      <c r="O969" s="158">
        <f>-N970</f>
        <v>-1.0884874679879994E-5</v>
      </c>
      <c r="Q969" s="123">
        <v>0.35382479587781046</v>
      </c>
      <c r="R969" s="90">
        <v>0.88626631068417383</v>
      </c>
    </row>
    <row r="970" spans="1:18" x14ac:dyDescent="0.25">
      <c r="A970" s="194">
        <v>-3.1028993045533648E-2</v>
      </c>
      <c r="B970" s="195">
        <v>2.2824523787024195E-2</v>
      </c>
      <c r="C970" s="195">
        <v>0.99756399142493035</v>
      </c>
      <c r="D970" s="196">
        <v>-5.815776574833055E-2</v>
      </c>
      <c r="F970" s="123">
        <f>INDEX(A970:D978,,F964)</f>
        <v>-3.1028993045533648E-2</v>
      </c>
      <c r="G970" s="90">
        <f>INDEX(A965:D973,,G964)</f>
        <v>0.99756399142493035</v>
      </c>
      <c r="I970" s="123">
        <f t="shared" si="308"/>
        <v>-0.99417111857821872</v>
      </c>
      <c r="J970" s="37">
        <f t="shared" si="309"/>
        <v>-6.1906812304797901E-2</v>
      </c>
      <c r="K970" s="37">
        <f t="shared" si="310"/>
        <v>0.98454375960532514</v>
      </c>
      <c r="L970" s="90">
        <f t="shared" si="307"/>
        <v>6.154596483667276E-2</v>
      </c>
      <c r="N970" s="91">
        <f>SIN(O967)</f>
        <v>1.0884874679879994E-5</v>
      </c>
      <c r="O970" s="93">
        <f>N969</f>
        <v>0.99999999994075972</v>
      </c>
      <c r="Q970" s="123">
        <v>-3.1018134684663662E-2</v>
      </c>
      <c r="R970" s="90">
        <v>0.99756432911253512</v>
      </c>
    </row>
    <row r="971" spans="1:18" x14ac:dyDescent="0.25">
      <c r="A971" s="194">
        <v>0.96166741525595378</v>
      </c>
      <c r="B971" s="195">
        <v>-2.2631059997747172E-2</v>
      </c>
      <c r="C971" s="195">
        <v>0.16744099300257245</v>
      </c>
      <c r="D971" s="196">
        <v>0.21597946990541453</v>
      </c>
      <c r="F971" s="123">
        <f>INDEX(A971:D979,,F964)</f>
        <v>0.96166741525595378</v>
      </c>
      <c r="G971" s="90">
        <f>INDEX(A965:D973,,G964)</f>
        <v>0.16744099300257245</v>
      </c>
      <c r="I971" s="123">
        <f t="shared" si="308"/>
        <v>0.89676773142737953</v>
      </c>
      <c r="J971" s="37">
        <f t="shared" si="309"/>
        <v>0.3220450938973482</v>
      </c>
      <c r="K971" s="37">
        <f t="shared" si="310"/>
        <v>0.70047932162605697</v>
      </c>
      <c r="L971" s="90">
        <f t="shared" si="307"/>
        <v>0.2887996482716424</v>
      </c>
      <c r="Q971" s="123">
        <v>0.96166923777320945</v>
      </c>
      <c r="R971" s="90">
        <v>0.1674305253633544</v>
      </c>
    </row>
    <row r="972" spans="1:18" x14ac:dyDescent="0.25">
      <c r="A972" s="194">
        <v>0.67504204862562034</v>
      </c>
      <c r="B972" s="195">
        <v>-0.22044988697087178</v>
      </c>
      <c r="C972" s="195">
        <v>0.56879395426716584</v>
      </c>
      <c r="D972" s="196">
        <v>0.41496206755675519</v>
      </c>
      <c r="F972" s="123">
        <f>INDEX(A972:D980,,F964)</f>
        <v>0.67504204862562034</v>
      </c>
      <c r="G972" s="90">
        <f>INDEX(A965:D973,,G964)</f>
        <v>0.56879395426716584</v>
      </c>
      <c r="I972" s="123">
        <f t="shared" si="308"/>
        <v>0.13215520500179562</v>
      </c>
      <c r="J972" s="37">
        <f t="shared" si="309"/>
        <v>0.76791967226875002</v>
      </c>
      <c r="K972" s="37">
        <f t="shared" si="310"/>
        <v>-0.57223562484827772</v>
      </c>
      <c r="L972" s="90">
        <f t="shared" si="307"/>
        <v>0.10148458171358836</v>
      </c>
      <c r="Q972" s="123">
        <v>0.6750482398365415</v>
      </c>
      <c r="R972" s="90">
        <v>0.56878660648536739</v>
      </c>
    </row>
    <row r="973" spans="1:18" x14ac:dyDescent="0.25">
      <c r="A973" s="200">
        <v>6.9821163136738265E-2</v>
      </c>
      <c r="B973" s="201">
        <v>-0.92633321940352176</v>
      </c>
      <c r="C973" s="201">
        <v>-0.20311339272564966</v>
      </c>
      <c r="D973" s="202">
        <v>0.30947814382152455</v>
      </c>
      <c r="F973" s="91">
        <f>INDEX(A973:D981,,F964)</f>
        <v>6.9821163136738265E-2</v>
      </c>
      <c r="G973" s="93">
        <f>INDEX(A965:D973,,G964)</f>
        <v>-0.20311339272564966</v>
      </c>
      <c r="I973" s="91">
        <f t="shared" si="308"/>
        <v>-3.6380055482756975E-2</v>
      </c>
      <c r="J973" s="92">
        <f t="shared" si="309"/>
        <v>-2.8363226657507942E-2</v>
      </c>
      <c r="K973" s="92">
        <f t="shared" si="310"/>
        <v>5.1903581050330655E-4</v>
      </c>
      <c r="L973" s="93">
        <f t="shared" si="307"/>
        <v>1.0318557594701505E-3</v>
      </c>
      <c r="Q973" s="91">
        <v>6.9818952268776421E-2</v>
      </c>
      <c r="R973" s="93">
        <v>-0.20311415270822791</v>
      </c>
    </row>
    <row r="974" spans="1:18" x14ac:dyDescent="0.25">
      <c r="I974">
        <f>SUM(I965:I973)</f>
        <v>0.80726481622555191</v>
      </c>
      <c r="J974">
        <f>SUM(J965:J973)</f>
        <v>1.9173190553581485</v>
      </c>
      <c r="K974">
        <f>SUM(K965:K973)</f>
        <v>2.3932274967967051</v>
      </c>
      <c r="L974">
        <f>SUM(L965:L973)</f>
        <v>0.34407087905459444</v>
      </c>
    </row>
    <row r="975" spans="1:18" x14ac:dyDescent="0.25">
      <c r="A975" s="47" t="s">
        <v>53</v>
      </c>
      <c r="B975">
        <f>COUNT(A965:A973)</f>
        <v>9</v>
      </c>
      <c r="I975" s="47" t="s">
        <v>462</v>
      </c>
      <c r="J975" s="47" t="s">
        <v>389</v>
      </c>
      <c r="K975" s="47" t="s">
        <v>469</v>
      </c>
      <c r="L975" s="47" t="s">
        <v>470</v>
      </c>
      <c r="N975" s="47"/>
    </row>
    <row r="977" spans="1:18" x14ac:dyDescent="0.25">
      <c r="A977">
        <v>1</v>
      </c>
      <c r="B977">
        <v>2</v>
      </c>
      <c r="C977">
        <v>3</v>
      </c>
      <c r="D977">
        <v>4</v>
      </c>
      <c r="F977">
        <v>1</v>
      </c>
      <c r="G977">
        <v>4</v>
      </c>
      <c r="I977" s="47" t="s">
        <v>207</v>
      </c>
      <c r="J977" s="47" t="s">
        <v>464</v>
      </c>
      <c r="K977" s="47" t="s">
        <v>465</v>
      </c>
      <c r="L977" s="47" t="s">
        <v>466</v>
      </c>
      <c r="Q977">
        <f>F977</f>
        <v>1</v>
      </c>
      <c r="R977">
        <f>G977</f>
        <v>4</v>
      </c>
    </row>
    <row r="978" spans="1:18" x14ac:dyDescent="0.25">
      <c r="A978" s="189">
        <f t="array" ref="A978:A986">IF(A977=$Q964,$Q965:$Q973,IF(A977=$R964,$R965:$R973,A965:A973))</f>
        <v>0.11045637413989907</v>
      </c>
      <c r="B978" s="190">
        <f t="array" ref="B978:B986">IF(B977=$Q964,$Q965:$Q973,IF(B977=$R964,$R965:$R973,B965:B973))</f>
        <v>0.8891117698337978</v>
      </c>
      <c r="C978" s="190">
        <f t="array" ref="C978:C986">IF(C977=$Q964,$Q965:$Q973,IF(C977=$R964,$R965:$R973,C965:C973))</f>
        <v>-0.34182264812388241</v>
      </c>
      <c r="D978" s="191">
        <f t="array" ref="D978:D986">IF(D977=$Q964,$Q965:$Q973,IF(D977=$R964,$R965:$R973,D965:D973))</f>
        <v>0.28361404652177552</v>
      </c>
      <c r="F978" s="156">
        <f>INDEX(A978:D986,,F977)</f>
        <v>0.11045637413989907</v>
      </c>
      <c r="G978" s="158">
        <f>INDEX(A978:D986,,G977)</f>
        <v>0.28361404652177552</v>
      </c>
      <c r="I978" s="156">
        <f>F978^2-G978^2</f>
        <v>-6.8236316796322485E-2</v>
      </c>
      <c r="J978" s="157">
        <f>2*F978*G978</f>
        <v>6.2653958467879953E-2</v>
      </c>
      <c r="K978" s="157">
        <f>I978^2-J978^2</f>
        <v>7.306764182332566E-4</v>
      </c>
      <c r="L978" s="158">
        <f t="shared" ref="L978:L986" si="311">I978*J978</f>
        <v>-4.2752753585578885E-3</v>
      </c>
      <c r="N978" t="s">
        <v>390</v>
      </c>
      <c r="O978" s="172">
        <f>L987*B988-2*I987*J987</f>
        <v>-1.9747387680943973E-3</v>
      </c>
      <c r="Q978" s="156">
        <f t="array" ref="Q978:R986">MMULT(F978:G986,N982:O983)</f>
        <v>0.11045026980340809</v>
      </c>
      <c r="R978" s="158">
        <v>0.28361642384203278</v>
      </c>
    </row>
    <row r="979" spans="1:18" x14ac:dyDescent="0.25">
      <c r="A979" s="194">
        <v>0.7937241562901558</v>
      </c>
      <c r="B979" s="195">
        <v>-0.60197783165808716</v>
      </c>
      <c r="C979" s="195">
        <v>8.464724047022143E-2</v>
      </c>
      <c r="D979" s="196">
        <v>-2.1435918326132005E-2</v>
      </c>
      <c r="F979" s="123">
        <f>INDEX(A979:D987,,F977)</f>
        <v>0.7937241562901558</v>
      </c>
      <c r="G979" s="90">
        <f>INDEX(A978:D986,,G977)</f>
        <v>-2.1435918326132005E-2</v>
      </c>
      <c r="I979" s="123">
        <f t="shared" ref="I979:I986" si="312">F979^2-G979^2</f>
        <v>0.62953853768403512</v>
      </c>
      <c r="J979" s="37">
        <f t="shared" ref="J979:J986" si="313">2*F979*G979</f>
        <v>-3.4028412375427627E-2</v>
      </c>
      <c r="K979" s="37">
        <f t="shared" ref="K979:K986" si="314">I979^2-J979^2</f>
        <v>0.39516083758056114</v>
      </c>
      <c r="L979" s="90">
        <f t="shared" si="311"/>
        <v>-2.1422196966536033E-2</v>
      </c>
      <c r="N979" t="s">
        <v>392</v>
      </c>
      <c r="O979" s="173">
        <f>K987*B988-(I987^2-J987^2)</f>
        <v>22.937218467633485</v>
      </c>
      <c r="Q979" s="123">
        <v>0.79372461747806211</v>
      </c>
      <c r="R979" s="90">
        <v>-2.1418834756077927E-2</v>
      </c>
    </row>
    <row r="980" spans="1:18" x14ac:dyDescent="0.25">
      <c r="A980" s="194">
        <v>0.98390355451959399</v>
      </c>
      <c r="B980" s="195">
        <v>0.11711602894084899</v>
      </c>
      <c r="C980" s="195">
        <v>0.11371080438447112</v>
      </c>
      <c r="D980" s="196">
        <v>7.2715088771665951E-2</v>
      </c>
      <c r="F980" s="123">
        <f>INDEX(A980:D988,,F977)</f>
        <v>0.98390355451959399</v>
      </c>
      <c r="G980" s="90">
        <f>INDEX(A978:D986,,G977)</f>
        <v>7.2715088771665951E-2</v>
      </c>
      <c r="I980" s="123">
        <f t="shared" si="312"/>
        <v>0.96277872046122037</v>
      </c>
      <c r="J980" s="37">
        <f t="shared" si="313"/>
        <v>0.14308926861929988</v>
      </c>
      <c r="K980" s="37">
        <f t="shared" si="314"/>
        <v>0.90646832577893854</v>
      </c>
      <c r="L980" s="90">
        <f t="shared" si="311"/>
        <v>0.13776330295302139</v>
      </c>
      <c r="N980" t="s">
        <v>467</v>
      </c>
      <c r="O980" s="174">
        <f>0.25*ATAN(O978/O979)</f>
        <v>-2.1523302465837197E-5</v>
      </c>
      <c r="Q980" s="123">
        <v>0.98390198922284677</v>
      </c>
      <c r="R980" s="90">
        <v>7.273626560862273E-2</v>
      </c>
    </row>
    <row r="981" spans="1:18" x14ac:dyDescent="0.25">
      <c r="A981" s="194">
        <v>4.8523913753021806E-2</v>
      </c>
      <c r="B981" s="195">
        <v>-1.4271905753902544E-3</v>
      </c>
      <c r="C981" s="195">
        <v>8.0575301131160557E-2</v>
      </c>
      <c r="D981" s="196">
        <v>0.99556567526646567</v>
      </c>
      <c r="F981" s="123">
        <f>INDEX(A981:D989,,F977)</f>
        <v>4.8523913753021806E-2</v>
      </c>
      <c r="G981" s="90">
        <f>INDEX(A978:D986,,G977)</f>
        <v>0.99556567526646567</v>
      </c>
      <c r="I981" s="123">
        <f t="shared" si="312"/>
        <v>-0.98879644356286311</v>
      </c>
      <c r="J981" s="37">
        <f t="shared" si="313"/>
        <v>9.6617485924197791E-2</v>
      </c>
      <c r="K981" s="37">
        <f t="shared" si="314"/>
        <v>0.96838346821625387</v>
      </c>
      <c r="L981" s="90">
        <f t="shared" si="311"/>
        <v>-9.5535026467831768E-2</v>
      </c>
      <c r="Q981" s="123">
        <v>4.8502485880630684E-2</v>
      </c>
      <c r="R981" s="90">
        <v>0.99556671943073893</v>
      </c>
    </row>
    <row r="982" spans="1:18" x14ac:dyDescent="0.25">
      <c r="A982" s="194">
        <v>0.35382479587781046</v>
      </c>
      <c r="B982" s="195">
        <v>-0.11107322071081795</v>
      </c>
      <c r="C982" s="195">
        <v>0.88626631068417383</v>
      </c>
      <c r="D982" s="196">
        <v>0.27749374769391794</v>
      </c>
      <c r="F982" s="123">
        <f>INDEX(A982:D990,,F977)</f>
        <v>0.35382479587781046</v>
      </c>
      <c r="G982" s="90">
        <f>INDEX(A978:D986,,G977)</f>
        <v>0.27749374769391794</v>
      </c>
      <c r="I982" s="123">
        <f t="shared" si="312"/>
        <v>4.8189206168758464E-2</v>
      </c>
      <c r="J982" s="37">
        <f t="shared" si="313"/>
        <v>0.19636833727033831</v>
      </c>
      <c r="K982" s="37">
        <f t="shared" si="314"/>
        <v>-3.6238324291142231E-2</v>
      </c>
      <c r="L982" s="90">
        <f t="shared" si="311"/>
        <v>9.4628342897366303E-3</v>
      </c>
      <c r="N982" s="156">
        <f>COS(O980)</f>
        <v>0.99999999976837373</v>
      </c>
      <c r="O982" s="158">
        <f>-N983</f>
        <v>2.152330246417541E-5</v>
      </c>
      <c r="Q982" s="123">
        <v>0.35381882321399183</v>
      </c>
      <c r="R982" s="90">
        <v>0.27750136310774409</v>
      </c>
    </row>
    <row r="983" spans="1:18" x14ac:dyDescent="0.25">
      <c r="A983" s="194">
        <v>-3.1018134684663662E-2</v>
      </c>
      <c r="B983" s="195">
        <v>2.2824523787024195E-2</v>
      </c>
      <c r="C983" s="195">
        <v>0.99756432911253512</v>
      </c>
      <c r="D983" s="196">
        <v>-5.815776574833055E-2</v>
      </c>
      <c r="F983" s="123">
        <f>INDEX(A983:D991,,F977)</f>
        <v>-3.1018134684663662E-2</v>
      </c>
      <c r="G983" s="90">
        <f>INDEX(A978:D986,,G977)</f>
        <v>-5.815776574833055E-2</v>
      </c>
      <c r="I983" s="123">
        <f t="shared" si="312"/>
        <v>-2.4202010375217551E-3</v>
      </c>
      <c r="J983" s="37">
        <f t="shared" si="313"/>
        <v>3.6078908218816724E-3</v>
      </c>
      <c r="K983" s="37">
        <f t="shared" si="314"/>
        <v>-7.1595031205966298E-6</v>
      </c>
      <c r="L983" s="90">
        <f t="shared" si="311"/>
        <v>-8.7318211103832406E-6</v>
      </c>
      <c r="N983" s="91">
        <f>SIN(O980)</f>
        <v>-2.152330246417541E-5</v>
      </c>
      <c r="O983" s="93">
        <f>N982</f>
        <v>0.99999999976837373</v>
      </c>
      <c r="Q983" s="123">
        <v>-3.1016882930296207E-2</v>
      </c>
      <c r="R983" s="90">
        <v>-5.8158433347554377E-2</v>
      </c>
    </row>
    <row r="984" spans="1:18" x14ac:dyDescent="0.25">
      <c r="A984" s="194">
        <v>0.96166923777320945</v>
      </c>
      <c r="B984" s="195">
        <v>-2.2631059997747172E-2</v>
      </c>
      <c r="C984" s="195">
        <v>0.1674305253633544</v>
      </c>
      <c r="D984" s="196">
        <v>0.21597946990541453</v>
      </c>
      <c r="F984" s="123">
        <f>INDEX(A984:D992,,F977)</f>
        <v>0.96166923777320945</v>
      </c>
      <c r="G984" s="90">
        <f>INDEX(A978:D986,,G977)</f>
        <v>0.21597946990541453</v>
      </c>
      <c r="I984" s="123">
        <f t="shared" si="312"/>
        <v>0.87816059145868186</v>
      </c>
      <c r="J984" s="37">
        <f t="shared" si="313"/>
        <v>0.41540162439720363</v>
      </c>
      <c r="K984" s="37">
        <f t="shared" si="314"/>
        <v>0.59860751483922647</v>
      </c>
      <c r="L984" s="90">
        <f t="shared" si="311"/>
        <v>0.36478933617354553</v>
      </c>
      <c r="Q984" s="123">
        <v>0.96166458895900475</v>
      </c>
      <c r="R984" s="90">
        <v>0.21600016815326312</v>
      </c>
    </row>
    <row r="985" spans="1:18" x14ac:dyDescent="0.25">
      <c r="A985" s="194">
        <v>0.6750482398365415</v>
      </c>
      <c r="B985" s="195">
        <v>-0.22044988697087178</v>
      </c>
      <c r="C985" s="195">
        <v>0.56878660648536739</v>
      </c>
      <c r="D985" s="196">
        <v>0.41496206755675519</v>
      </c>
      <c r="F985" s="123">
        <f>INDEX(A985:D993,,F977)</f>
        <v>0.6750482398365415</v>
      </c>
      <c r="G985" s="90">
        <f>INDEX(A978:D986,,G977)</f>
        <v>0.41496206755675519</v>
      </c>
      <c r="I985" s="123">
        <f t="shared" si="312"/>
        <v>0.2834966085954358</v>
      </c>
      <c r="J985" s="37">
        <f t="shared" si="313"/>
        <v>0.56023882660623925</v>
      </c>
      <c r="K985" s="37">
        <f t="shared" si="314"/>
        <v>-0.23349721575202209</v>
      </c>
      <c r="L985" s="90">
        <f t="shared" si="311"/>
        <v>0.15882580734635524</v>
      </c>
      <c r="Q985" s="123">
        <v>0.67503930832609138</v>
      </c>
      <c r="R985" s="90">
        <v>0.41497659672808296</v>
      </c>
    </row>
    <row r="986" spans="1:18" x14ac:dyDescent="0.25">
      <c r="A986" s="200">
        <v>6.9818952268776421E-2</v>
      </c>
      <c r="B986" s="201">
        <v>-0.92633321940352176</v>
      </c>
      <c r="C986" s="201">
        <v>-0.20311415270822791</v>
      </c>
      <c r="D986" s="202">
        <v>0.30947814382152455</v>
      </c>
      <c r="F986" s="91">
        <f>INDEX(A986:D994,,F977)</f>
        <v>6.9818952268776421E-2</v>
      </c>
      <c r="G986" s="93">
        <f>INDEX(A978:D986,,G977)</f>
        <v>0.30947814382152455</v>
      </c>
      <c r="I986" s="91">
        <f t="shared" si="312"/>
        <v>-9.0902035407306556E-2</v>
      </c>
      <c r="J986" s="92">
        <f t="shared" si="313"/>
        <v>4.3214879503409097E-2</v>
      </c>
      <c r="K986" s="92">
        <f t="shared" si="314"/>
        <v>6.395654230697048E-3</v>
      </c>
      <c r="L986" s="93">
        <f t="shared" si="311"/>
        <v>-3.9283205067413797E-3</v>
      </c>
      <c r="Q986" s="91">
        <v>6.9812291260909001E-2</v>
      </c>
      <c r="R986" s="93">
        <v>0.30947964648426868</v>
      </c>
    </row>
    <row r="987" spans="1:18" x14ac:dyDescent="0.25">
      <c r="I987">
        <f>SUM(I978:I986)</f>
        <v>1.6518086675641179</v>
      </c>
      <c r="J987">
        <f>SUM(J978:J986)</f>
        <v>1.487163859235022</v>
      </c>
      <c r="K987">
        <f>SUM(K978:K986)</f>
        <v>2.6060037775176252</v>
      </c>
      <c r="L987">
        <f>SUM(L978:L986)</f>
        <v>0.54567172964188126</v>
      </c>
    </row>
    <row r="988" spans="1:18" x14ac:dyDescent="0.25">
      <c r="A988" s="47" t="s">
        <v>53</v>
      </c>
      <c r="B988">
        <f>COUNT(A978:A986)</f>
        <v>9</v>
      </c>
      <c r="I988" s="47" t="s">
        <v>462</v>
      </c>
      <c r="J988" s="47" t="s">
        <v>389</v>
      </c>
      <c r="K988" s="47" t="s">
        <v>469</v>
      </c>
      <c r="L988" s="47" t="s">
        <v>470</v>
      </c>
      <c r="N988" s="47"/>
    </row>
    <row r="990" spans="1:18" x14ac:dyDescent="0.25">
      <c r="A990">
        <v>1</v>
      </c>
      <c r="B990">
        <v>2</v>
      </c>
      <c r="C990">
        <v>3</v>
      </c>
      <c r="D990">
        <v>4</v>
      </c>
      <c r="F990">
        <v>2</v>
      </c>
      <c r="G990">
        <v>3</v>
      </c>
      <c r="I990" s="47" t="s">
        <v>207</v>
      </c>
      <c r="J990" s="47" t="s">
        <v>464</v>
      </c>
      <c r="K990" s="47" t="s">
        <v>465</v>
      </c>
      <c r="L990" s="47" t="s">
        <v>466</v>
      </c>
      <c r="Q990">
        <f>F990</f>
        <v>2</v>
      </c>
      <c r="R990">
        <f>G990</f>
        <v>3</v>
      </c>
    </row>
    <row r="991" spans="1:18" x14ac:dyDescent="0.25">
      <c r="A991" s="189">
        <f t="array" ref="A991:A999">IF(A990=$Q977,$Q978:$Q986,IF(A990=$R977,$R978:$R986,A978:A986))</f>
        <v>0.11045026980340809</v>
      </c>
      <c r="B991" s="190">
        <f t="array" ref="B991:B999">IF(B990=$Q977,$Q978:$Q986,IF(B990=$R977,$R978:$R986,B978:B986))</f>
        <v>0.8891117698337978</v>
      </c>
      <c r="C991" s="190">
        <f t="array" ref="C991:C999">IF(C990=$Q977,$Q978:$Q986,IF(C990=$R977,$R978:$R986,C978:C986))</f>
        <v>-0.34182264812388241</v>
      </c>
      <c r="D991" s="191">
        <f t="array" ref="D991:D999">IF(D990=$Q977,$Q978:$Q986,IF(D990=$R977,$R978:$R986,D978:D986))</f>
        <v>0.28361642384203278</v>
      </c>
      <c r="F991" s="156">
        <f>INDEX(A991:D999,,F990)</f>
        <v>0.8891117698337978</v>
      </c>
      <c r="G991" s="158">
        <f>INDEX(A991:D999,,G990)</f>
        <v>-0.34182264812388241</v>
      </c>
      <c r="I991" s="156">
        <f>F991^2-G991^2</f>
        <v>0.67367701648656475</v>
      </c>
      <c r="J991" s="157">
        <f>2*F991*G991</f>
        <v>-0.60783707928540121</v>
      </c>
      <c r="K991" s="157">
        <f>I991^2-J991^2</f>
        <v>8.4374807588032119E-2</v>
      </c>
      <c r="L991" s="158">
        <f t="shared" ref="L991:L999" si="315">I991*J991</f>
        <v>-0.40948587008289661</v>
      </c>
      <c r="N991" t="s">
        <v>390</v>
      </c>
      <c r="O991" s="172">
        <f>L1000*B1001-2*I1000*J1000</f>
        <v>1.0169614828004714E-2</v>
      </c>
      <c r="Q991" s="156">
        <f t="array" ref="Q991:R999">MMULT(F991:G999,N995:O996)</f>
        <v>0.88907042461672703</v>
      </c>
      <c r="R991" s="158">
        <v>-0.3419301713789592</v>
      </c>
    </row>
    <row r="992" spans="1:18" x14ac:dyDescent="0.25">
      <c r="A992" s="194">
        <v>0.79372461747806211</v>
      </c>
      <c r="B992" s="195">
        <v>-0.60197783165808716</v>
      </c>
      <c r="C992" s="195">
        <v>8.464724047022143E-2</v>
      </c>
      <c r="D992" s="196">
        <v>-2.1418834756077927E-2</v>
      </c>
      <c r="F992" s="123">
        <f>INDEX(A992:D1000,,F990)</f>
        <v>-0.60197783165808716</v>
      </c>
      <c r="G992" s="90">
        <f>INDEX(A991:D999,,G990)</f>
        <v>8.464724047022143E-2</v>
      </c>
      <c r="I992" s="123">
        <f t="shared" ref="I992:I999" si="316">F992^2-G992^2</f>
        <v>0.35521215448854881</v>
      </c>
      <c r="J992" s="37">
        <f t="shared" ref="J992:J999" si="317">2*F992*G992</f>
        <v>-0.10191152454820916</v>
      </c>
      <c r="K992" s="37">
        <f t="shared" ref="K992:K999" si="318">I992^2-J992^2</f>
        <v>0.11578971586065644</v>
      </c>
      <c r="L992" s="90">
        <f t="shared" si="315"/>
        <v>-3.620021220198201E-2</v>
      </c>
      <c r="N992" t="s">
        <v>392</v>
      </c>
      <c r="O992" s="173">
        <f>K1000*B1001-(I1000^2-J1000^2)</f>
        <v>21.022692498176259</v>
      </c>
      <c r="Q992" s="123">
        <v>-0.60196759034455061</v>
      </c>
      <c r="R992" s="90">
        <v>8.472004073282248E-2</v>
      </c>
    </row>
    <row r="993" spans="1:18" x14ac:dyDescent="0.25">
      <c r="A993" s="194">
        <v>0.98390198922284677</v>
      </c>
      <c r="B993" s="195">
        <v>0.11711602894084899</v>
      </c>
      <c r="C993" s="195">
        <v>0.11371080438447112</v>
      </c>
      <c r="D993" s="196">
        <v>7.273626560862273E-2</v>
      </c>
      <c r="F993" s="123">
        <f>INDEX(A993:D1001,,F990)</f>
        <v>0.11711602894084899</v>
      </c>
      <c r="G993" s="90">
        <f>INDEX(A991:D999,,G990)</f>
        <v>0.11371080438447112</v>
      </c>
      <c r="I993" s="123">
        <f t="shared" si="316"/>
        <v>7.8601720111032281E-4</v>
      </c>
      <c r="J993" s="37">
        <f t="shared" si="317"/>
        <v>2.6634715714357878E-2</v>
      </c>
      <c r="K993" s="37">
        <f t="shared" si="318"/>
        <v>-7.0879025814422122E-4</v>
      </c>
      <c r="L993" s="90">
        <f t="shared" si="315"/>
        <v>2.0935344698168712E-5</v>
      </c>
      <c r="N993" t="s">
        <v>467</v>
      </c>
      <c r="O993" s="174">
        <f>0.25*ATAN(O991/O992)</f>
        <v>1.2093615072887312E-4</v>
      </c>
      <c r="Q993" s="123">
        <v>0.1171297798313507</v>
      </c>
      <c r="R993" s="90">
        <v>0.11369663999123522</v>
      </c>
    </row>
    <row r="994" spans="1:18" x14ac:dyDescent="0.25">
      <c r="A994" s="194">
        <v>4.8502485880630684E-2</v>
      </c>
      <c r="B994" s="195">
        <v>-1.4271905753902544E-3</v>
      </c>
      <c r="C994" s="195">
        <v>8.0575301131160557E-2</v>
      </c>
      <c r="D994" s="196">
        <v>0.99556671943073893</v>
      </c>
      <c r="F994" s="123">
        <f>INDEX(A994:D1002,,F990)</f>
        <v>-1.4271905753902544E-3</v>
      </c>
      <c r="G994" s="90">
        <f>INDEX(A991:D999,,G990)</f>
        <v>8.0575301131160557E-2</v>
      </c>
      <c r="I994" s="123">
        <f t="shared" si="316"/>
        <v>-6.4903422794387201E-3</v>
      </c>
      <c r="J994" s="37">
        <f t="shared" si="317"/>
        <v>-2.2999262076724809E-4</v>
      </c>
      <c r="K994" s="37">
        <f t="shared" si="318"/>
        <v>4.2071646298662419E-5</v>
      </c>
      <c r="L994" s="90">
        <f t="shared" si="315"/>
        <v>1.4927308305245861E-6</v>
      </c>
      <c r="Q994" s="123">
        <v>-1.4174460982146597E-3</v>
      </c>
      <c r="R994" s="90">
        <v>8.0575473140865522E-2</v>
      </c>
    </row>
    <row r="995" spans="1:18" x14ac:dyDescent="0.25">
      <c r="A995" s="194">
        <v>0.35381882321399183</v>
      </c>
      <c r="B995" s="195">
        <v>-0.11107322071081795</v>
      </c>
      <c r="C995" s="195">
        <v>0.88626631068417383</v>
      </c>
      <c r="D995" s="196">
        <v>0.27750136310774409</v>
      </c>
      <c r="F995" s="123">
        <f>INDEX(A995:D1003,,F990)</f>
        <v>-0.11107322071081795</v>
      </c>
      <c r="G995" s="90">
        <f>INDEX(A991:D999,,G990)</f>
        <v>0.88626631068417383</v>
      </c>
      <c r="I995" s="123">
        <f t="shared" si="316"/>
        <v>-0.77313071309466241</v>
      </c>
      <c r="J995" s="37">
        <f t="shared" si="317"/>
        <v>-0.19688090707037117</v>
      </c>
      <c r="K995" s="37">
        <f t="shared" si="318"/>
        <v>0.55896900796140903</v>
      </c>
      <c r="L995" s="90">
        <f t="shared" si="315"/>
        <v>0.15221467607804004</v>
      </c>
      <c r="N995" s="156">
        <f>COS(O993)</f>
        <v>0.99999999268722373</v>
      </c>
      <c r="O995" s="158">
        <f>-N996</f>
        <v>-1.2093615043408012E-4</v>
      </c>
      <c r="Q995" s="123">
        <v>-0.11096603826269077</v>
      </c>
      <c r="R995" s="90">
        <v>0.88627973697083562</v>
      </c>
    </row>
    <row r="996" spans="1:18" x14ac:dyDescent="0.25">
      <c r="A996" s="194">
        <v>-3.1016882930296207E-2</v>
      </c>
      <c r="B996" s="195">
        <v>2.2824523787024195E-2</v>
      </c>
      <c r="C996" s="195">
        <v>0.99756432911253512</v>
      </c>
      <c r="D996" s="196">
        <v>-5.8158433347554377E-2</v>
      </c>
      <c r="F996" s="123">
        <f>INDEX(A996:D1004,,F990)</f>
        <v>2.2824523787024195E-2</v>
      </c>
      <c r="G996" s="90">
        <f>INDEX(A991:D999,,G990)</f>
        <v>0.99756432911253512</v>
      </c>
      <c r="I996" s="123">
        <f t="shared" si="316"/>
        <v>-0.99461363183163776</v>
      </c>
      <c r="J996" s="37">
        <f t="shared" si="317"/>
        <v>4.5537861517831783E-2</v>
      </c>
      <c r="K996" s="37">
        <f t="shared" si="318"/>
        <v>0.9871825797937035</v>
      </c>
      <c r="L996" s="90">
        <f t="shared" si="315"/>
        <v>-4.5292577830096846E-2</v>
      </c>
      <c r="N996" s="91">
        <f>SIN(O993)</f>
        <v>1.2093615043408012E-4</v>
      </c>
      <c r="O996" s="93">
        <f>N995</f>
        <v>0.99999999268722373</v>
      </c>
      <c r="Q996" s="123">
        <v>2.2945165209886785E-2</v>
      </c>
      <c r="R996" s="90">
        <v>0.99756156150752806</v>
      </c>
    </row>
    <row r="997" spans="1:18" x14ac:dyDescent="0.25">
      <c r="A997" s="194">
        <v>0.96166458895900475</v>
      </c>
      <c r="B997" s="195">
        <v>-2.2631059997747172E-2</v>
      </c>
      <c r="C997" s="195">
        <v>0.1674305253633544</v>
      </c>
      <c r="D997" s="196">
        <v>0.21600016815326312</v>
      </c>
      <c r="F997" s="123">
        <f>INDEX(A997:D1005,,F990)</f>
        <v>-2.2631059997747172E-2</v>
      </c>
      <c r="G997" s="90">
        <f>INDEX(A991:D999,,G990)</f>
        <v>0.1674305253633544</v>
      </c>
      <c r="I997" s="123">
        <f t="shared" si="316"/>
        <v>-2.7520815946827228E-2</v>
      </c>
      <c r="J997" s="37">
        <f t="shared" si="317"/>
        <v>-7.5782605299048057E-3</v>
      </c>
      <c r="K997" s="37">
        <f t="shared" si="318"/>
        <v>6.9996527772002676E-4</v>
      </c>
      <c r="L997" s="90">
        <f t="shared" si="315"/>
        <v>2.0855991324061554E-4</v>
      </c>
      <c r="Q997" s="123">
        <v>-2.2610811429048694E-2</v>
      </c>
      <c r="R997" s="90">
        <v>0.16743326105224879</v>
      </c>
    </row>
    <row r="998" spans="1:18" x14ac:dyDescent="0.25">
      <c r="A998" s="194">
        <v>0.67503930832609138</v>
      </c>
      <c r="B998" s="195">
        <v>-0.22044988697087178</v>
      </c>
      <c r="C998" s="195">
        <v>0.56878660648536739</v>
      </c>
      <c r="D998" s="196">
        <v>0.41497659672808296</v>
      </c>
      <c r="F998" s="123">
        <f>INDEX(A998:D1006,,F990)</f>
        <v>-0.22044988697087178</v>
      </c>
      <c r="G998" s="90">
        <f>INDEX(A991:D999,,G990)</f>
        <v>0.56878660648536739</v>
      </c>
      <c r="I998" s="123">
        <f t="shared" si="316"/>
        <v>-0.27492005105167006</v>
      </c>
      <c r="J998" s="37">
        <f t="shared" si="317"/>
        <v>-0.25077788622048991</v>
      </c>
      <c r="K998" s="37">
        <f t="shared" si="318"/>
        <v>1.2691486253035886E-2</v>
      </c>
      <c r="L998" s="90">
        <f t="shared" si="315"/>
        <v>6.8943869282366996E-2</v>
      </c>
      <c r="Q998" s="123">
        <v>-0.22038109849616427</v>
      </c>
      <c r="R998" s="90">
        <v>0.56881326268665211</v>
      </c>
    </row>
    <row r="999" spans="1:18" x14ac:dyDescent="0.25">
      <c r="A999" s="200">
        <v>6.9812291260909001E-2</v>
      </c>
      <c r="B999" s="201">
        <v>-0.92633321940352176</v>
      </c>
      <c r="C999" s="201">
        <v>-0.20311415270822791</v>
      </c>
      <c r="D999" s="202">
        <v>0.30947964648426868</v>
      </c>
      <c r="F999" s="91">
        <f>INDEX(A999:D1007,,F990)</f>
        <v>-0.92633321940352176</v>
      </c>
      <c r="G999" s="93">
        <f>INDEX(A991:D999,,G990)</f>
        <v>-0.20311415270822791</v>
      </c>
      <c r="I999" s="91">
        <f t="shared" si="316"/>
        <v>0.81683787434011179</v>
      </c>
      <c r="J999" s="92">
        <f t="shared" si="317"/>
        <v>0.37630277396926259</v>
      </c>
      <c r="K999" s="92">
        <f t="shared" si="318"/>
        <v>0.52562033525951024</v>
      </c>
      <c r="L999" s="93">
        <f t="shared" si="315"/>
        <v>0.30737835799734003</v>
      </c>
      <c r="Q999" s="91">
        <v>-0.92635777647318129</v>
      </c>
      <c r="R999" s="93">
        <v>-0.20300212404932569</v>
      </c>
    </row>
    <row r="1000" spans="1:18" x14ac:dyDescent="0.25">
      <c r="I1000">
        <f>SUM(I991:I999)</f>
        <v>-0.23016249168790048</v>
      </c>
      <c r="J1000">
        <f>SUM(J991:J999)</f>
        <v>-0.71674029907369152</v>
      </c>
      <c r="K1000">
        <f>SUM(K991:K999)</f>
        <v>2.2846611793822218</v>
      </c>
      <c r="L1000">
        <f>SUM(L991:L999)</f>
        <v>3.7789231231540932E-2</v>
      </c>
    </row>
    <row r="1001" spans="1:18" x14ac:dyDescent="0.25">
      <c r="A1001" s="47" t="s">
        <v>53</v>
      </c>
      <c r="B1001">
        <f>COUNT(A991:A999)</f>
        <v>9</v>
      </c>
      <c r="I1001" s="47" t="s">
        <v>462</v>
      </c>
      <c r="J1001" s="47" t="s">
        <v>389</v>
      </c>
      <c r="K1001" s="47" t="s">
        <v>469</v>
      </c>
      <c r="L1001" s="47" t="s">
        <v>470</v>
      </c>
      <c r="N1001" s="47"/>
    </row>
    <row r="1003" spans="1:18" x14ac:dyDescent="0.25">
      <c r="A1003">
        <v>1</v>
      </c>
      <c r="B1003">
        <v>2</v>
      </c>
      <c r="C1003">
        <v>3</v>
      </c>
      <c r="D1003">
        <v>4</v>
      </c>
      <c r="F1003">
        <v>2</v>
      </c>
      <c r="G1003">
        <v>4</v>
      </c>
      <c r="I1003" s="47" t="s">
        <v>207</v>
      </c>
      <c r="J1003" s="47" t="s">
        <v>464</v>
      </c>
      <c r="K1003" s="47" t="s">
        <v>465</v>
      </c>
      <c r="L1003" s="47" t="s">
        <v>466</v>
      </c>
      <c r="Q1003">
        <f>F1003</f>
        <v>2</v>
      </c>
      <c r="R1003">
        <f>G1003</f>
        <v>4</v>
      </c>
    </row>
    <row r="1004" spans="1:18" x14ac:dyDescent="0.25">
      <c r="A1004" s="189">
        <f t="array" ref="A1004:A1012">IF(A1003=$Q990,$Q991:$Q999,IF(A1003=$R990,$R991:$R999,A991:A999))</f>
        <v>0.11045026980340809</v>
      </c>
      <c r="B1004" s="190">
        <f t="array" ref="B1004:B1012">IF(B1003=$Q990,$Q991:$Q999,IF(B1003=$R990,$R991:$R999,B991:B999))</f>
        <v>0.88907042461672703</v>
      </c>
      <c r="C1004" s="190">
        <f t="array" ref="C1004:C1012">IF(C1003=$Q990,$Q991:$Q999,IF(C1003=$R990,$R991:$R999,C991:C999))</f>
        <v>-0.3419301713789592</v>
      </c>
      <c r="D1004" s="191">
        <f t="array" ref="D1004:D1012">IF(D1003=$Q990,$Q991:$Q999,IF(D1003=$R990,$R991:$R999,D991:D999))</f>
        <v>0.28361642384203278</v>
      </c>
      <c r="F1004" s="156">
        <f>INDEX(A1004:D1012,,F1003)</f>
        <v>0.88907042461672703</v>
      </c>
      <c r="G1004" s="158">
        <f>INDEX(A1004:D1012,,G1003)</f>
        <v>0.28361642384203278</v>
      </c>
      <c r="I1004" s="156">
        <f>F1004^2-G1004^2</f>
        <v>0.71000794405522372</v>
      </c>
      <c r="J1004" s="157">
        <f>2*F1004*G1004</f>
        <v>0.50430994874702739</v>
      </c>
      <c r="K1004" s="157">
        <f>I1004^2-J1004^2</f>
        <v>0.24978275621629625</v>
      </c>
      <c r="L1004" s="158">
        <f t="shared" ref="L1004:L1012" si="319">I1004*J1004</f>
        <v>0.35806406987647216</v>
      </c>
      <c r="N1004" t="s">
        <v>390</v>
      </c>
      <c r="O1004" s="172">
        <f>L1013*B1014-2*I1013*J1013</f>
        <v>-6.2142973320178374E-3</v>
      </c>
      <c r="Q1004" s="156">
        <f t="array" ref="Q1004:R1012">MMULT(F1004:G1012,N1008:O1009)</f>
        <v>0.88903915848087145</v>
      </c>
      <c r="R1004" s="158">
        <v>0.28371441713232481</v>
      </c>
    </row>
    <row r="1005" spans="1:18" x14ac:dyDescent="0.25">
      <c r="A1005" s="194">
        <v>0.79372461747806211</v>
      </c>
      <c r="B1005" s="195">
        <v>-0.60196759034455061</v>
      </c>
      <c r="C1005" s="195">
        <v>8.472004073282248E-2</v>
      </c>
      <c r="D1005" s="196">
        <v>-2.1418834756077927E-2</v>
      </c>
      <c r="F1005" s="123">
        <f>INDEX(A1005:D1013,,F1003)</f>
        <v>-0.60196759034455061</v>
      </c>
      <c r="G1005" s="90">
        <f>INDEX(A1004:D1012,,G1003)</f>
        <v>-2.1418834756077927E-2</v>
      </c>
      <c r="I1005" s="123">
        <f t="shared" ref="I1005:I1012" si="320">F1005^2-G1005^2</f>
        <v>0.36190621334291651</v>
      </c>
      <c r="J1005" s="37">
        <f t="shared" ref="J1005:J1012" si="321">2*F1005*G1005</f>
        <v>2.578688869220868E-2</v>
      </c>
      <c r="K1005" s="37">
        <f t="shared" ref="K1005:K1012" si="322">I1005^2-J1005^2</f>
        <v>0.13031114362778423</v>
      </c>
      <c r="L1005" s="90">
        <f t="shared" si="319"/>
        <v>9.3324352404925166E-3</v>
      </c>
      <c r="N1005" t="s">
        <v>392</v>
      </c>
      <c r="O1005" s="173">
        <f>K1013*B1014-(I1013^2-J1013^2)</f>
        <v>14.094971324796484</v>
      </c>
      <c r="Q1005" s="123">
        <v>-0.60196522586371892</v>
      </c>
      <c r="R1005" s="90">
        <v>-2.1485184625103043E-2</v>
      </c>
    </row>
    <row r="1006" spans="1:18" x14ac:dyDescent="0.25">
      <c r="A1006" s="194">
        <v>0.98390198922284677</v>
      </c>
      <c r="B1006" s="195">
        <v>0.1171297798313507</v>
      </c>
      <c r="C1006" s="195">
        <v>0.11369663999123522</v>
      </c>
      <c r="D1006" s="196">
        <v>7.273626560862273E-2</v>
      </c>
      <c r="F1006" s="123">
        <f>INDEX(A1006:D1014,,F1003)</f>
        <v>0.1171297798313507</v>
      </c>
      <c r="G1006" s="90">
        <f>INDEX(A1004:D1012,,G1003)</f>
        <v>7.273626560862273E-2</v>
      </c>
      <c r="I1006" s="123">
        <f t="shared" si="320"/>
        <v>8.4288209886525765E-3</v>
      </c>
      <c r="J1006" s="37">
        <f t="shared" si="321"/>
        <v>1.7039165552985253E-2</v>
      </c>
      <c r="K1006" s="37">
        <f t="shared" si="322"/>
        <v>-2.1928813948328903E-4</v>
      </c>
      <c r="L1006" s="90">
        <f t="shared" si="319"/>
        <v>1.436200762421281E-4</v>
      </c>
      <c r="N1006" t="s">
        <v>467</v>
      </c>
      <c r="O1006" s="174">
        <f>0.25*ATAN(O1004/O1005)</f>
        <v>-1.1022187960107085E-4</v>
      </c>
      <c r="Q1006" s="123">
        <v>0.11712176199195959</v>
      </c>
      <c r="R1006" s="90">
        <v>7.2749175431255406E-2</v>
      </c>
    </row>
    <row r="1007" spans="1:18" x14ac:dyDescent="0.25">
      <c r="A1007" s="194">
        <v>4.8502485880630684E-2</v>
      </c>
      <c r="B1007" s="195">
        <v>-1.4174460982146597E-3</v>
      </c>
      <c r="C1007" s="195">
        <v>8.0575473140865522E-2</v>
      </c>
      <c r="D1007" s="196">
        <v>0.99556671943073893</v>
      </c>
      <c r="F1007" s="123">
        <f>INDEX(A1007:D1015,,F1003)</f>
        <v>-1.4174460982146597E-3</v>
      </c>
      <c r="G1007" s="90">
        <f>INDEX(A1004:D1012,,G1003)</f>
        <v>0.99556671943073893</v>
      </c>
      <c r="I1007" s="123">
        <f t="shared" si="320"/>
        <v>-0.99115108368464222</v>
      </c>
      <c r="J1007" s="37">
        <f t="shared" si="321"/>
        <v>-2.8223243239389392E-3</v>
      </c>
      <c r="K1007" s="37">
        <f t="shared" si="322"/>
        <v>0.98237250517465113</v>
      </c>
      <c r="L1007" s="90">
        <f t="shared" si="319"/>
        <v>2.7973498121816047E-3</v>
      </c>
      <c r="Q1007" s="123">
        <v>-1.5271793244662196E-3</v>
      </c>
      <c r="R1007" s="90">
        <v>0.99556655714966436</v>
      </c>
    </row>
    <row r="1008" spans="1:18" x14ac:dyDescent="0.25">
      <c r="A1008" s="194">
        <v>0.35381882321399183</v>
      </c>
      <c r="B1008" s="195">
        <v>-0.11096603826269077</v>
      </c>
      <c r="C1008" s="195">
        <v>0.88627973697083562</v>
      </c>
      <c r="D1008" s="196">
        <v>0.27750136310774409</v>
      </c>
      <c r="F1008" s="123">
        <f>INDEX(A1008:D1016,,F1003)</f>
        <v>-0.11096603826269077</v>
      </c>
      <c r="G1008" s="90">
        <f>INDEX(A1004:D1012,,G1003)</f>
        <v>0.27750136310774409</v>
      </c>
      <c r="I1008" s="123">
        <f t="shared" si="320"/>
        <v>-6.469354487893908E-2</v>
      </c>
      <c r="J1008" s="37">
        <f t="shared" si="321"/>
        <v>-6.1586453753125554E-2</v>
      </c>
      <c r="K1008" s="37">
        <f t="shared" si="322"/>
        <v>3.9236346311743216E-4</v>
      </c>
      <c r="L1008" s="90">
        <f t="shared" si="319"/>
        <v>3.9842460098125339E-3</v>
      </c>
      <c r="N1008" s="156">
        <f>COS(O1006)</f>
        <v>0.9999999939255686</v>
      </c>
      <c r="O1008" s="158">
        <f>-N1009</f>
        <v>1.1022187937789245E-4</v>
      </c>
      <c r="Q1008" s="123">
        <v>-0.11099662431040686</v>
      </c>
      <c r="R1008" s="90">
        <v>0.27748913053679664</v>
      </c>
    </row>
    <row r="1009" spans="1:18" x14ac:dyDescent="0.25">
      <c r="A1009" s="194">
        <v>-3.1016882930296207E-2</v>
      </c>
      <c r="B1009" s="195">
        <v>2.2945165209886785E-2</v>
      </c>
      <c r="C1009" s="195">
        <v>0.99756156150752806</v>
      </c>
      <c r="D1009" s="196">
        <v>-5.8158433347554377E-2</v>
      </c>
      <c r="F1009" s="123">
        <f>INDEX(A1009:D1017,,F1003)</f>
        <v>2.2945165209886785E-2</v>
      </c>
      <c r="G1009" s="90">
        <f>INDEX(A1004:D1012,,G1003)</f>
        <v>-5.8158433347554377E-2</v>
      </c>
      <c r="I1009" s="123">
        <f t="shared" si="320"/>
        <v>-2.8559227629329259E-3</v>
      </c>
      <c r="J1009" s="37">
        <f t="shared" si="321"/>
        <v>-2.6689097230156483E-3</v>
      </c>
      <c r="K1009" s="37">
        <f t="shared" si="322"/>
        <v>1.0332157182309725E-6</v>
      </c>
      <c r="L1009" s="90">
        <f t="shared" si="319"/>
        <v>7.6222000301734003E-6</v>
      </c>
      <c r="N1009" s="91">
        <f>SIN(O1006)</f>
        <v>-1.1022187937789245E-4</v>
      </c>
      <c r="O1009" s="93">
        <f>N1008</f>
        <v>0.9999999939255686</v>
      </c>
      <c r="Q1009" s="123">
        <v>2.2951575402333196E-2</v>
      </c>
      <c r="R1009" s="90">
        <v>-5.8155903935042892E-2</v>
      </c>
    </row>
    <row r="1010" spans="1:18" x14ac:dyDescent="0.25">
      <c r="A1010" s="194">
        <v>0.96166458895900475</v>
      </c>
      <c r="B1010" s="195">
        <v>-2.2610811429048694E-2</v>
      </c>
      <c r="C1010" s="195">
        <v>0.16743326105224879</v>
      </c>
      <c r="D1010" s="196">
        <v>0.21600016815326312</v>
      </c>
      <c r="F1010" s="123">
        <f>INDEX(A1010:D1018,,F1003)</f>
        <v>-2.2610811429048694E-2</v>
      </c>
      <c r="G1010" s="90">
        <f>INDEX(A1004:D1012,,G1003)</f>
        <v>0.21600016815326312</v>
      </c>
      <c r="I1010" s="123">
        <f t="shared" si="320"/>
        <v>-4.6144823848757947E-2</v>
      </c>
      <c r="J1010" s="37">
        <f t="shared" si="321"/>
        <v>-9.767878141512483E-3</v>
      </c>
      <c r="K1010" s="37">
        <f t="shared" si="322"/>
        <v>2.0339333246454628E-3</v>
      </c>
      <c r="L1010" s="90">
        <f t="shared" si="319"/>
        <v>4.507370162162267E-4</v>
      </c>
      <c r="Q1010" s="123">
        <v>-2.2634619236180663E-2</v>
      </c>
      <c r="R1010" s="90">
        <v>0.21599767463505495</v>
      </c>
    </row>
    <row r="1011" spans="1:18" x14ac:dyDescent="0.25">
      <c r="A1011" s="194">
        <v>0.67503930832609138</v>
      </c>
      <c r="B1011" s="195">
        <v>-0.22038109849616427</v>
      </c>
      <c r="C1011" s="195">
        <v>0.56881326268665211</v>
      </c>
      <c r="D1011" s="196">
        <v>0.41497659672808296</v>
      </c>
      <c r="F1011" s="123">
        <f>INDEX(A1011:D1019,,F1003)</f>
        <v>-0.22038109849616427</v>
      </c>
      <c r="G1011" s="90">
        <f>INDEX(A1004:D1012,,G1003)</f>
        <v>0.41497659672808296</v>
      </c>
      <c r="I1011" s="123">
        <f t="shared" si="320"/>
        <v>-0.12363774725764592</v>
      </c>
      <c r="J1011" s="37">
        <f t="shared" si="321"/>
        <v>-0.18290599647426939</v>
      </c>
      <c r="K1011" s="37">
        <f t="shared" si="322"/>
        <v>-1.8168310999299914E-2</v>
      </c>
      <c r="L1011" s="90">
        <f t="shared" si="319"/>
        <v>2.2614085363993595E-2</v>
      </c>
      <c r="Q1011" s="123">
        <v>-0.22042683665786364</v>
      </c>
      <c r="R1011" s="90">
        <v>0.41495230338848044</v>
      </c>
    </row>
    <row r="1012" spans="1:18" x14ac:dyDescent="0.25">
      <c r="A1012" s="200">
        <v>6.9812291260909001E-2</v>
      </c>
      <c r="B1012" s="201">
        <v>-0.92635777647318129</v>
      </c>
      <c r="C1012" s="201">
        <v>-0.20300212404932569</v>
      </c>
      <c r="D1012" s="202">
        <v>0.30947964648426868</v>
      </c>
      <c r="F1012" s="91">
        <f>INDEX(A1012:D1020,,F1003)</f>
        <v>-0.92635777647318129</v>
      </c>
      <c r="G1012" s="93">
        <f>INDEX(A1004:D1012,,G1003)</f>
        <v>0.30947964648426868</v>
      </c>
      <c r="I1012" s="91">
        <f t="shared" si="320"/>
        <v>0.76236107844430867</v>
      </c>
      <c r="J1012" s="92">
        <f t="shared" si="321"/>
        <v>-0.57337775436174665</v>
      </c>
      <c r="K1012" s="92">
        <f t="shared" si="322"/>
        <v>0.25243236472984992</v>
      </c>
      <c r="L1012" s="93">
        <f t="shared" si="319"/>
        <v>-0.43712088317119707</v>
      </c>
      <c r="Q1012" s="91">
        <v>-0.92639188227434921</v>
      </c>
      <c r="R1012" s="93">
        <v>0.30937753970925658</v>
      </c>
    </row>
    <row r="1013" spans="1:18" x14ac:dyDescent="0.25">
      <c r="I1013">
        <f>SUM(I1004:I1012)</f>
        <v>0.61422093439818337</v>
      </c>
      <c r="J1013">
        <f>SUM(J1004:J1012)</f>
        <v>-0.28599331378538728</v>
      </c>
      <c r="K1013">
        <f>SUM(K1004:K1012)</f>
        <v>1.5989385006132795</v>
      </c>
      <c r="L1013">
        <f>SUM(L1004:L1012)</f>
        <v>-3.9726717575756076E-2</v>
      </c>
    </row>
    <row r="1014" spans="1:18" x14ac:dyDescent="0.25">
      <c r="A1014" s="47" t="s">
        <v>53</v>
      </c>
      <c r="B1014">
        <f>COUNT(A1004:A1012)</f>
        <v>9</v>
      </c>
      <c r="I1014" s="47" t="s">
        <v>462</v>
      </c>
      <c r="J1014" s="47" t="s">
        <v>389</v>
      </c>
      <c r="K1014" s="47" t="s">
        <v>469</v>
      </c>
      <c r="L1014" s="47" t="s">
        <v>470</v>
      </c>
      <c r="N1014" s="47"/>
    </row>
    <row r="1016" spans="1:18" x14ac:dyDescent="0.25">
      <c r="A1016">
        <v>1</v>
      </c>
      <c r="B1016">
        <v>2</v>
      </c>
      <c r="C1016">
        <v>3</v>
      </c>
      <c r="D1016">
        <v>4</v>
      </c>
      <c r="F1016">
        <v>3</v>
      </c>
      <c r="G1016">
        <v>4</v>
      </c>
      <c r="I1016" s="47" t="s">
        <v>207</v>
      </c>
      <c r="J1016" s="47" t="s">
        <v>464</v>
      </c>
      <c r="K1016" s="47" t="s">
        <v>465</v>
      </c>
      <c r="L1016" s="47" t="s">
        <v>466</v>
      </c>
      <c r="Q1016">
        <f>F1016</f>
        <v>3</v>
      </c>
      <c r="R1016">
        <f>G1016</f>
        <v>4</v>
      </c>
    </row>
    <row r="1017" spans="1:18" x14ac:dyDescent="0.25">
      <c r="A1017" s="189">
        <f t="array" ref="A1017:A1025">IF(A1016=$Q1003,$Q1004:$Q1012,IF(A1016=$R1003,$R1004:$R1012,A1004:A1012))</f>
        <v>0.11045026980340809</v>
      </c>
      <c r="B1017" s="190">
        <f t="array" ref="B1017:B1025">IF(B1016=$Q1003,$Q1004:$Q1012,IF(B1016=$R1003,$R1004:$R1012,B1004:B1012))</f>
        <v>0.88903915848087145</v>
      </c>
      <c r="C1017" s="190">
        <f t="array" ref="C1017:C1025">IF(C1016=$Q1003,$Q1004:$Q1012,IF(C1016=$R1003,$R1004:$R1012,C1004:C1012))</f>
        <v>-0.3419301713789592</v>
      </c>
      <c r="D1017" s="191">
        <f t="array" ref="D1017:D1025">IF(D1016=$Q1003,$Q1004:$Q1012,IF(D1016=$R1003,$R1004:$R1012,D1004:D1012))</f>
        <v>0.28371441713232481</v>
      </c>
      <c r="F1017" s="156">
        <f>INDEX(A1017:D1025,,F1016)</f>
        <v>-0.3419301713789592</v>
      </c>
      <c r="G1017" s="158">
        <f>INDEX(A1017:D1025,,G1016)</f>
        <v>0.28371441713232481</v>
      </c>
      <c r="I1017" s="156">
        <f>F1017^2-G1017^2</f>
        <v>3.642237161050961E-2</v>
      </c>
      <c r="J1017" s="157">
        <f>2*F1017*G1017</f>
        <v>-0.19402103854547467</v>
      </c>
      <c r="K1017" s="157">
        <f>I1017^2-J1017^2</f>
        <v>-3.6317574244530512E-2</v>
      </c>
      <c r="L1017" s="158">
        <f t="shared" ref="L1017:L1025" si="323">I1017*J1017</f>
        <v>-7.0667063661602877E-3</v>
      </c>
      <c r="N1017" t="s">
        <v>390</v>
      </c>
      <c r="O1017" s="172">
        <f>L1026*B1027-2*I1026*J1026</f>
        <v>1.4974669782903405E-3</v>
      </c>
      <c r="Q1017" s="156">
        <f t="array" ref="Q1017:R1025">MMULT(F1017:G1025,N1021:O1022)</f>
        <v>-0.34192398316962158</v>
      </c>
      <c r="R1017" s="158">
        <v>0.28372187494340217</v>
      </c>
    </row>
    <row r="1018" spans="1:18" x14ac:dyDescent="0.25">
      <c r="A1018" s="194">
        <v>0.79372461747806211</v>
      </c>
      <c r="B1018" s="195">
        <v>-0.60196522586371892</v>
      </c>
      <c r="C1018" s="195">
        <v>8.472004073282248E-2</v>
      </c>
      <c r="D1018" s="196">
        <v>-2.1485184625103043E-2</v>
      </c>
      <c r="F1018" s="123">
        <f>INDEX(A1018:D1026,,F1016)</f>
        <v>8.472004073282248E-2</v>
      </c>
      <c r="G1018" s="90">
        <f>INDEX(A1017:D1025,,G1016)</f>
        <v>-2.1485184625103043E-2</v>
      </c>
      <c r="I1018" s="123">
        <f t="shared" ref="I1018:I1025" si="324">F1018^2-G1018^2</f>
        <v>6.7158721433963359E-3</v>
      </c>
      <c r="J1018" s="37">
        <f t="shared" ref="J1018:J1025" si="325">2*F1018*G1018</f>
        <v>-3.6404514331818821E-3</v>
      </c>
      <c r="K1018" s="37">
        <f t="shared" ref="K1018:K1025" si="326">I1018^2-J1018^2</f>
        <v>3.1850052009090877E-5</v>
      </c>
      <c r="L1018" s="90">
        <f t="shared" si="323"/>
        <v>-2.444880636949347E-5</v>
      </c>
      <c r="N1018" t="s">
        <v>392</v>
      </c>
      <c r="O1018" s="173">
        <f>K1026*B1027-(I1026^2-J1026^2)</f>
        <v>17.164034480462032</v>
      </c>
      <c r="Q1018" s="123">
        <v>8.4719572096820989E-2</v>
      </c>
      <c r="R1018" s="90">
        <v>-2.1487032458611256E-2</v>
      </c>
    </row>
    <row r="1019" spans="1:18" x14ac:dyDescent="0.25">
      <c r="A1019" s="194">
        <v>0.98390198922284677</v>
      </c>
      <c r="B1019" s="195">
        <v>0.11712176199195959</v>
      </c>
      <c r="C1019" s="195">
        <v>0.11369663999123522</v>
      </c>
      <c r="D1019" s="196">
        <v>7.2749175431255406E-2</v>
      </c>
      <c r="F1019" s="123">
        <f>INDEX(A1019:D1027,,F1016)</f>
        <v>0.11369663999123522</v>
      </c>
      <c r="G1019" s="90">
        <f>INDEX(A1017:D1025,,G1016)</f>
        <v>7.2749175431255406E-2</v>
      </c>
      <c r="I1019" s="123">
        <f t="shared" si="324"/>
        <v>7.6344834193689728E-3</v>
      </c>
      <c r="J1019" s="37">
        <f t="shared" si="325"/>
        <v>1.6542673617333321E-2</v>
      </c>
      <c r="K1019" s="37">
        <f t="shared" si="326"/>
        <v>-2.1537471332899613E-4</v>
      </c>
      <c r="L1019" s="90">
        <f t="shared" si="323"/>
        <v>1.2629476744356377E-4</v>
      </c>
      <c r="N1019" t="s">
        <v>467</v>
      </c>
      <c r="O1019" s="174">
        <f>0.25*ATAN(O1017/O1018)</f>
        <v>2.1811115798496394E-5</v>
      </c>
      <c r="Q1019" s="123">
        <v>0.11369822670488051</v>
      </c>
      <c r="R1019" s="90">
        <v>7.2746695563370559E-2</v>
      </c>
    </row>
    <row r="1020" spans="1:18" x14ac:dyDescent="0.25">
      <c r="A1020" s="194">
        <v>4.8502485880630684E-2</v>
      </c>
      <c r="B1020" s="195">
        <v>-1.5271793244662196E-3</v>
      </c>
      <c r="C1020" s="195">
        <v>8.0575473140865522E-2</v>
      </c>
      <c r="D1020" s="196">
        <v>0.99556655714966436</v>
      </c>
      <c r="F1020" s="123">
        <f>INDEX(A1020:D1028,,F1016)</f>
        <v>8.0575473140865522E-2</v>
      </c>
      <c r="G1020" s="90">
        <f>INDEX(A1017:D1025,,G1016)</f>
        <v>0.99556655714966436</v>
      </c>
      <c r="I1020" s="123">
        <f t="shared" si="324"/>
        <v>-0.98466036284296155</v>
      </c>
      <c r="J1020" s="37">
        <f t="shared" si="325"/>
        <v>0.16043649277111349</v>
      </c>
      <c r="K1020" s="37">
        <f t="shared" si="326"/>
        <v>0.94381616194133711</v>
      </c>
      <c r="L1020" s="90">
        <f t="shared" si="323"/>
        <v>-0.1579754551852568</v>
      </c>
      <c r="Q1020" s="123">
        <v>8.0597187539161022E-2</v>
      </c>
      <c r="R1020" s="90">
        <v>0.99556479947188148</v>
      </c>
    </row>
    <row r="1021" spans="1:18" x14ac:dyDescent="0.25">
      <c r="A1021" s="194">
        <v>0.35381882321399183</v>
      </c>
      <c r="B1021" s="195">
        <v>-0.11099662431040686</v>
      </c>
      <c r="C1021" s="195">
        <v>0.88627973697083562</v>
      </c>
      <c r="D1021" s="196">
        <v>0.27748913053679664</v>
      </c>
      <c r="F1021" s="123">
        <f>INDEX(A1021:D1029,,F1016)</f>
        <v>0.88627973697083562</v>
      </c>
      <c r="G1021" s="90">
        <f>INDEX(A1017:D1025,,G1016)</f>
        <v>0.27748913053679664</v>
      </c>
      <c r="I1021" s="123">
        <f t="shared" si="324"/>
        <v>0.70849155459902624</v>
      </c>
      <c r="J1021" s="37">
        <f t="shared" si="325"/>
        <v>0.49186598724883601</v>
      </c>
      <c r="K1021" s="37">
        <f t="shared" si="326"/>
        <v>0.26002813352587284</v>
      </c>
      <c r="L1021" s="90">
        <f t="shared" si="323"/>
        <v>0.34848289796031262</v>
      </c>
      <c r="N1021" s="156">
        <f>COS(O1019)</f>
        <v>0.9999999997621376</v>
      </c>
      <c r="O1021" s="158">
        <f>-N1022</f>
        <v>-2.1811115796767047E-5</v>
      </c>
      <c r="Q1021" s="123">
        <v>0.88628578910758149</v>
      </c>
      <c r="R1021" s="90">
        <v>0.27746979972082103</v>
      </c>
    </row>
    <row r="1022" spans="1:18" x14ac:dyDescent="0.25">
      <c r="A1022" s="194">
        <v>-3.1016882930296207E-2</v>
      </c>
      <c r="B1022" s="195">
        <v>2.2951575402333196E-2</v>
      </c>
      <c r="C1022" s="195">
        <v>0.99756156150752806</v>
      </c>
      <c r="D1022" s="196">
        <v>-5.8155903935042892E-2</v>
      </c>
      <c r="F1022" s="123">
        <f>INDEX(A1022:D1030,,F1016)</f>
        <v>0.99756156150752806</v>
      </c>
      <c r="G1022" s="90">
        <f>INDEX(A1017:D1025,,G1016)</f>
        <v>-5.8155903935042892E-2</v>
      </c>
      <c r="I1022" s="123">
        <f t="shared" si="324"/>
        <v>0.99174695983483574</v>
      </c>
      <c r="J1022" s="37">
        <f t="shared" si="325"/>
        <v>-0.11602818868064636</v>
      </c>
      <c r="K1022" s="37">
        <f t="shared" si="326"/>
        <v>0.9700994917731276</v>
      </c>
      <c r="L1022" s="90">
        <f t="shared" si="323"/>
        <v>-0.11507060337917373</v>
      </c>
      <c r="N1022" s="91">
        <f>SIN(O1019)</f>
        <v>2.1811115796767047E-5</v>
      </c>
      <c r="O1022" s="93">
        <f>N1021</f>
        <v>0.9999999997621376</v>
      </c>
      <c r="Q1022" s="123">
        <v>0.99756029282509062</v>
      </c>
      <c r="R1022" s="90">
        <v>-5.8177661851942238E-2</v>
      </c>
    </row>
    <row r="1023" spans="1:18" x14ac:dyDescent="0.25">
      <c r="A1023" s="194">
        <v>0.96166458895900475</v>
      </c>
      <c r="B1023" s="195">
        <v>-2.2634619236180663E-2</v>
      </c>
      <c r="C1023" s="195">
        <v>0.16743326105224879</v>
      </c>
      <c r="D1023" s="196">
        <v>0.21599767463505495</v>
      </c>
      <c r="F1023" s="123">
        <f>INDEX(A1023:D1031,,F1016)</f>
        <v>0.16743326105224879</v>
      </c>
      <c r="G1023" s="90">
        <f>INDEX(A1017:D1025,,G1016)</f>
        <v>0.21599767463505495</v>
      </c>
      <c r="I1023" s="123">
        <f t="shared" si="324"/>
        <v>-1.862109854116057E-2</v>
      </c>
      <c r="J1023" s="37">
        <f t="shared" si="325"/>
        <v>7.2330390087699703E-2</v>
      </c>
      <c r="K1023" s="37">
        <f t="shared" si="326"/>
        <v>-4.8849400193591947E-3</v>
      </c>
      <c r="L1023" s="90">
        <f t="shared" si="323"/>
        <v>-1.34687132134364E-3</v>
      </c>
      <c r="Q1023" s="123">
        <v>0.167437972162716</v>
      </c>
      <c r="R1023" s="90">
        <v>0.21599402267743217</v>
      </c>
    </row>
    <row r="1024" spans="1:18" x14ac:dyDescent="0.25">
      <c r="A1024" s="194">
        <v>0.67503930832609138</v>
      </c>
      <c r="B1024" s="195">
        <v>-0.22042683665786364</v>
      </c>
      <c r="C1024" s="195">
        <v>0.56881326268665211</v>
      </c>
      <c r="D1024" s="196">
        <v>0.41495230338848044</v>
      </c>
      <c r="F1024" s="123">
        <f>INDEX(A1024:D1032,,F1016)</f>
        <v>0.56881326268665211</v>
      </c>
      <c r="G1024" s="90">
        <f>INDEX(A1017:D1025,,G1016)</f>
        <v>0.41495230338848044</v>
      </c>
      <c r="I1024" s="123">
        <f t="shared" si="324"/>
        <v>0.15136311372082878</v>
      </c>
      <c r="J1024" s="37">
        <f t="shared" si="325"/>
        <v>0.47206074709948614</v>
      </c>
      <c r="K1024" s="37">
        <f t="shared" si="326"/>
        <v>-0.19993055675686047</v>
      </c>
      <c r="L1024" s="90">
        <f t="shared" si="323"/>
        <v>7.1452584546358916E-2</v>
      </c>
      <c r="Q1024" s="123">
        <v>0.56882231312409215</v>
      </c>
      <c r="R1024" s="90">
        <v>0.41493989683783972</v>
      </c>
    </row>
    <row r="1025" spans="1:18" x14ac:dyDescent="0.25">
      <c r="A1025" s="200">
        <v>6.9812291260909001E-2</v>
      </c>
      <c r="B1025" s="201">
        <v>-0.92639188227434921</v>
      </c>
      <c r="C1025" s="201">
        <v>-0.20300212404932569</v>
      </c>
      <c r="D1025" s="202">
        <v>0.30937753970925658</v>
      </c>
      <c r="F1025" s="91">
        <f>INDEX(A1025:D1033,,F1016)</f>
        <v>-0.20300212404932569</v>
      </c>
      <c r="G1025" s="93">
        <f>INDEX(A1017:D1025,,G1016)</f>
        <v>0.30937753970925658</v>
      </c>
      <c r="I1025" s="91">
        <f t="shared" si="324"/>
        <v>-5.4504599708014807E-2</v>
      </c>
      <c r="J1025" s="92">
        <f t="shared" si="325"/>
        <v>-0.12560859538826738</v>
      </c>
      <c r="K1025" s="92">
        <f t="shared" si="326"/>
        <v>-1.2806767846082539E-2</v>
      </c>
      <c r="L1025" s="93">
        <f t="shared" si="323"/>
        <v>6.8462462115235082E-3</v>
      </c>
      <c r="Q1025" s="91">
        <v>-0.2029953761316956</v>
      </c>
      <c r="R1025" s="93">
        <v>0.30938196733850193</v>
      </c>
    </row>
    <row r="1026" spans="1:18" x14ac:dyDescent="0.25">
      <c r="I1026">
        <f>SUM(I1017:I1025)</f>
        <v>0.84458829423582882</v>
      </c>
      <c r="J1026">
        <f>SUM(J1017:J1025)</f>
        <v>0.77393801677689844</v>
      </c>
      <c r="K1026">
        <f>SUM(K1017:K1025)</f>
        <v>1.9198204237121848</v>
      </c>
      <c r="L1026">
        <f>SUM(L1017:L1025)</f>
        <v>0.1454239384273347</v>
      </c>
    </row>
    <row r="1027" spans="1:18" x14ac:dyDescent="0.25">
      <c r="A1027" s="47" t="s">
        <v>53</v>
      </c>
      <c r="B1027">
        <f>COUNT(A1017:A1025)</f>
        <v>9</v>
      </c>
      <c r="I1027" s="47" t="s">
        <v>462</v>
      </c>
      <c r="J1027" s="47" t="s">
        <v>389</v>
      </c>
      <c r="K1027" s="47" t="s">
        <v>469</v>
      </c>
      <c r="L1027" s="47" t="s">
        <v>470</v>
      </c>
      <c r="N1027" s="47"/>
    </row>
    <row r="1029" spans="1:18" x14ac:dyDescent="0.25">
      <c r="A1029">
        <v>1</v>
      </c>
      <c r="B1029">
        <v>2</v>
      </c>
      <c r="C1029">
        <v>3</v>
      </c>
      <c r="D1029">
        <v>4</v>
      </c>
      <c r="F1029">
        <v>1</v>
      </c>
      <c r="G1029">
        <v>2</v>
      </c>
      <c r="I1029" s="47" t="s">
        <v>207</v>
      </c>
      <c r="J1029" s="47" t="s">
        <v>464</v>
      </c>
      <c r="K1029" s="47" t="s">
        <v>465</v>
      </c>
      <c r="L1029" s="47" t="s">
        <v>466</v>
      </c>
      <c r="Q1029">
        <f>F1029</f>
        <v>1</v>
      </c>
      <c r="R1029">
        <f>G1029</f>
        <v>2</v>
      </c>
    </row>
    <row r="1030" spans="1:18" x14ac:dyDescent="0.25">
      <c r="A1030" s="189">
        <f t="array" ref="A1030:A1038">IF(A1029=$Q1016,$Q1017:$Q1025,IF(A1029=$R1016,$R1017:$R1025,A1017:A1025))</f>
        <v>0.11045026980340809</v>
      </c>
      <c r="B1030" s="190">
        <f t="array" ref="B1030:B1038">IF(B1029=$Q1016,$Q1017:$Q1025,IF(B1029=$R1016,$R1017:$R1025,B1017:B1025))</f>
        <v>0.88903915848087145</v>
      </c>
      <c r="C1030" s="190">
        <f t="array" ref="C1030:C1038">IF(C1029=$Q1016,$Q1017:$Q1025,IF(C1029=$R1016,$R1017:$R1025,C1017:C1025))</f>
        <v>-0.34192398316962158</v>
      </c>
      <c r="D1030" s="191">
        <f t="array" ref="D1030:D1038">IF(D1029=$Q1016,$Q1017:$Q1025,IF(D1029=$R1016,$R1017:$R1025,D1017:D1025))</f>
        <v>0.28372187494340217</v>
      </c>
      <c r="F1030" s="156">
        <f>INDEX(A1030:D1038,,F1029)</f>
        <v>0.11045026980340809</v>
      </c>
      <c r="G1030" s="158">
        <f>INDEX(A1030:D1038,,G1029)</f>
        <v>0.88903915848087145</v>
      </c>
      <c r="I1030" s="156">
        <f>F1030^2-G1030^2</f>
        <v>-0.77819136321273041</v>
      </c>
      <c r="J1030" s="157">
        <f>2*F1030*G1030</f>
        <v>0.19638922984001428</v>
      </c>
      <c r="K1030" s="157">
        <f>I1030^2-J1030^2</f>
        <v>0.5670130681817338</v>
      </c>
      <c r="L1030" s="158">
        <f t="shared" ref="L1030:L1038" si="327">I1030*J1030</f>
        <v>-0.15282840248949894</v>
      </c>
      <c r="N1030" t="s">
        <v>390</v>
      </c>
      <c r="O1030" s="172">
        <f>L1039*B1040-2*I1039*J1039</f>
        <v>3.0315932071283136E-3</v>
      </c>
      <c r="Q1030" s="156">
        <f t="array" ref="Q1030:R1038">MMULT(F1030:G1038,N1034:O1035)</f>
        <v>0.11048368391028683</v>
      </c>
      <c r="R1030" s="158">
        <v>0.88903500662326762</v>
      </c>
    </row>
    <row r="1031" spans="1:18" x14ac:dyDescent="0.25">
      <c r="A1031" s="194">
        <v>0.79372461747806211</v>
      </c>
      <c r="B1031" s="195">
        <v>-0.60196522586371892</v>
      </c>
      <c r="C1031" s="195">
        <v>8.4719572096820989E-2</v>
      </c>
      <c r="D1031" s="196">
        <v>-2.1487032458611256E-2</v>
      </c>
      <c r="F1031" s="123">
        <f>INDEX(A1031:D1039,,F1029)</f>
        <v>0.79372461747806211</v>
      </c>
      <c r="G1031" s="90">
        <f>INDEX(A1030:D1038,,G1029)</f>
        <v>-0.60196522586371892</v>
      </c>
      <c r="I1031" s="123">
        <f t="shared" ref="I1031:I1038" si="328">F1031^2-G1031^2</f>
        <v>0.26763663524153786</v>
      </c>
      <c r="J1031" s="37">
        <f t="shared" ref="J1031:J1038" si="329">2*F1031*G1031</f>
        <v>-0.95558923726755107</v>
      </c>
      <c r="K1031" s="37">
        <f t="shared" ref="K1031:K1038" si="330">I1031^2-J1031^2</f>
        <v>-0.84152142185816803</v>
      </c>
      <c r="L1031" s="90">
        <f t="shared" si="327"/>
        <v>-0.25575068813531493</v>
      </c>
      <c r="N1031" t="s">
        <v>392</v>
      </c>
      <c r="O1031" s="173">
        <f>K1039*B1040-(I1039^2-J1039^2)</f>
        <v>20.165126440028594</v>
      </c>
      <c r="Q1031" s="123">
        <v>0.79370199229269711</v>
      </c>
      <c r="R1031" s="90">
        <v>-0.60199505726414193</v>
      </c>
    </row>
    <row r="1032" spans="1:18" x14ac:dyDescent="0.25">
      <c r="A1032" s="194">
        <v>0.98390198922284677</v>
      </c>
      <c r="B1032" s="195">
        <v>0.11712176199195959</v>
      </c>
      <c r="C1032" s="195">
        <v>0.11369822670488051</v>
      </c>
      <c r="D1032" s="196">
        <v>7.2746695563370559E-2</v>
      </c>
      <c r="F1032" s="123">
        <f>INDEX(A1032:D1040,,F1029)</f>
        <v>0.98390198922284677</v>
      </c>
      <c r="G1032" s="90">
        <f>INDEX(A1030:D1038,,G1029)</f>
        <v>0.11712176199195959</v>
      </c>
      <c r="I1032" s="123">
        <f t="shared" si="328"/>
        <v>0.95434561726457368</v>
      </c>
      <c r="J1032" s="37">
        <f t="shared" si="329"/>
        <v>0.2304726692103477</v>
      </c>
      <c r="K1032" s="37">
        <f t="shared" si="330"/>
        <v>0.85765790593915781</v>
      </c>
      <c r="L1032" s="90">
        <f t="shared" si="327"/>
        <v>0.21995058176016319</v>
      </c>
      <c r="N1032" t="s">
        <v>467</v>
      </c>
      <c r="O1032" s="174">
        <f>0.25*ATAN(O1030/O1031)</f>
        <v>3.7584604208962693E-5</v>
      </c>
      <c r="Q1032" s="123">
        <v>0.98390639050298323</v>
      </c>
      <c r="R1032" s="90">
        <v>0.1170847823423997</v>
      </c>
    </row>
    <row r="1033" spans="1:18" x14ac:dyDescent="0.25">
      <c r="A1033" s="194">
        <v>4.8502485880630684E-2</v>
      </c>
      <c r="B1033" s="195">
        <v>-1.5271793244662196E-3</v>
      </c>
      <c r="C1033" s="195">
        <v>8.0597187539161022E-2</v>
      </c>
      <c r="D1033" s="196">
        <v>0.99556479947188148</v>
      </c>
      <c r="F1033" s="123">
        <f>INDEX(A1033:D1041,,F1029)</f>
        <v>4.8502485880630684E-2</v>
      </c>
      <c r="G1033" s="90">
        <f>INDEX(A1030:D1038,,G1029)</f>
        <v>-1.5271793244662196E-3</v>
      </c>
      <c r="I1033" s="123">
        <f t="shared" si="328"/>
        <v>2.3501588599117019E-3</v>
      </c>
      <c r="J1033" s="37">
        <f t="shared" si="329"/>
        <v>-1.4814398724422785E-4</v>
      </c>
      <c r="K1033" s="37">
        <f t="shared" si="330"/>
        <v>5.5013000258648526E-6</v>
      </c>
      <c r="L1033" s="90">
        <f t="shared" si="327"/>
        <v>-3.4816190416466822E-7</v>
      </c>
      <c r="Q1033" s="123">
        <v>4.8502428447942864E-2</v>
      </c>
      <c r="R1033" s="90">
        <v>-1.5290022701221161E-3</v>
      </c>
    </row>
    <row r="1034" spans="1:18" x14ac:dyDescent="0.25">
      <c r="A1034" s="194">
        <v>0.35381882321399183</v>
      </c>
      <c r="B1034" s="195">
        <v>-0.11099662431040686</v>
      </c>
      <c r="C1034" s="195">
        <v>0.88628578910758149</v>
      </c>
      <c r="D1034" s="196">
        <v>0.27746979972082103</v>
      </c>
      <c r="F1034" s="123">
        <f>INDEX(A1034:D1042,,F1029)</f>
        <v>0.35381882321399183</v>
      </c>
      <c r="G1034" s="90">
        <f>INDEX(A1030:D1038,,G1029)</f>
        <v>-0.11099662431040686</v>
      </c>
      <c r="I1034" s="123">
        <f t="shared" si="328"/>
        <v>0.11286750905222839</v>
      </c>
      <c r="J1034" s="37">
        <f t="shared" si="329"/>
        <v>-7.8545389988467426E-2</v>
      </c>
      <c r="K1034" s="37">
        <f t="shared" si="330"/>
        <v>6.5696963112144196E-3</v>
      </c>
      <c r="L1034" s="90">
        <f t="shared" si="327"/>
        <v>-8.865222515534156E-3</v>
      </c>
      <c r="N1034" s="156">
        <f>COS(O1032)</f>
        <v>0.99999999929369876</v>
      </c>
      <c r="O1034" s="158">
        <f>-N1035</f>
        <v>-3.7584604200114011E-5</v>
      </c>
      <c r="Q1034" s="123">
        <v>0.35381465119989691</v>
      </c>
      <c r="R1034" s="90">
        <v>-0.11100992237243885</v>
      </c>
    </row>
    <row r="1035" spans="1:18" x14ac:dyDescent="0.25">
      <c r="A1035" s="194">
        <v>-3.1016882930296207E-2</v>
      </c>
      <c r="B1035" s="195">
        <v>2.2951575402333196E-2</v>
      </c>
      <c r="C1035" s="195">
        <v>0.99756029282509062</v>
      </c>
      <c r="D1035" s="196">
        <v>-5.8177661851942238E-2</v>
      </c>
      <c r="F1035" s="123">
        <f>INDEX(A1035:D1043,,F1029)</f>
        <v>-3.1016882930296207E-2</v>
      </c>
      <c r="G1035" s="90">
        <f>INDEX(A1030:D1038,,G1029)</f>
        <v>2.2951575402333196E-2</v>
      </c>
      <c r="I1035" s="123">
        <f t="shared" si="328"/>
        <v>4.3527221326271391E-4</v>
      </c>
      <c r="J1035" s="37">
        <f t="shared" si="329"/>
        <v>-1.4237726546400696E-3</v>
      </c>
      <c r="K1035" s="37">
        <f t="shared" si="330"/>
        <v>-1.8376666724622092E-6</v>
      </c>
      <c r="L1035" s="90">
        <f t="shared" si="327"/>
        <v>-6.1972867456811274E-7</v>
      </c>
      <c r="N1035" s="91">
        <f>SIN(O1032)</f>
        <v>3.7584604200114011E-5</v>
      </c>
      <c r="O1035" s="93">
        <f>N1034</f>
        <v>0.99999999929369876</v>
      </c>
      <c r="Q1035" s="123">
        <v>-3.1016020282511676E-2</v>
      </c>
      <c r="R1035" s="90">
        <v>2.2952741143390926E-2</v>
      </c>
    </row>
    <row r="1036" spans="1:18" x14ac:dyDescent="0.25">
      <c r="A1036" s="194">
        <v>0.96166458895900475</v>
      </c>
      <c r="B1036" s="195">
        <v>-2.2634619236180663E-2</v>
      </c>
      <c r="C1036" s="195">
        <v>0.167437972162716</v>
      </c>
      <c r="D1036" s="196">
        <v>0.21599402267743217</v>
      </c>
      <c r="F1036" s="123">
        <f>INDEX(A1036:D1044,,F1029)</f>
        <v>0.96166458895900475</v>
      </c>
      <c r="G1036" s="90">
        <f>INDEX(A1030:D1038,,G1029)</f>
        <v>-2.2634619236180663E-2</v>
      </c>
      <c r="I1036" s="123">
        <f t="shared" si="328"/>
        <v>0.92428645566972467</v>
      </c>
      <c r="J1036" s="37">
        <f t="shared" si="329"/>
        <v>-4.3533823608010523E-2</v>
      </c>
      <c r="K1036" s="37">
        <f t="shared" si="330"/>
        <v>0.85241025833656858</v>
      </c>
      <c r="L1036" s="90">
        <f t="shared" si="327"/>
        <v>-4.0237723524399034E-2</v>
      </c>
      <c r="Q1036" s="123">
        <v>0.96166373756657464</v>
      </c>
      <c r="R1036" s="90">
        <v>-2.2670763003143093E-2</v>
      </c>
    </row>
    <row r="1037" spans="1:18" x14ac:dyDescent="0.25">
      <c r="A1037" s="194">
        <v>0.67503930832609138</v>
      </c>
      <c r="B1037" s="195">
        <v>-0.22042683665786364</v>
      </c>
      <c r="C1037" s="195">
        <v>0.56882231312409215</v>
      </c>
      <c r="D1037" s="196">
        <v>0.41493989683783972</v>
      </c>
      <c r="F1037" s="123">
        <f>INDEX(A1037:D1045,,F1029)</f>
        <v>0.67503930832609138</v>
      </c>
      <c r="G1037" s="90">
        <f>INDEX(A1030:D1038,,G1029)</f>
        <v>-0.22042683665786364</v>
      </c>
      <c r="I1037" s="123">
        <f t="shared" si="328"/>
        <v>0.40709007746637538</v>
      </c>
      <c r="J1037" s="37">
        <f t="shared" si="329"/>
        <v>-0.2975935587080652</v>
      </c>
      <c r="K1037" s="37">
        <f t="shared" si="330"/>
        <v>7.7160404987048847E-2</v>
      </c>
      <c r="L1037" s="90">
        <f t="shared" si="327"/>
        <v>-0.12114738486796059</v>
      </c>
      <c r="Q1037" s="123">
        <v>0.6750310231938994</v>
      </c>
      <c r="R1037" s="90">
        <v>-0.22045220758739886</v>
      </c>
    </row>
    <row r="1038" spans="1:18" x14ac:dyDescent="0.25">
      <c r="A1038" s="200">
        <v>6.9812291260909001E-2</v>
      </c>
      <c r="B1038" s="201">
        <v>-0.92639188227434921</v>
      </c>
      <c r="C1038" s="201">
        <v>-0.2029953761316956</v>
      </c>
      <c r="D1038" s="202">
        <v>0.30938196733850193</v>
      </c>
      <c r="F1038" s="91">
        <f>INDEX(A1038:D1046,,F1029)</f>
        <v>6.9812291260909001E-2</v>
      </c>
      <c r="G1038" s="93">
        <f>INDEX(A1030:D1038,,G1029)</f>
        <v>-0.92639188227434921</v>
      </c>
      <c r="I1038" s="91">
        <f t="shared" si="328"/>
        <v>-0.85332816353271368</v>
      </c>
      <c r="J1038" s="92">
        <f t="shared" si="329"/>
        <v>-0.12934707981415719</v>
      </c>
      <c r="K1038" s="92">
        <f t="shared" si="330"/>
        <v>0.71143828762166372</v>
      </c>
      <c r="L1038" s="93">
        <f t="shared" si="327"/>
        <v>0.1103755060761341</v>
      </c>
      <c r="Q1038" s="91">
        <v>6.9777473139371021E-2</v>
      </c>
      <c r="R1038" s="93">
        <v>-0.92639450548737279</v>
      </c>
    </row>
    <row r="1039" spans="1:18" x14ac:dyDescent="0.25">
      <c r="I1039">
        <f>SUM(I1030:I1038)</f>
        <v>1.0374921990221699</v>
      </c>
      <c r="J1039">
        <f>SUM(J1030:J1038)</f>
        <v>-1.0793191069777737</v>
      </c>
      <c r="K1039">
        <f>SUM(K1030:K1038)</f>
        <v>2.2307318631525725</v>
      </c>
      <c r="L1039">
        <f>SUM(L1030:L1038)</f>
        <v>-0.24850430158698911</v>
      </c>
    </row>
    <row r="1040" spans="1:18" x14ac:dyDescent="0.25">
      <c r="A1040" s="47" t="s">
        <v>53</v>
      </c>
      <c r="B1040">
        <f>COUNT(A1030:A1038)</f>
        <v>9</v>
      </c>
      <c r="I1040" s="47" t="s">
        <v>462</v>
      </c>
      <c r="J1040" s="47" t="s">
        <v>389</v>
      </c>
      <c r="K1040" s="47" t="s">
        <v>469</v>
      </c>
      <c r="L1040" s="47" t="s">
        <v>470</v>
      </c>
      <c r="N1040" s="47"/>
    </row>
    <row r="1042" spans="1:18" x14ac:dyDescent="0.25">
      <c r="A1042">
        <v>1</v>
      </c>
      <c r="B1042">
        <v>2</v>
      </c>
      <c r="C1042">
        <v>3</v>
      </c>
      <c r="D1042">
        <v>4</v>
      </c>
      <c r="F1042">
        <v>1</v>
      </c>
      <c r="G1042">
        <v>3</v>
      </c>
      <c r="I1042" s="47" t="s">
        <v>207</v>
      </c>
      <c r="J1042" s="47" t="s">
        <v>464</v>
      </c>
      <c r="K1042" s="47" t="s">
        <v>465</v>
      </c>
      <c r="L1042" s="47" t="s">
        <v>466</v>
      </c>
      <c r="Q1042">
        <f>F1042</f>
        <v>1</v>
      </c>
      <c r="R1042">
        <f>G1042</f>
        <v>3</v>
      </c>
    </row>
    <row r="1043" spans="1:18" x14ac:dyDescent="0.25">
      <c r="A1043" s="189">
        <f t="array" ref="A1043:A1051">IF(A1042=$Q1029,$Q1030:$Q1038,IF(A1042=$R1029,$R1030:$R1038,A1030:A1038))</f>
        <v>0.11048368391028683</v>
      </c>
      <c r="B1043" s="190">
        <f t="array" ref="B1043:B1051">IF(B1042=$Q1029,$Q1030:$Q1038,IF(B1042=$R1029,$R1030:$R1038,B1030:B1038))</f>
        <v>0.88903500662326762</v>
      </c>
      <c r="C1043" s="190">
        <f t="array" ref="C1043:C1051">IF(C1042=$Q1029,$Q1030:$Q1038,IF(C1042=$R1029,$R1030:$R1038,C1030:C1038))</f>
        <v>-0.34192398316962158</v>
      </c>
      <c r="D1043" s="191">
        <f t="array" ref="D1043:D1051">IF(D1042=$Q1029,$Q1030:$Q1038,IF(D1042=$R1029,$R1030:$R1038,D1030:D1038))</f>
        <v>0.28372187494340217</v>
      </c>
      <c r="F1043" s="156">
        <f>INDEX(A1043:D1051,,F1042)</f>
        <v>0.11048368391028683</v>
      </c>
      <c r="G1043" s="158">
        <f>INDEX(A1043:D1051,,G1042)</f>
        <v>-0.34192398316962158</v>
      </c>
      <c r="I1043" s="156">
        <f>F1043^2-G1043^2</f>
        <v>-0.10470536585619149</v>
      </c>
      <c r="J1043" s="157">
        <f>2*F1043*G1043</f>
        <v>-7.5554042555717404E-2</v>
      </c>
      <c r="K1043" s="157">
        <f>I1043^2-J1043^2</f>
        <v>5.2548002925677543E-3</v>
      </c>
      <c r="L1043" s="158">
        <f t="shared" ref="L1043:L1051" si="331">I1043*J1043</f>
        <v>7.910913667710651E-3</v>
      </c>
      <c r="N1043" t="s">
        <v>390</v>
      </c>
      <c r="O1043" s="172">
        <f>L1052*B1053-2*I1052*J1052</f>
        <v>7.8679086899002826E-4</v>
      </c>
      <c r="Q1043" s="156">
        <f t="array" ref="Q1043:R1051">MMULT(F1043:G1051,N1047:O1048)</f>
        <v>0.11048094586627905</v>
      </c>
      <c r="R1043" s="158">
        <v>-0.3419248678839551</v>
      </c>
    </row>
    <row r="1044" spans="1:18" x14ac:dyDescent="0.25">
      <c r="A1044" s="194">
        <v>0.79370199229269711</v>
      </c>
      <c r="B1044" s="195">
        <v>-0.60199505726414193</v>
      </c>
      <c r="C1044" s="195">
        <v>8.4719572096820989E-2</v>
      </c>
      <c r="D1044" s="196">
        <v>-2.1487032458611256E-2</v>
      </c>
      <c r="F1044" s="123">
        <f>INDEX(A1044:D1052,,F1042)</f>
        <v>0.79370199229269711</v>
      </c>
      <c r="G1044" s="90">
        <f>INDEX(A1043:D1051,,G1042)</f>
        <v>8.4719572096820989E-2</v>
      </c>
      <c r="I1044" s="123">
        <f t="shared" ref="I1044:I1051" si="332">F1044^2-G1044^2</f>
        <v>0.62278544667312818</v>
      </c>
      <c r="J1044" s="37">
        <f t="shared" ref="J1044:J1051" si="333">2*F1044*G1044</f>
        <v>0.13448418631886322</v>
      </c>
      <c r="K1044" s="37">
        <f t="shared" ref="K1044:K1051" si="334">I1044^2-J1044^2</f>
        <v>0.36977571621800109</v>
      </c>
      <c r="L1044" s="90">
        <f t="shared" si="331"/>
        <v>8.3754794047065428E-2</v>
      </c>
      <c r="N1044" t="s">
        <v>392</v>
      </c>
      <c r="O1044" s="173">
        <f>K1052*B1053-(I1052^2-J1052^2)</f>
        <v>24.56343059441069</v>
      </c>
      <c r="Q1044" s="123">
        <v>0.79370267068007816</v>
      </c>
      <c r="R1044" s="90">
        <v>8.471321633001859E-2</v>
      </c>
    </row>
    <row r="1045" spans="1:18" x14ac:dyDescent="0.25">
      <c r="A1045" s="194">
        <v>0.98390639050298323</v>
      </c>
      <c r="B1045" s="195">
        <v>0.1170847823423997</v>
      </c>
      <c r="C1045" s="195">
        <v>0.11369822670488051</v>
      </c>
      <c r="D1045" s="196">
        <v>7.2746695563370559E-2</v>
      </c>
      <c r="F1045" s="123">
        <f>INDEX(A1045:D1053,,F1042)</f>
        <v>0.98390639050298323</v>
      </c>
      <c r="G1045" s="90">
        <f>INDEX(A1043:D1051,,G1042)</f>
        <v>0.11369822670488051</v>
      </c>
      <c r="I1045" s="123">
        <f t="shared" si="332"/>
        <v>0.95514449851677452</v>
      </c>
      <c r="J1045" s="37">
        <f t="shared" si="333"/>
        <v>0.22373682368757777</v>
      </c>
      <c r="K1045" s="37">
        <f t="shared" si="334"/>
        <v>0.86224284677305452</v>
      </c>
      <c r="L1045" s="90">
        <f t="shared" si="331"/>
        <v>0.21370099626080746</v>
      </c>
      <c r="N1045" t="s">
        <v>467</v>
      </c>
      <c r="O1045" s="174">
        <f>0.25*ATAN(O1043/O1044)</f>
        <v>8.0077461665715079E-6</v>
      </c>
      <c r="Q1045" s="123">
        <v>0.98390730093797629</v>
      </c>
      <c r="R1045" s="90">
        <v>0.11369034782860839</v>
      </c>
    </row>
    <row r="1046" spans="1:18" x14ac:dyDescent="0.25">
      <c r="A1046" s="194">
        <v>4.8502428447942864E-2</v>
      </c>
      <c r="B1046" s="195">
        <v>-1.5290022701221161E-3</v>
      </c>
      <c r="C1046" s="195">
        <v>8.0597187539161022E-2</v>
      </c>
      <c r="D1046" s="196">
        <v>0.99556479947188148</v>
      </c>
      <c r="F1046" s="123">
        <f>INDEX(A1046:D1054,,F1042)</f>
        <v>4.8502428447942864E-2</v>
      </c>
      <c r="G1046" s="90">
        <f>INDEX(A1043:D1051,,G1042)</f>
        <v>8.0597187539161022E-2</v>
      </c>
      <c r="I1046" s="123">
        <f t="shared" si="332"/>
        <v>-4.1434210738748763E-3</v>
      </c>
      <c r="J1046" s="37">
        <f t="shared" si="333"/>
        <v>7.8183186434471787E-3</v>
      </c>
      <c r="K1046" s="37">
        <f t="shared" si="334"/>
        <v>-4.3958168215043296E-5</v>
      </c>
      <c r="L1046" s="90">
        <f t="shared" si="331"/>
        <v>-3.2394586229527875E-5</v>
      </c>
      <c r="Q1046" s="123">
        <v>4.8503073848207325E-2</v>
      </c>
      <c r="R1046" s="90">
        <v>8.0596799141441439E-2</v>
      </c>
    </row>
    <row r="1047" spans="1:18" x14ac:dyDescent="0.25">
      <c r="A1047" s="194">
        <v>0.35381465119989691</v>
      </c>
      <c r="B1047" s="195">
        <v>-0.11100992237243885</v>
      </c>
      <c r="C1047" s="195">
        <v>0.88628578910758149</v>
      </c>
      <c r="D1047" s="196">
        <v>0.27746979972082103</v>
      </c>
      <c r="F1047" s="123">
        <f>INDEX(A1047:D1055,,F1042)</f>
        <v>0.35381465119989691</v>
      </c>
      <c r="G1047" s="90">
        <f>INDEX(A1043:D1051,,G1042)</f>
        <v>0.88628578910758149</v>
      </c>
      <c r="I1047" s="123">
        <f t="shared" si="332"/>
        <v>-0.66031769257034367</v>
      </c>
      <c r="J1047" s="37">
        <f t="shared" si="333"/>
        <v>0.62716179467304867</v>
      </c>
      <c r="K1047" s="37">
        <f t="shared" si="334"/>
        <v>4.2687538423903604E-2</v>
      </c>
      <c r="L1047" s="90">
        <f t="shared" si="331"/>
        <v>-0.41412602912678315</v>
      </c>
      <c r="N1047" s="156">
        <f>COS(O1045)</f>
        <v>0.99999999996793798</v>
      </c>
      <c r="O1047" s="158">
        <f>-N1048</f>
        <v>-8.0077461664859271E-6</v>
      </c>
      <c r="Q1047" s="123">
        <v>0.35382174834018304</v>
      </c>
      <c r="R1047" s="90">
        <v>0.8862829558212485</v>
      </c>
    </row>
    <row r="1048" spans="1:18" x14ac:dyDescent="0.25">
      <c r="A1048" s="194">
        <v>-3.1016020282511676E-2</v>
      </c>
      <c r="B1048" s="195">
        <v>2.2952741143390926E-2</v>
      </c>
      <c r="C1048" s="195">
        <v>0.99756029282509062</v>
      </c>
      <c r="D1048" s="196">
        <v>-5.8177661851942238E-2</v>
      </c>
      <c r="F1048" s="123">
        <f>INDEX(A1048:D1056,,F1042)</f>
        <v>-3.1016020282511676E-2</v>
      </c>
      <c r="G1048" s="90">
        <f>INDEX(A1043:D1051,,G1042)</f>
        <v>0.99756029282509062</v>
      </c>
      <c r="I1048" s="123">
        <f t="shared" si="332"/>
        <v>-0.99416454430711543</v>
      </c>
      <c r="J1048" s="37">
        <f t="shared" si="333"/>
        <v>-6.1880700550582597E-2</v>
      </c>
      <c r="K1048" s="37">
        <f t="shared" si="334"/>
        <v>0.98453392005674356</v>
      </c>
      <c r="L1048" s="90">
        <f t="shared" si="331"/>
        <v>6.1519598464275016E-2</v>
      </c>
      <c r="N1048" s="91">
        <f>SIN(O1045)</f>
        <v>8.0077461664859271E-6</v>
      </c>
      <c r="O1048" s="93">
        <f>N1047</f>
        <v>0.99999999996793798</v>
      </c>
      <c r="Q1048" s="123">
        <v>-3.1008032071906531E-2</v>
      </c>
      <c r="R1048" s="90">
        <v>0.99756054116152437</v>
      </c>
    </row>
    <row r="1049" spans="1:18" x14ac:dyDescent="0.25">
      <c r="A1049" s="194">
        <v>0.96166373756657464</v>
      </c>
      <c r="B1049" s="195">
        <v>-2.2670763003143093E-2</v>
      </c>
      <c r="C1049" s="195">
        <v>0.167437972162716</v>
      </c>
      <c r="D1049" s="196">
        <v>0.21599402267743217</v>
      </c>
      <c r="F1049" s="123">
        <f>INDEX(A1049:D1057,,F1042)</f>
        <v>0.96166373756657464</v>
      </c>
      <c r="G1049" s="90">
        <f>INDEX(A1043:D1051,,G1042)</f>
        <v>0.167437972162716</v>
      </c>
      <c r="I1049" s="123">
        <f t="shared" si="332"/>
        <v>0.89676166962855131</v>
      </c>
      <c r="J1049" s="37">
        <f t="shared" si="333"/>
        <v>0.32203805224113108</v>
      </c>
      <c r="K1049" s="37">
        <f t="shared" si="334"/>
        <v>0.70047298502372557</v>
      </c>
      <c r="L1049" s="90">
        <f t="shared" si="331"/>
        <v>0.28879138141168331</v>
      </c>
      <c r="Q1049" s="123">
        <v>0.96166507833652148</v>
      </c>
      <c r="R1049" s="90">
        <v>0.16743027139823966</v>
      </c>
    </row>
    <row r="1050" spans="1:18" x14ac:dyDescent="0.25">
      <c r="A1050" s="194">
        <v>0.6750310231938994</v>
      </c>
      <c r="B1050" s="195">
        <v>-0.22045220758739886</v>
      </c>
      <c r="C1050" s="195">
        <v>0.56882231312409215</v>
      </c>
      <c r="D1050" s="196">
        <v>0.41493989683783972</v>
      </c>
      <c r="F1050" s="123">
        <f>INDEX(A1050:D1058,,F1042)</f>
        <v>0.6750310231938994</v>
      </c>
      <c r="G1050" s="90">
        <f>INDEX(A1043:D1051,,G1042)</f>
        <v>0.56882231312409215</v>
      </c>
      <c r="I1050" s="123">
        <f t="shared" si="332"/>
        <v>0.13210805836636003</v>
      </c>
      <c r="J1050" s="37">
        <f t="shared" si="333"/>
        <v>0.76794541608735312</v>
      </c>
      <c r="K1050" s="37">
        <f t="shared" si="334"/>
        <v>-0.57228762300424829</v>
      </c>
      <c r="L1050" s="90">
        <f t="shared" si="331"/>
        <v>0.10145177785064668</v>
      </c>
      <c r="Q1050" s="123">
        <v>0.67503557815695381</v>
      </c>
      <c r="R1050" s="90">
        <v>0.56881690762876624</v>
      </c>
    </row>
    <row r="1051" spans="1:18" x14ac:dyDescent="0.25">
      <c r="A1051" s="200">
        <v>6.9777473139371021E-2</v>
      </c>
      <c r="B1051" s="201">
        <v>-0.92639450548737279</v>
      </c>
      <c r="C1051" s="201">
        <v>-0.2029953761316956</v>
      </c>
      <c r="D1051" s="202">
        <v>0.30938196733850193</v>
      </c>
      <c r="F1051" s="91">
        <f>INDEX(A1051:D1059,,F1042)</f>
        <v>6.9777473139371021E-2</v>
      </c>
      <c r="G1051" s="93">
        <f>INDEX(A1043:D1051,,G1042)</f>
        <v>-0.2029953761316956</v>
      </c>
      <c r="I1051" s="91">
        <f t="shared" si="332"/>
        <v>-3.633822697313293E-2</v>
      </c>
      <c r="J1051" s="92">
        <f t="shared" si="333"/>
        <v>-2.8329008810891815E-2</v>
      </c>
      <c r="K1051" s="92">
        <f t="shared" si="334"/>
        <v>5.1793399934333957E-4</v>
      </c>
      <c r="L1051" s="93">
        <f t="shared" si="331"/>
        <v>1.0294259520940694E-3</v>
      </c>
      <c r="Q1051" s="91">
        <v>6.9775847601688784E-2</v>
      </c>
      <c r="R1051" s="93">
        <v>-0.20299593488548021</v>
      </c>
    </row>
    <row r="1052" spans="1:18" x14ac:dyDescent="0.25">
      <c r="I1052">
        <f>SUM(I1043:I1051)</f>
        <v>0.80713042240415578</v>
      </c>
      <c r="J1052">
        <f>SUM(J1043:J1051)</f>
        <v>1.9174208397342292</v>
      </c>
      <c r="K1052">
        <f>SUM(K1043:K1051)</f>
        <v>2.393154159614876</v>
      </c>
      <c r="L1052">
        <f>SUM(L1043:L1051)</f>
        <v>0.34400046394126993</v>
      </c>
    </row>
    <row r="1053" spans="1:18" x14ac:dyDescent="0.25">
      <c r="A1053" s="47" t="s">
        <v>53</v>
      </c>
      <c r="B1053">
        <f>COUNT(A1043:A1051)</f>
        <v>9</v>
      </c>
      <c r="I1053" s="47" t="s">
        <v>462</v>
      </c>
      <c r="J1053" s="47" t="s">
        <v>389</v>
      </c>
      <c r="K1053" s="47" t="s">
        <v>469</v>
      </c>
      <c r="L1053" s="47" t="s">
        <v>470</v>
      </c>
      <c r="N1053" s="47"/>
    </row>
    <row r="1055" spans="1:18" x14ac:dyDescent="0.25">
      <c r="A1055">
        <v>1</v>
      </c>
      <c r="B1055">
        <v>2</v>
      </c>
      <c r="C1055">
        <v>3</v>
      </c>
      <c r="D1055">
        <v>4</v>
      </c>
      <c r="F1055">
        <v>1</v>
      </c>
      <c r="G1055">
        <v>4</v>
      </c>
      <c r="I1055" s="47" t="s">
        <v>207</v>
      </c>
      <c r="J1055" s="47" t="s">
        <v>464</v>
      </c>
      <c r="K1055" s="47" t="s">
        <v>465</v>
      </c>
      <c r="L1055" s="47" t="s">
        <v>466</v>
      </c>
      <c r="Q1055">
        <f>F1055</f>
        <v>1</v>
      </c>
      <c r="R1055">
        <f>G1055</f>
        <v>4</v>
      </c>
    </row>
    <row r="1056" spans="1:18" x14ac:dyDescent="0.25">
      <c r="A1056" s="189">
        <f t="array" ref="A1056:A1064">IF(A1055=$Q1042,$Q1043:$Q1051,IF(A1055=$R1042,$R1043:$R1051,A1043:A1051))</f>
        <v>0.11048094586627905</v>
      </c>
      <c r="B1056" s="190">
        <f t="array" ref="B1056:B1064">IF(B1055=$Q1042,$Q1043:$Q1051,IF(B1055=$R1042,$R1043:$R1051,B1043:B1051))</f>
        <v>0.88903500662326762</v>
      </c>
      <c r="C1056" s="190">
        <f t="array" ref="C1056:C1064">IF(C1055=$Q1042,$Q1043:$Q1051,IF(C1055=$R1042,$R1043:$R1051,C1043:C1051))</f>
        <v>-0.3419248678839551</v>
      </c>
      <c r="D1056" s="191">
        <f t="array" ref="D1056:D1064">IF(D1055=$Q1042,$Q1043:$Q1051,IF(D1055=$R1042,$R1043:$R1051,D1043:D1051))</f>
        <v>0.28372187494340217</v>
      </c>
      <c r="F1056" s="156">
        <f>INDEX(A1056:D1064,,F1055)</f>
        <v>0.11048094586627905</v>
      </c>
      <c r="G1056" s="158">
        <f>INDEX(A1056:D1064,,G1055)</f>
        <v>0.28372187494340217</v>
      </c>
      <c r="I1056" s="156">
        <f>F1056^2-G1056^2</f>
        <v>-6.8292062921891869E-2</v>
      </c>
      <c r="J1056" s="157">
        <f>2*F1056*G1056</f>
        <v>6.2691722213402412E-2</v>
      </c>
      <c r="K1056" s="157">
        <f>I1056^2-J1056^2</f>
        <v>7.3355382404522492E-4</v>
      </c>
      <c r="L1056" s="158">
        <f t="shared" ref="L1056:L1064" si="335">I1056*J1056</f>
        <v>-4.2813470380794437E-3</v>
      </c>
      <c r="N1056" t="s">
        <v>390</v>
      </c>
      <c r="O1056" s="172">
        <f>L1065*B1066-2*I1065*J1065</f>
        <v>-1.0009149223355607E-3</v>
      </c>
      <c r="Q1056" s="156">
        <f t="array" ref="Q1056:R1064">MMULT(F1056:G1064,N1060:O1061)</f>
        <v>0.11047785057442776</v>
      </c>
      <c r="R1056" s="158">
        <v>0.28372308022676201</v>
      </c>
    </row>
    <row r="1057" spans="1:18" x14ac:dyDescent="0.25">
      <c r="A1057" s="194">
        <v>0.79370267068007816</v>
      </c>
      <c r="B1057" s="195">
        <v>-0.60199505726414193</v>
      </c>
      <c r="C1057" s="195">
        <v>8.471321633001859E-2</v>
      </c>
      <c r="D1057" s="196">
        <v>-2.1487032458611256E-2</v>
      </c>
      <c r="F1057" s="123">
        <f>INDEX(A1057:D1065,,F1055)</f>
        <v>0.79370267068007816</v>
      </c>
      <c r="G1057" s="90">
        <f>INDEX(A1056:D1064,,G1055)</f>
        <v>-2.1487032458611256E-2</v>
      </c>
      <c r="I1057" s="123">
        <f t="shared" ref="I1057:I1064" si="336">F1057^2-G1057^2</f>
        <v>0.62950223688081119</v>
      </c>
      <c r="J1057" s="37">
        <f t="shared" ref="J1057:J1064" si="337">2*F1057*G1057</f>
        <v>-3.4108630094778561E-2</v>
      </c>
      <c r="K1057" s="37">
        <f t="shared" ref="K1057:K1064" si="338">I1057^2-J1057^2</f>
        <v>0.39510966759100252</v>
      </c>
      <c r="L1057" s="90">
        <f t="shared" si="335"/>
        <v>-2.1471458941603259E-2</v>
      </c>
      <c r="N1057" t="s">
        <v>392</v>
      </c>
      <c r="O1057" s="173">
        <f>K1065*B1066-(I1065^2-J1065^2)</f>
        <v>22.936614306809062</v>
      </c>
      <c r="Q1057" s="123">
        <v>0.79370290504725283</v>
      </c>
      <c r="R1057" s="90">
        <v>-2.1478373497951793E-2</v>
      </c>
    </row>
    <row r="1058" spans="1:18" x14ac:dyDescent="0.25">
      <c r="A1058" s="194">
        <v>0.98390730093797629</v>
      </c>
      <c r="B1058" s="195">
        <v>0.1170847823423997</v>
      </c>
      <c r="C1058" s="195">
        <v>0.11369034782860839</v>
      </c>
      <c r="D1058" s="196">
        <v>7.2746695563370559E-2</v>
      </c>
      <c r="F1058" s="123">
        <f>INDEX(A1058:D1066,,F1055)</f>
        <v>0.98390730093797629</v>
      </c>
      <c r="G1058" s="90">
        <f>INDEX(A1056:D1064,,G1055)</f>
        <v>7.2746695563370559E-2</v>
      </c>
      <c r="I1058" s="123">
        <f t="shared" si="336"/>
        <v>0.96278149512366373</v>
      </c>
      <c r="J1058" s="37">
        <f t="shared" si="337"/>
        <v>0.14315200976782516</v>
      </c>
      <c r="K1058" s="37">
        <f t="shared" si="338"/>
        <v>0.90645570945198983</v>
      </c>
      <c r="L1058" s="90">
        <f t="shared" si="335"/>
        <v>0.13782410599422401</v>
      </c>
      <c r="N1058" t="s">
        <v>467</v>
      </c>
      <c r="O1058" s="174">
        <f>0.25*ATAN(O1056/O1057)</f>
        <v>-1.0909575714963704E-5</v>
      </c>
      <c r="Q1058" s="123">
        <v>0.98390650724384132</v>
      </c>
      <c r="R1058" s="90">
        <v>7.2757429570237328E-2</v>
      </c>
    </row>
    <row r="1059" spans="1:18" x14ac:dyDescent="0.25">
      <c r="A1059" s="194">
        <v>4.8503073848207325E-2</v>
      </c>
      <c r="B1059" s="195">
        <v>-1.5290022701221161E-3</v>
      </c>
      <c r="C1059" s="195">
        <v>8.0596799141441439E-2</v>
      </c>
      <c r="D1059" s="196">
        <v>0.99556479947188148</v>
      </c>
      <c r="F1059" s="123">
        <f>INDEX(A1059:D1067,,F1055)</f>
        <v>4.8503073848207325E-2</v>
      </c>
      <c r="G1059" s="90">
        <f>INDEX(A1056:D1064,,G1055)</f>
        <v>0.99556479947188148</v>
      </c>
      <c r="I1059" s="123">
        <f t="shared" si="336"/>
        <v>-0.98879672177476285</v>
      </c>
      <c r="J1059" s="37">
        <f t="shared" si="337"/>
        <v>9.6575905978920767E-2</v>
      </c>
      <c r="K1059" s="37">
        <f t="shared" si="338"/>
        <v>0.96839205137686846</v>
      </c>
      <c r="L1059" s="90">
        <f t="shared" si="335"/>
        <v>-9.5493939234384581E-2</v>
      </c>
      <c r="Q1059" s="123">
        <v>4.8492212655762167E-2</v>
      </c>
      <c r="R1059" s="90">
        <v>0.99556532856059254</v>
      </c>
    </row>
    <row r="1060" spans="1:18" x14ac:dyDescent="0.25">
      <c r="A1060" s="194">
        <v>0.35382174834018304</v>
      </c>
      <c r="B1060" s="195">
        <v>-0.11100992237243885</v>
      </c>
      <c r="C1060" s="195">
        <v>0.8862829558212485</v>
      </c>
      <c r="D1060" s="196">
        <v>0.27746979972082103</v>
      </c>
      <c r="F1060" s="123">
        <f>INDEX(A1060:D1068,,F1055)</f>
        <v>0.35382174834018304</v>
      </c>
      <c r="G1060" s="90">
        <f>INDEX(A1056:D1064,,G1055)</f>
        <v>0.27746979972082103</v>
      </c>
      <c r="I1060" s="123">
        <f t="shared" si="336"/>
        <v>4.8200339841391299E-2</v>
      </c>
      <c r="J1060" s="37">
        <f t="shared" si="337"/>
        <v>0.19634969929764265</v>
      </c>
      <c r="K1060" s="37">
        <f t="shared" si="338"/>
        <v>-3.622993165344908E-2</v>
      </c>
      <c r="L1060" s="90">
        <f t="shared" si="335"/>
        <v>9.4641222339013654E-3</v>
      </c>
      <c r="N1060" s="156">
        <f>COS(O1058)</f>
        <v>0.9999999999404906</v>
      </c>
      <c r="O1060" s="158">
        <f>-N1061</f>
        <v>1.0909575714747297E-5</v>
      </c>
      <c r="Q1060" s="123">
        <v>0.35381872124133873</v>
      </c>
      <c r="R1060" s="90">
        <v>0.27747365974946198</v>
      </c>
    </row>
    <row r="1061" spans="1:18" x14ac:dyDescent="0.25">
      <c r="A1061" s="194">
        <v>-3.1008032071906531E-2</v>
      </c>
      <c r="B1061" s="195">
        <v>2.2952741143390926E-2</v>
      </c>
      <c r="C1061" s="195">
        <v>0.99756054116152437</v>
      </c>
      <c r="D1061" s="196">
        <v>-5.8177661851942238E-2</v>
      </c>
      <c r="F1061" s="123">
        <f>INDEX(A1061:D1069,,F1055)</f>
        <v>-3.1008032071906531E-2</v>
      </c>
      <c r="G1061" s="90">
        <f>INDEX(A1056:D1064,,G1055)</f>
        <v>-5.8177661851942238E-2</v>
      </c>
      <c r="I1061" s="123">
        <f t="shared" si="336"/>
        <v>-2.423142285586551E-3</v>
      </c>
      <c r="J1061" s="37">
        <f t="shared" si="337"/>
        <v>3.607949609147116E-3</v>
      </c>
      <c r="K1061" s="37">
        <f t="shared" si="338"/>
        <v>-7.1456818459472134E-6</v>
      </c>
      <c r="L1061" s="90">
        <f t="shared" si="335"/>
        <v>-8.7425752621898465E-6</v>
      </c>
      <c r="N1061" s="91">
        <f>SIN(O1058)</f>
        <v>-1.0909575714747297E-5</v>
      </c>
      <c r="O1061" s="93">
        <f>N1060</f>
        <v>0.9999999999404906</v>
      </c>
      <c r="Q1061" s="123">
        <v>-3.1007397376454381E-2</v>
      </c>
      <c r="R1061" s="90">
        <v>-5.8178000132953774E-2</v>
      </c>
    </row>
    <row r="1062" spans="1:18" x14ac:dyDescent="0.25">
      <c r="A1062" s="194">
        <v>0.96166507833652148</v>
      </c>
      <c r="B1062" s="195">
        <v>-2.2670763003143093E-2</v>
      </c>
      <c r="C1062" s="195">
        <v>0.16743027139823966</v>
      </c>
      <c r="D1062" s="196">
        <v>0.21599402267743217</v>
      </c>
      <c r="F1062" s="123">
        <f>INDEX(A1062:D1070,,F1055)</f>
        <v>0.96166507833652148</v>
      </c>
      <c r="G1062" s="90">
        <f>INDEX(A1056:D1064,,G1055)</f>
        <v>0.21599402267743217</v>
      </c>
      <c r="I1062" s="123">
        <f t="shared" si="336"/>
        <v>0.87814630505960889</v>
      </c>
      <c r="J1062" s="37">
        <f t="shared" si="337"/>
        <v>0.41542781747662644</v>
      </c>
      <c r="K1062" s="37">
        <f t="shared" si="338"/>
        <v>0.59856066155645038</v>
      </c>
      <c r="L1062" s="90">
        <f t="shared" si="335"/>
        <v>0.36480640293607713</v>
      </c>
      <c r="Q1062" s="123">
        <v>0.9616627218761491</v>
      </c>
      <c r="R1062" s="90">
        <v>0.21600451402256285</v>
      </c>
    </row>
    <row r="1063" spans="1:18" x14ac:dyDescent="0.25">
      <c r="A1063" s="194">
        <v>0.67503557815695381</v>
      </c>
      <c r="B1063" s="195">
        <v>-0.22045220758739886</v>
      </c>
      <c r="C1063" s="195">
        <v>0.56881690762876624</v>
      </c>
      <c r="D1063" s="196">
        <v>0.41493989683783972</v>
      </c>
      <c r="F1063" s="123">
        <f>INDEX(A1063:D1071,,F1055)</f>
        <v>0.67503557815695381</v>
      </c>
      <c r="G1063" s="90">
        <f>INDEX(A1056:D1064,,G1055)</f>
        <v>0.41493989683783972</v>
      </c>
      <c r="I1063" s="123">
        <f t="shared" si="336"/>
        <v>0.28349791378989586</v>
      </c>
      <c r="J1063" s="37">
        <f t="shared" si="337"/>
        <v>0.56019838632463581</v>
      </c>
      <c r="K1063" s="37">
        <f t="shared" si="338"/>
        <v>-0.23345116491750267</v>
      </c>
      <c r="L1063" s="90">
        <f t="shared" si="335"/>
        <v>0.15881507383150037</v>
      </c>
      <c r="Q1063" s="123">
        <v>0.67503105129856122</v>
      </c>
      <c r="R1063" s="90">
        <v>0.41494726116489694</v>
      </c>
    </row>
    <row r="1064" spans="1:18" x14ac:dyDescent="0.25">
      <c r="A1064" s="200">
        <v>6.9775847601688784E-2</v>
      </c>
      <c r="B1064" s="201">
        <v>-0.92639450548737279</v>
      </c>
      <c r="C1064" s="201">
        <v>-0.20299593488548021</v>
      </c>
      <c r="D1064" s="202">
        <v>0.30938196733850193</v>
      </c>
      <c r="F1064" s="91">
        <f>INDEX(A1064:D1072,,F1055)</f>
        <v>6.9775847601688784E-2</v>
      </c>
      <c r="G1064" s="93">
        <f>INDEX(A1056:D1064,,G1055)</f>
        <v>0.30938196733850193</v>
      </c>
      <c r="I1064" s="91">
        <f t="shared" si="336"/>
        <v>-9.0848532805707774E-2</v>
      </c>
      <c r="J1064" s="92">
        <f t="shared" si="337"/>
        <v>4.3174778007443938E-2</v>
      </c>
      <c r="K1064" s="92">
        <f t="shared" si="338"/>
        <v>6.3893944569576979E-3</v>
      </c>
      <c r="L1064" s="93">
        <f t="shared" si="335"/>
        <v>-3.922365236188421E-3</v>
      </c>
      <c r="Q1064" s="91">
        <v>6.977247237153901E-2</v>
      </c>
      <c r="R1064" s="93">
        <v>0.30938272854498322</v>
      </c>
    </row>
    <row r="1065" spans="1:18" x14ac:dyDescent="0.25">
      <c r="I1065">
        <f>SUM(I1056:I1064)</f>
        <v>1.651767830907422</v>
      </c>
      <c r="J1065">
        <f>SUM(J1056:J1064)</f>
        <v>1.4870696385808657</v>
      </c>
      <c r="K1065">
        <f>SUM(K1056:K1064)</f>
        <v>2.6059527960045163</v>
      </c>
      <c r="L1065">
        <f>SUM(L1056:L1064)</f>
        <v>0.54573185197018503</v>
      </c>
    </row>
    <row r="1066" spans="1:18" x14ac:dyDescent="0.25">
      <c r="A1066" s="47" t="s">
        <v>53</v>
      </c>
      <c r="B1066">
        <f>COUNT(A1056:A1064)</f>
        <v>9</v>
      </c>
      <c r="I1066" s="47" t="s">
        <v>462</v>
      </c>
      <c r="J1066" s="47" t="s">
        <v>389</v>
      </c>
      <c r="K1066" s="47" t="s">
        <v>469</v>
      </c>
      <c r="L1066" s="47" t="s">
        <v>470</v>
      </c>
      <c r="N1066" s="47"/>
    </row>
    <row r="1068" spans="1:18" x14ac:dyDescent="0.25">
      <c r="A1068">
        <v>1</v>
      </c>
      <c r="B1068">
        <v>2</v>
      </c>
      <c r="C1068">
        <v>3</v>
      </c>
      <c r="D1068">
        <v>4</v>
      </c>
      <c r="F1068">
        <v>2</v>
      </c>
      <c r="G1068">
        <v>3</v>
      </c>
      <c r="I1068" s="47" t="s">
        <v>207</v>
      </c>
      <c r="J1068" s="47" t="s">
        <v>464</v>
      </c>
      <c r="K1068" s="47" t="s">
        <v>465</v>
      </c>
      <c r="L1068" s="47" t="s">
        <v>466</v>
      </c>
      <c r="Q1068">
        <f>F1068</f>
        <v>2</v>
      </c>
      <c r="R1068">
        <f>G1068</f>
        <v>3</v>
      </c>
    </row>
    <row r="1069" spans="1:18" x14ac:dyDescent="0.25">
      <c r="A1069" s="189">
        <f t="array" ref="A1069:A1077">IF(A1068=$Q1055,$Q1056:$Q1064,IF(A1068=$R1055,$R1056:$R1064,A1056:A1064))</f>
        <v>0.11047785057442776</v>
      </c>
      <c r="B1069" s="190">
        <f t="array" ref="B1069:B1077">IF(B1068=$Q1055,$Q1056:$Q1064,IF(B1068=$R1055,$R1056:$R1064,B1056:B1064))</f>
        <v>0.88903500662326762</v>
      </c>
      <c r="C1069" s="190">
        <f t="array" ref="C1069:C1077">IF(C1068=$Q1055,$Q1056:$Q1064,IF(C1068=$R1055,$R1056:$R1064,C1056:C1064))</f>
        <v>-0.3419248678839551</v>
      </c>
      <c r="D1069" s="191">
        <f t="array" ref="D1069:D1077">IF(D1068=$Q1055,$Q1056:$Q1064,IF(D1068=$R1055,$R1056:$R1064,D1056:D1064))</f>
        <v>0.28372308022676201</v>
      </c>
      <c r="F1069" s="156">
        <f>INDEX(A1069:D1077,,F1068)</f>
        <v>0.88903500662326762</v>
      </c>
      <c r="G1069" s="158">
        <f>INDEX(A1069:D1077,,G1068)</f>
        <v>-0.3419248678839551</v>
      </c>
      <c r="I1069" s="156">
        <f>F1069^2-G1069^2</f>
        <v>0.67347062772417343</v>
      </c>
      <c r="J1069" s="157">
        <f>2*F1069*G1069</f>
        <v>-0.60796635436774382</v>
      </c>
      <c r="K1069" s="157">
        <f>I1069^2-J1069^2</f>
        <v>8.3939598363987178E-2</v>
      </c>
      <c r="L1069" s="158">
        <f t="shared" ref="L1069:L1077" si="339">I1069*J1069</f>
        <v>-0.40944748231122169</v>
      </c>
      <c r="N1069" t="s">
        <v>390</v>
      </c>
      <c r="O1069" s="172">
        <f>L1078*B1079-2*I1078*J1078</f>
        <v>6.327497541645577E-3</v>
      </c>
      <c r="Q1069" s="156">
        <f t="array" ref="Q1069:R1077">MMULT(F1069:G1077,N1073:O1074)</f>
        <v>0.88900927612257219</v>
      </c>
      <c r="R1069" s="158">
        <v>-0.34199176195796549</v>
      </c>
    </row>
    <row r="1070" spans="1:18" x14ac:dyDescent="0.25">
      <c r="A1070" s="194">
        <v>0.79370290504725283</v>
      </c>
      <c r="B1070" s="195">
        <v>-0.60199505726414193</v>
      </c>
      <c r="C1070" s="195">
        <v>8.471321633001859E-2</v>
      </c>
      <c r="D1070" s="196">
        <v>-2.1478373497951793E-2</v>
      </c>
      <c r="F1070" s="123">
        <f>INDEX(A1070:D1078,,F1068)</f>
        <v>-0.60199505726414193</v>
      </c>
      <c r="G1070" s="90">
        <f>INDEX(A1069:D1077,,G1068)</f>
        <v>8.471321633001859E-2</v>
      </c>
      <c r="I1070" s="123">
        <f t="shared" ref="I1070:I1077" si="340">F1070^2-G1070^2</f>
        <v>0.35522171994948099</v>
      </c>
      <c r="J1070" s="37">
        <f t="shared" ref="J1070:J1077" si="341">2*F1070*G1070</f>
        <v>-0.10199387503123837</v>
      </c>
      <c r="K1070" s="37">
        <f t="shared" ref="K1070:K1077" si="342">I1070^2-J1070^2</f>
        <v>0.11577971977997964</v>
      </c>
      <c r="L1070" s="90">
        <f t="shared" si="339"/>
        <v>-3.6230439712908916E-2</v>
      </c>
      <c r="N1070" t="s">
        <v>392</v>
      </c>
      <c r="O1070" s="173">
        <f>K1078*B1079-(I1078^2-J1078^2)</f>
        <v>21.023107539848979</v>
      </c>
      <c r="Q1070" s="123">
        <v>-0.60198868135184858</v>
      </c>
      <c r="R1070" s="90">
        <v>8.4758512939388714E-2</v>
      </c>
    </row>
    <row r="1071" spans="1:18" x14ac:dyDescent="0.25">
      <c r="A1071" s="194">
        <v>0.98390650724384132</v>
      </c>
      <c r="B1071" s="195">
        <v>0.1170847823423997</v>
      </c>
      <c r="C1071" s="195">
        <v>0.11369034782860839</v>
      </c>
      <c r="D1071" s="196">
        <v>7.2757429570237328E-2</v>
      </c>
      <c r="F1071" s="123">
        <f>INDEX(A1071:D1079,,F1068)</f>
        <v>0.1170847823423997</v>
      </c>
      <c r="G1071" s="90">
        <f>INDEX(A1069:D1077,,G1068)</f>
        <v>0.11369034782860839</v>
      </c>
      <c r="I1071" s="123">
        <f t="shared" si="340"/>
        <v>7.8335106677715309E-4</v>
      </c>
      <c r="J1071" s="37">
        <f t="shared" si="341"/>
        <v>2.6622819259888655E-2</v>
      </c>
      <c r="K1071" s="37">
        <f t="shared" si="342"/>
        <v>-7.081608664508774E-4</v>
      </c>
      <c r="L1071" s="90">
        <f t="shared" si="339"/>
        <v>2.0855013867849116E-5</v>
      </c>
      <c r="N1071" t="s">
        <v>467</v>
      </c>
      <c r="O1071" s="174">
        <f>0.25*ATAN(O1069/O1070)</f>
        <v>7.5244553387112582E-5</v>
      </c>
      <c r="Q1071" s="123">
        <v>0.11709333659038645</v>
      </c>
      <c r="R1071" s="90">
        <v>0.11368153751461815</v>
      </c>
    </row>
    <row r="1072" spans="1:18" x14ac:dyDescent="0.25">
      <c r="A1072" s="194">
        <v>4.8492212655762167E-2</v>
      </c>
      <c r="B1072" s="195">
        <v>-1.5290022701221161E-3</v>
      </c>
      <c r="C1072" s="195">
        <v>8.0596799141441439E-2</v>
      </c>
      <c r="D1072" s="196">
        <v>0.99556532856059254</v>
      </c>
      <c r="F1072" s="123">
        <f>INDEX(A1072:D1080,,F1068)</f>
        <v>-1.5290022701221161E-3</v>
      </c>
      <c r="G1072" s="90">
        <f>INDEX(A1069:D1077,,G1068)</f>
        <v>8.0596799141441439E-2</v>
      </c>
      <c r="I1072" s="123">
        <f t="shared" si="340"/>
        <v>-6.4935061839038171E-3</v>
      </c>
      <c r="J1072" s="37">
        <f t="shared" si="341"/>
        <v>-2.4646537770368036E-4</v>
      </c>
      <c r="K1072" s="37">
        <f t="shared" si="342"/>
        <v>4.21048773779905E-5</v>
      </c>
      <c r="L1072" s="90">
        <f t="shared" si="339"/>
        <v>1.6004244542370385E-6</v>
      </c>
      <c r="Q1072" s="123">
        <v>-1.5229377956436012E-3</v>
      </c>
      <c r="R1072" s="90">
        <v>8.0596913962375102E-2</v>
      </c>
    </row>
    <row r="1073" spans="1:18" x14ac:dyDescent="0.25">
      <c r="A1073" s="194">
        <v>0.35381872124133873</v>
      </c>
      <c r="B1073" s="195">
        <v>-0.11100992237243885</v>
      </c>
      <c r="C1073" s="195">
        <v>0.8862829558212485</v>
      </c>
      <c r="D1073" s="196">
        <v>0.27747365974946198</v>
      </c>
      <c r="F1073" s="123">
        <f>INDEX(A1073:D1081,,F1068)</f>
        <v>-0.11100992237243885</v>
      </c>
      <c r="G1073" s="90">
        <f>INDEX(A1069:D1077,,G1068)</f>
        <v>0.8862829558212485</v>
      </c>
      <c r="I1073" s="123">
        <f t="shared" si="340"/>
        <v>-0.77317427491411428</v>
      </c>
      <c r="J1073" s="37">
        <f t="shared" si="341"/>
        <v>-0.19677240425146489</v>
      </c>
      <c r="K1073" s="37">
        <f t="shared" si="342"/>
        <v>0.55907908031406439</v>
      </c>
      <c r="L1073" s="90">
        <f t="shared" si="339"/>
        <v>0.15213936098023334</v>
      </c>
      <c r="N1073" s="156">
        <f>COS(O1071)</f>
        <v>0.99999999716912857</v>
      </c>
      <c r="O1073" s="158">
        <f>-N1074</f>
        <v>-7.5244553316110025E-5</v>
      </c>
      <c r="Q1073" s="123">
        <v>-0.11094323409306159</v>
      </c>
      <c r="R1073" s="90">
        <v>0.88629130620431806</v>
      </c>
    </row>
    <row r="1074" spans="1:18" x14ac:dyDescent="0.25">
      <c r="A1074" s="194">
        <v>-3.1007397376454381E-2</v>
      </c>
      <c r="B1074" s="195">
        <v>2.2952741143390926E-2</v>
      </c>
      <c r="C1074" s="195">
        <v>0.99756054116152437</v>
      </c>
      <c r="D1074" s="196">
        <v>-5.8178000132953774E-2</v>
      </c>
      <c r="F1074" s="123">
        <f>INDEX(A1074:D1082,,F1068)</f>
        <v>2.2952741143390926E-2</v>
      </c>
      <c r="G1074" s="90">
        <f>INDEX(A1069:D1077,,G1068)</f>
        <v>0.99756054116152437</v>
      </c>
      <c r="I1074" s="123">
        <f t="shared" si="340"/>
        <v>-0.99460020495647783</v>
      </c>
      <c r="J1074" s="37">
        <f t="shared" si="341"/>
        <v>4.5793497752282877E-2</v>
      </c>
      <c r="K1074" s="37">
        <f t="shared" si="342"/>
        <v>0.98713252326307932</v>
      </c>
      <c r="L1074" s="90">
        <f t="shared" si="339"/>
        <v>-4.5546222250094553E-2</v>
      </c>
      <c r="N1074" s="91">
        <f>SIN(O1071)</f>
        <v>7.5244553316110025E-5</v>
      </c>
      <c r="O1074" s="93">
        <f>N1073</f>
        <v>0.99999999716912857</v>
      </c>
      <c r="Q1074" s="123">
        <v>2.3027802075740143E-2</v>
      </c>
      <c r="R1074" s="90">
        <v>0.99755881126880408</v>
      </c>
    </row>
    <row r="1075" spans="1:18" x14ac:dyDescent="0.25">
      <c r="A1075" s="194">
        <v>0.9616627218761491</v>
      </c>
      <c r="B1075" s="195">
        <v>-2.2670763003143093E-2</v>
      </c>
      <c r="C1075" s="195">
        <v>0.16743027139823966</v>
      </c>
      <c r="D1075" s="196">
        <v>0.21600451402256285</v>
      </c>
      <c r="F1075" s="123">
        <f>INDEX(A1075:D1083,,F1068)</f>
        <v>-2.2670763003143093E-2</v>
      </c>
      <c r="G1075" s="90">
        <f>INDEX(A1069:D1077,,G1068)</f>
        <v>0.16743027139823966</v>
      </c>
      <c r="I1075" s="123">
        <f t="shared" si="340"/>
        <v>-2.7518932285343505E-2</v>
      </c>
      <c r="J1075" s="37">
        <f t="shared" si="341"/>
        <v>-7.5915440048428375E-3</v>
      </c>
      <c r="K1075" s="37">
        <f t="shared" si="342"/>
        <v>6.9966009374785589E-4</v>
      </c>
      <c r="L1075" s="90">
        <f t="shared" si="339"/>
        <v>2.0891118541047549E-4</v>
      </c>
      <c r="Q1075" s="123">
        <v>-2.2658164722982124E-2</v>
      </c>
      <c r="R1075" s="90">
        <v>0.16743197677570157</v>
      </c>
    </row>
    <row r="1076" spans="1:18" x14ac:dyDescent="0.25">
      <c r="A1076" s="194">
        <v>0.67503105129856122</v>
      </c>
      <c r="B1076" s="195">
        <v>-0.22045220758739886</v>
      </c>
      <c r="C1076" s="195">
        <v>0.56881690762876624</v>
      </c>
      <c r="D1076" s="196">
        <v>0.41494726116489694</v>
      </c>
      <c r="F1076" s="123">
        <f>INDEX(A1076:D1084,,F1068)</f>
        <v>-0.22045220758739886</v>
      </c>
      <c r="G1076" s="90">
        <f>INDEX(A1069:D1077,,G1068)</f>
        <v>0.56881690762876624</v>
      </c>
      <c r="I1076" s="123">
        <f t="shared" si="340"/>
        <v>-0.27495349857419477</v>
      </c>
      <c r="J1076" s="37">
        <f t="shared" si="341"/>
        <v>-0.25079388599959812</v>
      </c>
      <c r="K1076" s="37">
        <f t="shared" si="342"/>
        <v>1.2701853123410309E-2</v>
      </c>
      <c r="L1076" s="90">
        <f t="shared" si="339"/>
        <v>6.8956656376607264E-2</v>
      </c>
      <c r="Q1076" s="123">
        <v>-0.22040940658919383</v>
      </c>
      <c r="R1076" s="90">
        <v>0.56883349384640625</v>
      </c>
    </row>
    <row r="1077" spans="1:18" x14ac:dyDescent="0.25">
      <c r="A1077" s="200">
        <v>6.977247237153901E-2</v>
      </c>
      <c r="B1077" s="201">
        <v>-0.92639450548737279</v>
      </c>
      <c r="C1077" s="201">
        <v>-0.20299593488548021</v>
      </c>
      <c r="D1077" s="202">
        <v>0.30938272854498322</v>
      </c>
      <c r="F1077" s="91">
        <f>INDEX(A1077:D1085,,F1068)</f>
        <v>-0.92639450548737279</v>
      </c>
      <c r="G1077" s="93">
        <f>INDEX(A1069:D1077,,G1068)</f>
        <v>-0.20299593488548021</v>
      </c>
      <c r="I1077" s="91">
        <f t="shared" si="340"/>
        <v>0.81699943021716381</v>
      </c>
      <c r="J1077" s="92">
        <f t="shared" si="341"/>
        <v>0.3761086374283627</v>
      </c>
      <c r="K1077" s="92">
        <f t="shared" si="342"/>
        <v>0.52603036182695073</v>
      </c>
      <c r="L1077" s="93">
        <f t="shared" si="339"/>
        <v>0.30728054247872616</v>
      </c>
      <c r="Q1077" s="91">
        <v>-0.92640977720331441</v>
      </c>
      <c r="R1077" s="93">
        <v>-0.20292622817006492</v>
      </c>
    </row>
    <row r="1078" spans="1:18" x14ac:dyDescent="0.25">
      <c r="I1078">
        <f>SUM(I1069:I1077)</f>
        <v>-0.23026528795643875</v>
      </c>
      <c r="J1078">
        <f>SUM(J1069:J1077)</f>
        <v>-0.71683957459205749</v>
      </c>
      <c r="K1078">
        <f>SUM(K1069:K1077)</f>
        <v>2.2846967407761465</v>
      </c>
      <c r="L1078">
        <f>SUM(L1069:L1077)</f>
        <v>3.738378218507421E-2</v>
      </c>
    </row>
    <row r="1079" spans="1:18" x14ac:dyDescent="0.25">
      <c r="A1079" s="47" t="s">
        <v>53</v>
      </c>
      <c r="B1079">
        <f>COUNT(A1069:A1077)</f>
        <v>9</v>
      </c>
      <c r="I1079" s="47" t="s">
        <v>462</v>
      </c>
      <c r="J1079" s="47" t="s">
        <v>389</v>
      </c>
      <c r="K1079" s="47" t="s">
        <v>469</v>
      </c>
      <c r="L1079" s="47" t="s">
        <v>470</v>
      </c>
      <c r="N1079" s="47"/>
    </row>
    <row r="1081" spans="1:18" x14ac:dyDescent="0.25">
      <c r="A1081">
        <v>1</v>
      </c>
      <c r="B1081">
        <v>2</v>
      </c>
      <c r="C1081">
        <v>3</v>
      </c>
      <c r="D1081">
        <v>4</v>
      </c>
      <c r="F1081">
        <v>2</v>
      </c>
      <c r="G1081">
        <v>4</v>
      </c>
      <c r="I1081" s="47" t="s">
        <v>207</v>
      </c>
      <c r="J1081" s="47" t="s">
        <v>464</v>
      </c>
      <c r="K1081" s="47" t="s">
        <v>465</v>
      </c>
      <c r="L1081" s="47" t="s">
        <v>466</v>
      </c>
      <c r="Q1081">
        <f>F1081</f>
        <v>2</v>
      </c>
      <c r="R1081">
        <f>G1081</f>
        <v>4</v>
      </c>
    </row>
    <row r="1082" spans="1:18" x14ac:dyDescent="0.25">
      <c r="A1082" s="189">
        <f t="array" ref="A1082:A1090">IF(A1081=$Q1068,$Q1069:$Q1077,IF(A1081=$R1068,$R1069:$R1077,A1069:A1077))</f>
        <v>0.11047785057442776</v>
      </c>
      <c r="B1082" s="190">
        <f t="array" ref="B1082:B1090">IF(B1081=$Q1068,$Q1069:$Q1077,IF(B1081=$R1068,$R1069:$R1077,B1069:B1077))</f>
        <v>0.88900927612257219</v>
      </c>
      <c r="C1082" s="190">
        <f t="array" ref="C1082:C1090">IF(C1081=$Q1068,$Q1069:$Q1077,IF(C1081=$R1068,$R1069:$R1077,C1069:C1077))</f>
        <v>-0.34199176195796549</v>
      </c>
      <c r="D1082" s="191">
        <f t="array" ref="D1082:D1090">IF(D1081=$Q1068,$Q1069:$Q1077,IF(D1081=$R1068,$R1069:$R1077,D1069:D1077))</f>
        <v>0.28372308022676201</v>
      </c>
      <c r="F1082" s="156">
        <f>INDEX(A1082:D1090,,F1081)</f>
        <v>0.88900927612257219</v>
      </c>
      <c r="G1082" s="158">
        <f>INDEX(A1082:D1090,,G1081)</f>
        <v>0.28372308022676201</v>
      </c>
      <c r="I1082" s="156">
        <f>F1082^2-G1082^2</f>
        <v>0.70983870677861816</v>
      </c>
      <c r="J1082" s="157">
        <f>2*F1082*G1082</f>
        <v>0.50446490034332037</v>
      </c>
      <c r="K1082" s="157">
        <f>I1082^2-J1082^2</f>
        <v>0.24938615396274494</v>
      </c>
      <c r="L1082" s="158">
        <f t="shared" ref="L1082:L1090" si="343">I1082*J1082</f>
        <v>0.35808871247490703</v>
      </c>
      <c r="N1082" t="s">
        <v>390</v>
      </c>
      <c r="O1082" s="172">
        <f>L1091*B1092-2*I1091*J1091</f>
        <v>-3.8761738103390564E-3</v>
      </c>
      <c r="Q1082" s="156">
        <f t="array" ref="Q1082:R1090">MMULT(F1082:G1090,N1086:O1087)</f>
        <v>0.8889897676215246</v>
      </c>
      <c r="R1082" s="158">
        <v>0.28378420031701751</v>
      </c>
    </row>
    <row r="1083" spans="1:18" x14ac:dyDescent="0.25">
      <c r="A1083" s="194">
        <v>0.79370290504725283</v>
      </c>
      <c r="B1083" s="195">
        <v>-0.60198868135184858</v>
      </c>
      <c r="C1083" s="195">
        <v>8.4758512939388714E-2</v>
      </c>
      <c r="D1083" s="196">
        <v>-2.1478373497951793E-2</v>
      </c>
      <c r="F1083" s="123">
        <f>INDEX(A1083:D1091,,F1081)</f>
        <v>-0.60198868135184858</v>
      </c>
      <c r="G1083" s="90">
        <f>INDEX(A1082:D1090,,G1081)</f>
        <v>-2.1478373497951793E-2</v>
      </c>
      <c r="I1083" s="123">
        <f t="shared" ref="I1083:I1090" si="344">F1083^2-G1083^2</f>
        <v>0.36192905194761993</v>
      </c>
      <c r="J1083" s="37">
        <f t="shared" ref="J1083:J1090" si="345">2*F1083*G1083</f>
        <v>2.5859475479228983E-2</v>
      </c>
      <c r="K1083" s="37">
        <f t="shared" ref="K1083:K1090" si="346">I1083^2-J1083^2</f>
        <v>0.13032392617164212</v>
      </c>
      <c r="L1083" s="90">
        <f t="shared" si="343"/>
        <v>9.3592954440600701E-3</v>
      </c>
      <c r="N1083" t="s">
        <v>392</v>
      </c>
      <c r="O1083" s="173">
        <f>K1091*B1092-(I1091^2-J1091^2)</f>
        <v>14.094860479462463</v>
      </c>
      <c r="Q1083" s="123">
        <v>-0.60198720325776489</v>
      </c>
      <c r="R1083" s="90">
        <v>-2.1519761098800997E-2</v>
      </c>
    </row>
    <row r="1084" spans="1:18" x14ac:dyDescent="0.25">
      <c r="A1084" s="194">
        <v>0.98390650724384132</v>
      </c>
      <c r="B1084" s="195">
        <v>0.11709333659038645</v>
      </c>
      <c r="C1084" s="195">
        <v>0.11368153751461815</v>
      </c>
      <c r="D1084" s="196">
        <v>7.2757429570237328E-2</v>
      </c>
      <c r="F1084" s="123">
        <f>INDEX(A1084:D1092,,F1081)</f>
        <v>0.11709333659038645</v>
      </c>
      <c r="G1084" s="90">
        <f>INDEX(A1082:D1090,,G1081)</f>
        <v>7.2757429570237328E-2</v>
      </c>
      <c r="I1084" s="123">
        <f t="shared" si="344"/>
        <v>8.4172059162014902E-3</v>
      </c>
      <c r="J1084" s="37">
        <f t="shared" si="345"/>
        <v>1.7038820380238271E-2</v>
      </c>
      <c r="K1084" s="37">
        <f t="shared" si="346"/>
        <v>-2.1947204451428567E-4</v>
      </c>
      <c r="L1084" s="90">
        <f t="shared" si="343"/>
        <v>1.4341925970963611E-4</v>
      </c>
      <c r="N1084" t="s">
        <v>467</v>
      </c>
      <c r="O1084" s="174">
        <f>0.25*ATAN(O1082/O1083)</f>
        <v>-6.8751544548290025E-5</v>
      </c>
      <c r="Q1084" s="123">
        <v>0.11708833412799315</v>
      </c>
      <c r="R1084" s="90">
        <v>7.2765479746023889E-2</v>
      </c>
    </row>
    <row r="1085" spans="1:18" x14ac:dyDescent="0.25">
      <c r="A1085" s="194">
        <v>4.8492212655762167E-2</v>
      </c>
      <c r="B1085" s="195">
        <v>-1.5229377956436012E-3</v>
      </c>
      <c r="C1085" s="195">
        <v>8.0596913962375102E-2</v>
      </c>
      <c r="D1085" s="196">
        <v>0.99556532856059254</v>
      </c>
      <c r="F1085" s="123">
        <f>INDEX(A1085:D1093,,F1081)</f>
        <v>-1.5229377956436012E-3</v>
      </c>
      <c r="G1085" s="90">
        <f>INDEX(A1082:D1090,,G1081)</f>
        <v>0.99556532856059254</v>
      </c>
      <c r="I1085" s="123">
        <f t="shared" si="344"/>
        <v>-0.9911480040924312</v>
      </c>
      <c r="J1085" s="37">
        <f t="shared" si="345"/>
        <v>-3.0323681337945329E-3</v>
      </c>
      <c r="K1085" s="37">
        <f t="shared" si="346"/>
        <v>0.98236517075991114</v>
      </c>
      <c r="L1085" s="90">
        <f t="shared" si="343"/>
        <v>3.0055256234839418E-3</v>
      </c>
      <c r="Q1085" s="123">
        <v>-1.5913844460276538E-3</v>
      </c>
      <c r="R1085" s="90">
        <v>0.99556522150336024</v>
      </c>
    </row>
    <row r="1086" spans="1:18" x14ac:dyDescent="0.25">
      <c r="A1086" s="194">
        <v>0.35381872124133873</v>
      </c>
      <c r="B1086" s="195">
        <v>-0.11094323409306159</v>
      </c>
      <c r="C1086" s="195">
        <v>0.88629130620431806</v>
      </c>
      <c r="D1086" s="196">
        <v>0.27747365974946198</v>
      </c>
      <c r="F1086" s="123">
        <f>INDEX(A1086:D1094,,F1081)</f>
        <v>-0.11094323409306159</v>
      </c>
      <c r="G1086" s="90">
        <f>INDEX(A1082:D1090,,G1081)</f>
        <v>0.27747365974946198</v>
      </c>
      <c r="I1086" s="123">
        <f t="shared" si="344"/>
        <v>-6.4683230663732327E-2</v>
      </c>
      <c r="J1086" s="37">
        <f t="shared" si="345"/>
        <v>-6.1567650376486163E-2</v>
      </c>
      <c r="K1086" s="37">
        <f t="shared" si="346"/>
        <v>3.9334475621636547E-4</v>
      </c>
      <c r="L1086" s="90">
        <f t="shared" si="343"/>
        <v>3.9823945307262808E-3</v>
      </c>
      <c r="N1086" s="156">
        <f>COS(O1084)</f>
        <v>0.99999999763661251</v>
      </c>
      <c r="O1086" s="158">
        <f>-N1087</f>
        <v>6.8751544494127852E-5</v>
      </c>
      <c r="Q1086" s="123">
        <v>-0.11096231057352395</v>
      </c>
      <c r="R1086" s="90">
        <v>0.27746603157498911</v>
      </c>
    </row>
    <row r="1087" spans="1:18" x14ac:dyDescent="0.25">
      <c r="A1087" s="194">
        <v>-3.1007397376454381E-2</v>
      </c>
      <c r="B1087" s="195">
        <v>2.3027802075740143E-2</v>
      </c>
      <c r="C1087" s="195">
        <v>0.99755881126880408</v>
      </c>
      <c r="D1087" s="196">
        <v>-5.8178000132953774E-2</v>
      </c>
      <c r="F1087" s="123">
        <f>INDEX(A1087:D1095,,F1081)</f>
        <v>2.3027802075740143E-2</v>
      </c>
      <c r="G1087" s="90">
        <f>INDEX(A1082:D1090,,G1081)</f>
        <v>-5.8178000132953774E-2</v>
      </c>
      <c r="I1087" s="123">
        <f t="shared" si="344"/>
        <v>-2.8544000310305071E-3</v>
      </c>
      <c r="J1087" s="37">
        <f t="shared" si="345"/>
        <v>-2.6794229444480865E-3</v>
      </c>
      <c r="K1087" s="37">
        <f t="shared" si="346"/>
        <v>9.6829222191210727E-7</v>
      </c>
      <c r="L1087" s="90">
        <f t="shared" si="343"/>
        <v>7.6481449357764714E-6</v>
      </c>
      <c r="N1087" s="91">
        <f>SIN(O1084)</f>
        <v>-6.8751544494127852E-5</v>
      </c>
      <c r="O1087" s="93">
        <f>N1086</f>
        <v>0.99999999763661251</v>
      </c>
      <c r="Q1087" s="123">
        <v>2.3031801848681244E-2</v>
      </c>
      <c r="R1087" s="90">
        <v>-5.8176416798497603E-2</v>
      </c>
    </row>
    <row r="1088" spans="1:18" x14ac:dyDescent="0.25">
      <c r="A1088" s="194">
        <v>0.9616627218761491</v>
      </c>
      <c r="B1088" s="195">
        <v>-2.2658164722982124E-2</v>
      </c>
      <c r="C1088" s="195">
        <v>0.16743197677570157</v>
      </c>
      <c r="D1088" s="196">
        <v>0.21600451402256285</v>
      </c>
      <c r="F1088" s="123">
        <f>INDEX(A1088:D1096,,F1081)</f>
        <v>-2.2658164722982124E-2</v>
      </c>
      <c r="G1088" s="90">
        <f>INDEX(A1082:D1090,,G1081)</f>
        <v>0.21600451402256285</v>
      </c>
      <c r="I1088" s="123">
        <f t="shared" si="344"/>
        <v>-4.6144557649509761E-2</v>
      </c>
      <c r="J1088" s="37">
        <f t="shared" si="345"/>
        <v>-9.7885317192618615E-3</v>
      </c>
      <c r="K1088" s="37">
        <f t="shared" si="346"/>
        <v>2.0335048474499342E-3</v>
      </c>
      <c r="L1088" s="90">
        <f t="shared" si="343"/>
        <v>4.5168746622353389E-4</v>
      </c>
      <c r="Q1088" s="123">
        <v>-2.2673015313388858E-2</v>
      </c>
      <c r="R1088" s="90">
        <v>0.21600295572824038</v>
      </c>
    </row>
    <row r="1089" spans="1:18" x14ac:dyDescent="0.25">
      <c r="A1089" s="194">
        <v>0.67503105129856122</v>
      </c>
      <c r="B1089" s="195">
        <v>-0.22040940658919383</v>
      </c>
      <c r="C1089" s="195">
        <v>0.56883349384640625</v>
      </c>
      <c r="D1089" s="196">
        <v>0.41494726116489694</v>
      </c>
      <c r="F1089" s="123">
        <f>INDEX(A1089:D1097,,F1081)</f>
        <v>-0.22040940658919383</v>
      </c>
      <c r="G1089" s="90">
        <f>INDEX(A1082:D1090,,G1081)</f>
        <v>0.41494726116489694</v>
      </c>
      <c r="I1089" s="123">
        <f t="shared" si="344"/>
        <v>-0.12360092303524862</v>
      </c>
      <c r="J1089" s="37">
        <f t="shared" si="345"/>
        <v>-0.18291655919833233</v>
      </c>
      <c r="K1089" s="37">
        <f t="shared" si="346"/>
        <v>-1.8181279453791561E-2</v>
      </c>
      <c r="L1089" s="90">
        <f t="shared" si="343"/>
        <v>2.2608655555345573E-2</v>
      </c>
      <c r="Q1089" s="123">
        <v>-0.2204379343333697</v>
      </c>
      <c r="R1089" s="90">
        <v>0.41493210669709174</v>
      </c>
    </row>
    <row r="1090" spans="1:18" x14ac:dyDescent="0.25">
      <c r="A1090" s="200">
        <v>6.977247237153901E-2</v>
      </c>
      <c r="B1090" s="201">
        <v>-0.92640977720331441</v>
      </c>
      <c r="C1090" s="201">
        <v>-0.20292622817006492</v>
      </c>
      <c r="D1090" s="202">
        <v>0.30938272854498322</v>
      </c>
      <c r="F1090" s="91">
        <f>INDEX(A1090:D1098,,F1081)</f>
        <v>-0.92640977720331441</v>
      </c>
      <c r="G1090" s="93">
        <f>INDEX(A1082:D1090,,G1081)</f>
        <v>0.30938272854498322</v>
      </c>
      <c r="I1090" s="91">
        <f t="shared" si="344"/>
        <v>0.7625174025759559</v>
      </c>
      <c r="J1090" s="92">
        <f t="shared" si="345"/>
        <v>-0.57323036924382287</v>
      </c>
      <c r="K1090" s="92">
        <f t="shared" si="346"/>
        <v>0.25283973300777285</v>
      </c>
      <c r="L1090" s="93">
        <f t="shared" si="343"/>
        <v>-0.43709813223345595</v>
      </c>
      <c r="Q1090" s="91">
        <v>-0.92643104555427636</v>
      </c>
      <c r="R1090" s="93">
        <v>0.30931903571077474</v>
      </c>
    </row>
    <row r="1091" spans="1:18" x14ac:dyDescent="0.25">
      <c r="I1091">
        <f>SUM(I1082:I1090)</f>
        <v>0.61427125174644326</v>
      </c>
      <c r="J1091">
        <f>SUM(J1082:J1090)</f>
        <v>-0.28585170541335814</v>
      </c>
      <c r="K1091">
        <f>SUM(K1082:K1090)</f>
        <v>1.5989420502996534</v>
      </c>
      <c r="L1091">
        <f>SUM(L1082:L1090)</f>
        <v>-3.9450793734064127E-2</v>
      </c>
    </row>
    <row r="1092" spans="1:18" x14ac:dyDescent="0.25">
      <c r="A1092" s="47" t="s">
        <v>53</v>
      </c>
      <c r="B1092">
        <f>COUNT(A1082:A1090)</f>
        <v>9</v>
      </c>
      <c r="I1092" s="47" t="s">
        <v>462</v>
      </c>
      <c r="J1092" s="47" t="s">
        <v>389</v>
      </c>
      <c r="K1092" s="47" t="s">
        <v>469</v>
      </c>
      <c r="L1092" s="47" t="s">
        <v>470</v>
      </c>
      <c r="N1092" s="47"/>
    </row>
    <row r="1094" spans="1:18" x14ac:dyDescent="0.25">
      <c r="A1094">
        <v>1</v>
      </c>
      <c r="B1094">
        <v>2</v>
      </c>
      <c r="C1094">
        <v>3</v>
      </c>
      <c r="D1094">
        <v>4</v>
      </c>
      <c r="F1094">
        <v>3</v>
      </c>
      <c r="G1094">
        <v>4</v>
      </c>
      <c r="I1094" s="47" t="s">
        <v>207</v>
      </c>
      <c r="J1094" s="47" t="s">
        <v>464</v>
      </c>
      <c r="K1094" s="47" t="s">
        <v>465</v>
      </c>
      <c r="L1094" s="47" t="s">
        <v>466</v>
      </c>
      <c r="Q1094">
        <f>F1094</f>
        <v>3</v>
      </c>
      <c r="R1094">
        <f>G1094</f>
        <v>4</v>
      </c>
    </row>
    <row r="1095" spans="1:18" x14ac:dyDescent="0.25">
      <c r="A1095" s="189">
        <f t="array" ref="A1095:A1103">IF(A1094=$Q1081,$Q1082:$Q1090,IF(A1094=$R1081,$R1082:$R1090,A1082:A1090))</f>
        <v>0.11047785057442776</v>
      </c>
      <c r="B1095" s="190">
        <f t="array" ref="B1095:B1103">IF(B1094=$Q1081,$Q1082:$Q1090,IF(B1094=$R1081,$R1082:$R1090,B1082:B1090))</f>
        <v>0.8889897676215246</v>
      </c>
      <c r="C1095" s="190">
        <f t="array" ref="C1095:C1103">IF(C1094=$Q1081,$Q1082:$Q1090,IF(C1094=$R1081,$R1082:$R1090,C1082:C1090))</f>
        <v>-0.34199176195796549</v>
      </c>
      <c r="D1095" s="191">
        <f t="array" ref="D1095:D1103">IF(D1094=$Q1081,$Q1082:$Q1090,IF(D1094=$R1081,$R1082:$R1090,D1082:D1090))</f>
        <v>0.28378420031701751</v>
      </c>
      <c r="F1095" s="156">
        <f>INDEX(A1095:D1103,,F1094)</f>
        <v>-0.34199176195796549</v>
      </c>
      <c r="G1095" s="158">
        <f>INDEX(A1095:D1103,,G1094)</f>
        <v>0.28378420031701751</v>
      </c>
      <c r="I1095" s="156">
        <f>F1095^2-G1095^2</f>
        <v>3.6424892897544608E-2</v>
      </c>
      <c r="J1095" s="157">
        <f>2*F1095*G1095</f>
        <v>-0.19410371736449811</v>
      </c>
      <c r="K1095" s="157">
        <f>I1095^2-J1095^2</f>
        <v>-3.6349480272119365E-2</v>
      </c>
      <c r="L1095" s="158">
        <f t="shared" ref="L1095:L1103" si="347">I1095*J1095</f>
        <v>-7.0702071160171128E-3</v>
      </c>
      <c r="N1095" t="s">
        <v>390</v>
      </c>
      <c r="O1095" s="172">
        <f>L1104*B1105-2*I1104*J1104</f>
        <v>7.6463512134927747E-4</v>
      </c>
      <c r="Q1095" s="156">
        <f t="array" ref="Q1095:R1103">MMULT(F1095:G1103,N1099:O1100)</f>
        <v>-0.34198860139966836</v>
      </c>
      <c r="R1095" s="158">
        <v>0.28378800910077512</v>
      </c>
    </row>
    <row r="1096" spans="1:18" x14ac:dyDescent="0.25">
      <c r="A1096" s="194">
        <v>0.79370290504725283</v>
      </c>
      <c r="B1096" s="195">
        <v>-0.60198720325776489</v>
      </c>
      <c r="C1096" s="195">
        <v>8.4758512939388714E-2</v>
      </c>
      <c r="D1096" s="196">
        <v>-2.1519761098800997E-2</v>
      </c>
      <c r="F1096" s="123">
        <f>INDEX(A1096:D1104,,F1094)</f>
        <v>8.4758512939388714E-2</v>
      </c>
      <c r="G1096" s="90">
        <f>INDEX(A1095:D1103,,G1094)</f>
        <v>-2.1519761098800997E-2</v>
      </c>
      <c r="I1096" s="123">
        <f t="shared" ref="I1096:I1103" si="348">F1096^2-G1096^2</f>
        <v>6.7209053979470556E-3</v>
      </c>
      <c r="J1096" s="37">
        <f t="shared" ref="J1096:J1103" si="349">2*F1096*G1096</f>
        <v>-3.6479658990905563E-3</v>
      </c>
      <c r="K1096" s="37">
        <f t="shared" ref="K1096:K1103" si="350">I1096^2-J1096^2</f>
        <v>3.1862914167226301E-5</v>
      </c>
      <c r="L1096" s="90">
        <f t="shared" si="347"/>
        <v>-2.4517633702724504E-5</v>
      </c>
      <c r="N1096" t="s">
        <v>392</v>
      </c>
      <c r="O1096" s="173">
        <f>K1104*B1105-(I1104^2-J1104^2)</f>
        <v>17.164121182758826</v>
      </c>
      <c r="Q1096" s="123">
        <v>8.4758273266092213E-2</v>
      </c>
      <c r="R1096" s="90">
        <v>-2.1520705062716531E-2</v>
      </c>
    </row>
    <row r="1097" spans="1:18" x14ac:dyDescent="0.25">
      <c r="A1097" s="194">
        <v>0.98390650724384132</v>
      </c>
      <c r="B1097" s="195">
        <v>0.11708833412799315</v>
      </c>
      <c r="C1097" s="195">
        <v>0.11368153751461815</v>
      </c>
      <c r="D1097" s="196">
        <v>7.2765479746023889E-2</v>
      </c>
      <c r="F1097" s="123">
        <f>INDEX(A1097:D1105,,F1094)</f>
        <v>0.11368153751461815</v>
      </c>
      <c r="G1097" s="90">
        <f>INDEX(A1095:D1103,,G1094)</f>
        <v>7.2765479746023889E-2</v>
      </c>
      <c r="I1097" s="123">
        <f t="shared" si="348"/>
        <v>7.6286769290185219E-3</v>
      </c>
      <c r="J1097" s="37">
        <f t="shared" si="349"/>
        <v>1.6544183231033606E-2</v>
      </c>
      <c r="K1097" s="37">
        <f t="shared" si="350"/>
        <v>-2.1551328709467407E-4</v>
      </c>
      <c r="L1097" s="90">
        <f t="shared" si="347"/>
        <v>1.2621022892404118E-4</v>
      </c>
      <c r="N1097" t="s">
        <v>467</v>
      </c>
      <c r="O1097" s="174">
        <f>0.25*ATAN(O1095/O1096)</f>
        <v>1.113711434307983E-5</v>
      </c>
      <c r="Q1097" s="123">
        <v>0.11368234790503604</v>
      </c>
      <c r="R1097" s="90">
        <v>7.2764213657229182E-2</v>
      </c>
    </row>
    <row r="1098" spans="1:18" x14ac:dyDescent="0.25">
      <c r="A1098" s="194">
        <v>4.8492212655762167E-2</v>
      </c>
      <c r="B1098" s="195">
        <v>-1.5913844460276538E-3</v>
      </c>
      <c r="C1098" s="195">
        <v>8.0596913962375102E-2</v>
      </c>
      <c r="D1098" s="196">
        <v>0.99556522150336024</v>
      </c>
      <c r="F1098" s="123">
        <f>INDEX(A1098:D1106,,F1094)</f>
        <v>8.0596913962375102E-2</v>
      </c>
      <c r="G1098" s="90">
        <f>INDEX(A1095:D1103,,G1094)</f>
        <v>0.99556522150336024</v>
      </c>
      <c r="I1098" s="123">
        <f t="shared" si="348"/>
        <v>-0.98465424772677623</v>
      </c>
      <c r="J1098" s="37">
        <f t="shared" si="349"/>
        <v>0.16047896900287847</v>
      </c>
      <c r="K1098" s="37">
        <f t="shared" si="350"/>
        <v>0.94379048807415677</v>
      </c>
      <c r="L1098" s="90">
        <f t="shared" si="347"/>
        <v>-0.15801629849949794</v>
      </c>
      <c r="Q1098" s="123">
        <v>8.0608001681084313E-2</v>
      </c>
      <c r="R1098" s="90">
        <v>0.99556432382457116</v>
      </c>
    </row>
    <row r="1099" spans="1:18" x14ac:dyDescent="0.25">
      <c r="A1099" s="194">
        <v>0.35381872124133873</v>
      </c>
      <c r="B1099" s="195">
        <v>-0.11096231057352395</v>
      </c>
      <c r="C1099" s="195">
        <v>0.88629130620431806</v>
      </c>
      <c r="D1099" s="196">
        <v>0.27746603157498911</v>
      </c>
      <c r="F1099" s="123">
        <f>INDEX(A1099:D1107,,F1094)</f>
        <v>0.88629130620431806</v>
      </c>
      <c r="G1099" s="90">
        <f>INDEX(A1095:D1103,,G1094)</f>
        <v>0.27746603157498911</v>
      </c>
      <c r="I1099" s="123">
        <f t="shared" si="348"/>
        <v>0.70852488077538345</v>
      </c>
      <c r="J1099" s="37">
        <f t="shared" si="349"/>
        <v>0.49183146310385134</v>
      </c>
      <c r="K1099" s="37">
        <f t="shared" si="350"/>
        <v>0.26010931857889619</v>
      </c>
      <c r="L1099" s="90">
        <f t="shared" si="347"/>
        <v>0.34847482875723867</v>
      </c>
      <c r="N1099" s="156">
        <f>COS(O1097)</f>
        <v>0.99999999993798239</v>
      </c>
      <c r="O1099" s="158">
        <f>-N1100</f>
        <v>-1.1137114342849598E-5</v>
      </c>
      <c r="Q1099" s="123">
        <v>0.88629439632027229</v>
      </c>
      <c r="R1099" s="90">
        <v>0.27745616083016306</v>
      </c>
    </row>
    <row r="1100" spans="1:18" x14ac:dyDescent="0.25">
      <c r="A1100" s="194">
        <v>-3.1007397376454381E-2</v>
      </c>
      <c r="B1100" s="195">
        <v>2.3031801848681244E-2</v>
      </c>
      <c r="C1100" s="195">
        <v>0.99755881126880408</v>
      </c>
      <c r="D1100" s="196">
        <v>-5.8176416798497603E-2</v>
      </c>
      <c r="F1100" s="123">
        <f>INDEX(A1100:D1108,,F1094)</f>
        <v>0.99755881126880408</v>
      </c>
      <c r="G1100" s="90">
        <f>INDEX(A1095:D1103,,G1094)</f>
        <v>-5.8176416798497603E-2</v>
      </c>
      <c r="I1100" s="123">
        <f t="shared" si="348"/>
        <v>0.99173908646851694</v>
      </c>
      <c r="J1100" s="37">
        <f t="shared" si="349"/>
        <v>-0.11606879437077551</v>
      </c>
      <c r="K1100" s="37">
        <f t="shared" si="350"/>
        <v>0.97007445060272313</v>
      </c>
      <c r="L1100" s="90">
        <f t="shared" si="347"/>
        <v>-0.11510996009677504</v>
      </c>
      <c r="N1100" s="91">
        <f>SIN(O1097)</f>
        <v>1.1137114342849598E-5</v>
      </c>
      <c r="O1100" s="93">
        <f>N1099</f>
        <v>0.99999999993798239</v>
      </c>
      <c r="Q1100" s="123">
        <v>0.99755816328953195</v>
      </c>
      <c r="R1100" s="90">
        <v>-5.8187526721434457E-2</v>
      </c>
    </row>
    <row r="1101" spans="1:18" x14ac:dyDescent="0.25">
      <c r="A1101" s="194">
        <v>0.9616627218761491</v>
      </c>
      <c r="B1101" s="195">
        <v>-2.2673015313388858E-2</v>
      </c>
      <c r="C1101" s="195">
        <v>0.16743197677570157</v>
      </c>
      <c r="D1101" s="196">
        <v>0.21600295572824038</v>
      </c>
      <c r="F1101" s="123">
        <f>INDEX(A1101:D1109,,F1094)</f>
        <v>0.16743197677570157</v>
      </c>
      <c r="G1101" s="90">
        <f>INDEX(A1095:D1103,,G1094)</f>
        <v>0.21600295572824038</v>
      </c>
      <c r="I1101" s="123">
        <f t="shared" si="348"/>
        <v>-1.8623810036317103E-2</v>
      </c>
      <c r="J1101" s="37">
        <f t="shared" si="349"/>
        <v>7.2331603733947272E-2</v>
      </c>
      <c r="K1101" s="37">
        <f t="shared" si="350"/>
        <v>-4.8850145984559489E-3</v>
      </c>
      <c r="L1101" s="90">
        <f t="shared" si="347"/>
        <v>-1.3470900475631988E-3</v>
      </c>
      <c r="Q1101" s="123">
        <v>0.16743438241493419</v>
      </c>
      <c r="R1101" s="90">
        <v>0.21600109100577441</v>
      </c>
    </row>
    <row r="1102" spans="1:18" x14ac:dyDescent="0.25">
      <c r="A1102" s="194">
        <v>0.67503105129856122</v>
      </c>
      <c r="B1102" s="195">
        <v>-0.2204379343333697</v>
      </c>
      <c r="C1102" s="195">
        <v>0.56883349384640625</v>
      </c>
      <c r="D1102" s="196">
        <v>0.41493210669709174</v>
      </c>
      <c r="F1102" s="123">
        <f>INDEX(A1102:D1110,,F1094)</f>
        <v>0.56883349384640625</v>
      </c>
      <c r="G1102" s="90">
        <f>INDEX(A1095:D1103,,G1094)</f>
        <v>0.41493210669709174</v>
      </c>
      <c r="I1102" s="123">
        <f t="shared" si="348"/>
        <v>0.15140289055342276</v>
      </c>
      <c r="J1102" s="37">
        <f t="shared" si="349"/>
        <v>0.47205455992311302</v>
      </c>
      <c r="K1102" s="37">
        <f t="shared" si="350"/>
        <v>-0.19991267227627219</v>
      </c>
      <c r="L1102" s="90">
        <f t="shared" si="347"/>
        <v>7.1470424871283231E-2</v>
      </c>
      <c r="Q1102" s="123">
        <v>0.56883811495744541</v>
      </c>
      <c r="R1102" s="90">
        <v>0.41492577150769566</v>
      </c>
    </row>
    <row r="1103" spans="1:18" x14ac:dyDescent="0.25">
      <c r="A1103" s="200">
        <v>6.977247237153901E-2</v>
      </c>
      <c r="B1103" s="201">
        <v>-0.92643104555427636</v>
      </c>
      <c r="C1103" s="201">
        <v>-0.20292622817006492</v>
      </c>
      <c r="D1103" s="202">
        <v>0.30931903571077474</v>
      </c>
      <c r="F1103" s="91">
        <f>INDEX(A1103:D1111,,F1094)</f>
        <v>-0.20292622817006492</v>
      </c>
      <c r="G1103" s="93">
        <f>INDEX(A1095:D1103,,G1094)</f>
        <v>0.30931903571077474</v>
      </c>
      <c r="I1103" s="91">
        <f t="shared" si="348"/>
        <v>-5.4499211773714286E-2</v>
      </c>
      <c r="J1103" s="92">
        <f t="shared" si="349"/>
        <v>-0.12553789043597827</v>
      </c>
      <c r="K1103" s="92">
        <f t="shared" si="350"/>
        <v>-1.2789597851159525E-2</v>
      </c>
      <c r="L1103" s="93">
        <f t="shared" si="347"/>
        <v>6.8417160764957206E-3</v>
      </c>
      <c r="Q1103" s="91">
        <v>-0.20292278323601079</v>
      </c>
      <c r="R1103" s="93">
        <v>0.30932129570419781</v>
      </c>
    </row>
    <row r="1104" spans="1:18" x14ac:dyDescent="0.25">
      <c r="I1104">
        <f>SUM(I1095:I1103)</f>
        <v>0.84466406348502565</v>
      </c>
      <c r="J1104">
        <f>SUM(J1095:J1103)</f>
        <v>0.77388241092448129</v>
      </c>
      <c r="K1104">
        <f>SUM(K1095:K1103)</f>
        <v>1.9198538418848414</v>
      </c>
      <c r="L1104">
        <f>SUM(L1095:L1103)</f>
        <v>0.14534510654038565</v>
      </c>
    </row>
    <row r="1105" spans="1:18" x14ac:dyDescent="0.25">
      <c r="A1105" s="47" t="s">
        <v>53</v>
      </c>
      <c r="B1105">
        <f>COUNT(A1095:A1103)</f>
        <v>9</v>
      </c>
      <c r="I1105" s="47" t="s">
        <v>462</v>
      </c>
      <c r="J1105" s="47" t="s">
        <v>389</v>
      </c>
      <c r="K1105" s="47" t="s">
        <v>469</v>
      </c>
      <c r="L1105" s="47" t="s">
        <v>470</v>
      </c>
      <c r="N1105" s="47"/>
    </row>
    <row r="1107" spans="1:18" x14ac:dyDescent="0.25">
      <c r="A1107">
        <v>1</v>
      </c>
      <c r="B1107">
        <v>2</v>
      </c>
      <c r="C1107">
        <v>3</v>
      </c>
      <c r="D1107">
        <v>4</v>
      </c>
      <c r="F1107">
        <v>1</v>
      </c>
      <c r="G1107">
        <v>2</v>
      </c>
      <c r="I1107" s="47" t="s">
        <v>207</v>
      </c>
      <c r="J1107" s="47" t="s">
        <v>464</v>
      </c>
      <c r="K1107" s="47" t="s">
        <v>465</v>
      </c>
      <c r="L1107" s="47" t="s">
        <v>466</v>
      </c>
      <c r="Q1107">
        <f>F1107</f>
        <v>1</v>
      </c>
      <c r="R1107">
        <f>G1107</f>
        <v>2</v>
      </c>
    </row>
    <row r="1108" spans="1:18" x14ac:dyDescent="0.25">
      <c r="A1108" s="189">
        <f t="array" ref="A1108:A1116">IF(A1107=$Q1094,$Q1095:$Q1103,IF(A1107=$R1094,$R1095:$R1103,A1095:A1103))</f>
        <v>0.11047785057442776</v>
      </c>
      <c r="B1108" s="190">
        <f t="array" ref="B1108:B1116">IF(B1107=$Q1094,$Q1095:$Q1103,IF(B1107=$R1094,$R1095:$R1103,B1095:B1103))</f>
        <v>0.8889897676215246</v>
      </c>
      <c r="C1108" s="190">
        <f t="array" ref="C1108:C1116">IF(C1107=$Q1094,$Q1095:$Q1103,IF(C1107=$R1094,$R1095:$R1103,C1095:C1103))</f>
        <v>-0.34198860139966836</v>
      </c>
      <c r="D1108" s="191">
        <f t="array" ref="D1108:D1116">IF(D1107=$Q1094,$Q1095:$Q1103,IF(D1107=$R1094,$R1095:$R1103,D1095:D1103))</f>
        <v>0.28378800910077512</v>
      </c>
      <c r="F1108" s="156">
        <f>INDEX(A1108:D1116,,F1107)</f>
        <v>0.11047785057442776</v>
      </c>
      <c r="G1108" s="158">
        <f>INDEX(A1108:D1116,,G1107)</f>
        <v>0.8889897676215246</v>
      </c>
      <c r="I1108" s="156">
        <f>F1108^2-G1108^2</f>
        <v>-0.77809745146822662</v>
      </c>
      <c r="J1108" s="157">
        <f>2*F1108*G1108</f>
        <v>0.1964273574189721</v>
      </c>
      <c r="K1108" s="157">
        <f>I1108^2-J1108^2</f>
        <v>0.56685193723874872</v>
      </c>
      <c r="L1108" s="158">
        <f t="shared" ref="L1108:L1116" si="351">I1108*J1108</f>
        <v>-0.15283962620634065</v>
      </c>
      <c r="N1108" t="s">
        <v>390</v>
      </c>
      <c r="O1108" s="172">
        <f>L1117*B1118-2*I1117*J1117</f>
        <v>1.8647195808685346E-3</v>
      </c>
      <c r="Q1108" s="156">
        <f t="array" ref="Q1108:R1116">MMULT(F1108:G1116,N1112:O1113)</f>
        <v>0.11049840239453974</v>
      </c>
      <c r="R1108" s="158">
        <v>0.88898721333412456</v>
      </c>
    </row>
    <row r="1109" spans="1:18" x14ac:dyDescent="0.25">
      <c r="A1109" s="194">
        <v>0.79370290504725283</v>
      </c>
      <c r="B1109" s="195">
        <v>-0.60198720325776489</v>
      </c>
      <c r="C1109" s="195">
        <v>8.4758273266092213E-2</v>
      </c>
      <c r="D1109" s="196">
        <v>-2.1520705062716531E-2</v>
      </c>
      <c r="F1109" s="123">
        <f>INDEX(A1109:D1117,,F1107)</f>
        <v>0.79370290504725283</v>
      </c>
      <c r="G1109" s="90">
        <f>INDEX(A1108:D1116,,G1107)</f>
        <v>-0.60198720325776489</v>
      </c>
      <c r="I1109" s="123">
        <f t="shared" ref="I1109:I1116" si="352">F1109^2-G1109^2</f>
        <v>0.26757570859434293</v>
      </c>
      <c r="J1109" s="37">
        <f t="shared" ref="J1109:J1116" si="353">2*F1109*G1109</f>
        <v>-0.95559798405391816</v>
      </c>
      <c r="K1109" s="37">
        <f t="shared" ref="K1109:K1116" si="354">I1109^2-J1109^2</f>
        <v>-0.84157074729814763</v>
      </c>
      <c r="L1109" s="90">
        <f t="shared" si="351"/>
        <v>-0.25569480771455277</v>
      </c>
      <c r="N1109" t="s">
        <v>392</v>
      </c>
      <c r="O1109" s="173">
        <f>K1117*B1118-(I1117^2-J1117^2)</f>
        <v>20.165053893961918</v>
      </c>
      <c r="Q1109" s="123">
        <v>0.79368898797026644</v>
      </c>
      <c r="R1109" s="90">
        <v>-0.60200555208510176</v>
      </c>
    </row>
    <row r="1110" spans="1:18" x14ac:dyDescent="0.25">
      <c r="A1110" s="194">
        <v>0.98390650724384132</v>
      </c>
      <c r="B1110" s="195">
        <v>0.11708833412799315</v>
      </c>
      <c r="C1110" s="195">
        <v>0.11368234790503604</v>
      </c>
      <c r="D1110" s="196">
        <v>7.2764213657229182E-2</v>
      </c>
      <c r="F1110" s="123">
        <f>INDEX(A1110:D1118,,F1107)</f>
        <v>0.98390650724384132</v>
      </c>
      <c r="G1110" s="90">
        <f>INDEX(A1108:D1116,,G1107)</f>
        <v>0.11708833412799315</v>
      </c>
      <c r="I1110" s="123">
        <f t="shared" si="352"/>
        <v>0.95436233700790662</v>
      </c>
      <c r="J1110" s="37">
        <f t="shared" si="353"/>
        <v>0.23040794774174719</v>
      </c>
      <c r="K1110" s="37">
        <f t="shared" si="354"/>
        <v>0.85771964791662947</v>
      </c>
      <c r="L1110" s="90">
        <f t="shared" si="351"/>
        <v>0.21989266747200947</v>
      </c>
      <c r="N1110" t="s">
        <v>467</v>
      </c>
      <c r="O1110" s="174">
        <f>0.25*ATAN(O1108/O1109)</f>
        <v>2.3118207188522335E-5</v>
      </c>
      <c r="Q1110" s="123">
        <v>0.98390921385328356</v>
      </c>
      <c r="R1110" s="90">
        <v>0.11706558794221755</v>
      </c>
    </row>
    <row r="1111" spans="1:18" x14ac:dyDescent="0.25">
      <c r="A1111" s="194">
        <v>4.8492212655762167E-2</v>
      </c>
      <c r="B1111" s="195">
        <v>-1.5913844460276538E-3</v>
      </c>
      <c r="C1111" s="195">
        <v>8.0608001681084313E-2</v>
      </c>
      <c r="D1111" s="196">
        <v>0.99556432382457116</v>
      </c>
      <c r="F1111" s="123">
        <f>INDEX(A1111:D1119,,F1107)</f>
        <v>4.8492212655762167E-2</v>
      </c>
      <c r="G1111" s="90">
        <f>INDEX(A1108:D1116,,G1107)</f>
        <v>-1.5913844460276538E-3</v>
      </c>
      <c r="I1111" s="123">
        <f t="shared" si="352"/>
        <v>2.3489621837966016E-3</v>
      </c>
      <c r="J1111" s="37">
        <f t="shared" si="353"/>
        <v>-1.5433950594769051E-4</v>
      </c>
      <c r="K1111" s="37">
        <f t="shared" si="354"/>
        <v>5.4938026578103221E-6</v>
      </c>
      <c r="L1111" s="90">
        <f t="shared" si="351"/>
        <v>-3.6253766293697568E-7</v>
      </c>
      <c r="Q1111" s="123">
        <v>4.8492175852848457E-2</v>
      </c>
      <c r="R1111" s="90">
        <v>-1.5925054986215008E-3</v>
      </c>
    </row>
    <row r="1112" spans="1:18" x14ac:dyDescent="0.25">
      <c r="A1112" s="194">
        <v>0.35381872124133873</v>
      </c>
      <c r="B1112" s="195">
        <v>-0.11096231057352395</v>
      </c>
      <c r="C1112" s="195">
        <v>0.88629439632027229</v>
      </c>
      <c r="D1112" s="196">
        <v>0.27745616083016306</v>
      </c>
      <c r="F1112" s="123">
        <f>INDEX(A1112:D1120,,F1107)</f>
        <v>0.35381872124133873</v>
      </c>
      <c r="G1112" s="90">
        <f>INDEX(A1108:D1116,,G1107)</f>
        <v>-0.11096231057352395</v>
      </c>
      <c r="I1112" s="123">
        <f t="shared" si="352"/>
        <v>0.11287505313304097</v>
      </c>
      <c r="J1112" s="37">
        <f t="shared" si="353"/>
        <v>-7.8521085666217044E-2</v>
      </c>
      <c r="K1112" s="37">
        <f t="shared" si="354"/>
        <v>6.5752167255854269E-3</v>
      </c>
      <c r="L1112" s="90">
        <f t="shared" si="351"/>
        <v>-8.8630717166383113E-3</v>
      </c>
      <c r="N1112" s="156">
        <f>COS(O1110)</f>
        <v>0.9999999997327742</v>
      </c>
      <c r="O1112" s="158">
        <f>-N1113</f>
        <v>-2.3118207186463076E-5</v>
      </c>
      <c r="Q1112" s="123">
        <v>0.35381615589710352</v>
      </c>
      <c r="R1112" s="90">
        <v>-0.11097049019837606</v>
      </c>
    </row>
    <row r="1113" spans="1:18" x14ac:dyDescent="0.25">
      <c r="A1113" s="194">
        <v>-3.1007397376454381E-2</v>
      </c>
      <c r="B1113" s="195">
        <v>2.3031801848681244E-2</v>
      </c>
      <c r="C1113" s="195">
        <v>0.99755816328953195</v>
      </c>
      <c r="D1113" s="196">
        <v>-5.8187526721434457E-2</v>
      </c>
      <c r="F1113" s="123">
        <f>INDEX(A1113:D1121,,F1107)</f>
        <v>-3.1007397376454381E-2</v>
      </c>
      <c r="G1113" s="90">
        <f>INDEX(A1108:D1116,,G1107)</f>
        <v>2.3031801848681244E-2</v>
      </c>
      <c r="I1113" s="123">
        <f t="shared" si="352"/>
        <v>4.3099479566443318E-4</v>
      </c>
      <c r="J1113" s="37">
        <f t="shared" si="353"/>
        <v>-1.428312464435632E-3</v>
      </c>
      <c r="K1113" s="37">
        <f t="shared" si="354"/>
        <v>-1.8543199821723623E-6</v>
      </c>
      <c r="L1113" s="90">
        <f t="shared" si="351"/>
        <v>-6.1559523875439821E-7</v>
      </c>
      <c r="N1113" s="91">
        <f>SIN(O1110)</f>
        <v>2.3118207186463076E-5</v>
      </c>
      <c r="O1113" s="93">
        <f>N1112</f>
        <v>0.9999999997327742</v>
      </c>
      <c r="Q1113" s="123">
        <v>-3.100686491420139E-2</v>
      </c>
      <c r="R1113" s="90">
        <v>2.3032518677963416E-2</v>
      </c>
    </row>
    <row r="1114" spans="1:18" x14ac:dyDescent="0.25">
      <c r="A1114" s="194">
        <v>0.9616627218761491</v>
      </c>
      <c r="B1114" s="195">
        <v>-2.2673015313388858E-2</v>
      </c>
      <c r="C1114" s="195">
        <v>0.16743438241493419</v>
      </c>
      <c r="D1114" s="196">
        <v>0.21600109100577441</v>
      </c>
      <c r="F1114" s="123">
        <f>INDEX(A1114:D1122,,F1107)</f>
        <v>0.9616627218761491</v>
      </c>
      <c r="G1114" s="90">
        <f>INDEX(A1108:D1116,,G1107)</f>
        <v>-2.2673015313388858E-2</v>
      </c>
      <c r="I1114" s="123">
        <f t="shared" si="352"/>
        <v>0.92428112502284254</v>
      </c>
      <c r="J1114" s="37">
        <f t="shared" si="353"/>
        <v>-4.3607587238826274E-2</v>
      </c>
      <c r="K1114" s="37">
        <f t="shared" si="354"/>
        <v>0.85239397640869974</v>
      </c>
      <c r="L1114" s="90">
        <f t="shared" si="351"/>
        <v>-4.03056697926341E-2</v>
      </c>
      <c r="Q1114" s="123">
        <v>0.96166219745970238</v>
      </c>
      <c r="R1114" s="90">
        <v>-2.2695247225377874E-2</v>
      </c>
    </row>
    <row r="1115" spans="1:18" x14ac:dyDescent="0.25">
      <c r="A1115" s="194">
        <v>0.67503105129856122</v>
      </c>
      <c r="B1115" s="195">
        <v>-0.2204379343333697</v>
      </c>
      <c r="C1115" s="195">
        <v>0.56883811495744541</v>
      </c>
      <c r="D1115" s="196">
        <v>0.41492577150769566</v>
      </c>
      <c r="F1115" s="123">
        <f>INDEX(A1115:D1123,,F1107)</f>
        <v>0.67503105129856122</v>
      </c>
      <c r="G1115" s="90">
        <f>INDEX(A1108:D1116,,G1107)</f>
        <v>-0.2204379343333697</v>
      </c>
      <c r="I1115" s="123">
        <f t="shared" si="352"/>
        <v>0.40707403732407782</v>
      </c>
      <c r="J1115" s="37">
        <f t="shared" si="353"/>
        <v>-0.29760490111827548</v>
      </c>
      <c r="K1115" s="37">
        <f t="shared" si="354"/>
        <v>7.7140594693706183E-2</v>
      </c>
      <c r="L1115" s="90">
        <f t="shared" si="351"/>
        <v>-0.12114722862564936</v>
      </c>
      <c r="Q1115" s="123">
        <v>0.67502595498833784</v>
      </c>
      <c r="R1115" s="90">
        <v>-0.2204535397821642</v>
      </c>
    </row>
    <row r="1116" spans="1:18" x14ac:dyDescent="0.25">
      <c r="A1116" s="200">
        <v>6.977247237153901E-2</v>
      </c>
      <c r="B1116" s="201">
        <v>-0.92643104555427636</v>
      </c>
      <c r="C1116" s="201">
        <v>-0.20292278323601079</v>
      </c>
      <c r="D1116" s="202">
        <v>0.30932129570419781</v>
      </c>
      <c r="F1116" s="91">
        <f>INDEX(A1116:D1124,,F1107)</f>
        <v>6.977247237153901E-2</v>
      </c>
      <c r="G1116" s="93">
        <f>INDEX(A1108:D1116,,G1107)</f>
        <v>-0.92643104555427636</v>
      </c>
      <c r="I1116" s="91">
        <f t="shared" si="352"/>
        <v>-0.85340628426595255</v>
      </c>
      <c r="J1116" s="92">
        <f t="shared" si="353"/>
        <v>-0.12927876906014349</v>
      </c>
      <c r="K1116" s="92">
        <f t="shared" si="354"/>
        <v>0.71158928589491388</v>
      </c>
      <c r="L1116" s="93">
        <f t="shared" si="351"/>
        <v>0.11032731393809325</v>
      </c>
      <c r="Q1116" s="91">
        <v>6.9751054928038916E-2</v>
      </c>
      <c r="R1116" s="93">
        <v>-0.92643265832118227</v>
      </c>
    </row>
    <row r="1117" spans="1:18" x14ac:dyDescent="0.25">
      <c r="I1117">
        <f>SUM(I1108:I1116)</f>
        <v>1.0374444823274924</v>
      </c>
      <c r="J1117">
        <f>SUM(J1108:J1116)</f>
        <v>-1.0793576739470445</v>
      </c>
      <c r="K1117">
        <f>SUM(K1108:K1116)</f>
        <v>2.2307035510628115</v>
      </c>
      <c r="L1117">
        <f>SUM(L1108:L1116)</f>
        <v>-0.24863140077861412</v>
      </c>
    </row>
    <row r="1118" spans="1:18" x14ac:dyDescent="0.25">
      <c r="A1118" s="47" t="s">
        <v>53</v>
      </c>
      <c r="B1118">
        <f>COUNT(A1108:A1116)</f>
        <v>9</v>
      </c>
      <c r="I1118" s="47" t="s">
        <v>462</v>
      </c>
      <c r="J1118" s="47" t="s">
        <v>389</v>
      </c>
      <c r="K1118" s="47" t="s">
        <v>469</v>
      </c>
      <c r="L1118" s="47" t="s">
        <v>470</v>
      </c>
      <c r="N1118" s="47"/>
    </row>
    <row r="1120" spans="1:18" x14ac:dyDescent="0.25">
      <c r="A1120">
        <v>1</v>
      </c>
      <c r="B1120">
        <v>2</v>
      </c>
      <c r="C1120">
        <v>3</v>
      </c>
      <c r="D1120">
        <v>4</v>
      </c>
      <c r="F1120">
        <v>1</v>
      </c>
      <c r="G1120">
        <v>3</v>
      </c>
      <c r="I1120" s="47" t="s">
        <v>207</v>
      </c>
      <c r="J1120" s="47" t="s">
        <v>464</v>
      </c>
      <c r="K1120" s="47" t="s">
        <v>465</v>
      </c>
      <c r="L1120" s="47" t="s">
        <v>466</v>
      </c>
      <c r="Q1120">
        <f>F1120</f>
        <v>1</v>
      </c>
      <c r="R1120">
        <f>G1120</f>
        <v>3</v>
      </c>
    </row>
    <row r="1121" spans="1:18" x14ac:dyDescent="0.25">
      <c r="A1121" s="189">
        <f t="array" ref="A1121:A1129">IF(A1120=$Q1107,$Q1108:$Q1116,IF(A1120=$R1107,$R1108:$R1116,A1108:A1116))</f>
        <v>0.11049840239453974</v>
      </c>
      <c r="B1121" s="190">
        <f t="array" ref="B1121:B1129">IF(B1120=$Q1107,$Q1108:$Q1116,IF(B1120=$R1107,$R1108:$R1116,B1108:B1116))</f>
        <v>0.88898721333412456</v>
      </c>
      <c r="C1121" s="190">
        <f t="array" ref="C1121:C1129">IF(C1120=$Q1107,$Q1108:$Q1116,IF(C1120=$R1107,$R1108:$R1116,C1108:C1116))</f>
        <v>-0.34198860139966836</v>
      </c>
      <c r="D1121" s="191">
        <f t="array" ref="D1121:D1129">IF(D1120=$Q1107,$Q1108:$Q1116,IF(D1120=$R1107,$R1108:$R1116,D1108:D1116))</f>
        <v>0.28378800910077512</v>
      </c>
      <c r="F1121" s="156">
        <f>INDEX(A1121:D1129,,F1120)</f>
        <v>0.11049840239453974</v>
      </c>
      <c r="G1121" s="158">
        <f>INDEX(A1121:D1129,,G1120)</f>
        <v>-0.34198860139966836</v>
      </c>
      <c r="I1121" s="156">
        <f>F1121^2-G1121^2</f>
        <v>-0.10474630655555563</v>
      </c>
      <c r="J1121" s="157">
        <f>2*F1121*G1121</f>
        <v>-7.557838818361283E-2</v>
      </c>
      <c r="K1121" s="157">
        <f>I1121^2-J1121^2</f>
        <v>5.2596959765975693E-3</v>
      </c>
      <c r="L1121" s="158">
        <f t="shared" ref="L1121:L1129" si="355">I1121*J1121</f>
        <v>7.9165570176554928E-3</v>
      </c>
      <c r="N1121" t="s">
        <v>390</v>
      </c>
      <c r="O1121" s="172">
        <f>L1130*B1131-2*I1130*J1130</f>
        <v>5.4505953004779784E-4</v>
      </c>
      <c r="Q1121" s="156">
        <f t="array" ref="Q1121:R1129">MMULT(F1121:G1129,N1125:O1126)</f>
        <v>0.11049650522016755</v>
      </c>
      <c r="R1121" s="158">
        <v>-0.34198921438135493</v>
      </c>
    </row>
    <row r="1122" spans="1:18" x14ac:dyDescent="0.25">
      <c r="A1122" s="194">
        <v>0.79368898797026644</v>
      </c>
      <c r="B1122" s="195">
        <v>-0.60200555208510176</v>
      </c>
      <c r="C1122" s="195">
        <v>8.4758273266092213E-2</v>
      </c>
      <c r="D1122" s="196">
        <v>-2.1520705062716531E-2</v>
      </c>
      <c r="F1122" s="123">
        <f>INDEX(A1122:D1130,,F1120)</f>
        <v>0.79368898797026644</v>
      </c>
      <c r="G1122" s="90">
        <f>INDEX(A1121:D1129,,G1120)</f>
        <v>8.4758273266092213E-2</v>
      </c>
      <c r="I1122" s="123">
        <f t="shared" ref="I1122:I1129" si="356">F1122^2-G1122^2</f>
        <v>0.62275824473821617</v>
      </c>
      <c r="J1122" s="37">
        <f t="shared" ref="J1122:J1129" si="357">2*F1122*G1122</f>
        <v>0.13454341626134403</v>
      </c>
      <c r="K1122" s="37">
        <f t="shared" ref="K1122:K1129" si="358">I1122^2-J1122^2</f>
        <v>0.36972590053015064</v>
      </c>
      <c r="L1122" s="90">
        <f t="shared" si="355"/>
        <v>8.3788021751997774E-2</v>
      </c>
      <c r="N1122" t="s">
        <v>392</v>
      </c>
      <c r="O1122" s="173">
        <f>K1130*B1131-(I1130^2-J1130^2)</f>
        <v>24.563413373869853</v>
      </c>
      <c r="Q1122" s="123">
        <v>0.79368945815232073</v>
      </c>
      <c r="R1122" s="90">
        <v>8.4753870296233436E-2</v>
      </c>
    </row>
    <row r="1123" spans="1:18" x14ac:dyDescent="0.25">
      <c r="A1123" s="194">
        <v>0.98390921385328356</v>
      </c>
      <c r="B1123" s="195">
        <v>0.11706558794221755</v>
      </c>
      <c r="C1123" s="195">
        <v>0.11368234790503604</v>
      </c>
      <c r="D1123" s="196">
        <v>7.2764213657229182E-2</v>
      </c>
      <c r="F1123" s="123">
        <f>INDEX(A1123:D1131,,F1120)</f>
        <v>0.98390921385328356</v>
      </c>
      <c r="G1123" s="90">
        <f>INDEX(A1121:D1129,,G1120)</f>
        <v>0.11368234790503604</v>
      </c>
      <c r="I1123" s="123">
        <f t="shared" si="356"/>
        <v>0.95515366488018483</v>
      </c>
      <c r="J1123" s="37">
        <f t="shared" si="357"/>
        <v>0.22370621911247895</v>
      </c>
      <c r="K1123" s="37">
        <f t="shared" si="358"/>
        <v>0.86227405106444799</v>
      </c>
      <c r="L1123" s="90">
        <f t="shared" si="355"/>
        <v>0.21367381504177393</v>
      </c>
      <c r="N1123" t="s">
        <v>467</v>
      </c>
      <c r="O1123" s="174">
        <f>0.25*ATAN(O1121/O1122)</f>
        <v>5.5474734075248898E-6</v>
      </c>
      <c r="Q1123" s="123">
        <v>0.98390984448794583</v>
      </c>
      <c r="R1123" s="90">
        <v>0.11367688969308753</v>
      </c>
    </row>
    <row r="1124" spans="1:18" x14ac:dyDescent="0.25">
      <c r="A1124" s="194">
        <v>4.8492175852848457E-2</v>
      </c>
      <c r="B1124" s="195">
        <v>-1.5925054986215008E-3</v>
      </c>
      <c r="C1124" s="195">
        <v>8.0608001681084313E-2</v>
      </c>
      <c r="D1124" s="196">
        <v>0.99556432382457116</v>
      </c>
      <c r="F1124" s="123">
        <f>INDEX(A1124:D1132,,F1120)</f>
        <v>4.8492175852848457E-2</v>
      </c>
      <c r="G1124" s="90">
        <f>INDEX(A1121:D1129,,G1120)</f>
        <v>8.0608001681084313E-2</v>
      </c>
      <c r="I1124" s="123">
        <f t="shared" si="356"/>
        <v>-4.1461588160741124E-3</v>
      </c>
      <c r="J1124" s="37">
        <f t="shared" si="357"/>
        <v>7.8177147853316885E-3</v>
      </c>
      <c r="K1124" s="37">
        <f t="shared" si="358"/>
        <v>-4.3926031536684599E-5</v>
      </c>
      <c r="L1124" s="90">
        <f t="shared" si="355"/>
        <v>-3.2413487078755919E-5</v>
      </c>
      <c r="Q1124" s="123">
        <v>4.8492623022848055E-2</v>
      </c>
      <c r="R1124" s="90">
        <v>8.0607732670787954E-2</v>
      </c>
    </row>
    <row r="1125" spans="1:18" x14ac:dyDescent="0.25">
      <c r="A1125" s="194">
        <v>0.35381615589710352</v>
      </c>
      <c r="B1125" s="195">
        <v>-0.11097049019837606</v>
      </c>
      <c r="C1125" s="195">
        <v>0.88629439632027229</v>
      </c>
      <c r="D1125" s="196">
        <v>0.27745616083016306</v>
      </c>
      <c r="F1125" s="123">
        <f>INDEX(A1125:D1133,,F1120)</f>
        <v>0.35381615589710352</v>
      </c>
      <c r="G1125" s="90">
        <f>INDEX(A1121:D1129,,G1120)</f>
        <v>0.88629439632027229</v>
      </c>
      <c r="I1125" s="123">
        <f t="shared" si="356"/>
        <v>-0.66033188477491234</v>
      </c>
      <c r="J1125" s="37">
        <f t="shared" si="357"/>
        <v>0.62717055259836541</v>
      </c>
      <c r="K1125" s="37">
        <f t="shared" si="358"/>
        <v>4.2695296003849081E-2</v>
      </c>
      <c r="L1125" s="90">
        <f t="shared" si="355"/>
        <v>-0.41414071307260192</v>
      </c>
      <c r="N1125" s="156">
        <f>COS(O1123)</f>
        <v>0.99999999998461275</v>
      </c>
      <c r="O1125" s="158">
        <f>-N1126</f>
        <v>-5.5474734074964363E-6</v>
      </c>
      <c r="Q1125" s="123">
        <v>0.35382107258625406</v>
      </c>
      <c r="R1125" s="90">
        <v>0.88629243352091869</v>
      </c>
    </row>
    <row r="1126" spans="1:18" x14ac:dyDescent="0.25">
      <c r="A1126" s="194">
        <v>-3.100686491420139E-2</v>
      </c>
      <c r="B1126" s="195">
        <v>2.3032518677963416E-2</v>
      </c>
      <c r="C1126" s="195">
        <v>0.99755816328953195</v>
      </c>
      <c r="D1126" s="196">
        <v>-5.8187526721434457E-2</v>
      </c>
      <c r="F1126" s="123">
        <f>INDEX(A1126:D1134,,F1120)</f>
        <v>-3.100686491420139E-2</v>
      </c>
      <c r="G1126" s="90">
        <f>INDEX(A1121:D1129,,G1120)</f>
        <v>0.99755816328953195</v>
      </c>
      <c r="I1126" s="123">
        <f t="shared" si="356"/>
        <v>-0.99416086347377697</v>
      </c>
      <c r="J1126" s="37">
        <f t="shared" si="357"/>
        <v>-6.1862302426354737E-2</v>
      </c>
      <c r="K1126" s="37">
        <f t="shared" si="358"/>
        <v>0.98452887800143607</v>
      </c>
      <c r="L1126" s="90">
        <f t="shared" si="355"/>
        <v>6.1501079996660754E-2</v>
      </c>
      <c r="N1126" s="91">
        <f>SIN(O1123)</f>
        <v>5.5474734074964363E-6</v>
      </c>
      <c r="O1126" s="93">
        <f>N1125</f>
        <v>0.99999999998461275</v>
      </c>
      <c r="Q1126" s="123">
        <v>-3.1001330986340999E-2</v>
      </c>
      <c r="R1126" s="90">
        <v>0.99755833528394078</v>
      </c>
    </row>
    <row r="1127" spans="1:18" x14ac:dyDescent="0.25">
      <c r="A1127" s="194">
        <v>0.96166219745970238</v>
      </c>
      <c r="B1127" s="195">
        <v>-2.2695247225377874E-2</v>
      </c>
      <c r="C1127" s="195">
        <v>0.16743438241493419</v>
      </c>
      <c r="D1127" s="196">
        <v>0.21600109100577441</v>
      </c>
      <c r="F1127" s="123">
        <f>INDEX(A1127:D1135,,F1120)</f>
        <v>0.96166219745970238</v>
      </c>
      <c r="G1127" s="90">
        <f>INDEX(A1121:D1129,,G1120)</f>
        <v>0.16743438241493419</v>
      </c>
      <c r="I1127" s="123">
        <f t="shared" si="356"/>
        <v>0.89675990960835328</v>
      </c>
      <c r="J1127" s="37">
        <f t="shared" si="357"/>
        <v>0.32203063224690753</v>
      </c>
      <c r="K1127" s="37">
        <f t="shared" si="358"/>
        <v>0.70047460737543898</v>
      </c>
      <c r="L1127" s="90">
        <f t="shared" si="355"/>
        <v>0.28878416066485768</v>
      </c>
      <c r="Q1127" s="123">
        <v>0.96166312628268891</v>
      </c>
      <c r="R1127" s="90">
        <v>0.16742904761689043</v>
      </c>
    </row>
    <row r="1128" spans="1:18" x14ac:dyDescent="0.25">
      <c r="A1128" s="194">
        <v>0.67502595498833784</v>
      </c>
      <c r="B1128" s="195">
        <v>-0.2204535397821642</v>
      </c>
      <c r="C1128" s="195">
        <v>0.56883811495744541</v>
      </c>
      <c r="D1128" s="196">
        <v>0.41492577150769566</v>
      </c>
      <c r="F1128" s="123">
        <f>INDEX(A1128:D1136,,F1120)</f>
        <v>0.67502595498833784</v>
      </c>
      <c r="G1128" s="90">
        <f>INDEX(A1121:D1129,,G1120)</f>
        <v>0.56883811495744541</v>
      </c>
      <c r="I1128" s="123">
        <f t="shared" si="356"/>
        <v>0.13208323887957762</v>
      </c>
      <c r="J1128" s="37">
        <f t="shared" si="357"/>
        <v>0.76796098356583098</v>
      </c>
      <c r="K1128" s="37">
        <f t="shared" si="358"/>
        <v>-0.57231809028647895</v>
      </c>
      <c r="L1128" s="90">
        <f t="shared" si="355"/>
        <v>0.10143477404252103</v>
      </c>
      <c r="Q1128" s="123">
        <v>0.67502911059226689</v>
      </c>
      <c r="R1128" s="90">
        <v>0.56883437026015782</v>
      </c>
    </row>
    <row r="1129" spans="1:18" x14ac:dyDescent="0.25">
      <c r="A1129" s="200">
        <v>6.9751054928038916E-2</v>
      </c>
      <c r="B1129" s="201">
        <v>-0.92643265832118227</v>
      </c>
      <c r="C1129" s="201">
        <v>-0.20292278323601079</v>
      </c>
      <c r="D1129" s="202">
        <v>0.30932129570419781</v>
      </c>
      <c r="F1129" s="91">
        <f>INDEX(A1129:D1137,,F1120)</f>
        <v>6.9751054928038916E-2</v>
      </c>
      <c r="G1129" s="93">
        <f>INDEX(A1121:D1129,,G1120)</f>
        <v>-0.20292278323601079</v>
      </c>
      <c r="I1129" s="91">
        <f t="shared" si="356"/>
        <v>-3.6312446292674723E-2</v>
      </c>
      <c r="J1129" s="92">
        <f t="shared" si="357"/>
        <v>-2.8308156399291046E-2</v>
      </c>
      <c r="K1129" s="92">
        <f t="shared" si="358"/>
        <v>5.1724203703166366E-4</v>
      </c>
      <c r="L1129" s="93">
        <f t="shared" si="355"/>
        <v>1.0279384088938924E-3</v>
      </c>
      <c r="Q1129" s="91">
        <v>6.9749929218221859E-2</v>
      </c>
      <c r="R1129" s="93">
        <v>-0.20292317017501074</v>
      </c>
    </row>
    <row r="1130" spans="1:18" x14ac:dyDescent="0.25">
      <c r="I1130">
        <f>SUM(I1121:I1129)</f>
        <v>0.8070573981933381</v>
      </c>
      <c r="J1130">
        <f>SUM(J1121:J1129)</f>
        <v>1.917480671561</v>
      </c>
      <c r="K1130">
        <f>SUM(K1121:K1129)</f>
        <v>2.3931136546709366</v>
      </c>
      <c r="L1130">
        <f>SUM(L1121:L1129)</f>
        <v>0.34395322036467985</v>
      </c>
    </row>
    <row r="1131" spans="1:18" x14ac:dyDescent="0.25">
      <c r="A1131" s="47" t="s">
        <v>53</v>
      </c>
      <c r="B1131">
        <f>COUNT(A1121:A1129)</f>
        <v>9</v>
      </c>
      <c r="I1131" s="47" t="s">
        <v>462</v>
      </c>
      <c r="J1131" s="47" t="s">
        <v>389</v>
      </c>
      <c r="K1131" s="47" t="s">
        <v>469</v>
      </c>
      <c r="L1131" s="47" t="s">
        <v>470</v>
      </c>
      <c r="N1131" s="47"/>
    </row>
    <row r="1133" spans="1:18" x14ac:dyDescent="0.25">
      <c r="A1133">
        <v>1</v>
      </c>
      <c r="B1133">
        <v>2</v>
      </c>
      <c r="C1133">
        <v>3</v>
      </c>
      <c r="D1133">
        <v>4</v>
      </c>
      <c r="F1133">
        <v>1</v>
      </c>
      <c r="G1133">
        <v>4</v>
      </c>
      <c r="I1133" s="47" t="s">
        <v>207</v>
      </c>
      <c r="J1133" s="47" t="s">
        <v>464</v>
      </c>
      <c r="K1133" s="47" t="s">
        <v>465</v>
      </c>
      <c r="L1133" s="47" t="s">
        <v>466</v>
      </c>
      <c r="Q1133">
        <f>F1133</f>
        <v>1</v>
      </c>
      <c r="R1133">
        <f>G1133</f>
        <v>4</v>
      </c>
    </row>
    <row r="1134" spans="1:18" x14ac:dyDescent="0.25">
      <c r="A1134" s="189">
        <f t="array" ref="A1134:A1142">IF(A1133=$Q1120,$Q1121:$Q1129,IF(A1133=$R1120,$R1121:$R1129,A1121:A1129))</f>
        <v>0.11049650522016755</v>
      </c>
      <c r="B1134" s="190">
        <f t="array" ref="B1134:B1142">IF(B1133=$Q1120,$Q1121:$Q1129,IF(B1133=$R1120,$R1121:$R1129,B1121:B1129))</f>
        <v>0.88898721333412456</v>
      </c>
      <c r="C1134" s="190">
        <f t="array" ref="C1134:C1142">IF(C1133=$Q1120,$Q1121:$Q1129,IF(C1133=$R1120,$R1121:$R1129,C1121:C1129))</f>
        <v>-0.34198921438135493</v>
      </c>
      <c r="D1134" s="191">
        <f t="array" ref="D1134:D1142">IF(D1133=$Q1120,$Q1121:$Q1129,IF(D1133=$R1120,$R1121:$R1129,D1121:D1129))</f>
        <v>0.28378800910077512</v>
      </c>
      <c r="F1134" s="156">
        <f>INDEX(A1134:D1142,,F1133)</f>
        <v>0.11049650522016755</v>
      </c>
      <c r="G1134" s="158">
        <f>INDEX(A1134:D1142,,G1133)</f>
        <v>0.28378800910077512</v>
      </c>
      <c r="I1134" s="156">
        <f>F1134^2-G1134^2</f>
        <v>-6.8326156443511116E-2</v>
      </c>
      <c r="J1134" s="157">
        <f>2*F1134*G1134</f>
        <v>6.2715166458049504E-2</v>
      </c>
      <c r="K1134" s="157">
        <f>I1134^2-J1134^2</f>
        <v>7.3527155048229778E-4</v>
      </c>
      <c r="L1134" s="158">
        <f t="shared" ref="L1134:L1142" si="359">I1134*J1134</f>
        <v>-4.2850862747935313E-3</v>
      </c>
      <c r="N1134" t="s">
        <v>390</v>
      </c>
      <c r="O1134" s="172">
        <f>L1143*B1144-2*I1143*J1143</f>
        <v>-5.0801468263728111E-4</v>
      </c>
      <c r="Q1134" s="156">
        <f t="array" ref="Q1134:R1142">MMULT(F1134:G1142,N1138:O1139)</f>
        <v>0.11049493381598985</v>
      </c>
      <c r="R1134" s="158">
        <v>0.28378862094215856</v>
      </c>
    </row>
    <row r="1135" spans="1:18" x14ac:dyDescent="0.25">
      <c r="A1135" s="194">
        <v>0.79368945815232073</v>
      </c>
      <c r="B1135" s="195">
        <v>-0.60200555208510176</v>
      </c>
      <c r="C1135" s="195">
        <v>8.4753870296233436E-2</v>
      </c>
      <c r="D1135" s="196">
        <v>-2.1520705062716531E-2</v>
      </c>
      <c r="F1135" s="123">
        <f>INDEX(A1135:D1143,,F1133)</f>
        <v>0.79368945815232073</v>
      </c>
      <c r="G1135" s="90">
        <f>INDEX(A1134:D1142,,G1133)</f>
        <v>-2.1520705062716531E-2</v>
      </c>
      <c r="I1135" s="123">
        <f t="shared" ref="I1135:I1142" si="360">F1135^2-G1135^2</f>
        <v>0.62947981523572805</v>
      </c>
      <c r="J1135" s="37">
        <f t="shared" ref="J1135:J1142" si="361">2*F1135*G1135</f>
        <v>-3.4161513480566778E-2</v>
      </c>
      <c r="K1135" s="37">
        <f t="shared" ref="K1135:K1142" si="362">I1135^2-J1135^2</f>
        <v>0.3950778287859234</v>
      </c>
      <c r="L1135" s="90">
        <f t="shared" si="359"/>
        <v>-2.1503983193920009E-2</v>
      </c>
      <c r="N1135" t="s">
        <v>392</v>
      </c>
      <c r="O1135" s="173">
        <f>K1143*B1144-(I1143^2-J1143^2)</f>
        <v>22.936274577527865</v>
      </c>
      <c r="Q1135" s="123">
        <v>0.79368957730547463</v>
      </c>
      <c r="R1135" s="90">
        <v>-2.1516310212900864E-2</v>
      </c>
    </row>
    <row r="1136" spans="1:18" x14ac:dyDescent="0.25">
      <c r="A1136" s="194">
        <v>0.98390984448794583</v>
      </c>
      <c r="B1136" s="195">
        <v>0.11706558794221755</v>
      </c>
      <c r="C1136" s="195">
        <v>0.11367688969308753</v>
      </c>
      <c r="D1136" s="196">
        <v>7.2764213657229182E-2</v>
      </c>
      <c r="F1136" s="123">
        <f>INDEX(A1136:D1144,,F1133)</f>
        <v>0.98390984448794583</v>
      </c>
      <c r="G1136" s="90">
        <f>INDEX(A1134:D1142,,G1133)</f>
        <v>7.2764213657229182E-2</v>
      </c>
      <c r="I1136" s="123">
        <f t="shared" si="360"/>
        <v>0.96278395129113881</v>
      </c>
      <c r="J1136" s="37">
        <f t="shared" si="361"/>
        <v>0.14318685228754405</v>
      </c>
      <c r="K1136" s="37">
        <f t="shared" si="362"/>
        <v>0.90645046219576297</v>
      </c>
      <c r="L1136" s="90">
        <f t="shared" si="359"/>
        <v>0.13785800341834228</v>
      </c>
      <c r="N1136" t="s">
        <v>467</v>
      </c>
      <c r="O1136" s="174">
        <f>0.25*ATAN(O1134/O1135)</f>
        <v>-5.5372405928112475E-6</v>
      </c>
      <c r="Q1136" s="123">
        <v>0.98390944155990445</v>
      </c>
      <c r="R1136" s="90">
        <v>7.2769661801644209E-2</v>
      </c>
    </row>
    <row r="1137" spans="1:18" x14ac:dyDescent="0.25">
      <c r="A1137" s="194">
        <v>4.8492623022848055E-2</v>
      </c>
      <c r="B1137" s="195">
        <v>-1.5925054986215008E-3</v>
      </c>
      <c r="C1137" s="195">
        <v>8.0607732670787954E-2</v>
      </c>
      <c r="D1137" s="196">
        <v>0.99556432382457116</v>
      </c>
      <c r="F1137" s="123">
        <f>INDEX(A1137:D1145,,F1133)</f>
        <v>4.8492623022848055E-2</v>
      </c>
      <c r="G1137" s="90">
        <f>INDEX(A1134:D1142,,G1133)</f>
        <v>0.99556432382457116</v>
      </c>
      <c r="I1137" s="123">
        <f t="shared" si="360"/>
        <v>-0.98879678838463958</v>
      </c>
      <c r="J1137" s="37">
        <f t="shared" si="361"/>
        <v>9.6555050900443112E-2</v>
      </c>
      <c r="K1137" s="37">
        <f t="shared" si="362"/>
        <v>0.96839621086539063</v>
      </c>
      <c r="L1137" s="90">
        <f t="shared" si="359"/>
        <v>-9.5473324232673545E-2</v>
      </c>
      <c r="Q1137" s="123">
        <v>4.8487110342918027E-2</v>
      </c>
      <c r="R1137" s="90">
        <v>0.99556459232462935</v>
      </c>
    </row>
    <row r="1138" spans="1:18" x14ac:dyDescent="0.25">
      <c r="A1138" s="194">
        <v>0.35382107258625406</v>
      </c>
      <c r="B1138" s="195">
        <v>-0.11097049019837606</v>
      </c>
      <c r="C1138" s="195">
        <v>0.88629243352091869</v>
      </c>
      <c r="D1138" s="196">
        <v>0.27745616083016306</v>
      </c>
      <c r="F1138" s="123">
        <f>INDEX(A1138:D1146,,F1133)</f>
        <v>0.35382107258625406</v>
      </c>
      <c r="G1138" s="90">
        <f>INDEX(A1134:D1142,,G1133)</f>
        <v>0.27745616083016306</v>
      </c>
      <c r="I1138" s="123">
        <f t="shared" si="360"/>
        <v>4.8207430223473943E-2</v>
      </c>
      <c r="J1138" s="37">
        <f t="shared" si="361"/>
        <v>0.196339672841185</v>
      </c>
      <c r="K1138" s="37">
        <f t="shared" si="362"/>
        <v>-3.622531080263245E-2</v>
      </c>
      <c r="L1138" s="90">
        <f t="shared" si="359"/>
        <v>9.4650310785911289E-3</v>
      </c>
      <c r="N1138" s="156">
        <f>COS(O1136)</f>
        <v>0.99999999998466949</v>
      </c>
      <c r="O1138" s="158">
        <f>-N1139</f>
        <v>5.5372405927829515E-6</v>
      </c>
      <c r="Q1138" s="123">
        <v>0.35381953623931334</v>
      </c>
      <c r="R1138" s="90">
        <v>0.27745812001831521</v>
      </c>
    </row>
    <row r="1139" spans="1:18" x14ac:dyDescent="0.25">
      <c r="A1139" s="194">
        <v>-3.1001330986340999E-2</v>
      </c>
      <c r="B1139" s="195">
        <v>2.3032518677963416E-2</v>
      </c>
      <c r="C1139" s="195">
        <v>0.99755833528394078</v>
      </c>
      <c r="D1139" s="196">
        <v>-5.8187526721434457E-2</v>
      </c>
      <c r="F1139" s="123">
        <f>INDEX(A1139:D1147,,F1133)</f>
        <v>-3.1001330986340999E-2</v>
      </c>
      <c r="G1139" s="90">
        <f>INDEX(A1134:D1142,,G1133)</f>
        <v>-5.8187526721434457E-2</v>
      </c>
      <c r="I1139" s="123">
        <f t="shared" si="360"/>
        <v>-2.4247057430329825E-3</v>
      </c>
      <c r="J1139" s="37">
        <f t="shared" si="361"/>
        <v>3.607781550335502E-3</v>
      </c>
      <c r="K1139" s="37">
        <f t="shared" si="362"/>
        <v>-7.1368897746441116E-6</v>
      </c>
      <c r="L1139" s="90">
        <f t="shared" si="359"/>
        <v>-8.7478086447069285E-6</v>
      </c>
      <c r="N1139" s="91">
        <f>SIN(O1136)</f>
        <v>-5.5372405927829515E-6</v>
      </c>
      <c r="O1139" s="93">
        <f>N1138</f>
        <v>0.99999999998466949</v>
      </c>
      <c r="Q1139" s="123">
        <v>-3.1001008787530777E-2</v>
      </c>
      <c r="R1139" s="90">
        <v>-5.8187698382370784E-2</v>
      </c>
    </row>
    <row r="1140" spans="1:18" x14ac:dyDescent="0.25">
      <c r="A1140" s="194">
        <v>0.96166312628268891</v>
      </c>
      <c r="B1140" s="195">
        <v>-2.2695247225377874E-2</v>
      </c>
      <c r="C1140" s="195">
        <v>0.16742904761689043</v>
      </c>
      <c r="D1140" s="196">
        <v>0.21600109100577441</v>
      </c>
      <c r="F1140" s="123">
        <f>INDEX(A1140:D1148,,F1133)</f>
        <v>0.96166312628268891</v>
      </c>
      <c r="G1140" s="90">
        <f>INDEX(A1134:D1142,,G1133)</f>
        <v>0.21600109100577441</v>
      </c>
      <c r="I1140" s="123">
        <f t="shared" si="360"/>
        <v>0.87813949713611006</v>
      </c>
      <c r="J1140" s="37">
        <f t="shared" si="361"/>
        <v>0.41544056891416925</v>
      </c>
      <c r="K1140" s="37">
        <f t="shared" si="362"/>
        <v>0.59853811013073166</v>
      </c>
      <c r="L1140" s="90">
        <f t="shared" si="359"/>
        <v>0.36481477227622805</v>
      </c>
      <c r="Q1140" s="123">
        <v>0.96166193021793689</v>
      </c>
      <c r="R1140" s="90">
        <v>0.21600641596256245</v>
      </c>
    </row>
    <row r="1141" spans="1:18" x14ac:dyDescent="0.25">
      <c r="A1141" s="194">
        <v>0.67502911059226689</v>
      </c>
      <c r="B1141" s="195">
        <v>-0.2204535397821642</v>
      </c>
      <c r="C1141" s="195">
        <v>0.56883437026015782</v>
      </c>
      <c r="D1141" s="196">
        <v>0.41492577150769566</v>
      </c>
      <c r="F1141" s="123">
        <f>INDEX(A1141:D1149,,F1133)</f>
        <v>0.67502911059226689</v>
      </c>
      <c r="G1141" s="90">
        <f>INDEX(A1134:D1142,,G1133)</f>
        <v>0.41492577150769566</v>
      </c>
      <c r="I1141" s="123">
        <f t="shared" si="360"/>
        <v>0.28350090428573038</v>
      </c>
      <c r="J1141" s="37">
        <f t="shared" si="361"/>
        <v>0.56017394900529993</v>
      </c>
      <c r="K1141" s="37">
        <f t="shared" si="362"/>
        <v>-0.23342209041336551</v>
      </c>
      <c r="L1141" s="90">
        <f t="shared" si="359"/>
        <v>0.15880982110031114</v>
      </c>
      <c r="Q1141" s="123">
        <v>0.67502681303809342</v>
      </c>
      <c r="R1141" s="90">
        <v>0.41492950929992711</v>
      </c>
    </row>
    <row r="1142" spans="1:18" x14ac:dyDescent="0.25">
      <c r="A1142" s="200">
        <v>6.9749929218221859E-2</v>
      </c>
      <c r="B1142" s="201">
        <v>-0.92643265832118227</v>
      </c>
      <c r="C1142" s="201">
        <v>-0.20292317017501074</v>
      </c>
      <c r="D1142" s="202">
        <v>0.30932129570419781</v>
      </c>
      <c r="F1142" s="91">
        <f>INDEX(A1142:D1150,,F1133)</f>
        <v>6.9749929218221859E-2</v>
      </c>
      <c r="G1142" s="93">
        <f>INDEX(A1134:D1142,,G1133)</f>
        <v>0.30932129570419781</v>
      </c>
      <c r="I1142" s="91">
        <f t="shared" si="360"/>
        <v>-9.0814611350176822E-2</v>
      </c>
      <c r="J1142" s="92">
        <f t="shared" si="361"/>
        <v>4.3150276962112939E-2</v>
      </c>
      <c r="K1142" s="92">
        <f t="shared" si="362"/>
        <v>6.38534723277661E-3</v>
      </c>
      <c r="L1142" s="93">
        <f t="shared" si="359"/>
        <v>-3.9186756319667749E-3</v>
      </c>
      <c r="Q1142" s="91">
        <v>6.9748216430717783E-2</v>
      </c>
      <c r="R1142" s="93">
        <v>0.3093216819215952</v>
      </c>
    </row>
    <row r="1143" spans="1:18" x14ac:dyDescent="0.25">
      <c r="I1143">
        <f>SUM(I1134:I1142)</f>
        <v>1.6517493362508207</v>
      </c>
      <c r="J1143">
        <f>SUM(J1134:J1142)</f>
        <v>1.4870078054385725</v>
      </c>
      <c r="K1143">
        <f>SUM(K1134:K1142)</f>
        <v>2.6059286926552949</v>
      </c>
      <c r="L1143">
        <f>SUM(L1134:L1142)</f>
        <v>0.545757810731474</v>
      </c>
    </row>
    <row r="1144" spans="1:18" x14ac:dyDescent="0.25">
      <c r="A1144" s="47" t="s">
        <v>53</v>
      </c>
      <c r="B1144">
        <f>COUNT(A1134:A1142)</f>
        <v>9</v>
      </c>
      <c r="I1144" s="47" t="s">
        <v>462</v>
      </c>
      <c r="J1144" s="47" t="s">
        <v>389</v>
      </c>
      <c r="K1144" s="47" t="s">
        <v>469</v>
      </c>
      <c r="L1144" s="47" t="s">
        <v>470</v>
      </c>
      <c r="N1144" s="47"/>
    </row>
    <row r="1146" spans="1:18" x14ac:dyDescent="0.25">
      <c r="A1146">
        <v>1</v>
      </c>
      <c r="B1146">
        <v>2</v>
      </c>
      <c r="C1146">
        <v>3</v>
      </c>
      <c r="D1146">
        <v>4</v>
      </c>
      <c r="F1146">
        <v>2</v>
      </c>
      <c r="G1146">
        <v>3</v>
      </c>
      <c r="I1146" s="47" t="s">
        <v>207</v>
      </c>
      <c r="J1146" s="47" t="s">
        <v>464</v>
      </c>
      <c r="K1146" s="47" t="s">
        <v>465</v>
      </c>
      <c r="L1146" s="47" t="s">
        <v>466</v>
      </c>
      <c r="Q1146">
        <f>F1146</f>
        <v>2</v>
      </c>
      <c r="R1146">
        <f>G1146</f>
        <v>3</v>
      </c>
    </row>
    <row r="1147" spans="1:18" x14ac:dyDescent="0.25">
      <c r="A1147" s="189">
        <f t="array" ref="A1147:A1155">IF(A1146=$Q1133,$Q1134:$Q1142,IF(A1146=$R1133,$R1134:$R1142,A1134:A1142))</f>
        <v>0.11049493381598985</v>
      </c>
      <c r="B1147" s="190">
        <f t="array" ref="B1147:B1155">IF(B1146=$Q1133,$Q1134:$Q1142,IF(B1146=$R1133,$R1134:$R1142,B1134:B1142))</f>
        <v>0.88898721333412456</v>
      </c>
      <c r="C1147" s="190">
        <f t="array" ref="C1147:C1155">IF(C1146=$Q1133,$Q1134:$Q1142,IF(C1146=$R1133,$R1134:$R1142,C1134:C1142))</f>
        <v>-0.34198921438135493</v>
      </c>
      <c r="D1147" s="191">
        <f t="array" ref="D1147:D1155">IF(D1146=$Q1133,$Q1134:$Q1142,IF(D1146=$R1133,$R1134:$R1142,D1134:D1142))</f>
        <v>0.28378862094215856</v>
      </c>
      <c r="F1147" s="156">
        <f>INDEX(A1147:D1155,,F1146)</f>
        <v>0.88898721333412456</v>
      </c>
      <c r="G1147" s="158">
        <f>INDEX(A1147:D1155,,G1146)</f>
        <v>-0.34198921438135493</v>
      </c>
      <c r="I1147" s="156">
        <f>F1147^2-G1147^2</f>
        <v>0.67334164271839603</v>
      </c>
      <c r="J1147" s="157">
        <f>2*F1147*G1147</f>
        <v>-0.60804807736641442</v>
      </c>
      <c r="K1147" s="157">
        <f>I1147^2-J1147^2</f>
        <v>8.3666503429714989E-2</v>
      </c>
      <c r="L1147" s="158">
        <f t="shared" ref="L1147:L1155" si="363">I1147*J1147</f>
        <v>-0.40942409126566387</v>
      </c>
      <c r="N1147" t="s">
        <v>390</v>
      </c>
      <c r="O1147" s="172">
        <f>L1156*B1157-2*I1156*J1156</f>
        <v>3.9382100771811479E-3</v>
      </c>
      <c r="Q1147" s="156">
        <f t="array" ref="Q1147:R1155">MMULT(F1147:G1155,N1151:O1152)</f>
        <v>0.88897119650058842</v>
      </c>
      <c r="R1147" s="158">
        <v>-0.34203084658705951</v>
      </c>
    </row>
    <row r="1148" spans="1:18" x14ac:dyDescent="0.25">
      <c r="A1148" s="194">
        <v>0.79368957730547463</v>
      </c>
      <c r="B1148" s="195">
        <v>-0.60200555208510176</v>
      </c>
      <c r="C1148" s="195">
        <v>8.4753870296233436E-2</v>
      </c>
      <c r="D1148" s="196">
        <v>-2.1516310212900864E-2</v>
      </c>
      <c r="F1148" s="123">
        <f>INDEX(A1148:D1156,,F1146)</f>
        <v>-0.60200555208510176</v>
      </c>
      <c r="G1148" s="90">
        <f>INDEX(A1147:D1155,,G1146)</f>
        <v>8.4753870296233436E-2</v>
      </c>
      <c r="I1148" s="123">
        <f t="shared" ref="I1148:I1155" si="364">F1148^2-G1148^2</f>
        <v>0.35522746621109741</v>
      </c>
      <c r="J1148" s="37">
        <f t="shared" ref="J1148:J1155" si="365">2*F1148*G1148</f>
        <v>-0.10204460095806624</v>
      </c>
      <c r="K1148" s="37">
        <f t="shared" ref="K1148:K1155" si="366">I1148^2-J1148^2</f>
        <v>0.11577345216606538</v>
      </c>
      <c r="L1148" s="90">
        <f t="shared" si="363"/>
        <v>-3.6249045038856391E-2</v>
      </c>
      <c r="N1148" t="s">
        <v>392</v>
      </c>
      <c r="O1148" s="173">
        <f>K1156*B1157-(I1156^2-J1156^2)</f>
        <v>21.023308539912215</v>
      </c>
      <c r="Q1148" s="123">
        <v>-0.60200158227635325</v>
      </c>
      <c r="R1148" s="90">
        <v>8.478206301008448E-2</v>
      </c>
    </row>
    <row r="1149" spans="1:18" x14ac:dyDescent="0.25">
      <c r="A1149" s="194">
        <v>0.98390944155990445</v>
      </c>
      <c r="B1149" s="195">
        <v>0.11706558794221755</v>
      </c>
      <c r="C1149" s="195">
        <v>0.11367688969308753</v>
      </c>
      <c r="D1149" s="196">
        <v>7.2769661801644209E-2</v>
      </c>
      <c r="F1149" s="123">
        <f>INDEX(A1149:D1157,,F1146)</f>
        <v>0.11706558794221755</v>
      </c>
      <c r="G1149" s="90">
        <f>INDEX(A1147:D1155,,G1146)</f>
        <v>0.11367688969308753</v>
      </c>
      <c r="I1149" s="123">
        <f t="shared" si="364"/>
        <v>7.8191662996268153E-4</v>
      </c>
      <c r="J1149" s="37">
        <f t="shared" si="365"/>
        <v>2.6615303854727806E-2</v>
      </c>
      <c r="K1149" s="37">
        <f t="shared" si="366"/>
        <v>-7.0776300566327663E-4</v>
      </c>
      <c r="L1149" s="90">
        <f t="shared" si="363"/>
        <v>2.0810948695521534E-5</v>
      </c>
      <c r="N1149" t="s">
        <v>467</v>
      </c>
      <c r="O1149" s="174">
        <f>0.25*ATAN(O1147/O1148)</f>
        <v>4.6831473072367825E-5</v>
      </c>
      <c r="Q1149" s="123">
        <v>0.11707091147004085</v>
      </c>
      <c r="R1149" s="90">
        <v>0.11367140721450278</v>
      </c>
    </row>
    <row r="1150" spans="1:18" x14ac:dyDescent="0.25">
      <c r="A1150" s="194">
        <v>4.8487110342918027E-2</v>
      </c>
      <c r="B1150" s="195">
        <v>-1.5925054986215008E-3</v>
      </c>
      <c r="C1150" s="195">
        <v>8.0607732670787954E-2</v>
      </c>
      <c r="D1150" s="196">
        <v>0.99556459232462935</v>
      </c>
      <c r="F1150" s="123">
        <f>INDEX(A1150:D1158,,F1146)</f>
        <v>-1.5925054986215008E-3</v>
      </c>
      <c r="G1150" s="90">
        <f>INDEX(A1147:D1155,,G1146)</f>
        <v>8.0607732670787954E-2</v>
      </c>
      <c r="I1150" s="123">
        <f t="shared" si="364"/>
        <v>-6.4950704925620757E-3</v>
      </c>
      <c r="J1150" s="37">
        <f t="shared" si="365"/>
        <v>-2.567365150192836E-4</v>
      </c>
      <c r="K1150" s="37">
        <f t="shared" si="366"/>
        <v>4.2120027065206321E-5</v>
      </c>
      <c r="L1150" s="90">
        <f t="shared" si="363"/>
        <v>1.6675217630649691E-6</v>
      </c>
      <c r="Q1150" s="123">
        <v>-1.5887305180145529E-3</v>
      </c>
      <c r="R1150" s="90">
        <v>8.0607807161772391E-2</v>
      </c>
    </row>
    <row r="1151" spans="1:18" x14ac:dyDescent="0.25">
      <c r="A1151" s="194">
        <v>0.35381953623931334</v>
      </c>
      <c r="B1151" s="195">
        <v>-0.11097049019837606</v>
      </c>
      <c r="C1151" s="195">
        <v>0.88629243352091869</v>
      </c>
      <c r="D1151" s="196">
        <v>0.27745812001831521</v>
      </c>
      <c r="F1151" s="123">
        <f>INDEX(A1151:D1159,,F1146)</f>
        <v>-0.11097049019837606</v>
      </c>
      <c r="G1151" s="90">
        <f>INDEX(A1147:D1155,,G1146)</f>
        <v>0.88629243352091869</v>
      </c>
      <c r="I1151" s="123">
        <f t="shared" si="364"/>
        <v>-0.77319982802156428</v>
      </c>
      <c r="J1151" s="37">
        <f t="shared" si="365"/>
        <v>-0.19670461161385594</v>
      </c>
      <c r="K1151" s="37">
        <f t="shared" si="366"/>
        <v>0.55914526982241863</v>
      </c>
      <c r="L1151" s="90">
        <f t="shared" si="363"/>
        <v>0.152091971870882</v>
      </c>
      <c r="N1151" s="156">
        <f>COS(O1149)</f>
        <v>0.99999999890340652</v>
      </c>
      <c r="O1151" s="158">
        <f>-N1152</f>
        <v>-4.6831473055249465E-5</v>
      </c>
      <c r="Q1151" s="123">
        <v>-0.11092898369646703</v>
      </c>
      <c r="R1151" s="90">
        <v>0.88629762946053781</v>
      </c>
    </row>
    <row r="1152" spans="1:18" x14ac:dyDescent="0.25">
      <c r="A1152" s="194">
        <v>-3.1001008787530777E-2</v>
      </c>
      <c r="B1152" s="195">
        <v>2.3032518677963416E-2</v>
      </c>
      <c r="C1152" s="195">
        <v>0.99755833528394078</v>
      </c>
      <c r="D1152" s="196">
        <v>-5.8187698382370784E-2</v>
      </c>
      <c r="F1152" s="123">
        <f>INDEX(A1152:D1160,,F1146)</f>
        <v>2.3032518677963416E-2</v>
      </c>
      <c r="G1152" s="90">
        <f>INDEX(A1147:D1155,,G1146)</f>
        <v>0.99755833528394078</v>
      </c>
      <c r="I1152" s="123">
        <f t="shared" si="364"/>
        <v>-0.99459213537781643</v>
      </c>
      <c r="J1152" s="37">
        <f t="shared" si="365"/>
        <v>4.5952561979570913E-2</v>
      </c>
      <c r="K1152" s="37">
        <f t="shared" si="366"/>
        <v>0.98710187780291847</v>
      </c>
      <c r="L1152" s="90">
        <f t="shared" si="363"/>
        <v>-4.5704056745342891E-2</v>
      </c>
      <c r="N1152" s="91">
        <f>SIN(O1149)</f>
        <v>4.6831473055249465E-5</v>
      </c>
      <c r="O1152" s="93">
        <f>N1151</f>
        <v>0.99999999890340652</v>
      </c>
      <c r="Q1152" s="123">
        <v>2.3079235779005995E-2</v>
      </c>
      <c r="R1152" s="90">
        <v>0.99755725554324692</v>
      </c>
    </row>
    <row r="1153" spans="1:18" x14ac:dyDescent="0.25">
      <c r="A1153" s="194">
        <v>0.96166193021793689</v>
      </c>
      <c r="B1153" s="195">
        <v>-2.2695247225377874E-2</v>
      </c>
      <c r="C1153" s="195">
        <v>0.16742904761689043</v>
      </c>
      <c r="D1153" s="196">
        <v>0.21600641596256245</v>
      </c>
      <c r="F1153" s="123">
        <f>INDEX(A1153:D1161,,F1146)</f>
        <v>-2.2695247225377874E-2</v>
      </c>
      <c r="G1153" s="90">
        <f>INDEX(A1147:D1155,,G1146)</f>
        <v>0.16742904761689043</v>
      </c>
      <c r="I1153" s="123">
        <f t="shared" si="364"/>
        <v>-2.751741173927794E-2</v>
      </c>
      <c r="J1153" s="37">
        <f t="shared" si="365"/>
        <v>-7.5996872567497846E-3</v>
      </c>
      <c r="K1153" s="37">
        <f t="shared" si="366"/>
        <v>6.9945270242854625E-4</v>
      </c>
      <c r="L1153" s="90">
        <f t="shared" si="363"/>
        <v>2.0912372333372749E-4</v>
      </c>
      <c r="Q1153" s="123">
        <v>-2.2687406251558278E-2</v>
      </c>
      <c r="R1153" s="90">
        <v>0.16743011028514773</v>
      </c>
    </row>
    <row r="1154" spans="1:18" x14ac:dyDescent="0.25">
      <c r="A1154" s="194">
        <v>0.67502681303809342</v>
      </c>
      <c r="B1154" s="195">
        <v>-0.2204535397821642</v>
      </c>
      <c r="C1154" s="195">
        <v>0.56883437026015782</v>
      </c>
      <c r="D1154" s="196">
        <v>0.41492950929992711</v>
      </c>
      <c r="F1154" s="123">
        <f>INDEX(A1154:D1162,,F1146)</f>
        <v>-0.2204535397821642</v>
      </c>
      <c r="G1154" s="90">
        <f>INDEX(A1147:D1155,,G1146)</f>
        <v>0.56883437026015782</v>
      </c>
      <c r="I1154" s="123">
        <f t="shared" si="364"/>
        <v>-0.27497277758678407</v>
      </c>
      <c r="J1154" s="37">
        <f t="shared" si="365"/>
        <v>-0.25080310094722003</v>
      </c>
      <c r="K1154" s="37">
        <f t="shared" si="366"/>
        <v>1.2707832969049593E-2</v>
      </c>
      <c r="L1154" s="90">
        <f t="shared" si="363"/>
        <v>6.8964025294835682E-2</v>
      </c>
      <c r="Q1154" s="123">
        <v>-0.22042690018893255</v>
      </c>
      <c r="R1154" s="90">
        <v>0.56884469380038605</v>
      </c>
    </row>
    <row r="1155" spans="1:18" x14ac:dyDescent="0.25">
      <c r="A1155" s="200">
        <v>6.9748216430717783E-2</v>
      </c>
      <c r="B1155" s="201">
        <v>-0.92643265832118227</v>
      </c>
      <c r="C1155" s="201">
        <v>-0.20292317017501074</v>
      </c>
      <c r="D1155" s="202">
        <v>0.3093216819215952</v>
      </c>
      <c r="F1155" s="91">
        <f>INDEX(A1155:D1163,,F1146)</f>
        <v>-0.92643265832118227</v>
      </c>
      <c r="G1155" s="93">
        <f>INDEX(A1147:D1155,,G1146)</f>
        <v>-0.20292317017501074</v>
      </c>
      <c r="I1155" s="91">
        <f t="shared" si="364"/>
        <v>0.81709965741017609</v>
      </c>
      <c r="J1155" s="92">
        <f t="shared" si="365"/>
        <v>0.37598930396039371</v>
      </c>
      <c r="K1155" s="92">
        <f t="shared" si="366"/>
        <v>0.52628389344720583</v>
      </c>
      <c r="L1155" s="93">
        <f t="shared" si="363"/>
        <v>0.30722073145592826</v>
      </c>
      <c r="Q1155" s="91">
        <v>-0.92644216049623862</v>
      </c>
      <c r="R1155" s="93">
        <v>-0.20287978374641086</v>
      </c>
    </row>
    <row r="1156" spans="1:18" x14ac:dyDescent="0.25">
      <c r="I1156">
        <f>SUM(I1147:I1155)</f>
        <v>-0.23032654024837251</v>
      </c>
      <c r="J1156">
        <f>SUM(J1147:J1155)</f>
        <v>-0.71689964486263347</v>
      </c>
      <c r="K1156">
        <f>SUM(K1147:K1155)</f>
        <v>2.2847126393612034</v>
      </c>
      <c r="L1156">
        <f>SUM(L1147:L1155)</f>
        <v>3.7131137765575084E-2</v>
      </c>
    </row>
    <row r="1157" spans="1:18" x14ac:dyDescent="0.25">
      <c r="A1157" s="47" t="s">
        <v>53</v>
      </c>
      <c r="B1157">
        <f>COUNT(A1147:A1155)</f>
        <v>9</v>
      </c>
      <c r="I1157" s="47" t="s">
        <v>462</v>
      </c>
      <c r="J1157" s="47" t="s">
        <v>389</v>
      </c>
      <c r="K1157" s="47" t="s">
        <v>469</v>
      </c>
      <c r="L1157" s="47" t="s">
        <v>470</v>
      </c>
      <c r="N1157" s="47"/>
    </row>
    <row r="1159" spans="1:18" x14ac:dyDescent="0.25">
      <c r="A1159">
        <v>1</v>
      </c>
      <c r="B1159">
        <v>2</v>
      </c>
      <c r="C1159">
        <v>3</v>
      </c>
      <c r="D1159">
        <v>4</v>
      </c>
      <c r="F1159">
        <v>2</v>
      </c>
      <c r="G1159">
        <v>4</v>
      </c>
      <c r="I1159" s="47" t="s">
        <v>207</v>
      </c>
      <c r="J1159" s="47" t="s">
        <v>464</v>
      </c>
      <c r="K1159" s="47" t="s">
        <v>465</v>
      </c>
      <c r="L1159" s="47" t="s">
        <v>466</v>
      </c>
      <c r="Q1159">
        <f>F1159</f>
        <v>2</v>
      </c>
      <c r="R1159">
        <f>G1159</f>
        <v>4</v>
      </c>
    </row>
    <row r="1160" spans="1:18" x14ac:dyDescent="0.25">
      <c r="A1160" s="189">
        <f t="array" ref="A1160:A1168">IF(A1159=$Q1146,$Q1147:$Q1155,IF(A1159=$R1146,$R1147:$R1155,A1147:A1155))</f>
        <v>0.11049493381598985</v>
      </c>
      <c r="B1160" s="190">
        <f t="array" ref="B1160:B1168">IF(B1159=$Q1146,$Q1147:$Q1155,IF(B1159=$R1146,$R1147:$R1155,B1147:B1155))</f>
        <v>0.88897119650058842</v>
      </c>
      <c r="C1160" s="190">
        <f t="array" ref="C1160:C1168">IF(C1159=$Q1146,$Q1147:$Q1155,IF(C1159=$R1146,$R1147:$R1155,C1147:C1155))</f>
        <v>-0.34203084658705951</v>
      </c>
      <c r="D1160" s="191">
        <f t="array" ref="D1160:D1168">IF(D1159=$Q1146,$Q1147:$Q1155,IF(D1159=$R1146,$R1147:$R1155,D1147:D1155))</f>
        <v>0.28378862094215856</v>
      </c>
      <c r="F1160" s="156">
        <f>INDEX(A1160:D1168,,F1159)</f>
        <v>0.88897119650058842</v>
      </c>
      <c r="G1160" s="158">
        <f>INDEX(A1160:D1168,,G1159)</f>
        <v>0.28378862094215856</v>
      </c>
      <c r="I1160" s="156">
        <f>F1160^2-G1160^2</f>
        <v>0.70973380683143561</v>
      </c>
      <c r="J1160" s="157">
        <f>2*F1160*G1160</f>
        <v>0.50455981982440534</v>
      </c>
      <c r="K1160" s="157">
        <f>I1160^2-J1160^2</f>
        <v>0.2491414647782052</v>
      </c>
      <c r="L1160" s="158">
        <f t="shared" ref="L1160:L1168" si="367">I1160*J1160</f>
        <v>0.35810316169815848</v>
      </c>
      <c r="N1160" t="s">
        <v>390</v>
      </c>
      <c r="O1160" s="172">
        <f>L1169*B1170-2*I1169*J1169</f>
        <v>-2.4150275055931925E-3</v>
      </c>
      <c r="Q1160" s="156">
        <f t="array" ref="Q1160:R1168">MMULT(F1160:G1168,N1164:O1165)</f>
        <v>0.88895903950580413</v>
      </c>
      <c r="R1160" s="158">
        <v>0.28382670005631638</v>
      </c>
    </row>
    <row r="1161" spans="1:18" x14ac:dyDescent="0.25">
      <c r="A1161" s="194">
        <v>0.79368957730547463</v>
      </c>
      <c r="B1161" s="195">
        <v>-0.60200158227635325</v>
      </c>
      <c r="C1161" s="195">
        <v>8.478206301008448E-2</v>
      </c>
      <c r="D1161" s="196">
        <v>-2.1516310212900864E-2</v>
      </c>
      <c r="F1161" s="123">
        <f>INDEX(A1161:D1169,,F1159)</f>
        <v>-0.60200158227635325</v>
      </c>
      <c r="G1161" s="90">
        <f>INDEX(A1160:D1168,,G1159)</f>
        <v>-2.1516310212900864E-2</v>
      </c>
      <c r="I1161" s="123">
        <f t="shared" ref="I1161:I1168" si="368">F1161^2-G1161^2</f>
        <v>0.36194295345805511</v>
      </c>
      <c r="J1161" s="37">
        <f t="shared" ref="J1161:J1168" si="369">2*F1161*G1161</f>
        <v>2.5905705585830358E-2</v>
      </c>
      <c r="K1161" s="37">
        <f t="shared" ref="K1161:K1168" si="370">I1161^2-J1161^2</f>
        <v>0.1303315959760401</v>
      </c>
      <c r="L1161" s="90">
        <f t="shared" si="367"/>
        <v>9.3763875911502745E-3</v>
      </c>
      <c r="N1161" t="s">
        <v>392</v>
      </c>
      <c r="O1161" s="173">
        <f>K1169*B1170-(I1169^2-J1169^2)</f>
        <v>14.094834125540473</v>
      </c>
      <c r="Q1161" s="123">
        <v>-0.6020006600658101</v>
      </c>
      <c r="R1161" s="90">
        <v>-2.1542097129566073E-2</v>
      </c>
    </row>
    <row r="1162" spans="1:18" x14ac:dyDescent="0.25">
      <c r="A1162" s="194">
        <v>0.98390944155990445</v>
      </c>
      <c r="B1162" s="195">
        <v>0.11707091147004085</v>
      </c>
      <c r="C1162" s="195">
        <v>0.11367140721450278</v>
      </c>
      <c r="D1162" s="196">
        <v>7.2769661801644209E-2</v>
      </c>
      <c r="F1162" s="123">
        <f>INDEX(A1162:D1170,,F1159)</f>
        <v>0.11707091147004085</v>
      </c>
      <c r="G1162" s="90">
        <f>INDEX(A1160:D1168,,G1159)</f>
        <v>7.2769661801644209E-2</v>
      </c>
      <c r="I1162" s="123">
        <f t="shared" si="368"/>
        <v>8.4101746337004665E-3</v>
      </c>
      <c r="J1162" s="37">
        <f t="shared" si="369"/>
        <v>1.7038421268970205E-2</v>
      </c>
      <c r="K1162" s="37">
        <f t="shared" si="370"/>
        <v>-2.1957676196955746E-4</v>
      </c>
      <c r="L1162" s="90">
        <f t="shared" si="367"/>
        <v>1.4329609835459574E-4</v>
      </c>
      <c r="N1162" t="s">
        <v>467</v>
      </c>
      <c r="O1162" s="174">
        <f>0.25*ATAN(O1160/O1161)</f>
        <v>-4.2835329959359314E-5</v>
      </c>
      <c r="Q1162" s="123">
        <v>0.11706779425016281</v>
      </c>
      <c r="R1162" s="90">
        <v>7.2774676506002861E-2</v>
      </c>
    </row>
    <row r="1163" spans="1:18" x14ac:dyDescent="0.25">
      <c r="A1163" s="194">
        <v>4.8487110342918027E-2</v>
      </c>
      <c r="B1163" s="195">
        <v>-1.5887305180145529E-3</v>
      </c>
      <c r="C1163" s="195">
        <v>8.0607807161772391E-2</v>
      </c>
      <c r="D1163" s="196">
        <v>0.99556459232462935</v>
      </c>
      <c r="F1163" s="123">
        <f>INDEX(A1163:D1171,,F1159)</f>
        <v>-1.5887305180145529E-3</v>
      </c>
      <c r="G1163" s="90">
        <f>INDEX(A1160:D1168,,G1159)</f>
        <v>0.99556459232462935</v>
      </c>
      <c r="I1163" s="123">
        <f t="shared" si="368"/>
        <v>-0.99114633342584657</v>
      </c>
      <c r="J1163" s="37">
        <f t="shared" si="369"/>
        <v>-3.1633677009617112E-3</v>
      </c>
      <c r="K1163" s="37">
        <f t="shared" si="370"/>
        <v>0.982361047368288</v>
      </c>
      <c r="L1163" s="90">
        <f t="shared" si="367"/>
        <v>3.1353602980859498E-3</v>
      </c>
      <c r="Q1163" s="123">
        <v>-1.6313758543520386E-3</v>
      </c>
      <c r="R1163" s="90">
        <v>0.99556452335746981</v>
      </c>
    </row>
    <row r="1164" spans="1:18" x14ac:dyDescent="0.25">
      <c r="A1164" s="194">
        <v>0.35381953623931334</v>
      </c>
      <c r="B1164" s="195">
        <v>-0.11092898369646703</v>
      </c>
      <c r="C1164" s="195">
        <v>0.88629762946053781</v>
      </c>
      <c r="D1164" s="196">
        <v>0.27745812001831521</v>
      </c>
      <c r="F1164" s="123">
        <f>INDEX(A1164:D1172,,F1159)</f>
        <v>-0.11092898369646703</v>
      </c>
      <c r="G1164" s="90">
        <f>INDEX(A1160:D1168,,G1159)</f>
        <v>0.27745812001831521</v>
      </c>
      <c r="I1164" s="123">
        <f t="shared" si="368"/>
        <v>-6.467776894016676E-2</v>
      </c>
      <c r="J1164" s="37">
        <f t="shared" si="369"/>
        <v>-6.1556294543928164E-2</v>
      </c>
      <c r="K1164" s="37">
        <f t="shared" si="370"/>
        <v>3.9403639709875964E-4</v>
      </c>
      <c r="L1164" s="90">
        <f t="shared" si="367"/>
        <v>3.9813237953250334E-3</v>
      </c>
      <c r="N1164" s="156">
        <f>COS(O1162)</f>
        <v>0.9999999990825672</v>
      </c>
      <c r="O1164" s="158">
        <f>-N1165</f>
        <v>4.28353299462598E-5</v>
      </c>
      <c r="Q1164" s="123">
        <v>-0.1109408686048144</v>
      </c>
      <c r="R1164" s="90">
        <v>0.27745336808414883</v>
      </c>
    </row>
    <row r="1165" spans="1:18" x14ac:dyDescent="0.25">
      <c r="A1165" s="194">
        <v>-3.1001008787530777E-2</v>
      </c>
      <c r="B1165" s="195">
        <v>2.3079235779005995E-2</v>
      </c>
      <c r="C1165" s="195">
        <v>0.99755725554324692</v>
      </c>
      <c r="D1165" s="196">
        <v>-5.8187698382370784E-2</v>
      </c>
      <c r="F1165" s="123">
        <f>INDEX(A1165:D1173,,F1159)</f>
        <v>2.3079235779005995E-2</v>
      </c>
      <c r="G1165" s="90">
        <f>INDEX(A1160:D1168,,G1159)</f>
        <v>-5.8187698382370784E-2</v>
      </c>
      <c r="I1165" s="123">
        <f t="shared" si="368"/>
        <v>-2.8531571188948049E-3</v>
      </c>
      <c r="J1165" s="37">
        <f t="shared" si="369"/>
        <v>-2.6858552208088421E-3</v>
      </c>
      <c r="K1165" s="37">
        <f t="shared" si="370"/>
        <v>9.2668727795399062E-7</v>
      </c>
      <c r="L1165" s="90">
        <f t="shared" si="367"/>
        <v>7.6631669435715268E-6</v>
      </c>
      <c r="N1165" s="91">
        <f>SIN(O1162)</f>
        <v>-4.28353299462598E-5</v>
      </c>
      <c r="O1165" s="93">
        <f>N1164</f>
        <v>0.9999999990825672</v>
      </c>
      <c r="Q1165" s="123">
        <v>2.3081728247091371E-2</v>
      </c>
      <c r="R1165" s="90">
        <v>-5.818670972230798E-2</v>
      </c>
    </row>
    <row r="1166" spans="1:18" x14ac:dyDescent="0.25">
      <c r="A1166" s="194">
        <v>0.96166193021793689</v>
      </c>
      <c r="B1166" s="195">
        <v>-2.2687406251558278E-2</v>
      </c>
      <c r="C1166" s="195">
        <v>0.16743011028514773</v>
      </c>
      <c r="D1166" s="196">
        <v>0.21600641596256245</v>
      </c>
      <c r="F1166" s="123">
        <f>INDEX(A1166:D1174,,F1159)</f>
        <v>-2.2687406251558278E-2</v>
      </c>
      <c r="G1166" s="90">
        <f>INDEX(A1160:D1168,,G1159)</f>
        <v>0.21600641596256245</v>
      </c>
      <c r="I1166" s="123">
        <f t="shared" si="368"/>
        <v>-4.6144053334568308E-2</v>
      </c>
      <c r="J1166" s="37">
        <f t="shared" si="369"/>
        <v>-9.8012506237714746E-3</v>
      </c>
      <c r="K1166" s="37">
        <f t="shared" si="370"/>
        <v>2.0332091443535038E-3</v>
      </c>
      <c r="L1166" s="90">
        <f t="shared" si="367"/>
        <v>4.5226943152878183E-4</v>
      </c>
      <c r="Q1166" s="123">
        <v>-2.2696658936842373E-2</v>
      </c>
      <c r="R1166" s="90">
        <v>0.21600544394185867</v>
      </c>
    </row>
    <row r="1167" spans="1:18" x14ac:dyDescent="0.25">
      <c r="A1167" s="194">
        <v>0.67502681303809342</v>
      </c>
      <c r="B1167" s="195">
        <v>-0.22042690018893255</v>
      </c>
      <c r="C1167" s="195">
        <v>0.56884469380038605</v>
      </c>
      <c r="D1167" s="196">
        <v>0.41492950929992711</v>
      </c>
      <c r="F1167" s="123">
        <f>INDEX(A1167:D1175,,F1159)</f>
        <v>-0.22042690018893255</v>
      </c>
      <c r="G1167" s="90">
        <f>INDEX(A1160:D1168,,G1159)</f>
        <v>0.41492950929992711</v>
      </c>
      <c r="I1167" s="123">
        <f t="shared" si="368"/>
        <v>-0.12357847936097668</v>
      </c>
      <c r="J1167" s="37">
        <f t="shared" si="369"/>
        <v>-0.18292325106379559</v>
      </c>
      <c r="K1167" s="37">
        <f t="shared" si="370"/>
        <v>-1.818927521857705E-2</v>
      </c>
      <c r="L1167" s="90">
        <f t="shared" si="367"/>
        <v>2.2605377206230019E-2</v>
      </c>
      <c r="Q1167" s="123">
        <v>-0.22044467362914097</v>
      </c>
      <c r="R1167" s="90">
        <v>0.41492006686025856</v>
      </c>
    </row>
    <row r="1168" spans="1:18" x14ac:dyDescent="0.25">
      <c r="A1168" s="200">
        <v>6.9748216430717783E-2</v>
      </c>
      <c r="B1168" s="201">
        <v>-0.92644216049623862</v>
      </c>
      <c r="C1168" s="201">
        <v>-0.20287978374641086</v>
      </c>
      <c r="D1168" s="202">
        <v>0.3093216819215952</v>
      </c>
      <c r="F1168" s="91">
        <f>INDEX(A1168:D1176,,F1159)</f>
        <v>-0.92644216049623862</v>
      </c>
      <c r="G1168" s="93">
        <f>INDEX(A1160:D1168,,G1159)</f>
        <v>0.3093216819215952</v>
      </c>
      <c r="I1168" s="91">
        <f t="shared" si="368"/>
        <v>0.76261517383813382</v>
      </c>
      <c r="J1168" s="92">
        <f t="shared" si="369"/>
        <v>-0.57313729457554596</v>
      </c>
      <c r="K1168" s="92">
        <f t="shared" si="370"/>
        <v>0.25309554493479092</v>
      </c>
      <c r="L1168" s="93">
        <f t="shared" si="367"/>
        <v>-0.43708319753584768</v>
      </c>
      <c r="Q1168" s="91">
        <v>-0.92645540954259487</v>
      </c>
      <c r="R1168" s="93">
        <v>0.3092819971821924</v>
      </c>
    </row>
    <row r="1169" spans="1:18" x14ac:dyDescent="0.25">
      <c r="I1169">
        <f>SUM(I1160:I1168)</f>
        <v>0.61430231658087187</v>
      </c>
      <c r="J1169">
        <f>SUM(J1160:J1168)</f>
        <v>-0.28576336704960575</v>
      </c>
      <c r="K1169">
        <f>SUM(K1160:K1168)</f>
        <v>1.598948973305508</v>
      </c>
      <c r="L1169">
        <f>SUM(L1160:L1168)</f>
        <v>-3.9278358250070977E-2</v>
      </c>
    </row>
    <row r="1170" spans="1:18" x14ac:dyDescent="0.25">
      <c r="A1170" s="47" t="s">
        <v>53</v>
      </c>
      <c r="B1170">
        <f>COUNT(A1160:A1168)</f>
        <v>9</v>
      </c>
      <c r="I1170" s="47" t="s">
        <v>462</v>
      </c>
      <c r="J1170" s="47" t="s">
        <v>389</v>
      </c>
      <c r="K1170" s="47" t="s">
        <v>469</v>
      </c>
      <c r="L1170" s="47" t="s">
        <v>470</v>
      </c>
      <c r="N1170" s="47"/>
    </row>
    <row r="1172" spans="1:18" x14ac:dyDescent="0.25">
      <c r="A1172">
        <v>1</v>
      </c>
      <c r="B1172">
        <v>2</v>
      </c>
      <c r="C1172">
        <v>3</v>
      </c>
      <c r="D1172">
        <v>4</v>
      </c>
      <c r="F1172">
        <v>3</v>
      </c>
      <c r="G1172">
        <v>4</v>
      </c>
      <c r="I1172" s="47" t="s">
        <v>207</v>
      </c>
      <c r="J1172" s="47" t="s">
        <v>464</v>
      </c>
      <c r="K1172" s="47" t="s">
        <v>465</v>
      </c>
      <c r="L1172" s="47" t="s">
        <v>466</v>
      </c>
      <c r="Q1172">
        <f>F1172</f>
        <v>3</v>
      </c>
      <c r="R1172">
        <f>G1172</f>
        <v>4</v>
      </c>
    </row>
    <row r="1173" spans="1:18" x14ac:dyDescent="0.25">
      <c r="A1173" s="189">
        <f t="array" ref="A1173:A1181">IF(A1172=$Q1159,$Q1160:$Q1168,IF(A1172=$R1159,$R1160:$R1168,A1160:A1168))</f>
        <v>0.11049493381598985</v>
      </c>
      <c r="B1173" s="190">
        <f t="array" ref="B1173:B1181">IF(B1172=$Q1159,$Q1160:$Q1168,IF(B1172=$R1159,$R1160:$R1168,B1160:B1168))</f>
        <v>0.88895903950580413</v>
      </c>
      <c r="C1173" s="190">
        <f t="array" ref="C1173:C1181">IF(C1172=$Q1159,$Q1160:$Q1168,IF(C1172=$R1159,$R1160:$R1168,C1160:C1168))</f>
        <v>-0.34203084658705951</v>
      </c>
      <c r="D1173" s="191">
        <f t="array" ref="D1173:D1181">IF(D1172=$Q1159,$Q1160:$Q1168,IF(D1172=$R1159,$R1160:$R1168,D1160:D1168))</f>
        <v>0.28382670005631638</v>
      </c>
      <c r="F1173" s="156">
        <f>INDEX(A1173:D1181,,F1172)</f>
        <v>-0.34203084658705951</v>
      </c>
      <c r="G1173" s="158">
        <f>INDEX(A1173:D1181,,G1172)</f>
        <v>0.28382670005631638</v>
      </c>
      <c r="I1173" s="156">
        <f>F1173^2-G1173^2</f>
        <v>3.6427504352202447E-2</v>
      </c>
      <c r="J1173" s="157">
        <f>2*F1173*G1173</f>
        <v>-0.19415497300854662</v>
      </c>
      <c r="K1173" s="157">
        <f>I1173^2-J1173^2</f>
        <v>-3.6369190470619733E-2</v>
      </c>
      <c r="L1173" s="158">
        <f t="shared" ref="L1173:L1181" si="371">I1173*J1173</f>
        <v>-7.0725811242705805E-3</v>
      </c>
      <c r="N1173" t="s">
        <v>390</v>
      </c>
      <c r="O1173" s="172">
        <f>L1182*B1183-2*I1182*J1182</f>
        <v>3.905677466524704E-4</v>
      </c>
      <c r="Q1173" s="156">
        <f t="array" ref="Q1173:R1181">MMULT(F1173:G1181,N1177:O1178)</f>
        <v>-0.3420292319749097</v>
      </c>
      <c r="R1173" s="158">
        <v>0.28382864576460953</v>
      </c>
    </row>
    <row r="1174" spans="1:18" x14ac:dyDescent="0.25">
      <c r="A1174" s="194">
        <v>0.79368957730547463</v>
      </c>
      <c r="B1174" s="195">
        <v>-0.6020006600658101</v>
      </c>
      <c r="C1174" s="195">
        <v>8.478206301008448E-2</v>
      </c>
      <c r="D1174" s="196">
        <v>-2.1542097129566073E-2</v>
      </c>
      <c r="F1174" s="123">
        <f>INDEX(A1174:D1182,,F1172)</f>
        <v>8.478206301008448E-2</v>
      </c>
      <c r="G1174" s="90">
        <f>INDEX(A1173:D1181,,G1172)</f>
        <v>-2.1542097129566073E-2</v>
      </c>
      <c r="I1174" s="123">
        <f t="shared" ref="I1174:I1181" si="372">F1174^2-G1174^2</f>
        <v>6.7239362595062765E-3</v>
      </c>
      <c r="J1174" s="37">
        <f t="shared" ref="J1174:J1181" si="373">2*F1174*G1174</f>
        <v>-3.6527668724164616E-3</v>
      </c>
      <c r="K1174" s="37">
        <f t="shared" ref="K1174:K1181" si="374">I1174^2-J1174^2</f>
        <v>3.1868612997680116E-5</v>
      </c>
      <c r="L1174" s="90">
        <f t="shared" si="371"/>
        <v>-2.4560971620964382E-5</v>
      </c>
      <c r="N1174" t="s">
        <v>392</v>
      </c>
      <c r="O1174" s="173">
        <f>K1182*B1183-(I1182^2-J1182^2)</f>
        <v>17.164173860711465</v>
      </c>
      <c r="Q1174" s="123">
        <v>8.4781940462058183E-2</v>
      </c>
      <c r="R1174" s="90">
        <v>-2.154257942943727E-2</v>
      </c>
    </row>
    <row r="1175" spans="1:18" x14ac:dyDescent="0.25">
      <c r="A1175" s="194">
        <v>0.98390944155990445</v>
      </c>
      <c r="B1175" s="195">
        <v>0.11706779425016281</v>
      </c>
      <c r="C1175" s="195">
        <v>0.11367140721450278</v>
      </c>
      <c r="D1175" s="196">
        <v>7.2774676506002861E-2</v>
      </c>
      <c r="F1175" s="123">
        <f>INDEX(A1175:D1183,,F1172)</f>
        <v>0.11367140721450278</v>
      </c>
      <c r="G1175" s="90">
        <f>INDEX(A1173:D1181,,G1172)</f>
        <v>7.2774676506002861E-2</v>
      </c>
      <c r="I1175" s="123">
        <f t="shared" si="372"/>
        <v>7.6250352775719494E-3</v>
      </c>
      <c r="J1175" s="37">
        <f t="shared" si="373"/>
        <v>1.6544799776035121E-2</v>
      </c>
      <c r="K1175" s="37">
        <f t="shared" si="374"/>
        <v>-2.1558923664487505E-4</v>
      </c>
      <c r="L1175" s="90">
        <f t="shared" si="371"/>
        <v>1.2615468195263229E-4</v>
      </c>
      <c r="N1175" t="s">
        <v>467</v>
      </c>
      <c r="O1175" s="174">
        <f>0.25*ATAN(O1173/O1174)</f>
        <v>5.6887058729791891E-6</v>
      </c>
      <c r="Q1175" s="123">
        <v>0.11367182120639314</v>
      </c>
      <c r="R1175" s="90">
        <v>7.2774029861623513E-2</v>
      </c>
    </row>
    <row r="1176" spans="1:18" x14ac:dyDescent="0.25">
      <c r="A1176" s="194">
        <v>4.8487110342918027E-2</v>
      </c>
      <c r="B1176" s="195">
        <v>-1.6313758543520386E-3</v>
      </c>
      <c r="C1176" s="195">
        <v>8.0607807161772391E-2</v>
      </c>
      <c r="D1176" s="196">
        <v>0.99556452335746981</v>
      </c>
      <c r="F1176" s="123">
        <f>INDEX(A1176:D1184,,F1172)</f>
        <v>8.0607807161772391E-2</v>
      </c>
      <c r="G1176" s="90">
        <f>INDEX(A1173:D1181,,G1172)</f>
        <v>0.99556452335746981</v>
      </c>
      <c r="I1176" s="123">
        <f t="shared" si="372"/>
        <v>-0.98465110159255653</v>
      </c>
      <c r="J1176" s="37">
        <f t="shared" si="373"/>
        <v>0.16050054623180154</v>
      </c>
      <c r="K1176" s="37">
        <f t="shared" si="374"/>
        <v>0.94377736652672839</v>
      </c>
      <c r="L1176" s="90">
        <f t="shared" si="371"/>
        <v>-0.15803703965335045</v>
      </c>
      <c r="Q1176" s="123">
        <v>8.0613470634219017E-2</v>
      </c>
      <c r="R1176" s="90">
        <v>0.99556406478725479</v>
      </c>
    </row>
    <row r="1177" spans="1:18" x14ac:dyDescent="0.25">
      <c r="A1177" s="194">
        <v>0.35381953623931334</v>
      </c>
      <c r="B1177" s="195">
        <v>-0.1109408686048144</v>
      </c>
      <c r="C1177" s="195">
        <v>0.88629762946053781</v>
      </c>
      <c r="D1177" s="196">
        <v>0.27745336808414883</v>
      </c>
      <c r="F1177" s="123">
        <f>INDEX(A1177:D1185,,F1172)</f>
        <v>0.88629762946053781</v>
      </c>
      <c r="G1177" s="90">
        <f>INDEX(A1173:D1181,,G1172)</f>
        <v>0.27745336808414883</v>
      </c>
      <c r="I1177" s="123">
        <f t="shared" si="372"/>
        <v>0.70854311652613067</v>
      </c>
      <c r="J1177" s="37">
        <f t="shared" si="373"/>
        <v>0.49181252483764631</v>
      </c>
      <c r="K1177" s="37">
        <f t="shared" si="374"/>
        <v>0.26015378838938152</v>
      </c>
      <c r="L1177" s="90">
        <f t="shared" si="371"/>
        <v>0.34847037909505096</v>
      </c>
      <c r="N1177" s="156">
        <f>COS(O1175)</f>
        <v>0.99999999998381928</v>
      </c>
      <c r="O1177" s="158">
        <f>-N1178</f>
        <v>-5.688705872948507E-6</v>
      </c>
      <c r="Q1177" s="123">
        <v>0.88629920779680127</v>
      </c>
      <c r="R1177" s="90">
        <v>0.27744832619312954</v>
      </c>
    </row>
    <row r="1178" spans="1:18" x14ac:dyDescent="0.25">
      <c r="A1178" s="194">
        <v>-3.1001008787530777E-2</v>
      </c>
      <c r="B1178" s="195">
        <v>2.3081728247091371E-2</v>
      </c>
      <c r="C1178" s="195">
        <v>0.99755725554324692</v>
      </c>
      <c r="D1178" s="196">
        <v>-5.818670972230798E-2</v>
      </c>
      <c r="F1178" s="123">
        <f>INDEX(A1178:D1186,,F1172)</f>
        <v>0.99755725554324692</v>
      </c>
      <c r="G1178" s="90">
        <f>INDEX(A1173:D1181,,G1172)</f>
        <v>-5.818670972230798E-2</v>
      </c>
      <c r="I1178" s="123">
        <f t="shared" si="372"/>
        <v>0.99173478489866662</v>
      </c>
      <c r="J1178" s="37">
        <f t="shared" si="373"/>
        <v>-0.11608914891935422</v>
      </c>
      <c r="K1178" s="37">
        <f t="shared" si="374"/>
        <v>0.97006119308118455</v>
      </c>
      <c r="L1178" s="90">
        <f t="shared" si="371"/>
        <v>-0.11512964713260504</v>
      </c>
      <c r="N1178" s="91">
        <f>SIN(O1175)</f>
        <v>5.688705872948507E-6</v>
      </c>
      <c r="O1178" s="93">
        <f>N1177</f>
        <v>0.99999999998381928</v>
      </c>
      <c r="Q1178" s="123">
        <v>0.99755692452002842</v>
      </c>
      <c r="R1178" s="90">
        <v>-5.8192384531184686E-2</v>
      </c>
    </row>
    <row r="1179" spans="1:18" x14ac:dyDescent="0.25">
      <c r="A1179" s="194">
        <v>0.96166193021793689</v>
      </c>
      <c r="B1179" s="195">
        <v>-2.2696658936842373E-2</v>
      </c>
      <c r="C1179" s="195">
        <v>0.16743011028514773</v>
      </c>
      <c r="D1179" s="196">
        <v>0.21600544394185867</v>
      </c>
      <c r="F1179" s="123">
        <f>INDEX(A1179:D1187,,F1172)</f>
        <v>0.16743011028514773</v>
      </c>
      <c r="G1179" s="90">
        <f>INDEX(A1173:D1181,,G1172)</f>
        <v>0.21600544394185867</v>
      </c>
      <c r="I1179" s="123">
        <f t="shared" si="372"/>
        <v>-1.8625509982422715E-2</v>
      </c>
      <c r="J1179" s="37">
        <f t="shared" si="373"/>
        <v>7.2331630602755381E-2</v>
      </c>
      <c r="K1179" s="37">
        <f t="shared" si="374"/>
        <v>-4.8849551635481306E-3</v>
      </c>
      <c r="L1179" s="90">
        <f t="shared" si="371"/>
        <v>-1.3472135078365327E-3</v>
      </c>
      <c r="Q1179" s="123">
        <v>0.16743133907387614</v>
      </c>
      <c r="R1179" s="90">
        <v>0.21600449147771186</v>
      </c>
    </row>
    <row r="1180" spans="1:18" x14ac:dyDescent="0.25">
      <c r="A1180" s="194">
        <v>0.67502681303809342</v>
      </c>
      <c r="B1180" s="195">
        <v>-0.22044467362914097</v>
      </c>
      <c r="C1180" s="195">
        <v>0.56884469380038605</v>
      </c>
      <c r="D1180" s="196">
        <v>0.41492006686025856</v>
      </c>
      <c r="F1180" s="123">
        <f>INDEX(A1180:D1188,,F1172)</f>
        <v>0.56884469380038605</v>
      </c>
      <c r="G1180" s="90">
        <f>INDEX(A1173:D1181,,G1172)</f>
        <v>0.41492006686025856</v>
      </c>
      <c r="I1180" s="123">
        <f t="shared" si="372"/>
        <v>0.15142562378153354</v>
      </c>
      <c r="J1180" s="37">
        <f t="shared" si="373"/>
        <v>0.472050156769519</v>
      </c>
      <c r="K1180" s="37">
        <f t="shared" si="374"/>
        <v>-0.19990163096850092</v>
      </c>
      <c r="L1180" s="90">
        <f t="shared" si="371"/>
        <v>7.1480489444995118E-2</v>
      </c>
      <c r="Q1180" s="123">
        <v>0.56884705414940284</v>
      </c>
      <c r="R1180" s="90">
        <v>0.41491683086339448</v>
      </c>
    </row>
    <row r="1181" spans="1:18" x14ac:dyDescent="0.25">
      <c r="A1181" s="200">
        <v>6.9748216430717783E-2</v>
      </c>
      <c r="B1181" s="201">
        <v>-0.92645540954259487</v>
      </c>
      <c r="C1181" s="201">
        <v>-0.20287978374641086</v>
      </c>
      <c r="D1181" s="202">
        <v>0.3092819971821924</v>
      </c>
      <c r="F1181" s="91">
        <f>INDEX(A1181:D1189,,F1172)</f>
        <v>-0.20287978374641086</v>
      </c>
      <c r="G1181" s="93">
        <f>INDEX(A1173:D1181,,G1172)</f>
        <v>0.3092819971821924</v>
      </c>
      <c r="I1181" s="91">
        <f t="shared" si="372"/>
        <v>-5.4495147128015238E-2</v>
      </c>
      <c r="J1181" s="92">
        <f t="shared" si="373"/>
        <v>-0.12549412940996249</v>
      </c>
      <c r="K1181" s="92">
        <f t="shared" si="374"/>
        <v>-1.2779055455860385E-2</v>
      </c>
      <c r="L1181" s="93">
        <f t="shared" si="371"/>
        <v>6.8388210458980902E-3</v>
      </c>
      <c r="Q1181" s="91">
        <v>-0.20287802432881435</v>
      </c>
      <c r="R1181" s="93">
        <v>0.3092831513006053</v>
      </c>
    </row>
    <row r="1182" spans="1:18" x14ac:dyDescent="0.25">
      <c r="I1182">
        <f>SUM(I1173:I1181)</f>
        <v>0.84470824239261699</v>
      </c>
      <c r="J1182">
        <f>SUM(J1173:J1181)</f>
        <v>0.77384864000747755</v>
      </c>
      <c r="K1182">
        <f>SUM(K1173:K1181)</f>
        <v>1.9198737953151184</v>
      </c>
      <c r="L1182">
        <f>SUM(L1173:L1181)</f>
        <v>0.14530480187821324</v>
      </c>
    </row>
    <row r="1183" spans="1:18" x14ac:dyDescent="0.25">
      <c r="A1183" s="47" t="s">
        <v>53</v>
      </c>
      <c r="B1183">
        <f>COUNT(A1173:A1181)</f>
        <v>9</v>
      </c>
      <c r="I1183" s="47" t="s">
        <v>462</v>
      </c>
      <c r="J1183" s="47" t="s">
        <v>389</v>
      </c>
      <c r="K1183" s="47" t="s">
        <v>469</v>
      </c>
      <c r="L1183" s="47" t="s">
        <v>470</v>
      </c>
      <c r="N1183" s="47"/>
    </row>
    <row r="1185" spans="1:18" x14ac:dyDescent="0.25">
      <c r="A1185">
        <v>1</v>
      </c>
      <c r="B1185">
        <v>2</v>
      </c>
      <c r="C1185">
        <v>3</v>
      </c>
      <c r="D1185">
        <v>4</v>
      </c>
      <c r="F1185">
        <v>1</v>
      </c>
      <c r="G1185">
        <v>2</v>
      </c>
      <c r="I1185" s="47" t="s">
        <v>207</v>
      </c>
      <c r="J1185" s="47" t="s">
        <v>464</v>
      </c>
      <c r="K1185" s="47" t="s">
        <v>465</v>
      </c>
      <c r="L1185" s="47" t="s">
        <v>466</v>
      </c>
      <c r="Q1185">
        <f>F1185</f>
        <v>1</v>
      </c>
      <c r="R1185">
        <f>G1185</f>
        <v>2</v>
      </c>
    </row>
    <row r="1186" spans="1:18" x14ac:dyDescent="0.25">
      <c r="A1186" s="189">
        <f t="array" ref="A1186:A1194">IF(A1185=$Q1172,$Q1173:$Q1181,IF(A1185=$R1172,$R1173:$R1181,A1173:A1181))</f>
        <v>0.11049493381598985</v>
      </c>
      <c r="B1186" s="190">
        <f t="array" ref="B1186:B1194">IF(B1185=$Q1172,$Q1173:$Q1181,IF(B1185=$R1172,$R1173:$R1181,B1173:B1181))</f>
        <v>0.88895903950580413</v>
      </c>
      <c r="C1186" s="190">
        <f t="array" ref="C1186:C1194">IF(C1185=$Q1172,$Q1173:$Q1181,IF(C1185=$R1172,$R1173:$R1181,C1173:C1181))</f>
        <v>-0.3420292319749097</v>
      </c>
      <c r="D1186" s="191">
        <f t="array" ref="D1186:D1194">IF(D1185=$Q1172,$Q1173:$Q1181,IF(D1185=$R1172,$R1173:$R1181,D1173:D1181))</f>
        <v>0.28382864576460953</v>
      </c>
      <c r="F1186" s="156">
        <f>INDEX(A1186:D1194,,F1185)</f>
        <v>0.11049493381598985</v>
      </c>
      <c r="G1186" s="158">
        <f>INDEX(A1186:D1194,,G1185)</f>
        <v>0.88895903950580413</v>
      </c>
      <c r="I1186" s="156">
        <f>F1186^2-G1186^2</f>
        <v>-0.77803904352008191</v>
      </c>
      <c r="J1186" s="157">
        <f>2*F1186*G1186</f>
        <v>0.19645094047063946</v>
      </c>
      <c r="K1186" s="157">
        <f>I1186^2-J1186^2</f>
        <v>0.56675178122984526</v>
      </c>
      <c r="L1186" s="158">
        <f t="shared" ref="L1186:L1194" si="375">I1186*J1186</f>
        <v>-0.15284650182239687</v>
      </c>
      <c r="N1186" t="s">
        <v>390</v>
      </c>
      <c r="O1186" s="172">
        <f>L1195*B1196-2*I1195*J1195</f>
        <v>1.1544497742601578E-3</v>
      </c>
      <c r="Q1186" s="156">
        <f t="array" ref="Q1186:R1194">MMULT(F1186:G1194,N1190:O1191)</f>
        <v>0.11050765705262855</v>
      </c>
      <c r="R1186" s="158">
        <v>0.88895745795331527</v>
      </c>
    </row>
    <row r="1187" spans="1:18" x14ac:dyDescent="0.25">
      <c r="A1187" s="194">
        <v>0.79368957730547463</v>
      </c>
      <c r="B1187" s="195">
        <v>-0.6020006600658101</v>
      </c>
      <c r="C1187" s="195">
        <v>8.4781940462058183E-2</v>
      </c>
      <c r="D1187" s="196">
        <v>-2.154257942943727E-2</v>
      </c>
      <c r="F1187" s="123">
        <f>INDEX(A1187:D1195,,F1185)</f>
        <v>0.79368957730547463</v>
      </c>
      <c r="G1187" s="90">
        <f>INDEX(A1186:D1194,,G1185)</f>
        <v>-0.6020006600658101</v>
      </c>
      <c r="I1187" s="123">
        <f t="shared" ref="I1187:I1194" si="376">F1187^2-G1187^2</f>
        <v>0.26753835040367185</v>
      </c>
      <c r="J1187" s="37">
        <f t="shared" ref="J1187:J1194" si="377">2*F1187*G1187</f>
        <v>-0.95560329885049911</v>
      </c>
      <c r="K1187" s="37">
        <f t="shared" ref="K1187:K1194" si="378">I1187^2-J1187^2</f>
        <v>-0.84160089583723841</v>
      </c>
      <c r="L1187" s="90">
        <f t="shared" si="375"/>
        <v>-0.25566053021476959</v>
      </c>
      <c r="N1187" t="s">
        <v>392</v>
      </c>
      <c r="O1187" s="173">
        <f>K1195*B1196-(I1195^2-J1195^2)</f>
        <v>20.165027139156592</v>
      </c>
      <c r="Q1187" s="123">
        <v>0.79368096107503716</v>
      </c>
      <c r="R1187" s="90">
        <v>-0.60201201970560303</v>
      </c>
    </row>
    <row r="1188" spans="1:18" x14ac:dyDescent="0.25">
      <c r="A1188" s="194">
        <v>0.98390944155990445</v>
      </c>
      <c r="B1188" s="195">
        <v>0.11706779425016281</v>
      </c>
      <c r="C1188" s="195">
        <v>0.11367182120639314</v>
      </c>
      <c r="D1188" s="196">
        <v>7.2774029861623513E-2</v>
      </c>
      <c r="F1188" s="123">
        <f>INDEX(A1188:D1196,,F1185)</f>
        <v>0.98390944155990445</v>
      </c>
      <c r="G1188" s="90">
        <f>INDEX(A1186:D1194,,G1185)</f>
        <v>0.11706779425016281</v>
      </c>
      <c r="I1188" s="123">
        <f t="shared" si="376"/>
        <v>0.95437292074012459</v>
      </c>
      <c r="J1188" s="37">
        <f t="shared" si="377"/>
        <v>0.23036821613065497</v>
      </c>
      <c r="K1188" s="37">
        <f t="shared" si="378"/>
        <v>0.85775815683881595</v>
      </c>
      <c r="L1188" s="90">
        <f t="shared" si="375"/>
        <v>0.21985718727430548</v>
      </c>
      <c r="N1188" t="s">
        <v>467</v>
      </c>
      <c r="O1188" s="174">
        <f>0.25*ATAN(O1186/O1187)</f>
        <v>1.4312524414573864E-5</v>
      </c>
      <c r="Q1188" s="123">
        <v>0.98391111699479161</v>
      </c>
      <c r="R1188" s="90">
        <v>0.11705371201026867</v>
      </c>
    </row>
    <row r="1189" spans="1:18" x14ac:dyDescent="0.25">
      <c r="A1189" s="194">
        <v>4.8487110342918027E-2</v>
      </c>
      <c r="B1189" s="195">
        <v>-1.6313758543520386E-3</v>
      </c>
      <c r="C1189" s="195">
        <v>8.0613470634219017E-2</v>
      </c>
      <c r="D1189" s="196">
        <v>0.99556406478725479</v>
      </c>
      <c r="F1189" s="123">
        <f>INDEX(A1189:D1197,,F1185)</f>
        <v>4.8487110342918027E-2</v>
      </c>
      <c r="G1189" s="90">
        <f>INDEX(A1186:D1194,,G1185)</f>
        <v>-1.6313758543520386E-3</v>
      </c>
      <c r="I1189" s="123">
        <f t="shared" si="376"/>
        <v>2.3483384822281456E-3</v>
      </c>
      <c r="J1189" s="37">
        <f t="shared" si="377"/>
        <v>-1.5820140212147892E-4</v>
      </c>
      <c r="K1189" s="37">
        <f t="shared" si="378"/>
        <v>5.4896659434803888E-6</v>
      </c>
      <c r="L1189" s="90">
        <f t="shared" si="375"/>
        <v>-3.7151044054431833E-7</v>
      </c>
      <c r="Q1189" s="123">
        <v>4.8487086988845032E-2</v>
      </c>
      <c r="R1189" s="90">
        <v>-1.6320698271354978E-3</v>
      </c>
    </row>
    <row r="1190" spans="1:18" x14ac:dyDescent="0.25">
      <c r="A1190" s="194">
        <v>0.35381953623931334</v>
      </c>
      <c r="B1190" s="195">
        <v>-0.1109408686048144</v>
      </c>
      <c r="C1190" s="195">
        <v>0.88629920779680127</v>
      </c>
      <c r="D1190" s="196">
        <v>0.27744832619312954</v>
      </c>
      <c r="F1190" s="123">
        <f>INDEX(A1190:D1198,,F1185)</f>
        <v>0.35381953623931334</v>
      </c>
      <c r="G1190" s="90">
        <f>INDEX(A1186:D1194,,G1185)</f>
        <v>-0.1109408686048144</v>
      </c>
      <c r="I1190" s="123">
        <f t="shared" si="376"/>
        <v>0.11288038789781207</v>
      </c>
      <c r="J1190" s="37">
        <f t="shared" si="377"/>
        <v>-7.8506093359484053E-2</v>
      </c>
      <c r="K1190" s="37">
        <f t="shared" si="378"/>
        <v>6.578775277392492E-3</v>
      </c>
      <c r="L1190" s="90">
        <f t="shared" si="375"/>
        <v>-8.8617982707604077E-3</v>
      </c>
      <c r="N1190" s="156">
        <f>COS(O1188)</f>
        <v>0.99999999989757582</v>
      </c>
      <c r="O1190" s="158">
        <f>-N1191</f>
        <v>-1.4312524414085214E-5</v>
      </c>
      <c r="Q1190" s="123">
        <v>0.35381794835918323</v>
      </c>
      <c r="R1190" s="90">
        <v>-0.11094593264420199</v>
      </c>
    </row>
    <row r="1191" spans="1:18" x14ac:dyDescent="0.25">
      <c r="A1191" s="194">
        <v>-3.1001008787530777E-2</v>
      </c>
      <c r="B1191" s="195">
        <v>2.3081728247091371E-2</v>
      </c>
      <c r="C1191" s="195">
        <v>0.99755692452002842</v>
      </c>
      <c r="D1191" s="196">
        <v>-5.8192384531184686E-2</v>
      </c>
      <c r="F1191" s="123">
        <f>INDEX(A1191:D1199,,F1185)</f>
        <v>-3.1001008787530777E-2</v>
      </c>
      <c r="G1191" s="90">
        <f>INDEX(A1186:D1194,,G1185)</f>
        <v>2.3081728247091371E-2</v>
      </c>
      <c r="I1191" s="123">
        <f t="shared" si="376"/>
        <v>4.282963669719848E-4</v>
      </c>
      <c r="J1191" s="37">
        <f t="shared" si="377"/>
        <v>-1.4311137204389539E-3</v>
      </c>
      <c r="K1191" s="37">
        <f t="shared" si="378"/>
        <v>-1.864648702867223E-6</v>
      </c>
      <c r="L1191" s="90">
        <f t="shared" si="375"/>
        <v>-6.1294080718776465E-7</v>
      </c>
      <c r="N1191" s="91">
        <f>SIN(O1188)</f>
        <v>1.4312524414085214E-5</v>
      </c>
      <c r="O1191" s="93">
        <f>N1190</f>
        <v>0.99999999989757582</v>
      </c>
      <c r="Q1191" s="123">
        <v>-3.1000678426556471E-2</v>
      </c>
      <c r="R1191" s="90">
        <v>2.3082171947422379E-2</v>
      </c>
    </row>
    <row r="1192" spans="1:18" x14ac:dyDescent="0.25">
      <c r="A1192" s="194">
        <v>0.96166193021793689</v>
      </c>
      <c r="B1192" s="195">
        <v>-2.2696658936842373E-2</v>
      </c>
      <c r="C1192" s="195">
        <v>0.16743133907387614</v>
      </c>
      <c r="D1192" s="196">
        <v>0.21600449147771186</v>
      </c>
      <c r="F1192" s="123">
        <f>INDEX(A1192:D1200,,F1185)</f>
        <v>0.96166193021793689</v>
      </c>
      <c r="G1192" s="90">
        <f>INDEX(A1186:D1194,,G1185)</f>
        <v>-2.2696658936842373E-2</v>
      </c>
      <c r="I1192" s="123">
        <f t="shared" si="376"/>
        <v>0.92427852970359281</v>
      </c>
      <c r="J1192" s="37">
        <f t="shared" si="377"/>
        <v>-4.3653025685404044E-2</v>
      </c>
      <c r="K1192" s="37">
        <f t="shared" si="378"/>
        <v>0.8523852138195448</v>
      </c>
      <c r="L1192" s="90">
        <f t="shared" si="375"/>
        <v>-4.0347554397618425E-2</v>
      </c>
      <c r="Q1192" s="123">
        <v>0.9616616052729543</v>
      </c>
      <c r="R1192" s="90">
        <v>-2.2710422744372027E-2</v>
      </c>
    </row>
    <row r="1193" spans="1:18" x14ac:dyDescent="0.25">
      <c r="A1193" s="194">
        <v>0.67502681303809342</v>
      </c>
      <c r="B1193" s="195">
        <v>-0.22044467362914097</v>
      </c>
      <c r="C1193" s="195">
        <v>0.56884705414940284</v>
      </c>
      <c r="D1193" s="196">
        <v>0.41491683086339448</v>
      </c>
      <c r="F1193" s="123">
        <f>INDEX(A1193:D1201,,F1185)</f>
        <v>0.67502681303809342</v>
      </c>
      <c r="G1193" s="90">
        <f>INDEX(A1186:D1194,,G1185)</f>
        <v>-0.22044467362914097</v>
      </c>
      <c r="I1193" s="123">
        <f t="shared" si="376"/>
        <v>0.40706534418890661</v>
      </c>
      <c r="J1193" s="37">
        <f t="shared" si="377"/>
        <v>-0.29761213098220335</v>
      </c>
      <c r="K1193" s="37">
        <f t="shared" si="378"/>
        <v>7.7129213931864837E-2</v>
      </c>
      <c r="L1193" s="90">
        <f t="shared" si="375"/>
        <v>-0.12114758453306457</v>
      </c>
      <c r="Q1193" s="123">
        <v>0.67502365784918117</v>
      </c>
      <c r="R1193" s="90">
        <v>-0.22045433494430389</v>
      </c>
    </row>
    <row r="1194" spans="1:18" x14ac:dyDescent="0.25">
      <c r="A1194" s="200">
        <v>6.9748216430717783E-2</v>
      </c>
      <c r="B1194" s="201">
        <v>-0.92645540954259487</v>
      </c>
      <c r="C1194" s="201">
        <v>-0.20287802432881435</v>
      </c>
      <c r="D1194" s="202">
        <v>0.3092831513006053</v>
      </c>
      <c r="F1194" s="91">
        <f>INDEX(A1194:D1202,,F1185)</f>
        <v>6.9748216430717783E-2</v>
      </c>
      <c r="G1194" s="93">
        <f>INDEX(A1186:D1194,,G1185)</f>
        <v>-0.92645540954259487</v>
      </c>
      <c r="I1194" s="91">
        <f t="shared" si="376"/>
        <v>-0.85345481217547092</v>
      </c>
      <c r="J1194" s="92">
        <f t="shared" si="377"/>
        <v>-0.12923722483637237</v>
      </c>
      <c r="K1194" s="92">
        <f t="shared" si="378"/>
        <v>0.71168285614206128</v>
      </c>
      <c r="L1194" s="93">
        <f t="shared" si="375"/>
        <v>0.11029813144880529</v>
      </c>
      <c r="Q1194" s="91">
        <v>6.9734956507906232E-2</v>
      </c>
      <c r="R1194" s="93">
        <v>-0.92645640772075399</v>
      </c>
    </row>
    <row r="1195" spans="1:18" x14ac:dyDescent="0.25">
      <c r="I1195">
        <f>SUM(I1186:I1194)</f>
        <v>1.0374183120877549</v>
      </c>
      <c r="J1195">
        <f>SUM(J1186:J1194)</f>
        <v>-1.0793819322352289</v>
      </c>
      <c r="K1195">
        <f>SUM(K1186:K1194)</f>
        <v>2.230688726419527</v>
      </c>
      <c r="L1195">
        <f>SUM(L1186:L1194)</f>
        <v>-0.24870963496674681</v>
      </c>
    </row>
    <row r="1196" spans="1:18" x14ac:dyDescent="0.25">
      <c r="A1196" s="47" t="s">
        <v>53</v>
      </c>
      <c r="B1196">
        <f>COUNT(A1186:A1194)</f>
        <v>9</v>
      </c>
      <c r="I1196" s="47" t="s">
        <v>462</v>
      </c>
      <c r="J1196" s="47" t="s">
        <v>389</v>
      </c>
      <c r="K1196" s="47" t="s">
        <v>469</v>
      </c>
      <c r="L1196" s="47" t="s">
        <v>470</v>
      </c>
      <c r="N1196" s="47"/>
    </row>
    <row r="1198" spans="1:18" x14ac:dyDescent="0.25">
      <c r="A1198">
        <v>1</v>
      </c>
      <c r="B1198">
        <v>2</v>
      </c>
      <c r="C1198">
        <v>3</v>
      </c>
      <c r="D1198">
        <v>4</v>
      </c>
      <c r="F1198">
        <v>1</v>
      </c>
      <c r="G1198">
        <v>3</v>
      </c>
      <c r="I1198" s="47" t="s">
        <v>207</v>
      </c>
      <c r="J1198" s="47" t="s">
        <v>464</v>
      </c>
      <c r="K1198" s="47" t="s">
        <v>465</v>
      </c>
      <c r="L1198" s="47" t="s">
        <v>466</v>
      </c>
      <c r="Q1198">
        <f>F1198</f>
        <v>1</v>
      </c>
      <c r="R1198">
        <f>G1198</f>
        <v>3</v>
      </c>
    </row>
    <row r="1199" spans="1:18" x14ac:dyDescent="0.25">
      <c r="A1199" s="189">
        <f t="array" ref="A1199:A1207">IF(A1198=$Q1185,$Q1186:$Q1194,IF(A1198=$R1185,$R1186:$R1194,A1186:A1194))</f>
        <v>0.11050765705262855</v>
      </c>
      <c r="B1199" s="190">
        <f t="array" ref="B1199:B1207">IF(B1198=$Q1185,$Q1186:$Q1194,IF(B1198=$R1185,$R1186:$R1194,B1186:B1194))</f>
        <v>0.88895745795331527</v>
      </c>
      <c r="C1199" s="190">
        <f t="array" ref="C1199:C1207">IF(C1198=$Q1185,$Q1186:$Q1194,IF(C1198=$R1185,$R1186:$R1194,C1186:C1194))</f>
        <v>-0.3420292319749097</v>
      </c>
      <c r="D1199" s="191">
        <f t="array" ref="D1199:D1207">IF(D1198=$Q1185,$Q1186:$Q1194,IF(D1198=$R1185,$R1186:$R1194,D1186:D1194))</f>
        <v>0.28382864576460953</v>
      </c>
      <c r="F1199" s="156">
        <f>INDEX(A1199:D1207,,F1198)</f>
        <v>0.11050765705262855</v>
      </c>
      <c r="G1199" s="158">
        <f>INDEX(A1199:D1207,,G1198)</f>
        <v>-0.3420292319749097</v>
      </c>
      <c r="I1199" s="156">
        <f>F1199^2-G1199^2</f>
        <v>-0.10477205325808522</v>
      </c>
      <c r="J1199" s="157">
        <f>2*F1199*G1199</f>
        <v>-7.5593698138114507E-2</v>
      </c>
      <c r="K1199" s="157">
        <f>I1199^2-J1199^2</f>
        <v>5.26277594571867E-3</v>
      </c>
      <c r="L1199" s="158">
        <f t="shared" ref="L1199:L1207" si="379">I1199*J1199</f>
        <v>7.9201069673021512E-3</v>
      </c>
      <c r="N1199" t="s">
        <v>390</v>
      </c>
      <c r="O1199" s="172">
        <f>L1208*B1209-2*I1208*J1208</f>
        <v>3.6484447604401282E-4</v>
      </c>
      <c r="Q1199" s="156">
        <f t="array" ref="Q1199:R1207">MMULT(F1199:G1207,N1203:O1204)</f>
        <v>0.1105063869973706</v>
      </c>
      <c r="R1199" s="158">
        <v>-0.34202964231977806</v>
      </c>
    </row>
    <row r="1200" spans="1:18" x14ac:dyDescent="0.25">
      <c r="A1200" s="194">
        <v>0.79368096107503716</v>
      </c>
      <c r="B1200" s="195">
        <v>-0.60201201970560303</v>
      </c>
      <c r="C1200" s="195">
        <v>8.4781940462058183E-2</v>
      </c>
      <c r="D1200" s="196">
        <v>-2.154257942943727E-2</v>
      </c>
      <c r="F1200" s="123">
        <f>INDEX(A1200:D1208,,F1198)</f>
        <v>0.79368096107503716</v>
      </c>
      <c r="G1200" s="90">
        <f>INDEX(A1199:D1207,,G1198)</f>
        <v>8.4781940462058183E-2</v>
      </c>
      <c r="I1200" s="123">
        <f t="shared" ref="I1200:I1207" si="380">F1200^2-G1200^2</f>
        <v>0.62274149054448269</v>
      </c>
      <c r="J1200" s="37">
        <f t="shared" ref="J1200:J1207" si="381">2*F1200*G1200</f>
        <v>0.13457962397546583</v>
      </c>
      <c r="K1200" s="37">
        <f t="shared" ref="K1200:K1207" si="382">I1200^2-J1200^2</f>
        <v>0.36969528885618624</v>
      </c>
      <c r="L1200" s="90">
        <f t="shared" si="379"/>
        <v>8.3808315631397595E-2</v>
      </c>
      <c r="N1200" t="s">
        <v>392</v>
      </c>
      <c r="O1200" s="173">
        <f>K1208*B1209-(I1208^2-J1208^2)</f>
        <v>24.563409740752974</v>
      </c>
      <c r="Q1200" s="123">
        <v>0.79368127588968773</v>
      </c>
      <c r="R1200" s="90">
        <v>8.4778993292112581E-2</v>
      </c>
    </row>
    <row r="1201" spans="1:18" x14ac:dyDescent="0.25">
      <c r="A1201" s="194">
        <v>0.98391111699479161</v>
      </c>
      <c r="B1201" s="195">
        <v>0.11705371201026867</v>
      </c>
      <c r="C1201" s="195">
        <v>0.11367182120639314</v>
      </c>
      <c r="D1201" s="196">
        <v>7.2774029861623513E-2</v>
      </c>
      <c r="F1201" s="123">
        <f>INDEX(A1201:D1209,,F1198)</f>
        <v>0.98391111699479161</v>
      </c>
      <c r="G1201" s="90">
        <f>INDEX(A1199:D1207,,G1198)</f>
        <v>0.11367182120639314</v>
      </c>
      <c r="I1201" s="123">
        <f t="shared" si="380"/>
        <v>0.95515980320956029</v>
      </c>
      <c r="J1201" s="37">
        <f t="shared" si="381"/>
        <v>0.22368593714802903</v>
      </c>
      <c r="K1201" s="37">
        <f t="shared" si="382"/>
        <v>0.86229485118953386</v>
      </c>
      <c r="L1201" s="90">
        <f t="shared" si="379"/>
        <v>0.21365581570705749</v>
      </c>
      <c r="N1201" t="s">
        <v>467</v>
      </c>
      <c r="O1201" s="174">
        <f>0.25*ATAN(O1199/O1200)</f>
        <v>3.7132922492013781E-6</v>
      </c>
      <c r="Q1201" s="123">
        <v>0.98391153908470086</v>
      </c>
      <c r="R1201" s="90">
        <v>0.11366816765608484</v>
      </c>
    </row>
    <row r="1202" spans="1:18" x14ac:dyDescent="0.25">
      <c r="A1202" s="194">
        <v>4.8487086988845032E-2</v>
      </c>
      <c r="B1202" s="195">
        <v>-1.6320698271354978E-3</v>
      </c>
      <c r="C1202" s="195">
        <v>8.0613470634219017E-2</v>
      </c>
      <c r="D1202" s="196">
        <v>0.99556406478725479</v>
      </c>
      <c r="F1202" s="123">
        <f>INDEX(A1202:D1210,,F1198)</f>
        <v>4.8487086988845032E-2</v>
      </c>
      <c r="G1202" s="90">
        <f>INDEX(A1199:D1207,,G1198)</f>
        <v>8.0613470634219017E-2</v>
      </c>
      <c r="I1202" s="123">
        <f t="shared" si="380"/>
        <v>-4.1475340430302664E-3</v>
      </c>
      <c r="J1202" s="37">
        <f t="shared" si="381"/>
        <v>7.8174247262281643E-3</v>
      </c>
      <c r="K1202" s="37">
        <f t="shared" si="382"/>
        <v>-4.3910090712148504E-5</v>
      </c>
      <c r="L1202" s="90">
        <f t="shared" si="379"/>
        <v>-3.2423035180857872E-5</v>
      </c>
      <c r="Q1202" s="123">
        <v>4.8487386329886438E-2</v>
      </c>
      <c r="R1202" s="90">
        <v>8.0613290586938946E-2</v>
      </c>
    </row>
    <row r="1203" spans="1:18" x14ac:dyDescent="0.25">
      <c r="A1203" s="194">
        <v>0.35381794835918323</v>
      </c>
      <c r="B1203" s="195">
        <v>-0.11094593264420199</v>
      </c>
      <c r="C1203" s="195">
        <v>0.88629920779680127</v>
      </c>
      <c r="D1203" s="196">
        <v>0.27744832619312954</v>
      </c>
      <c r="F1203" s="123">
        <f>INDEX(A1203:D1211,,F1198)</f>
        <v>0.35381794835918323</v>
      </c>
      <c r="G1203" s="90">
        <f>INDEX(A1199:D1207,,G1198)</f>
        <v>0.88629920779680127</v>
      </c>
      <c r="I1203" s="123">
        <f t="shared" si="380"/>
        <v>-0.66033914516013592</v>
      </c>
      <c r="J1203" s="37">
        <f t="shared" si="381"/>
        <v>0.6271771346700673</v>
      </c>
      <c r="K1203" s="37">
        <f t="shared" si="382"/>
        <v>4.269662837786331E-2</v>
      </c>
      <c r="L1203" s="90">
        <f t="shared" si="379"/>
        <v>-0.41414961297201569</v>
      </c>
      <c r="N1203" s="156">
        <f>COS(O1201)</f>
        <v>0.99999999999310574</v>
      </c>
      <c r="O1203" s="158">
        <f>-N1204</f>
        <v>-3.7132922491928447E-6</v>
      </c>
      <c r="Q1203" s="123">
        <v>0.35382123944472266</v>
      </c>
      <c r="R1203" s="90">
        <v>0.8862978939612457</v>
      </c>
    </row>
    <row r="1204" spans="1:18" x14ac:dyDescent="0.25">
      <c r="A1204" s="194">
        <v>-3.1000678426556471E-2</v>
      </c>
      <c r="B1204" s="195">
        <v>2.3082171947422379E-2</v>
      </c>
      <c r="C1204" s="195">
        <v>0.99755692452002842</v>
      </c>
      <c r="D1204" s="196">
        <v>-5.8192384531184686E-2</v>
      </c>
      <c r="F1204" s="123">
        <f>INDEX(A1204:D1212,,F1198)</f>
        <v>-3.1000678426556471E-2</v>
      </c>
      <c r="G1204" s="90">
        <f>INDEX(A1199:D1207,,G1198)</f>
        <v>0.99755692452002842</v>
      </c>
      <c r="I1204" s="123">
        <f t="shared" si="380"/>
        <v>-0.99415877559495092</v>
      </c>
      <c r="J1204" s="37">
        <f t="shared" si="381"/>
        <v>-6.1849882858460131E-2</v>
      </c>
      <c r="K1204" s="37">
        <f t="shared" si="382"/>
        <v>0.98452626308284663</v>
      </c>
      <c r="L1204" s="90">
        <f t="shared" si="379"/>
        <v>6.1488603813257867E-2</v>
      </c>
      <c r="N1204" s="91">
        <f>SIN(O1201)</f>
        <v>3.7132922491928447E-6</v>
      </c>
      <c r="O1204" s="93">
        <f>N1203</f>
        <v>0.99999999999310574</v>
      </c>
      <c r="Q1204" s="123">
        <v>-3.0996974205946794E-2</v>
      </c>
      <c r="R1204" s="90">
        <v>0.9975570396277299</v>
      </c>
    </row>
    <row r="1205" spans="1:18" x14ac:dyDescent="0.25">
      <c r="A1205" s="194">
        <v>0.9616616052729543</v>
      </c>
      <c r="B1205" s="195">
        <v>-2.2710422744372027E-2</v>
      </c>
      <c r="C1205" s="195">
        <v>0.16743133907387614</v>
      </c>
      <c r="D1205" s="196">
        <v>0.21600449147771186</v>
      </c>
      <c r="F1205" s="123">
        <f>INDEX(A1205:D1213,,F1198)</f>
        <v>0.9616616052729543</v>
      </c>
      <c r="G1205" s="90">
        <f>INDEX(A1199:D1207,,G1198)</f>
        <v>0.16743133907387614</v>
      </c>
      <c r="I1205" s="123">
        <f t="shared" si="380"/>
        <v>0.89675978975208415</v>
      </c>
      <c r="J1205" s="37">
        <f t="shared" si="381"/>
        <v>0.32202458061356809</v>
      </c>
      <c r="K1205" s="37">
        <f t="shared" si="382"/>
        <v>0.70047828999685779</v>
      </c>
      <c r="L1205" s="90">
        <f t="shared" si="379"/>
        <v>0.28877869520602639</v>
      </c>
      <c r="Q1205" s="123">
        <v>0.961662226987818</v>
      </c>
      <c r="R1205" s="90">
        <v>0.16742776814213661</v>
      </c>
    </row>
    <row r="1206" spans="1:18" x14ac:dyDescent="0.25">
      <c r="A1206" s="194">
        <v>0.67502365784918117</v>
      </c>
      <c r="B1206" s="195">
        <v>-0.22045433494430389</v>
      </c>
      <c r="C1206" s="195">
        <v>0.56884705414940284</v>
      </c>
      <c r="D1206" s="196">
        <v>0.41491683086339448</v>
      </c>
      <c r="F1206" s="123">
        <f>INDEX(A1206:D1214,,F1198)</f>
        <v>0.67502365784918117</v>
      </c>
      <c r="G1206" s="90">
        <f>INDEX(A1199:D1207,,G1198)</f>
        <v>0.56884705414940284</v>
      </c>
      <c r="I1206" s="123">
        <f t="shared" si="380"/>
        <v>0.13206996764163476</v>
      </c>
      <c r="J1206" s="37">
        <f t="shared" si="381"/>
        <v>0.76797043849732227</v>
      </c>
      <c r="K1206" s="37">
        <f t="shared" si="382"/>
        <v>-0.57233611805290696</v>
      </c>
      <c r="L1206" s="90">
        <f t="shared" si="379"/>
        <v>0.1014258309620734</v>
      </c>
      <c r="Q1206" s="123">
        <v>0.67502577013988452</v>
      </c>
      <c r="R1206" s="90">
        <v>0.5688445475853644</v>
      </c>
    </row>
    <row r="1207" spans="1:18" x14ac:dyDescent="0.25">
      <c r="A1207" s="200">
        <v>6.9734956507906232E-2</v>
      </c>
      <c r="B1207" s="201">
        <v>-0.92645640772075399</v>
      </c>
      <c r="C1207" s="201">
        <v>-0.20287802432881435</v>
      </c>
      <c r="D1207" s="202">
        <v>0.3092831513006053</v>
      </c>
      <c r="F1207" s="91">
        <f>INDEX(A1207:D1215,,F1198)</f>
        <v>6.9734956507906232E-2</v>
      </c>
      <c r="G1207" s="93">
        <f>INDEX(A1199:D1207,,G1198)</f>
        <v>-0.20287802432881435</v>
      </c>
      <c r="I1207" s="91">
        <f t="shared" si="380"/>
        <v>-3.6296528596403414E-2</v>
      </c>
      <c r="J1207" s="92">
        <f t="shared" si="381"/>
        <v>-2.8295380405959622E-2</v>
      </c>
      <c r="K1207" s="92">
        <f t="shared" si="382"/>
        <v>5.1680943583156714E-4</v>
      </c>
      <c r="L1207" s="93">
        <f t="shared" si="379"/>
        <v>1.0270240840510262E-3</v>
      </c>
      <c r="Q1207" s="91">
        <v>6.9734203162030189E-2</v>
      </c>
      <c r="R1207" s="93">
        <v>-0.20287828327368918</v>
      </c>
    </row>
    <row r="1208" spans="1:18" x14ac:dyDescent="0.25">
      <c r="I1208">
        <f>SUM(I1199:I1207)</f>
        <v>0.80701701449515606</v>
      </c>
      <c r="J1208">
        <f>SUM(J1199:J1207)</f>
        <v>1.9175161782281465</v>
      </c>
      <c r="K1208">
        <f>SUM(K1199:K1207)</f>
        <v>2.3930908787412193</v>
      </c>
      <c r="L1208">
        <f>SUM(L1199:L1207)</f>
        <v>0.34392235636396939</v>
      </c>
    </row>
    <row r="1209" spans="1:18" x14ac:dyDescent="0.25">
      <c r="A1209" s="47" t="s">
        <v>53</v>
      </c>
      <c r="B1209">
        <f>COUNT(A1199:A1207)</f>
        <v>9</v>
      </c>
      <c r="I1209" s="47" t="s">
        <v>462</v>
      </c>
      <c r="J1209" s="47" t="s">
        <v>389</v>
      </c>
      <c r="K1209" s="47" t="s">
        <v>469</v>
      </c>
      <c r="L1209" s="47" t="s">
        <v>470</v>
      </c>
      <c r="N1209" s="47"/>
    </row>
    <row r="1211" spans="1:18" x14ac:dyDescent="0.25">
      <c r="A1211">
        <v>1</v>
      </c>
      <c r="B1211">
        <v>2</v>
      </c>
      <c r="C1211">
        <v>3</v>
      </c>
      <c r="D1211">
        <v>4</v>
      </c>
      <c r="F1211">
        <v>1</v>
      </c>
      <c r="G1211">
        <v>4</v>
      </c>
      <c r="I1211" s="47" t="s">
        <v>207</v>
      </c>
      <c r="J1211" s="47" t="s">
        <v>464</v>
      </c>
      <c r="K1211" s="47" t="s">
        <v>465</v>
      </c>
      <c r="L1211" s="47" t="s">
        <v>466</v>
      </c>
      <c r="Q1211">
        <f>F1211</f>
        <v>1</v>
      </c>
      <c r="R1211">
        <f>G1211</f>
        <v>4</v>
      </c>
    </row>
    <row r="1212" spans="1:18" x14ac:dyDescent="0.25">
      <c r="A1212" s="189">
        <f t="array" ref="A1212:A1220">IF(A1211=$Q1198,$Q1199:$Q1207,IF(A1211=$R1198,$R1199:$R1207,A1199:A1207))</f>
        <v>0.1105063869973706</v>
      </c>
      <c r="B1212" s="190">
        <f t="array" ref="B1212:B1220">IF(B1211=$Q1198,$Q1199:$Q1207,IF(B1211=$R1198,$R1199:$R1207,B1199:B1207))</f>
        <v>0.88895745795331527</v>
      </c>
      <c r="C1212" s="190">
        <f t="array" ref="C1212:C1220">IF(C1211=$Q1198,$Q1199:$Q1207,IF(C1211=$R1198,$R1199:$R1207,C1199:C1207))</f>
        <v>-0.34202964231977806</v>
      </c>
      <c r="D1212" s="191">
        <f t="array" ref="D1212:D1220">IF(D1211=$Q1198,$Q1199:$Q1207,IF(D1211=$R1198,$R1199:$R1207,D1199:D1207))</f>
        <v>0.28382864576460953</v>
      </c>
      <c r="F1212" s="156">
        <f>INDEX(A1212:D1220,,F1211)</f>
        <v>0.1105063869973706</v>
      </c>
      <c r="G1212" s="158">
        <f>INDEX(A1212:D1220,,G1211)</f>
        <v>0.28382864576460953</v>
      </c>
      <c r="I1212" s="156">
        <f>F1212^2-G1212^2</f>
        <v>-6.834703858935956E-2</v>
      </c>
      <c r="J1212" s="157">
        <f>2*F1212*G1212</f>
        <v>6.2729756339607104E-2</v>
      </c>
      <c r="K1212" s="157">
        <f>I1212^2-J1212^2</f>
        <v>7.3629535350892752E-4</v>
      </c>
      <c r="L1212" s="158">
        <f t="shared" ref="L1212:L1220" si="383">I1212*J1212</f>
        <v>-4.2873930772442496E-3</v>
      </c>
      <c r="N1212" t="s">
        <v>390</v>
      </c>
      <c r="O1212" s="172">
        <f>L1221*B1222-2*I1221*J1221</f>
        <v>-2.5803554511494298E-4</v>
      </c>
      <c r="Q1212" s="156">
        <f t="array" ref="Q1212:R1220">MMULT(F1212:G1220,N1216:O1217)</f>
        <v>0.11050558871453368</v>
      </c>
      <c r="R1212" s="158">
        <v>0.28382895656828105</v>
      </c>
    </row>
    <row r="1213" spans="1:18" x14ac:dyDescent="0.25">
      <c r="A1213" s="194">
        <v>0.79368127588968773</v>
      </c>
      <c r="B1213" s="195">
        <v>-0.60201201970560303</v>
      </c>
      <c r="C1213" s="195">
        <v>8.4778993292112581E-2</v>
      </c>
      <c r="D1213" s="196">
        <v>-2.154257942943727E-2</v>
      </c>
      <c r="F1213" s="123">
        <f>INDEX(A1213:D1221,,F1211)</f>
        <v>0.79368127588968773</v>
      </c>
      <c r="G1213" s="90">
        <f>INDEX(A1212:D1220,,G1211)</f>
        <v>-2.154257942943727E-2</v>
      </c>
      <c r="I1213" s="123">
        <f t="shared" ref="I1213:I1220" si="384">F1213^2-G1213^2</f>
        <v>0.62946588496940892</v>
      </c>
      <c r="J1213" s="37">
        <f t="shared" ref="J1213:J1220" si="385">2*F1213*G1213</f>
        <v>-3.4195883855021425E-2</v>
      </c>
      <c r="K1213" s="37">
        <f t="shared" ref="K1213:K1220" si="386">I1213^2-J1213^2</f>
        <v>0.39505794186769505</v>
      </c>
      <c r="L1213" s="90">
        <f t="shared" si="383"/>
        <v>-2.1525142293112184E-2</v>
      </c>
      <c r="N1213" t="s">
        <v>392</v>
      </c>
      <c r="O1213" s="173">
        <f>K1221*B1222-(I1221^2-J1221^2)</f>
        <v>22.936081059831679</v>
      </c>
      <c r="Q1213" s="123">
        <v>0.79368133647614114</v>
      </c>
      <c r="R1213" s="90">
        <v>-2.1540347160681921E-2</v>
      </c>
    </row>
    <row r="1214" spans="1:18" x14ac:dyDescent="0.25">
      <c r="A1214" s="194">
        <v>0.98391153908470086</v>
      </c>
      <c r="B1214" s="195">
        <v>0.11705371201026867</v>
      </c>
      <c r="C1214" s="195">
        <v>0.11366816765608484</v>
      </c>
      <c r="D1214" s="196">
        <v>7.2774029861623513E-2</v>
      </c>
      <c r="F1214" s="123">
        <f>INDEX(A1214:D1222,,F1211)</f>
        <v>0.98391153908470086</v>
      </c>
      <c r="G1214" s="90">
        <f>INDEX(A1212:D1220,,G1211)</f>
        <v>7.2774029861623513E-2</v>
      </c>
      <c r="I1214" s="123">
        <f t="shared" si="384"/>
        <v>0.96278585732172428</v>
      </c>
      <c r="J1214" s="37">
        <f t="shared" si="385"/>
        <v>0.14320641545309193</v>
      </c>
      <c r="K1214" s="37">
        <f t="shared" si="386"/>
        <v>0.90644852963180411</v>
      </c>
      <c r="L1214" s="90">
        <f t="shared" si="383"/>
        <v>0.13787711147597614</v>
      </c>
      <c r="N1214" t="s">
        <v>467</v>
      </c>
      <c r="O1214" s="174">
        <f>0.25*ATAN(O1212/O1213)</f>
        <v>-2.8125505010090678E-6</v>
      </c>
      <c r="Q1214" s="123">
        <v>0.9839113344001752</v>
      </c>
      <c r="R1214" s="90">
        <v>7.2776797162227874E-2</v>
      </c>
    </row>
    <row r="1215" spans="1:18" x14ac:dyDescent="0.25">
      <c r="A1215" s="194">
        <v>4.8487386329886438E-2</v>
      </c>
      <c r="B1215" s="195">
        <v>-1.6320698271354978E-3</v>
      </c>
      <c r="C1215" s="195">
        <v>8.0613290586938946E-2</v>
      </c>
      <c r="D1215" s="196">
        <v>0.99556406478725479</v>
      </c>
      <c r="F1215" s="123">
        <f>INDEX(A1215:D1223,,F1211)</f>
        <v>4.8487386329886438E-2</v>
      </c>
      <c r="G1215" s="90">
        <f>INDEX(A1212:D1220,,G1211)</f>
        <v>0.99556406478725479</v>
      </c>
      <c r="I1215" s="123">
        <f t="shared" si="384"/>
        <v>-0.98879678046261765</v>
      </c>
      <c r="J1215" s="37">
        <f t="shared" si="385"/>
        <v>9.6544598850983432E-2</v>
      </c>
      <c r="K1215" s="37">
        <f t="shared" si="386"/>
        <v>0.9683982134859408</v>
      </c>
      <c r="L1215" s="90">
        <f t="shared" si="383"/>
        <v>-9.5462988514907351E-2</v>
      </c>
      <c r="Q1215" s="123">
        <v>4.8484586255485462E-2</v>
      </c>
      <c r="R1215" s="90">
        <v>0.99556420115653987</v>
      </c>
    </row>
    <row r="1216" spans="1:18" x14ac:dyDescent="0.25">
      <c r="A1216" s="194">
        <v>0.35382123944472266</v>
      </c>
      <c r="B1216" s="195">
        <v>-0.11094593264420199</v>
      </c>
      <c r="C1216" s="195">
        <v>0.8862978939612457</v>
      </c>
      <c r="D1216" s="196">
        <v>0.27744832619312954</v>
      </c>
      <c r="F1216" s="123">
        <f>INDEX(A1216:D1224,,F1211)</f>
        <v>0.35382123944472266</v>
      </c>
      <c r="G1216" s="90">
        <f>INDEX(A1212:D1220,,G1211)</f>
        <v>0.27744832619312954</v>
      </c>
      <c r="I1216" s="123">
        <f t="shared" si="384"/>
        <v>4.8211895774830565E-2</v>
      </c>
      <c r="J1216" s="37">
        <f t="shared" si="385"/>
        <v>0.19633422131103359</v>
      </c>
      <c r="K1216" s="37">
        <f t="shared" si="386"/>
        <v>-3.622273956360679E-2</v>
      </c>
      <c r="L1216" s="90">
        <f t="shared" si="383"/>
        <v>9.4656450148800694E-3</v>
      </c>
      <c r="N1216" s="156">
        <f>COS(O1214)</f>
        <v>0.99999999999604483</v>
      </c>
      <c r="O1216" s="158">
        <f>-N1217</f>
        <v>2.8125505010053599E-6</v>
      </c>
      <c r="Q1216" s="123">
        <v>0.35382045910589438</v>
      </c>
      <c r="R1216" s="90">
        <v>0.27744932133213646</v>
      </c>
    </row>
    <row r="1217" spans="1:18" x14ac:dyDescent="0.25">
      <c r="A1217" s="194">
        <v>-3.0996974205946794E-2</v>
      </c>
      <c r="B1217" s="195">
        <v>2.3082171947422379E-2</v>
      </c>
      <c r="C1217" s="195">
        <v>0.9975570396277299</v>
      </c>
      <c r="D1217" s="196">
        <v>-5.8192384531184686E-2</v>
      </c>
      <c r="F1217" s="123">
        <f>INDEX(A1217:D1225,,F1211)</f>
        <v>-3.0996974205946794E-2</v>
      </c>
      <c r="G1217" s="90">
        <f>INDEX(A1212:D1220,,G1211)</f>
        <v>-5.8192384531184686E-2</v>
      </c>
      <c r="I1217" s="123">
        <f t="shared" si="384"/>
        <v>-2.425541207501132E-3</v>
      </c>
      <c r="J1217" s="37">
        <f t="shared" si="385"/>
        <v>3.6075756845913381E-3</v>
      </c>
      <c r="K1217" s="37">
        <f t="shared" si="386"/>
        <v>-7.131352170768612E-6</v>
      </c>
      <c r="L1217" s="90">
        <f t="shared" si="383"/>
        <v>-8.7503234821553968E-6</v>
      </c>
      <c r="N1217" s="91">
        <f>SIN(O1214)</f>
        <v>-2.8125505010053599E-6</v>
      </c>
      <c r="O1217" s="93">
        <f>N1216</f>
        <v>0.99999999999604483</v>
      </c>
      <c r="Q1217" s="123">
        <v>-3.0996810536803927E-2</v>
      </c>
      <c r="R1217" s="90">
        <v>-5.8192471711509854E-2</v>
      </c>
    </row>
    <row r="1218" spans="1:18" x14ac:dyDescent="0.25">
      <c r="A1218" s="194">
        <v>0.961662226987818</v>
      </c>
      <c r="B1218" s="195">
        <v>-2.2710422744372027E-2</v>
      </c>
      <c r="C1218" s="195">
        <v>0.16742776814213661</v>
      </c>
      <c r="D1218" s="196">
        <v>0.21600449147771186</v>
      </c>
      <c r="F1218" s="123">
        <f>INDEX(A1218:D1226,,F1211)</f>
        <v>0.961662226987818</v>
      </c>
      <c r="G1218" s="90">
        <f>INDEX(A1212:D1220,,G1211)</f>
        <v>0.21600449147771186</v>
      </c>
      <c r="I1218" s="123">
        <f t="shared" si="384"/>
        <v>0.87813629847662478</v>
      </c>
      <c r="J1218" s="37">
        <f t="shared" si="385"/>
        <v>0.41544672062765509</v>
      </c>
      <c r="K1218" s="37">
        <f t="shared" si="386"/>
        <v>0.59852738102195491</v>
      </c>
      <c r="L1218" s="90">
        <f t="shared" si="383"/>
        <v>0.36481884546622145</v>
      </c>
      <c r="Q1218" s="123">
        <v>0.96166161946047379</v>
      </c>
      <c r="R1218" s="90">
        <v>0.21600719620043582</v>
      </c>
    </row>
    <row r="1219" spans="1:18" x14ac:dyDescent="0.25">
      <c r="A1219" s="194">
        <v>0.67502577013988452</v>
      </c>
      <c r="B1219" s="195">
        <v>-0.22045433494430389</v>
      </c>
      <c r="C1219" s="195">
        <v>0.5688445475853644</v>
      </c>
      <c r="D1219" s="196">
        <v>0.41491683086339448</v>
      </c>
      <c r="F1219" s="123">
        <f>INDEX(A1219:D1227,,F1211)</f>
        <v>0.67502577013988452</v>
      </c>
      <c r="G1219" s="90">
        <f>INDEX(A1212:D1220,,G1211)</f>
        <v>0.41491683086339448</v>
      </c>
      <c r="I1219" s="123">
        <f t="shared" si="384"/>
        <v>0.28350381381922152</v>
      </c>
      <c r="J1219" s="37">
        <f t="shared" si="385"/>
        <v>0.56015910659512613</v>
      </c>
      <c r="K1219" s="37">
        <f t="shared" si="386"/>
        <v>-0.23340381225140608</v>
      </c>
      <c r="L1219" s="90">
        <f t="shared" si="383"/>
        <v>0.1588072430652861</v>
      </c>
      <c r="Q1219" s="123">
        <v>0.6750246031626741</v>
      </c>
      <c r="R1219" s="90">
        <v>0.41491872940582142</v>
      </c>
    </row>
    <row r="1220" spans="1:18" x14ac:dyDescent="0.25">
      <c r="A1220" s="200">
        <v>6.9734203162030189E-2</v>
      </c>
      <c r="B1220" s="201">
        <v>-0.92645640772075399</v>
      </c>
      <c r="C1220" s="201">
        <v>-0.20287828327368918</v>
      </c>
      <c r="D1220" s="202">
        <v>0.3092831513006053</v>
      </c>
      <c r="F1220" s="91">
        <f>INDEX(A1220:D1228,,F1211)</f>
        <v>6.9734203162030189E-2</v>
      </c>
      <c r="G1220" s="93">
        <f>INDEX(A1212:D1220,,G1211)</f>
        <v>0.3092831513006053</v>
      </c>
      <c r="I1220" s="91">
        <f t="shared" si="384"/>
        <v>-9.0793208587789817E-2</v>
      </c>
      <c r="J1220" s="92">
        <f t="shared" si="385"/>
        <v>4.3135228214778665E-2</v>
      </c>
      <c r="K1220" s="92">
        <f t="shared" si="386"/>
        <v>6.3827588125248734E-3</v>
      </c>
      <c r="L1220" s="93">
        <f t="shared" si="383"/>
        <v>-3.9163857727863155E-3</v>
      </c>
      <c r="Q1220" s="91">
        <v>6.9733333287272242E-2</v>
      </c>
      <c r="R1220" s="93">
        <v>0.30928334743035008</v>
      </c>
    </row>
    <row r="1221" spans="1:18" x14ac:dyDescent="0.25">
      <c r="I1221">
        <f>SUM(I1212:I1220)</f>
        <v>1.651741181514542</v>
      </c>
      <c r="J1221">
        <f>SUM(J1212:J1220)</f>
        <v>1.4869677392218459</v>
      </c>
      <c r="K1221">
        <f>SUM(K1212:K1220)</f>
        <v>2.6059174370062452</v>
      </c>
      <c r="L1221">
        <f>SUM(L1212:L1220)</f>
        <v>0.54576818504083147</v>
      </c>
    </row>
    <row r="1222" spans="1:18" x14ac:dyDescent="0.25">
      <c r="A1222" s="47" t="s">
        <v>53</v>
      </c>
      <c r="B1222">
        <f>COUNT(A1212:A1220)</f>
        <v>9</v>
      </c>
      <c r="I1222" s="47" t="s">
        <v>462</v>
      </c>
      <c r="J1222" s="47" t="s">
        <v>389</v>
      </c>
      <c r="K1222" s="47" t="s">
        <v>469</v>
      </c>
      <c r="L1222" s="47" t="s">
        <v>470</v>
      </c>
      <c r="N1222" s="47"/>
    </row>
    <row r="1224" spans="1:18" x14ac:dyDescent="0.25">
      <c r="A1224">
        <v>1</v>
      </c>
      <c r="B1224">
        <v>2</v>
      </c>
      <c r="C1224">
        <v>3</v>
      </c>
      <c r="D1224">
        <v>4</v>
      </c>
      <c r="F1224">
        <v>2</v>
      </c>
      <c r="G1224">
        <v>3</v>
      </c>
      <c r="I1224" s="47" t="s">
        <v>207</v>
      </c>
      <c r="J1224" s="47" t="s">
        <v>464</v>
      </c>
      <c r="K1224" s="47" t="s">
        <v>465</v>
      </c>
      <c r="L1224" s="47" t="s">
        <v>466</v>
      </c>
      <c r="Q1224">
        <f>F1224</f>
        <v>2</v>
      </c>
      <c r="R1224">
        <f>G1224</f>
        <v>3</v>
      </c>
    </row>
    <row r="1225" spans="1:18" x14ac:dyDescent="0.25">
      <c r="A1225" s="189">
        <f t="array" ref="A1225:A1233">IF(A1224=$Q1211,$Q1212:$Q1220,IF(A1224=$R1211,$R1212:$R1220,A1212:A1220))</f>
        <v>0.11050558871453368</v>
      </c>
      <c r="B1225" s="190">
        <f t="array" ref="B1225:B1233">IF(B1224=$Q1211,$Q1212:$Q1220,IF(B1224=$R1211,$R1212:$R1220,B1212:B1220))</f>
        <v>0.88895745795331527</v>
      </c>
      <c r="C1225" s="190">
        <f t="array" ref="C1225:C1233">IF(C1224=$Q1211,$Q1212:$Q1220,IF(C1224=$R1211,$R1212:$R1220,C1212:C1220))</f>
        <v>-0.34202964231977806</v>
      </c>
      <c r="D1225" s="191">
        <f t="array" ref="D1225:D1233">IF(D1224=$Q1211,$Q1212:$Q1220,IF(D1224=$R1211,$R1212:$R1220,D1212:D1220))</f>
        <v>0.28382895656828105</v>
      </c>
      <c r="F1225" s="156">
        <f>INDEX(A1225:D1233,,F1224)</f>
        <v>0.88895745795331527</v>
      </c>
      <c r="G1225" s="158">
        <f>INDEX(A1225:D1233,,G1224)</f>
        <v>-0.34202964231977806</v>
      </c>
      <c r="I1225" s="156">
        <f>F1225^2-G1225^2</f>
        <v>0.67326108582542499</v>
      </c>
      <c r="J1225" s="157">
        <f>2*F1225*G1225</f>
        <v>-0.60809960276254316</v>
      </c>
      <c r="K1225" s="157">
        <f>I1225^2-J1225^2</f>
        <v>8.3495362806867479E-2</v>
      </c>
      <c r="L1225" s="158">
        <f t="shared" ref="L1225:L1233" si="387">I1225*J1225</f>
        <v>-0.40940979884591944</v>
      </c>
      <c r="N1225" t="s">
        <v>390</v>
      </c>
      <c r="O1225" s="172">
        <f>L1234*B1235-2*I1234*J1234</f>
        <v>2.4516846424471606E-3</v>
      </c>
      <c r="Q1225" s="156">
        <f t="array" ref="Q1225:R1233">MMULT(F1225:G1233,N1229:O1230)</f>
        <v>0.88894748596512985</v>
      </c>
      <c r="R1225" s="158">
        <v>-0.34205555904339729</v>
      </c>
    </row>
    <row r="1226" spans="1:18" x14ac:dyDescent="0.25">
      <c r="A1226" s="194">
        <v>0.79368133647614114</v>
      </c>
      <c r="B1226" s="195">
        <v>-0.60201201970560303</v>
      </c>
      <c r="C1226" s="195">
        <v>8.4778993292112581E-2</v>
      </c>
      <c r="D1226" s="196">
        <v>-2.1540347160681921E-2</v>
      </c>
      <c r="F1226" s="123">
        <f>INDEX(A1226:D1234,,F1224)</f>
        <v>-0.60201201970560303</v>
      </c>
      <c r="G1226" s="90">
        <f>INDEX(A1225:D1233,,G1224)</f>
        <v>8.4778993292112581E-2</v>
      </c>
      <c r="I1226" s="123">
        <f t="shared" ref="I1226:I1233" si="388">F1226^2-G1226^2</f>
        <v>0.35523099416639531</v>
      </c>
      <c r="J1226" s="37">
        <f t="shared" ref="J1226:J1233" si="389">2*F1226*G1226</f>
        <v>-0.10207594596078494</v>
      </c>
      <c r="K1226" s="37">
        <f t="shared" ref="K1226:K1233" si="390">I1226^2-J1226^2</f>
        <v>0.11576956047265649</v>
      </c>
      <c r="L1226" s="90">
        <f t="shared" si="387"/>
        <v>-3.6260539764124876E-2</v>
      </c>
      <c r="N1226" t="s">
        <v>392</v>
      </c>
      <c r="O1226" s="173">
        <f>K1234*B1235-(I1234^2-J1234^2)</f>
        <v>21.023405057545009</v>
      </c>
      <c r="Q1226" s="123">
        <v>-0.60200954778360327</v>
      </c>
      <c r="R1226" s="90">
        <v>8.4796544452146697E-2</v>
      </c>
    </row>
    <row r="1227" spans="1:18" x14ac:dyDescent="0.25">
      <c r="A1227" s="194">
        <v>0.9839113344001752</v>
      </c>
      <c r="B1227" s="195">
        <v>0.11705371201026867</v>
      </c>
      <c r="C1227" s="195">
        <v>0.11366816765608484</v>
      </c>
      <c r="D1227" s="196">
        <v>7.2776797162227874E-2</v>
      </c>
      <c r="F1227" s="123">
        <f>INDEX(A1227:D1235,,F1224)</f>
        <v>0.11705371201026867</v>
      </c>
      <c r="G1227" s="90">
        <f>INDEX(A1225:D1233,,G1224)</f>
        <v>0.11366816765608484</v>
      </c>
      <c r="I1227" s="123">
        <f t="shared" si="388"/>
        <v>7.8111915709110254E-4</v>
      </c>
      <c r="J1227" s="37">
        <f t="shared" si="389"/>
        <v>2.661056192310058E-2</v>
      </c>
      <c r="K1227" s="37">
        <f t="shared" si="390"/>
        <v>-7.075118587255957E-4</v>
      </c>
      <c r="L1227" s="90">
        <f t="shared" si="387"/>
        <v>2.0786019699092913E-5</v>
      </c>
      <c r="N1227" t="s">
        <v>467</v>
      </c>
      <c r="O1227" s="174">
        <f>0.25*ATAN(O1225/O1226)</f>
        <v>2.9154228639729625E-5</v>
      </c>
      <c r="Q1227" s="123">
        <v>0.11705702586827109</v>
      </c>
      <c r="R1227" s="90">
        <v>0.11366475499709504</v>
      </c>
    </row>
    <row r="1228" spans="1:18" x14ac:dyDescent="0.25">
      <c r="A1228" s="194">
        <v>4.8484586255485462E-2</v>
      </c>
      <c r="B1228" s="195">
        <v>-1.6320698271354978E-3</v>
      </c>
      <c r="C1228" s="195">
        <v>8.0613290586938946E-2</v>
      </c>
      <c r="D1228" s="196">
        <v>0.99556420115653987</v>
      </c>
      <c r="F1228" s="123">
        <f>INDEX(A1228:D1236,,F1224)</f>
        <v>-1.6320698271354978E-3</v>
      </c>
      <c r="G1228" s="90">
        <f>INDEX(A1225:D1233,,G1224)</f>
        <v>8.0613290586938946E-2</v>
      </c>
      <c r="I1228" s="123">
        <f t="shared" si="388"/>
        <v>-6.4958389673336137E-3</v>
      </c>
      <c r="J1228" s="37">
        <f t="shared" si="389"/>
        <v>-2.6313303846609818E-4</v>
      </c>
      <c r="K1228" s="37">
        <f t="shared" si="390"/>
        <v>4.2126684893597425E-5</v>
      </c>
      <c r="L1228" s="90">
        <f t="shared" si="387"/>
        <v>1.7092698448609753E-6</v>
      </c>
      <c r="Q1228" s="123">
        <v>-1.6297196081370537E-3</v>
      </c>
      <c r="R1228" s="90">
        <v>8.0613338134416429E-2</v>
      </c>
    </row>
    <row r="1229" spans="1:18" x14ac:dyDescent="0.25">
      <c r="A1229" s="194">
        <v>0.35382045910589438</v>
      </c>
      <c r="B1229" s="195">
        <v>-0.11094593264420199</v>
      </c>
      <c r="C1229" s="195">
        <v>0.8862978939612457</v>
      </c>
      <c r="D1229" s="196">
        <v>0.27744932133213646</v>
      </c>
      <c r="F1229" s="123">
        <f>INDEX(A1229:D1237,,F1224)</f>
        <v>-0.11094593264420199</v>
      </c>
      <c r="G1229" s="90">
        <f>INDEX(A1225:D1233,,G1224)</f>
        <v>0.8862978939612457</v>
      </c>
      <c r="I1229" s="123">
        <f t="shared" si="388"/>
        <v>-0.77321495686984776</v>
      </c>
      <c r="J1229" s="37">
        <f t="shared" si="389"/>
        <v>-0.19666229289224491</v>
      </c>
      <c r="K1229" s="37">
        <f t="shared" si="390"/>
        <v>0.55918531208160549</v>
      </c>
      <c r="L1229" s="90">
        <f t="shared" si="387"/>
        <v>0.15206222631660252</v>
      </c>
      <c r="N1229" s="156">
        <f>COS(O1227)</f>
        <v>0.99999999957501551</v>
      </c>
      <c r="O1229" s="158">
        <f>-N1230</f>
        <v>-2.9154228635599594E-5</v>
      </c>
      <c r="Q1229" s="123">
        <v>-0.1109200932656119</v>
      </c>
      <c r="R1229" s="90">
        <v>0.88630112812766937</v>
      </c>
    </row>
    <row r="1230" spans="1:18" x14ac:dyDescent="0.25">
      <c r="A1230" s="194">
        <v>-3.0996810536803927E-2</v>
      </c>
      <c r="B1230" s="195">
        <v>2.3082171947422379E-2</v>
      </c>
      <c r="C1230" s="195">
        <v>0.9975570396277299</v>
      </c>
      <c r="D1230" s="196">
        <v>-5.8192471711509854E-2</v>
      </c>
      <c r="F1230" s="123">
        <f>INDEX(A1230:D1238,,F1224)</f>
        <v>2.3082171947422379E-2</v>
      </c>
      <c r="G1230" s="90">
        <f>INDEX(A1225:D1233,,G1224)</f>
        <v>0.9975570396277299</v>
      </c>
      <c r="I1230" s="123">
        <f t="shared" si="388"/>
        <v>-0.99458726064902991</v>
      </c>
      <c r="J1230" s="37">
        <f t="shared" si="389"/>
        <v>4.6051566232097801E-2</v>
      </c>
      <c r="K1230" s="37">
        <f t="shared" si="390"/>
        <v>0.98708307229291214</v>
      </c>
      <c r="L1230" s="90">
        <f t="shared" si="387"/>
        <v>-4.5802301107379519E-2</v>
      </c>
      <c r="N1230" s="91">
        <f>SIN(O1227)</f>
        <v>2.9154228635599594E-5</v>
      </c>
      <c r="O1230" s="93">
        <f>N1229</f>
        <v>0.99999999957501551</v>
      </c>
      <c r="Q1230" s="123">
        <v>2.311125494362317E-2</v>
      </c>
      <c r="R1230" s="90">
        <v>0.99755636626086519</v>
      </c>
    </row>
    <row r="1231" spans="1:18" x14ac:dyDescent="0.25">
      <c r="A1231" s="194">
        <v>0.96166161946047379</v>
      </c>
      <c r="B1231" s="195">
        <v>-2.2710422744372027E-2</v>
      </c>
      <c r="C1231" s="195">
        <v>0.16742776814213661</v>
      </c>
      <c r="D1231" s="196">
        <v>0.21600719620043582</v>
      </c>
      <c r="F1231" s="123">
        <f>INDEX(A1231:D1239,,F1224)</f>
        <v>-2.2710422744372027E-2</v>
      </c>
      <c r="G1231" s="90">
        <f>INDEX(A1225:D1233,,G1224)</f>
        <v>0.16742776814213661</v>
      </c>
      <c r="I1231" s="123">
        <f t="shared" si="388"/>
        <v>-2.7516294243828964E-2</v>
      </c>
      <c r="J1231" s="37">
        <f t="shared" si="389"/>
        <v>-7.6047107873092514E-3</v>
      </c>
      <c r="K1231" s="37">
        <f t="shared" si="390"/>
        <v>6.993148227543573E-4</v>
      </c>
      <c r="L1231" s="90">
        <f t="shared" si="387"/>
        <v>2.092534596628216E-4</v>
      </c>
      <c r="Q1231" s="123">
        <v>-2.2705541507288086E-2</v>
      </c>
      <c r="R1231" s="90">
        <v>0.16742843017583953</v>
      </c>
    </row>
    <row r="1232" spans="1:18" x14ac:dyDescent="0.25">
      <c r="A1232" s="194">
        <v>0.6750246031626741</v>
      </c>
      <c r="B1232" s="195">
        <v>-0.22045433494430389</v>
      </c>
      <c r="C1232" s="195">
        <v>0.5688445475853644</v>
      </c>
      <c r="D1232" s="196">
        <v>0.41491872940582142</v>
      </c>
      <c r="F1232" s="123">
        <f>INDEX(A1232:D1240,,F1224)</f>
        <v>-0.22045433494430389</v>
      </c>
      <c r="G1232" s="90">
        <f>INDEX(A1225:D1233,,G1224)</f>
        <v>0.5688445475853644</v>
      </c>
      <c r="I1232" s="123">
        <f t="shared" si="388"/>
        <v>-0.27498400552186258</v>
      </c>
      <c r="J1232" s="37">
        <f t="shared" si="389"/>
        <v>-0.25080849284924989</v>
      </c>
      <c r="K1232" s="37">
        <f t="shared" si="390"/>
        <v>1.2711303207535524E-2</v>
      </c>
      <c r="L1232" s="90">
        <f t="shared" si="387"/>
        <v>6.8968323982588162E-2</v>
      </c>
      <c r="Q1232" s="123">
        <v>-0.2204377506266158</v>
      </c>
      <c r="R1232" s="90">
        <v>0.56885097451969902</v>
      </c>
    </row>
    <row r="1233" spans="1:18" x14ac:dyDescent="0.25">
      <c r="A1233" s="200">
        <v>6.9733333287272242E-2</v>
      </c>
      <c r="B1233" s="201">
        <v>-0.92645640772075399</v>
      </c>
      <c r="C1233" s="201">
        <v>-0.20287828327368918</v>
      </c>
      <c r="D1233" s="202">
        <v>0.30928334743035008</v>
      </c>
      <c r="F1233" s="91">
        <f>INDEX(A1233:D1241,,F1224)</f>
        <v>-0.92645640772075399</v>
      </c>
      <c r="G1233" s="93">
        <f>INDEX(A1225:D1233,,G1224)</f>
        <v>-0.20287828327368918</v>
      </c>
      <c r="I1233" s="91">
        <f t="shared" si="388"/>
        <v>0.81716187758276471</v>
      </c>
      <c r="J1233" s="92">
        <f t="shared" si="389"/>
        <v>0.37591577105259122</v>
      </c>
      <c r="K1233" s="92">
        <f t="shared" si="390"/>
        <v>0.52644086724852523</v>
      </c>
      <c r="L1233" s="93">
        <f t="shared" si="387"/>
        <v>0.30718403728630816</v>
      </c>
      <c r="Q1233" s="91">
        <v>-0.92646232208688017</v>
      </c>
      <c r="R1233" s="93">
        <v>-0.20285127306553746</v>
      </c>
    </row>
    <row r="1234" spans="1:18" x14ac:dyDescent="0.25">
      <c r="I1234">
        <f>SUM(I1225:I1233)</f>
        <v>-0.23036327952022684</v>
      </c>
      <c r="J1234">
        <f>SUM(J1225:J1233)</f>
        <v>-0.71693627908280877</v>
      </c>
      <c r="K1234">
        <f>SUM(K1225:K1233)</f>
        <v>2.2847194077590247</v>
      </c>
      <c r="L1234">
        <f>SUM(L1225:L1233)</f>
        <v>3.6973696617281782E-2</v>
      </c>
    </row>
    <row r="1235" spans="1:18" x14ac:dyDescent="0.25">
      <c r="A1235" s="47" t="s">
        <v>53</v>
      </c>
      <c r="B1235">
        <f>COUNT(A1225:A1233)</f>
        <v>9</v>
      </c>
      <c r="I1235" s="47" t="s">
        <v>462</v>
      </c>
      <c r="J1235" s="47" t="s">
        <v>389</v>
      </c>
      <c r="K1235" s="47" t="s">
        <v>469</v>
      </c>
      <c r="L1235" s="47" t="s">
        <v>470</v>
      </c>
      <c r="N1235" s="47"/>
    </row>
    <row r="1237" spans="1:18" x14ac:dyDescent="0.25">
      <c r="A1237">
        <v>1</v>
      </c>
      <c r="B1237">
        <v>2</v>
      </c>
      <c r="C1237">
        <v>3</v>
      </c>
      <c r="D1237">
        <v>4</v>
      </c>
      <c r="F1237">
        <v>2</v>
      </c>
      <c r="G1237">
        <v>4</v>
      </c>
      <c r="I1237" s="47" t="s">
        <v>207</v>
      </c>
      <c r="J1237" s="47" t="s">
        <v>464</v>
      </c>
      <c r="K1237" s="47" t="s">
        <v>465</v>
      </c>
      <c r="L1237" s="47" t="s">
        <v>466</v>
      </c>
      <c r="Q1237">
        <f>F1237</f>
        <v>2</v>
      </c>
      <c r="R1237">
        <f>G1237</f>
        <v>4</v>
      </c>
    </row>
    <row r="1238" spans="1:18" x14ac:dyDescent="0.25">
      <c r="A1238" s="189">
        <f t="array" ref="A1238:A1246">IF(A1237=$Q1224,$Q1225:$Q1233,IF(A1237=$R1224,$R1225:$R1233,A1225:A1233))</f>
        <v>0.11050558871453368</v>
      </c>
      <c r="B1238" s="190">
        <f t="array" ref="B1238:B1246">IF(B1237=$Q1224,$Q1225:$Q1233,IF(B1237=$R1224,$R1225:$R1233,B1225:B1233))</f>
        <v>0.88894748596512985</v>
      </c>
      <c r="C1238" s="190">
        <f t="array" ref="C1238:C1246">IF(C1237=$Q1224,$Q1225:$Q1233,IF(C1237=$R1224,$R1225:$R1233,C1225:C1233))</f>
        <v>-0.34205555904339729</v>
      </c>
      <c r="D1238" s="191">
        <f t="array" ref="D1238:D1246">IF(D1237=$Q1224,$Q1225:$Q1233,IF(D1237=$R1224,$R1225:$R1233,D1225:D1233))</f>
        <v>0.28382895656828105</v>
      </c>
      <c r="F1238" s="156">
        <f>INDEX(A1238:D1246,,F1237)</f>
        <v>0.88894748596512985</v>
      </c>
      <c r="G1238" s="158">
        <f>INDEX(A1238:D1246,,G1237)</f>
        <v>0.28382895656828105</v>
      </c>
      <c r="I1238" s="156">
        <f>F1238^2-G1238^2</f>
        <v>0.70966875621708558</v>
      </c>
      <c r="J1238" s="157">
        <f>2*F1238*G1238</f>
        <v>0.50461807477095899</v>
      </c>
      <c r="K1238" s="157">
        <f>I1238^2-J1238^2</f>
        <v>0.24899034216515609</v>
      </c>
      <c r="L1238" s="158">
        <f t="shared" ref="L1238:L1246" si="391">I1238*J1238</f>
        <v>0.35811168148736677</v>
      </c>
      <c r="N1238" t="s">
        <v>390</v>
      </c>
      <c r="O1238" s="172">
        <f>L1247*B1248-2*I1247*J1247</f>
        <v>-1.5034318081174614E-3</v>
      </c>
      <c r="Q1238" s="156">
        <f t="array" ref="Q1238:R1246">MMULT(F1238:G1246,N1242:O1243)</f>
        <v>0.88893991696631458</v>
      </c>
      <c r="R1238" s="158">
        <v>0.28385266145358862</v>
      </c>
    </row>
    <row r="1239" spans="1:18" x14ac:dyDescent="0.25">
      <c r="A1239" s="194">
        <v>0.79368133647614114</v>
      </c>
      <c r="B1239" s="195">
        <v>-0.60200954778360327</v>
      </c>
      <c r="C1239" s="195">
        <v>8.4796544452146697E-2</v>
      </c>
      <c r="D1239" s="196">
        <v>-2.1540347160681921E-2</v>
      </c>
      <c r="F1239" s="123">
        <f>INDEX(A1239:D1247,,F1237)</f>
        <v>-0.60200954778360327</v>
      </c>
      <c r="G1239" s="90">
        <f>INDEX(A1238:D1246,,G1237)</f>
        <v>-2.1540347160681921E-2</v>
      </c>
      <c r="I1239" s="123">
        <f t="shared" ref="I1239:I1246" si="392">F1239^2-G1239^2</f>
        <v>0.36195150906681578</v>
      </c>
      <c r="J1239" s="37">
        <f t="shared" ref="J1239:J1246" si="393">2*F1239*G1239</f>
        <v>2.593498930660789E-2</v>
      </c>
      <c r="K1239" s="37">
        <f t="shared" ref="K1239:K1246" si="394">I1239^2-J1239^2</f>
        <v>0.13033627124541136</v>
      </c>
      <c r="L1239" s="90">
        <f t="shared" si="391"/>
        <v>9.387208517158456E-3</v>
      </c>
      <c r="N1239" t="s">
        <v>392</v>
      </c>
      <c r="O1239" s="173">
        <f>K1247*B1248-(I1247^2-J1247^2)</f>
        <v>14.094839672074807</v>
      </c>
      <c r="Q1239" s="123">
        <v>-0.60200897316708935</v>
      </c>
      <c r="R1239" s="90">
        <v>-2.1556400551296113E-2</v>
      </c>
    </row>
    <row r="1240" spans="1:18" x14ac:dyDescent="0.25">
      <c r="A1240" s="194">
        <v>0.9839113344001752</v>
      </c>
      <c r="B1240" s="195">
        <v>0.11705702586827109</v>
      </c>
      <c r="C1240" s="195">
        <v>0.11366475499709504</v>
      </c>
      <c r="D1240" s="196">
        <v>7.2776797162227874E-2</v>
      </c>
      <c r="F1240" s="123">
        <f>INDEX(A1240:D1248,,F1237)</f>
        <v>0.11705702586827109</v>
      </c>
      <c r="G1240" s="90">
        <f>INDEX(A1238:D1246,,G1237)</f>
        <v>7.2776797162227874E-2</v>
      </c>
      <c r="I1240" s="123">
        <f t="shared" si="392"/>
        <v>8.4058850999330272E-3</v>
      </c>
      <c r="J1240" s="37">
        <f t="shared" si="393"/>
        <v>1.7038070856057654E-2</v>
      </c>
      <c r="K1240" s="37">
        <f t="shared" si="394"/>
        <v>-2.1963695418276513E-4</v>
      </c>
      <c r="L1240" s="90">
        <f t="shared" si="391"/>
        <v>1.4322006594053819E-4</v>
      </c>
      <c r="N1240" t="s">
        <v>467</v>
      </c>
      <c r="O1240" s="174">
        <f>0.25*ATAN(O1238/O1239)</f>
        <v>-2.6666351611546599E-5</v>
      </c>
      <c r="Q1240" s="123">
        <v>0.11705508513498973</v>
      </c>
      <c r="R1240" s="90">
        <v>7.2779918620162323E-2</v>
      </c>
    </row>
    <row r="1241" spans="1:18" x14ac:dyDescent="0.25">
      <c r="A1241" s="194">
        <v>4.8484586255485462E-2</v>
      </c>
      <c r="B1241" s="195">
        <v>-1.6297196081370537E-3</v>
      </c>
      <c r="C1241" s="195">
        <v>8.0613338134416429E-2</v>
      </c>
      <c r="D1241" s="196">
        <v>0.99556420115653987</v>
      </c>
      <c r="F1241" s="123">
        <f>INDEX(A1241:D1249,,F1237)</f>
        <v>-1.6297196081370537E-3</v>
      </c>
      <c r="G1241" s="90">
        <f>INDEX(A1238:D1246,,G1237)</f>
        <v>0.99556420115653987</v>
      </c>
      <c r="I1241" s="123">
        <f t="shared" si="392"/>
        <v>-0.99114542263845828</v>
      </c>
      <c r="J1241" s="37">
        <f t="shared" si="393"/>
        <v>-3.24498099956823E-3</v>
      </c>
      <c r="K1241" s="37">
        <f t="shared" si="394"/>
        <v>0.98235871891548054</v>
      </c>
      <c r="L1241" s="90">
        <f t="shared" si="391"/>
        <v>3.2162480642708201E-3</v>
      </c>
      <c r="Q1241" s="123">
        <v>-1.656267672594374E-3</v>
      </c>
      <c r="R1241" s="90">
        <v>0.99556415734389381</v>
      </c>
    </row>
    <row r="1242" spans="1:18" x14ac:dyDescent="0.25">
      <c r="A1242" s="194">
        <v>0.35382045910589438</v>
      </c>
      <c r="B1242" s="195">
        <v>-0.1109200932656119</v>
      </c>
      <c r="C1242" s="195">
        <v>0.88630112812766937</v>
      </c>
      <c r="D1242" s="196">
        <v>0.27744932133213646</v>
      </c>
      <c r="F1242" s="123">
        <f>INDEX(A1242:D1250,,F1237)</f>
        <v>-0.1109200932656119</v>
      </c>
      <c r="G1242" s="90">
        <f>INDEX(A1238:D1246,,G1237)</f>
        <v>0.27744932133213646</v>
      </c>
      <c r="I1242" s="123">
        <f t="shared" si="392"/>
        <v>-6.4674858817611064E-2</v>
      </c>
      <c r="J1242" s="37">
        <f t="shared" si="393"/>
        <v>-6.1549409197282606E-2</v>
      </c>
      <c r="K1242" s="37">
        <f t="shared" si="394"/>
        <v>3.9450759054338687E-4</v>
      </c>
      <c r="L1242" s="90">
        <f t="shared" si="391"/>
        <v>3.9806993501416248E-3</v>
      </c>
      <c r="N1242" s="156">
        <f>COS(O1240)</f>
        <v>0.99999999964445285</v>
      </c>
      <c r="O1242" s="158">
        <f>-N1243</f>
        <v>2.6666351608386217E-5</v>
      </c>
      <c r="Q1242" s="123">
        <v>-0.11092749178733073</v>
      </c>
      <c r="R1242" s="90">
        <v>0.27744636339928269</v>
      </c>
    </row>
    <row r="1243" spans="1:18" x14ac:dyDescent="0.25">
      <c r="A1243" s="194">
        <v>-3.0996810536803927E-2</v>
      </c>
      <c r="B1243" s="195">
        <v>2.311125494362317E-2</v>
      </c>
      <c r="C1243" s="195">
        <v>0.99755636626086519</v>
      </c>
      <c r="D1243" s="196">
        <v>-5.8192471711509854E-2</v>
      </c>
      <c r="F1243" s="123">
        <f>INDEX(A1243:D1251,,F1237)</f>
        <v>2.311125494362317E-2</v>
      </c>
      <c r="G1243" s="90">
        <f>INDEX(A1238:D1246,,G1237)</f>
        <v>-5.8192471711509854E-2</v>
      </c>
      <c r="I1243" s="123">
        <f t="shared" si="392"/>
        <v>-2.8522336588257284E-3</v>
      </c>
      <c r="J1243" s="37">
        <f t="shared" si="393"/>
        <v>-2.6898020990485673E-3</v>
      </c>
      <c r="K1243" s="37">
        <f t="shared" si="394"/>
        <v>9.002015124923225E-7</v>
      </c>
      <c r="L1243" s="90">
        <f t="shared" si="391"/>
        <v>7.6719440824864186E-6</v>
      </c>
      <c r="N1243" s="91">
        <f>SIN(O1240)</f>
        <v>-2.6666351608386217E-5</v>
      </c>
      <c r="O1243" s="93">
        <f>N1242</f>
        <v>0.99999999964445285</v>
      </c>
      <c r="Q1243" s="123">
        <v>2.3112806716317647E-2</v>
      </c>
      <c r="R1243" s="90">
        <v>-5.8191855397969248E-2</v>
      </c>
    </row>
    <row r="1244" spans="1:18" x14ac:dyDescent="0.25">
      <c r="A1244" s="194">
        <v>0.96166161946047379</v>
      </c>
      <c r="B1244" s="195">
        <v>-2.2705541507288086E-2</v>
      </c>
      <c r="C1244" s="195">
        <v>0.16742843017583953</v>
      </c>
      <c r="D1244" s="196">
        <v>0.21600719620043582</v>
      </c>
      <c r="F1244" s="123">
        <f>INDEX(A1244:D1252,,F1237)</f>
        <v>-2.2705541507288086E-2</v>
      </c>
      <c r="G1244" s="90">
        <f>INDEX(A1238:D1246,,G1237)</f>
        <v>0.21600719620043582</v>
      </c>
      <c r="I1244" s="123">
        <f t="shared" si="392"/>
        <v>-4.6143567195234388E-2</v>
      </c>
      <c r="J1244" s="37">
        <f t="shared" si="393"/>
        <v>-9.809120718403834E-3</v>
      </c>
      <c r="K1244" s="37">
        <f t="shared" si="394"/>
        <v>2.0330099442328916E-3</v>
      </c>
      <c r="L1244" s="90">
        <f t="shared" si="391"/>
        <v>4.526278209958331E-4</v>
      </c>
      <c r="Q1244" s="123">
        <v>-2.2711301623059017E-2</v>
      </c>
      <c r="R1244" s="90">
        <v>0.21600659064968181</v>
      </c>
    </row>
    <row r="1245" spans="1:18" x14ac:dyDescent="0.25">
      <c r="A1245" s="194">
        <v>0.6750246031626741</v>
      </c>
      <c r="B1245" s="195">
        <v>-0.2204377506266158</v>
      </c>
      <c r="C1245" s="195">
        <v>0.56885097451969902</v>
      </c>
      <c r="D1245" s="196">
        <v>0.41491872940582142</v>
      </c>
      <c r="F1245" s="123">
        <f>INDEX(A1245:D1253,,F1237)</f>
        <v>-0.2204377506266158</v>
      </c>
      <c r="G1245" s="90">
        <f>INDEX(A1238:D1246,,G1237)</f>
        <v>0.41491872940582142</v>
      </c>
      <c r="I1245" s="123">
        <f t="shared" si="392"/>
        <v>-0.1235647501104192</v>
      </c>
      <c r="J1245" s="37">
        <f t="shared" si="393"/>
        <v>-0.18292750280614548</v>
      </c>
      <c r="K1245" s="37">
        <f t="shared" si="394"/>
        <v>-1.8194223813042018E-2</v>
      </c>
      <c r="L1245" s="90">
        <f t="shared" si="391"/>
        <v>2.2603391172564373E-2</v>
      </c>
      <c r="Q1245" s="123">
        <v>-0.22044881491696705</v>
      </c>
      <c r="R1245" s="90">
        <v>0.41491285098773228</v>
      </c>
    </row>
    <row r="1246" spans="1:18" x14ac:dyDescent="0.25">
      <c r="A1246" s="200">
        <v>6.9733333287272242E-2</v>
      </c>
      <c r="B1246" s="201">
        <v>-0.92646232208688017</v>
      </c>
      <c r="C1246" s="201">
        <v>-0.20285127306553746</v>
      </c>
      <c r="D1246" s="202">
        <v>0.30928334743035008</v>
      </c>
      <c r="F1246" s="91">
        <f>INDEX(A1246:D1254,,F1237)</f>
        <v>-0.92646232208688017</v>
      </c>
      <c r="G1246" s="93">
        <f>INDEX(A1238:D1246,,G1237)</f>
        <v>0.30928334743035008</v>
      </c>
      <c r="I1246" s="91">
        <f t="shared" si="392"/>
        <v>0.76267624524889144</v>
      </c>
      <c r="J1246" s="92">
        <f t="shared" si="393"/>
        <v>-0.57307873648625096</v>
      </c>
      <c r="K1246" s="92">
        <f t="shared" si="394"/>
        <v>0.25325581685426929</v>
      </c>
      <c r="L1246" s="93">
        <f t="shared" si="391"/>
        <v>-0.43707353897531276</v>
      </c>
      <c r="Q1246" s="91">
        <v>-0.92647056921596826</v>
      </c>
      <c r="R1246" s="93">
        <v>0.30925864195035258</v>
      </c>
    </row>
    <row r="1247" spans="1:18" x14ac:dyDescent="0.25">
      <c r="I1247">
        <f>SUM(I1238:I1246)</f>
        <v>0.61432156321217724</v>
      </c>
      <c r="J1247">
        <f>SUM(J1238:J1246)</f>
        <v>-0.28570841737307517</v>
      </c>
      <c r="K1247">
        <f>SUM(K1238:K1246)</f>
        <v>1.5989557061493815</v>
      </c>
      <c r="L1247">
        <f>SUM(L1238:L1246)</f>
        <v>-3.9170790552791879E-2</v>
      </c>
    </row>
    <row r="1248" spans="1:18" x14ac:dyDescent="0.25">
      <c r="A1248" s="47" t="s">
        <v>53</v>
      </c>
      <c r="B1248">
        <f>COUNT(A1238:A1246)</f>
        <v>9</v>
      </c>
      <c r="I1248" s="47" t="s">
        <v>462</v>
      </c>
      <c r="J1248" s="47" t="s">
        <v>389</v>
      </c>
      <c r="K1248" s="47" t="s">
        <v>469</v>
      </c>
      <c r="L1248" s="47" t="s">
        <v>470</v>
      </c>
      <c r="N1248" s="47"/>
    </row>
    <row r="1250" spans="1:18" x14ac:dyDescent="0.25">
      <c r="A1250">
        <v>1</v>
      </c>
      <c r="B1250">
        <v>2</v>
      </c>
      <c r="C1250">
        <v>3</v>
      </c>
      <c r="D1250">
        <v>4</v>
      </c>
      <c r="F1250">
        <v>3</v>
      </c>
      <c r="G1250">
        <v>4</v>
      </c>
      <c r="I1250" s="47" t="s">
        <v>207</v>
      </c>
      <c r="J1250" s="47" t="s">
        <v>464</v>
      </c>
      <c r="K1250" s="47" t="s">
        <v>465</v>
      </c>
      <c r="L1250" s="47" t="s">
        <v>466</v>
      </c>
      <c r="Q1250">
        <f>F1250</f>
        <v>3</v>
      </c>
      <c r="R1250">
        <f>G1250</f>
        <v>4</v>
      </c>
    </row>
    <row r="1251" spans="1:18" x14ac:dyDescent="0.25">
      <c r="A1251" s="189">
        <f t="array" ref="A1251:A1259">IF(A1250=$Q1237,$Q1238:$Q1246,IF(A1250=$R1237,$R1238:$R1246,A1238:A1246))</f>
        <v>0.11050558871453368</v>
      </c>
      <c r="B1251" s="190">
        <f t="array" ref="B1251:B1259">IF(B1250=$Q1237,$Q1238:$Q1246,IF(B1250=$R1237,$R1238:$R1246,B1238:B1246))</f>
        <v>0.88893991696631458</v>
      </c>
      <c r="C1251" s="190">
        <f t="array" ref="C1251:C1259">IF(C1250=$Q1237,$Q1238:$Q1246,IF(C1250=$R1237,$R1238:$R1246,C1238:C1246))</f>
        <v>-0.34205555904339729</v>
      </c>
      <c r="D1251" s="191">
        <f t="array" ref="D1251:D1259">IF(D1250=$Q1237,$Q1238:$Q1246,IF(D1250=$R1237,$R1238:$R1246,D1238:D1246))</f>
        <v>0.28385266145358862</v>
      </c>
      <c r="F1251" s="156">
        <f>INDEX(A1251:D1259,,F1250)</f>
        <v>-0.34205555904339729</v>
      </c>
      <c r="G1251" s="158">
        <f>INDEX(A1251:D1259,,G1250)</f>
        <v>0.28385266145358862</v>
      </c>
      <c r="I1251" s="156">
        <f>F1251^2-G1251^2</f>
        <v>3.6429672058205465E-2</v>
      </c>
      <c r="J1251" s="157">
        <f>2*F1251*G1251</f>
        <v>-0.19418676159892689</v>
      </c>
      <c r="K1251" s="157">
        <f>I1251^2-J1251^2</f>
        <v>-3.6381377374010072E-2</v>
      </c>
      <c r="L1251" s="158">
        <f t="shared" ref="L1251:L1259" si="395">I1251*J1251</f>
        <v>-7.0741600430938327E-3</v>
      </c>
      <c r="N1251" t="s">
        <v>390</v>
      </c>
      <c r="O1251" s="172">
        <f>L1260*B1261-2*I1260*J1260</f>
        <v>1.9962465526091044E-4</v>
      </c>
      <c r="Q1251" s="156">
        <f t="array" ref="Q1251:R1259">MMULT(F1251:G1259,N1255:O1256)</f>
        <v>-0.34205473371991679</v>
      </c>
      <c r="R1251" s="158">
        <v>0.28385365600353557</v>
      </c>
    </row>
    <row r="1252" spans="1:18" x14ac:dyDescent="0.25">
      <c r="A1252" s="194">
        <v>0.79368133647614114</v>
      </c>
      <c r="B1252" s="195">
        <v>-0.60200897316708935</v>
      </c>
      <c r="C1252" s="195">
        <v>8.4796544452146697E-2</v>
      </c>
      <c r="D1252" s="196">
        <v>-2.1556400551296113E-2</v>
      </c>
      <c r="F1252" s="123">
        <f>INDEX(A1252:D1260,,F1250)</f>
        <v>8.4796544452146697E-2</v>
      </c>
      <c r="G1252" s="90">
        <f>INDEX(A1251:D1259,,G1250)</f>
        <v>-2.1556400551296113E-2</v>
      </c>
      <c r="I1252" s="123">
        <f t="shared" ref="I1252:I1259" si="396">F1252^2-G1252^2</f>
        <v>6.7257755462969719E-3</v>
      </c>
      <c r="J1252" s="37">
        <f t="shared" ref="J1252:J1259" si="397">2*F1252*G1252</f>
        <v>-3.6558165551525208E-3</v>
      </c>
      <c r="K1252" s="37">
        <f t="shared" ref="K1252:K1259" si="398">I1252^2-J1252^2</f>
        <v>3.1871062014239088E-5</v>
      </c>
      <c r="L1252" s="90">
        <f t="shared" si="395"/>
        <v>-2.4588201588392459E-5</v>
      </c>
      <c r="N1252" t="s">
        <v>392</v>
      </c>
      <c r="O1252" s="173">
        <f>K1260*B1261-(I1260^2-J1260^2)</f>
        <v>17.164206002283709</v>
      </c>
      <c r="Q1252" s="123">
        <v>8.4796481775002805E-2</v>
      </c>
      <c r="R1252" s="90">
        <v>-2.1556647103258591E-2</v>
      </c>
    </row>
    <row r="1253" spans="1:18" x14ac:dyDescent="0.25">
      <c r="A1253" s="194">
        <v>0.9839113344001752</v>
      </c>
      <c r="B1253" s="195">
        <v>0.11705508513498973</v>
      </c>
      <c r="C1253" s="195">
        <v>0.11366475499709504</v>
      </c>
      <c r="D1253" s="196">
        <v>7.2779918620162323E-2</v>
      </c>
      <c r="F1253" s="123">
        <f>INDEX(A1253:D1261,,F1250)</f>
        <v>0.11366475499709504</v>
      </c>
      <c r="G1253" s="90">
        <f>INDEX(A1251:D1259,,G1250)</f>
        <v>7.2779918620162323E-2</v>
      </c>
      <c r="I1253" s="123">
        <f t="shared" si="396"/>
        <v>7.6227599741921911E-3</v>
      </c>
      <c r="J1253" s="37">
        <f t="shared" si="397"/>
        <v>1.654502323733853E-2</v>
      </c>
      <c r="K1253" s="37">
        <f t="shared" si="398"/>
        <v>-2.1563132429992538E-4</v>
      </c>
      <c r="L1253" s="90">
        <f t="shared" si="395"/>
        <v>1.2611874090566385E-4</v>
      </c>
      <c r="N1253" t="s">
        <v>467</v>
      </c>
      <c r="O1253" s="174">
        <f>0.25*ATAN(O1251/O1252)</f>
        <v>2.9075719439825763E-6</v>
      </c>
      <c r="Q1253" s="123">
        <v>0.11366496660946405</v>
      </c>
      <c r="R1253" s="90">
        <v>7.2779588131402034E-2</v>
      </c>
    </row>
    <row r="1254" spans="1:18" x14ac:dyDescent="0.25">
      <c r="A1254" s="194">
        <v>4.8484586255485462E-2</v>
      </c>
      <c r="B1254" s="195">
        <v>-1.656267672594374E-3</v>
      </c>
      <c r="C1254" s="195">
        <v>8.0613338134416429E-2</v>
      </c>
      <c r="D1254" s="196">
        <v>0.99556415734389381</v>
      </c>
      <c r="F1254" s="123">
        <f>INDEX(A1254:D1262,,F1250)</f>
        <v>8.0613338134416429E-2</v>
      </c>
      <c r="G1254" s="90">
        <f>INDEX(A1251:D1259,,G1250)</f>
        <v>0.99556415734389381</v>
      </c>
      <c r="I1254" s="123">
        <f t="shared" si="396"/>
        <v>-0.98464948110268358</v>
      </c>
      <c r="J1254" s="37">
        <f t="shared" si="397"/>
        <v>0.16051150010093734</v>
      </c>
      <c r="K1254" s="37">
        <f t="shared" si="398"/>
        <v>0.94377065897113077</v>
      </c>
      <c r="L1254" s="90">
        <f t="shared" si="395"/>
        <v>-0.15804756528540129</v>
      </c>
      <c r="Q1254" s="123">
        <v>8.0616232808487995E-2</v>
      </c>
      <c r="R1254" s="90">
        <v>0.99556392295060536</v>
      </c>
    </row>
    <row r="1255" spans="1:18" x14ac:dyDescent="0.25">
      <c r="A1255" s="194">
        <v>0.35382045910589438</v>
      </c>
      <c r="B1255" s="195">
        <v>-0.11092749178733073</v>
      </c>
      <c r="C1255" s="195">
        <v>0.88630112812766937</v>
      </c>
      <c r="D1255" s="196">
        <v>0.27744636339928269</v>
      </c>
      <c r="F1255" s="123">
        <f>INDEX(A1255:D1263,,F1250)</f>
        <v>0.88630112812766937</v>
      </c>
      <c r="G1255" s="90">
        <f>INDEX(A1251:D1259,,G1250)</f>
        <v>0.27744636339928269</v>
      </c>
      <c r="I1255" s="123">
        <f t="shared" si="396"/>
        <v>0.70855320515689257</v>
      </c>
      <c r="J1255" s="37">
        <f t="shared" si="397"/>
        <v>0.49180204975140712</v>
      </c>
      <c r="K1255" s="37">
        <f t="shared" si="398"/>
        <v>0.26017838839841995</v>
      </c>
      <c r="L1255" s="90">
        <f t="shared" si="395"/>
        <v>0.34846791865408905</v>
      </c>
      <c r="N1255" s="156">
        <f>COS(O1253)</f>
        <v>0.99999999999577305</v>
      </c>
      <c r="O1255" s="158">
        <f>-N1256</f>
        <v>-2.9075719439784796E-6</v>
      </c>
      <c r="Q1255" s="123">
        <v>0.88630193481918518</v>
      </c>
      <c r="R1255" s="90">
        <v>0.2774437864138159</v>
      </c>
    </row>
    <row r="1256" spans="1:18" x14ac:dyDescent="0.25">
      <c r="A1256" s="194">
        <v>-3.0996810536803927E-2</v>
      </c>
      <c r="B1256" s="195">
        <v>2.3112806716317647E-2</v>
      </c>
      <c r="C1256" s="195">
        <v>0.99755636626086519</v>
      </c>
      <c r="D1256" s="196">
        <v>-5.8191855397969248E-2</v>
      </c>
      <c r="F1256" s="123">
        <f>INDEX(A1256:D1264,,F1250)</f>
        <v>0.99755636626086519</v>
      </c>
      <c r="G1256" s="90">
        <f>INDEX(A1251:D1259,,G1250)</f>
        <v>-5.8191855397969248E-2</v>
      </c>
      <c r="I1256" s="123">
        <f t="shared" si="396"/>
        <v>0.99173241183292327</v>
      </c>
      <c r="J1256" s="37">
        <f t="shared" si="397"/>
        <v>-0.11609931163355183</v>
      </c>
      <c r="K1256" s="37">
        <f t="shared" si="398"/>
        <v>0.97005412651816225</v>
      </c>
      <c r="L1256" s="90">
        <f t="shared" si="395"/>
        <v>-0.11513945033848452</v>
      </c>
      <c r="N1256" s="91">
        <f>SIN(O1253)</f>
        <v>2.9075719439784796E-6</v>
      </c>
      <c r="O1256" s="93">
        <f>N1255</f>
        <v>0.99999999999577305</v>
      </c>
      <c r="Q1256" s="123">
        <v>0.99755619705964249</v>
      </c>
      <c r="R1256" s="90">
        <v>-5.819475586462635E-2</v>
      </c>
    </row>
    <row r="1257" spans="1:18" x14ac:dyDescent="0.25">
      <c r="A1257" s="194">
        <v>0.96166161946047379</v>
      </c>
      <c r="B1257" s="195">
        <v>-2.2711301623059017E-2</v>
      </c>
      <c r="C1257" s="195">
        <v>0.16742843017583953</v>
      </c>
      <c r="D1257" s="196">
        <v>0.21600659064968181</v>
      </c>
      <c r="F1257" s="123">
        <f>INDEX(A1257:D1265,,F1250)</f>
        <v>0.16742843017583953</v>
      </c>
      <c r="G1257" s="90">
        <f>INDEX(A1251:D1259,,G1250)</f>
        <v>0.21600659064968181</v>
      </c>
      <c r="I1257" s="123">
        <f t="shared" si="396"/>
        <v>-1.8626567972953235E-2</v>
      </c>
      <c r="J1257" s="37">
        <f t="shared" si="397"/>
        <v>7.2331288760222809E-2</v>
      </c>
      <c r="K1257" s="37">
        <f t="shared" si="398"/>
        <v>-4.8848662992636875E-3</v>
      </c>
      <c r="L1257" s="90">
        <f t="shared" si="395"/>
        <v>-1.3472836666635986E-3</v>
      </c>
      <c r="Q1257" s="123">
        <v>0.1674290582298345</v>
      </c>
      <c r="R1257" s="90">
        <v>0.21600610383856256</v>
      </c>
    </row>
    <row r="1258" spans="1:18" x14ac:dyDescent="0.25">
      <c r="A1258" s="194">
        <v>0.6750246031626741</v>
      </c>
      <c r="B1258" s="195">
        <v>-0.22044881491696705</v>
      </c>
      <c r="C1258" s="195">
        <v>0.56885097451969902</v>
      </c>
      <c r="D1258" s="196">
        <v>0.41491285098773228</v>
      </c>
      <c r="F1258" s="123">
        <f>INDEX(A1258:D1266,,F1250)</f>
        <v>0.56885097451969902</v>
      </c>
      <c r="G1258" s="90">
        <f>INDEX(A1251:D1259,,G1250)</f>
        <v>0.41491285098773228</v>
      </c>
      <c r="I1258" s="123">
        <f t="shared" si="396"/>
        <v>0.15143875729724315</v>
      </c>
      <c r="J1258" s="37">
        <f t="shared" si="397"/>
        <v>0.47204715925023633</v>
      </c>
      <c r="K1258" s="37">
        <f t="shared" si="398"/>
        <v>-0.19989482334448463</v>
      </c>
      <c r="L1258" s="90">
        <f t="shared" si="395"/>
        <v>7.1486235182549623E-2</v>
      </c>
      <c r="Q1258" s="123">
        <v>0.56885218090625922</v>
      </c>
      <c r="R1258" s="90">
        <v>0.41491119701084467</v>
      </c>
    </row>
    <row r="1259" spans="1:18" x14ac:dyDescent="0.25">
      <c r="A1259" s="200">
        <v>6.9733333287272242E-2</v>
      </c>
      <c r="B1259" s="201">
        <v>-0.92647056921596826</v>
      </c>
      <c r="C1259" s="201">
        <v>-0.20285127306553746</v>
      </c>
      <c r="D1259" s="202">
        <v>0.30925864195035258</v>
      </c>
      <c r="F1259" s="91">
        <f>INDEX(A1259:D1267,,F1250)</f>
        <v>-0.20285127306553746</v>
      </c>
      <c r="G1259" s="93">
        <f>INDEX(A1251:D1259,,G1250)</f>
        <v>0.30925864195035258</v>
      </c>
      <c r="I1259" s="91">
        <f t="shared" si="396"/>
        <v>-5.4492268636667132E-2</v>
      </c>
      <c r="J1259" s="92">
        <f t="shared" si="397"/>
        <v>-0.12546701845229649</v>
      </c>
      <c r="K1259" s="92">
        <f t="shared" si="398"/>
        <v>-1.2772565378138211E-2</v>
      </c>
      <c r="L1259" s="93">
        <f t="shared" si="395"/>
        <v>6.8369824745442122E-3</v>
      </c>
      <c r="Q1259" s="91">
        <v>-0.20285037387292923</v>
      </c>
      <c r="R1259" s="93">
        <v>0.30925923175371572</v>
      </c>
    </row>
    <row r="1260" spans="1:18" x14ac:dyDescent="0.25">
      <c r="I1260">
        <f>SUM(I1251:I1259)</f>
        <v>0.84473426415344965</v>
      </c>
      <c r="J1260">
        <f>SUM(J1251:J1259)</f>
        <v>0.77382811286021436</v>
      </c>
      <c r="K1260">
        <f>SUM(K1251:K1259)</f>
        <v>1.9198857812295309</v>
      </c>
      <c r="L1260">
        <f>SUM(L1251:L1259)</f>
        <v>0.14528420751685692</v>
      </c>
    </row>
    <row r="1261" spans="1:18" x14ac:dyDescent="0.25">
      <c r="A1261" s="47" t="s">
        <v>53</v>
      </c>
      <c r="B1261">
        <f>COUNT(A1251:A1259)</f>
        <v>9</v>
      </c>
      <c r="I1261" s="47" t="s">
        <v>462</v>
      </c>
      <c r="J1261" s="47" t="s">
        <v>389</v>
      </c>
      <c r="K1261" s="47" t="s">
        <v>469</v>
      </c>
      <c r="L1261" s="47" t="s">
        <v>470</v>
      </c>
      <c r="N1261" s="47"/>
    </row>
    <row r="1263" spans="1:18" x14ac:dyDescent="0.25">
      <c r="A1263">
        <v>1</v>
      </c>
      <c r="B1263">
        <v>2</v>
      </c>
      <c r="C1263">
        <v>3</v>
      </c>
      <c r="D1263">
        <v>4</v>
      </c>
      <c r="F1263">
        <v>1</v>
      </c>
      <c r="G1263">
        <v>2</v>
      </c>
      <c r="I1263" s="47" t="s">
        <v>207</v>
      </c>
      <c r="J1263" s="47" t="s">
        <v>464</v>
      </c>
      <c r="K1263" s="47" t="s">
        <v>465</v>
      </c>
      <c r="L1263" s="47" t="s">
        <v>466</v>
      </c>
      <c r="Q1263">
        <f>F1263</f>
        <v>1</v>
      </c>
      <c r="R1263">
        <f>G1263</f>
        <v>2</v>
      </c>
    </row>
    <row r="1264" spans="1:18" x14ac:dyDescent="0.25">
      <c r="A1264" s="189">
        <f t="array" ref="A1264:A1272">IF(A1263=$Q1250,$Q1251:$Q1259,IF(A1263=$R1250,$R1251:$R1259,A1251:A1259))</f>
        <v>0.11050558871453368</v>
      </c>
      <c r="B1264" s="190">
        <f t="array" ref="B1264:B1272">IF(B1263=$Q1250,$Q1251:$Q1259,IF(B1263=$R1250,$R1251:$R1259,B1251:B1259))</f>
        <v>0.88893991696631458</v>
      </c>
      <c r="C1264" s="190">
        <f t="array" ref="C1264:C1272">IF(C1263=$Q1250,$Q1251:$Q1259,IF(C1263=$R1250,$R1251:$R1259,C1251:C1259))</f>
        <v>-0.34205473371991679</v>
      </c>
      <c r="D1264" s="191">
        <f t="array" ref="D1264:D1272">IF(D1263=$Q1250,$Q1251:$Q1259,IF(D1263=$R1250,$R1251:$R1259,D1251:D1259))</f>
        <v>0.28385365600353557</v>
      </c>
      <c r="F1264" s="156">
        <f>INDEX(A1264:D1272,,F1263)</f>
        <v>0.11050558871453368</v>
      </c>
      <c r="G1264" s="158">
        <f>INDEX(A1264:D1272,,G1263)</f>
        <v>0.88893991696631458</v>
      </c>
      <c r="I1264" s="156">
        <f>F1264^2-G1264^2</f>
        <v>-0.77800269083893259</v>
      </c>
      <c r="J1264" s="157">
        <f>2*F1264*G1264</f>
        <v>0.19646565771242255</v>
      </c>
      <c r="K1264" s="157">
        <f>I1264^2-J1264^2</f>
        <v>0.566689432292245</v>
      </c>
      <c r="L1264" s="158">
        <f t="shared" ref="L1264:L1272" si="399">I1264*J1264</f>
        <v>-0.15285081035770542</v>
      </c>
      <c r="N1264" t="s">
        <v>390</v>
      </c>
      <c r="O1264" s="172">
        <f>L1273*B1274-2*I1273*J1273</f>
        <v>7.1795024571663646E-4</v>
      </c>
      <c r="Q1264" s="156">
        <f t="array" ref="Q1264:R1272">MMULT(F1264:G1272,N1268:O1269)</f>
        <v>0.11051350110830697</v>
      </c>
      <c r="R1264" s="158">
        <v>0.88893893332782326</v>
      </c>
    </row>
    <row r="1265" spans="1:18" x14ac:dyDescent="0.25">
      <c r="A1265" s="194">
        <v>0.79368133647614114</v>
      </c>
      <c r="B1265" s="195">
        <v>-0.60200897316708935</v>
      </c>
      <c r="C1265" s="195">
        <v>8.4796481775002805E-2</v>
      </c>
      <c r="D1265" s="196">
        <v>-2.1556647103258591E-2</v>
      </c>
      <c r="F1265" s="123">
        <f>INDEX(A1265:D1273,,F1263)</f>
        <v>0.79368133647614114</v>
      </c>
      <c r="G1265" s="90">
        <f>INDEX(A1264:D1272,,G1263)</f>
        <v>-0.60200897316708935</v>
      </c>
      <c r="I1265" s="123">
        <f t="shared" ref="I1265:I1272" si="400">F1265^2-G1265^2</f>
        <v>0.26751526009686033</v>
      </c>
      <c r="J1265" s="37">
        <f t="shared" ref="J1265:J1272" si="401">2*F1265*G1265</f>
        <v>-0.95560657278776973</v>
      </c>
      <c r="K1265" s="37">
        <f t="shared" ref="K1265:K1272" si="402">I1265^2-J1265^2</f>
        <v>-0.84161950757049619</v>
      </c>
      <c r="L1265" s="90">
        <f t="shared" si="399"/>
        <v>-0.2556393408695895</v>
      </c>
      <c r="N1265" t="s">
        <v>392</v>
      </c>
      <c r="O1265" s="173">
        <f>K1273*B1274-(I1273^2-J1273^2)</f>
        <v>20.165018853098346</v>
      </c>
      <c r="Q1265" s="123">
        <v>0.79367597800078904</v>
      </c>
      <c r="R1265" s="90">
        <v>-0.60201603765077394</v>
      </c>
    </row>
    <row r="1266" spans="1:18" x14ac:dyDescent="0.25">
      <c r="A1266" s="194">
        <v>0.9839113344001752</v>
      </c>
      <c r="B1266" s="195">
        <v>0.11705508513498973</v>
      </c>
      <c r="C1266" s="195">
        <v>0.11366496660946405</v>
      </c>
      <c r="D1266" s="196">
        <v>7.2779588131402034E-2</v>
      </c>
      <c r="F1266" s="123">
        <f>INDEX(A1266:D1274,,F1263)</f>
        <v>0.9839113344001752</v>
      </c>
      <c r="G1266" s="90">
        <f>INDEX(A1264:D1272,,G1263)</f>
        <v>0.11705508513498973</v>
      </c>
      <c r="I1266" s="123">
        <f t="shared" si="400"/>
        <v>0.95437962100517371</v>
      </c>
      <c r="J1266" s="37">
        <f t="shared" si="401"/>
        <v>0.23034365002698773</v>
      </c>
      <c r="K1266" s="37">
        <f t="shared" si="402"/>
        <v>0.85778226388222356</v>
      </c>
      <c r="L1266" s="90">
        <f t="shared" si="399"/>
        <v>0.21983528541370492</v>
      </c>
      <c r="N1266" t="s">
        <v>467</v>
      </c>
      <c r="O1266" s="174">
        <f>0.25*ATAN(O1264/O1265)</f>
        <v>8.900936947338377E-6</v>
      </c>
      <c r="Q1266" s="123">
        <v>0.98391237626113137</v>
      </c>
      <c r="R1266" s="90">
        <v>0.11704632739760364</v>
      </c>
    </row>
    <row r="1267" spans="1:18" x14ac:dyDescent="0.25">
      <c r="A1267" s="194">
        <v>4.8484586255485462E-2</v>
      </c>
      <c r="B1267" s="195">
        <v>-1.656267672594374E-3</v>
      </c>
      <c r="C1267" s="195">
        <v>8.0616232808487995E-2</v>
      </c>
      <c r="D1267" s="196">
        <v>0.99556392295060536</v>
      </c>
      <c r="F1267" s="123">
        <f>INDEX(A1267:D1275,,F1263)</f>
        <v>4.8484586255485462E-2</v>
      </c>
      <c r="G1267" s="90">
        <f>INDEX(A1264:D1272,,G1263)</f>
        <v>-1.656267672594374E-3</v>
      </c>
      <c r="I1267" s="123">
        <f t="shared" si="400"/>
        <v>2.3480118817623286E-3</v>
      </c>
      <c r="J1267" s="37">
        <f t="shared" si="401"/>
        <v>-1.6060690566814816E-4</v>
      </c>
      <c r="K1267" s="37">
        <f t="shared" si="402"/>
        <v>5.4873652187487746E-6</v>
      </c>
      <c r="L1267" s="90">
        <f t="shared" si="399"/>
        <v>-3.7710692280189337E-7</v>
      </c>
      <c r="Q1267" s="123">
        <v>4.8484571511230701E-2</v>
      </c>
      <c r="R1267" s="90">
        <v>-1.656699230773936E-3</v>
      </c>
    </row>
    <row r="1268" spans="1:18" x14ac:dyDescent="0.25">
      <c r="A1268" s="194">
        <v>0.35382045910589438</v>
      </c>
      <c r="B1268" s="195">
        <v>-0.11092749178733073</v>
      </c>
      <c r="C1268" s="195">
        <v>0.88630193481918518</v>
      </c>
      <c r="D1268" s="196">
        <v>0.2774437864138159</v>
      </c>
      <c r="F1268" s="123">
        <f>INDEX(A1268:D1276,,F1263)</f>
        <v>0.35382045910589438</v>
      </c>
      <c r="G1268" s="90">
        <f>INDEX(A1264:D1272,,G1263)</f>
        <v>-0.11092749178733073</v>
      </c>
      <c r="I1268" s="123">
        <f t="shared" si="400"/>
        <v>0.11288400884767755</v>
      </c>
      <c r="J1268" s="37">
        <f t="shared" si="401"/>
        <v>-7.8496832143317374E-2</v>
      </c>
      <c r="K1268" s="37">
        <f t="shared" si="402"/>
        <v>6.5810467969863997E-3</v>
      </c>
      <c r="L1268" s="90">
        <f t="shared" si="399"/>
        <v>-8.8610370941808979E-3</v>
      </c>
      <c r="N1268" s="156">
        <f>COS(O1266)</f>
        <v>0.99999999996038669</v>
      </c>
      <c r="O1268" s="158">
        <f>-N1269</f>
        <v>-8.9009369472208444E-6</v>
      </c>
      <c r="Q1268" s="123">
        <v>0.35381947173326828</v>
      </c>
      <c r="R1268" s="90">
        <v>-0.11093064111653367</v>
      </c>
    </row>
    <row r="1269" spans="1:18" x14ac:dyDescent="0.25">
      <c r="A1269" s="194">
        <v>-3.0996810536803927E-2</v>
      </c>
      <c r="B1269" s="195">
        <v>2.3112806716317647E-2</v>
      </c>
      <c r="C1269" s="195">
        <v>0.99755619705964249</v>
      </c>
      <c r="D1269" s="196">
        <v>-5.819475586462635E-2</v>
      </c>
      <c r="F1269" s="123">
        <f>INDEX(A1269:D1277,,F1263)</f>
        <v>-3.0996810536803927E-2</v>
      </c>
      <c r="G1269" s="90">
        <f>INDEX(A1264:D1272,,G1263)</f>
        <v>2.3112806716317647E-2</v>
      </c>
      <c r="I1269" s="123">
        <f t="shared" si="400"/>
        <v>4.266004291486609E-4</v>
      </c>
      <c r="J1269" s="37">
        <f t="shared" si="401"/>
        <v>-1.4328465815189348E-3</v>
      </c>
      <c r="K1269" s="37">
        <f t="shared" si="402"/>
        <v>-1.8710614000206756E-6</v>
      </c>
      <c r="L1269" s="90">
        <f t="shared" si="399"/>
        <v>-6.1125296658016932E-7</v>
      </c>
      <c r="N1269" s="91">
        <f>SIN(O1266)</f>
        <v>8.9009369472208444E-6</v>
      </c>
      <c r="O1269" s="93">
        <f>N1268</f>
        <v>0.99999999996038669</v>
      </c>
      <c r="Q1269" s="123">
        <v>-3.0996604809940785E-2</v>
      </c>
      <c r="R1269" s="90">
        <v>2.3113082616058225E-2</v>
      </c>
    </row>
    <row r="1270" spans="1:18" x14ac:dyDescent="0.25">
      <c r="A1270" s="194">
        <v>0.96166161946047379</v>
      </c>
      <c r="B1270" s="195">
        <v>-2.2711301623059017E-2</v>
      </c>
      <c r="C1270" s="195">
        <v>0.1674290582298345</v>
      </c>
      <c r="D1270" s="196">
        <v>0.21600610383856256</v>
      </c>
      <c r="F1270" s="123">
        <f>INDEX(A1270:D1278,,F1263)</f>
        <v>0.96166161946047379</v>
      </c>
      <c r="G1270" s="90">
        <f>INDEX(A1264:D1272,,G1263)</f>
        <v>-2.2711301623059017E-2</v>
      </c>
      <c r="I1270" s="123">
        <f t="shared" si="400"/>
        <v>0.92427726712192759</v>
      </c>
      <c r="J1270" s="37">
        <f t="shared" si="401"/>
        <v>-4.368117419777244E-2</v>
      </c>
      <c r="K1270" s="37">
        <f t="shared" si="402"/>
        <v>0.852380421539083</v>
      </c>
      <c r="L1270" s="90">
        <f t="shared" si="399"/>
        <v>-4.037351631219397E-2</v>
      </c>
      <c r="Q1270" s="123">
        <v>0.96166141727051546</v>
      </c>
      <c r="R1270" s="90">
        <v>-2.2719861311598727E-2</v>
      </c>
    </row>
    <row r="1271" spans="1:18" x14ac:dyDescent="0.25">
      <c r="A1271" s="194">
        <v>0.6750246031626741</v>
      </c>
      <c r="B1271" s="195">
        <v>-0.22044881491696705</v>
      </c>
      <c r="C1271" s="195">
        <v>0.56885218090625922</v>
      </c>
      <c r="D1271" s="196">
        <v>0.41491119701084467</v>
      </c>
      <c r="F1271" s="123">
        <f>INDEX(A1271:D1279,,F1263)</f>
        <v>0.6750246031626741</v>
      </c>
      <c r="G1271" s="90">
        <f>INDEX(A1264:D1272,,G1263)</f>
        <v>-0.22044881491696705</v>
      </c>
      <c r="I1271" s="123">
        <f t="shared" si="400"/>
        <v>0.40706053487663046</v>
      </c>
      <c r="J1271" s="37">
        <f t="shared" si="401"/>
        <v>-0.29761674761401496</v>
      </c>
      <c r="K1271" s="37">
        <f t="shared" si="402"/>
        <v>7.7122550593704209E-2</v>
      </c>
      <c r="L1271" s="90">
        <f t="shared" si="399"/>
        <v>-0.12114803247200406</v>
      </c>
      <c r="Q1271" s="123">
        <v>0.67502264093493247</v>
      </c>
      <c r="R1271" s="90">
        <v>-0.22045482325966492</v>
      </c>
    </row>
    <row r="1272" spans="1:18" x14ac:dyDescent="0.25">
      <c r="A1272" s="200">
        <v>6.9733333287272242E-2</v>
      </c>
      <c r="B1272" s="201">
        <v>-0.92647056921596826</v>
      </c>
      <c r="C1272" s="201">
        <v>-0.20285037387292923</v>
      </c>
      <c r="D1272" s="202">
        <v>0.30925923175371572</v>
      </c>
      <c r="F1272" s="91">
        <f>INDEX(A1272:D1280,,F1263)</f>
        <v>6.9733333287272242E-2</v>
      </c>
      <c r="G1272" s="93">
        <f>INDEX(A1264:D1272,,G1263)</f>
        <v>-0.92647056921596826</v>
      </c>
      <c r="I1272" s="91">
        <f t="shared" si="400"/>
        <v>-0.85348497785200639</v>
      </c>
      <c r="J1272" s="92">
        <f t="shared" si="401"/>
        <v>-0.12921176196797188</v>
      </c>
      <c r="K1272" s="92">
        <f t="shared" si="402"/>
        <v>0.71174092798817201</v>
      </c>
      <c r="L1272" s="93">
        <f t="shared" si="399"/>
        <v>0.11028029780145319</v>
      </c>
      <c r="Q1272" s="91">
        <v>6.9725086828389821E-2</v>
      </c>
      <c r="R1272" s="93">
        <v>-0.92647118987127042</v>
      </c>
    </row>
    <row r="1273" spans="1:18" x14ac:dyDescent="0.25">
      <c r="I1273">
        <f>SUM(I1264:I1272)</f>
        <v>1.0374036355682417</v>
      </c>
      <c r="J1273">
        <f>SUM(J1264:J1272)</f>
        <v>-1.0793972344586231</v>
      </c>
      <c r="K1273">
        <f>SUM(K1264:K1272)</f>
        <v>2.2306807518257363</v>
      </c>
      <c r="L1273">
        <f>SUM(L1264:L1272)</f>
        <v>-0.2487581422504051</v>
      </c>
    </row>
    <row r="1274" spans="1:18" x14ac:dyDescent="0.25">
      <c r="A1274" s="47" t="s">
        <v>53</v>
      </c>
      <c r="B1274">
        <f>COUNT(A1264:A1272)</f>
        <v>9</v>
      </c>
      <c r="I1274" s="47" t="s">
        <v>462</v>
      </c>
      <c r="J1274" s="47" t="s">
        <v>389</v>
      </c>
      <c r="K1274" s="47" t="s">
        <v>469</v>
      </c>
      <c r="L1274" s="47" t="s">
        <v>470</v>
      </c>
      <c r="N1274" s="47"/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/>
  <dimension ref="A1:AU962"/>
  <sheetViews>
    <sheetView workbookViewId="0"/>
  </sheetViews>
  <sheetFormatPr defaultRowHeight="15" x14ac:dyDescent="0.25"/>
  <sheetData>
    <row r="1" spans="1:47" ht="14.45" x14ac:dyDescent="0.35">
      <c r="A1" s="42" t="s">
        <v>442</v>
      </c>
    </row>
    <row r="2" spans="1:47" ht="14.45" x14ac:dyDescent="0.35">
      <c r="G2" t="s">
        <v>458</v>
      </c>
      <c r="L2" t="s">
        <v>459</v>
      </c>
      <c r="Q2" t="s">
        <v>460</v>
      </c>
      <c r="V2" t="s">
        <v>461</v>
      </c>
    </row>
    <row r="3" spans="1:47" ht="14.45" x14ac:dyDescent="0.35">
      <c r="A3">
        <v>1</v>
      </c>
      <c r="B3">
        <v>2</v>
      </c>
      <c r="C3">
        <v>3</v>
      </c>
      <c r="D3">
        <v>4</v>
      </c>
      <c r="E3" s="47" t="s">
        <v>373</v>
      </c>
      <c r="G3">
        <v>1</v>
      </c>
      <c r="H3">
        <v>2</v>
      </c>
      <c r="I3">
        <v>3</v>
      </c>
      <c r="J3">
        <v>4</v>
      </c>
      <c r="L3">
        <v>1</v>
      </c>
      <c r="M3">
        <v>2</v>
      </c>
      <c r="N3">
        <v>3</v>
      </c>
      <c r="O3">
        <v>4</v>
      </c>
      <c r="Q3">
        <v>1</v>
      </c>
      <c r="R3">
        <v>2</v>
      </c>
      <c r="S3">
        <v>3</v>
      </c>
      <c r="T3">
        <v>4</v>
      </c>
    </row>
    <row r="4" spans="1:47" ht="14.45" x14ac:dyDescent="0.35">
      <c r="A4" s="156">
        <f t="array" ref="A4:D12">Factor!B44:E52</f>
        <v>-0.18443788055245225</v>
      </c>
      <c r="B4" s="157">
        <v>0.76673944089161006</v>
      </c>
      <c r="C4" s="157">
        <v>-0.27758481196302998</v>
      </c>
      <c r="D4" s="158">
        <v>0.11515839253464147</v>
      </c>
      <c r="E4" s="172">
        <f>SUMSQ(A4:D4)</f>
        <v>0.71222148520517259</v>
      </c>
      <c r="G4" s="156">
        <f>A4/SQRT($E4)</f>
        <v>-0.21854586186362432</v>
      </c>
      <c r="H4" s="157">
        <f t="shared" ref="H4:J12" si="0">B4/SQRT($E4)</f>
        <v>0.90853208371604444</v>
      </c>
      <c r="I4" s="157">
        <f t="shared" si="0"/>
        <v>-0.32891839674691975</v>
      </c>
      <c r="J4" s="158">
        <f t="shared" si="0"/>
        <v>0.13645456167642001</v>
      </c>
      <c r="L4" s="156">
        <f>A952</f>
        <v>0.11040527348576189</v>
      </c>
      <c r="M4" s="157">
        <f t="shared" ref="M4:O12" si="1">B952</f>
        <v>0.88911857892712176</v>
      </c>
      <c r="N4" s="157">
        <f t="shared" si="1"/>
        <v>-0.34182144579984264</v>
      </c>
      <c r="O4" s="158">
        <f t="shared" si="1"/>
        <v>0.28361404652177552</v>
      </c>
      <c r="Q4" s="156">
        <f>L4*SQRT($E4)</f>
        <v>9.3174560569966397E-2</v>
      </c>
      <c r="R4" s="157">
        <f t="shared" ref="R4:T12" si="2">M4*SQRT($E4)</f>
        <v>0.75035575992492065</v>
      </c>
      <c r="S4" s="157">
        <f t="shared" si="2"/>
        <v>-0.28847410997897893</v>
      </c>
      <c r="T4" s="158">
        <f t="shared" si="2"/>
        <v>0.23935101396713943</v>
      </c>
      <c r="V4" s="187">
        <f>A4</f>
        <v>-0.18443788055245225</v>
      </c>
      <c r="W4" s="185">
        <f t="shared" ref="W4:Y12" si="3">B4</f>
        <v>0.76673944089161006</v>
      </c>
      <c r="X4" s="185">
        <f t="shared" si="3"/>
        <v>-0.27758481196302998</v>
      </c>
      <c r="Y4" s="188">
        <f t="shared" si="3"/>
        <v>0.11515839253464147</v>
      </c>
      <c r="Z4" s="187">
        <f>Q4</f>
        <v>9.3174560569966397E-2</v>
      </c>
      <c r="AA4" s="185">
        <f t="shared" ref="AA4:AC12" si="4">R4</f>
        <v>0.75035575992492065</v>
      </c>
      <c r="AB4" s="185">
        <f t="shared" si="4"/>
        <v>-0.28847410997897893</v>
      </c>
      <c r="AC4" s="188">
        <f t="shared" si="4"/>
        <v>0.23935101396713943</v>
      </c>
      <c r="AI4" s="189">
        <v>0.2868162169295429</v>
      </c>
      <c r="AJ4" s="190">
        <v>7.5371712423519005E-2</v>
      </c>
      <c r="AK4" s="191">
        <v>0.84088412384119726</v>
      </c>
      <c r="AL4" s="156">
        <v>2.134470470531338E-2</v>
      </c>
      <c r="AM4" s="157">
        <v>0.23770392074205507</v>
      </c>
      <c r="AN4" s="158">
        <v>0.85911105027260837</v>
      </c>
      <c r="AP4" s="156">
        <f t="array" ref="AP4:AU12">[1]!ELIM(AI4:AN12)</f>
        <v>1</v>
      </c>
      <c r="AQ4" s="157">
        <v>0</v>
      </c>
      <c r="AR4" s="157">
        <v>0</v>
      </c>
      <c r="AS4" s="157">
        <v>0.78088365547411032</v>
      </c>
      <c r="AT4" s="157">
        <v>0.60727235196507812</v>
      </c>
      <c r="AU4" s="158">
        <v>0.14642748086405946</v>
      </c>
    </row>
    <row r="5" spans="1:47" ht="14.45" x14ac:dyDescent="0.35">
      <c r="A5" s="123">
        <v>0.69848518848974062</v>
      </c>
      <c r="B5" s="37">
        <v>-0.30363015858216247</v>
      </c>
      <c r="C5" s="37">
        <v>-0.19538523477692776</v>
      </c>
      <c r="D5" s="90">
        <v>-0.26479923502506097</v>
      </c>
      <c r="E5" s="173">
        <f t="shared" ref="E5:E12" si="5">SUMSQ(A5:D5)</f>
        <v>0.6883668565788702</v>
      </c>
      <c r="G5" s="123">
        <f t="shared" ref="G5:G12" si="6">A5/SQRT($E5)</f>
        <v>0.84187424842751124</v>
      </c>
      <c r="H5" s="37">
        <f t="shared" si="0"/>
        <v>-0.36596110521538799</v>
      </c>
      <c r="I5" s="37">
        <f t="shared" si="0"/>
        <v>-0.23549504039923524</v>
      </c>
      <c r="J5" s="90">
        <f t="shared" si="0"/>
        <v>-0.31915874616169831</v>
      </c>
      <c r="L5" s="123">
        <f t="shared" ref="L5:L12" si="7">A953</f>
        <v>0.79376035029902881</v>
      </c>
      <c r="M5" s="37">
        <f t="shared" si="1"/>
        <v>-0.60192889087590784</v>
      </c>
      <c r="N5" s="37">
        <f t="shared" si="1"/>
        <v>8.465588005317852E-2</v>
      </c>
      <c r="O5" s="90">
        <f t="shared" si="1"/>
        <v>-2.1435918326132005E-2</v>
      </c>
      <c r="Q5" s="123">
        <f t="shared" ref="Q5:Q12" si="8">L5*SQRT($E5)</f>
        <v>0.65856610881005972</v>
      </c>
      <c r="R5" s="37">
        <f t="shared" si="2"/>
        <v>-0.49940762006462586</v>
      </c>
      <c r="S5" s="37">
        <f t="shared" si="2"/>
        <v>7.0237186190403672E-2</v>
      </c>
      <c r="T5" s="90">
        <f t="shared" si="2"/>
        <v>-1.7784926288511135E-2</v>
      </c>
      <c r="V5" s="192">
        <f t="shared" ref="V5:V12" si="9">A5</f>
        <v>0.69848518848974062</v>
      </c>
      <c r="W5" s="60">
        <f t="shared" si="3"/>
        <v>-0.30363015858216247</v>
      </c>
      <c r="X5" s="60">
        <f t="shared" si="3"/>
        <v>-0.19538523477692776</v>
      </c>
      <c r="Y5" s="193">
        <f t="shared" si="3"/>
        <v>-0.26479923502506097</v>
      </c>
      <c r="Z5" s="192">
        <f t="shared" ref="Z5:Z12" si="10">Q5</f>
        <v>0.65856610881005972</v>
      </c>
      <c r="AA5" s="60">
        <f t="shared" si="4"/>
        <v>-0.49940762006462586</v>
      </c>
      <c r="AB5" s="60">
        <f t="shared" si="4"/>
        <v>7.0237186190403672E-2</v>
      </c>
      <c r="AC5" s="193">
        <f t="shared" si="4"/>
        <v>-1.7784926288511135E-2</v>
      </c>
      <c r="AI5" s="194">
        <v>0.69807369973808031</v>
      </c>
      <c r="AJ5" s="195">
        <v>0.15333673618444155</v>
      </c>
      <c r="AK5" s="196">
        <v>8.3684842863132464E-2</v>
      </c>
      <c r="AL5" s="123">
        <v>0.4380521684646308</v>
      </c>
      <c r="AM5" s="37">
        <v>0.54610705803162629</v>
      </c>
      <c r="AN5" s="90">
        <v>0.16643189816322013</v>
      </c>
      <c r="AP5" s="123">
        <v>0</v>
      </c>
      <c r="AQ5" s="37">
        <v>1</v>
      </c>
      <c r="AR5" s="37">
        <v>0</v>
      </c>
      <c r="AS5" s="37">
        <v>-0.5958545055507557</v>
      </c>
      <c r="AT5" s="37">
        <v>0.79448189476308995</v>
      </c>
      <c r="AU5" s="90">
        <v>-0.11728566454820877</v>
      </c>
    </row>
    <row r="6" spans="1:47" ht="14.45" x14ac:dyDescent="0.35">
      <c r="A6" s="123">
        <v>0.75409390641255702</v>
      </c>
      <c r="B6" s="37">
        <v>0.34865162907379821</v>
      </c>
      <c r="C6" s="37">
        <v>-0.20204851885939915</v>
      </c>
      <c r="D6" s="90">
        <v>-0.30587511636421028</v>
      </c>
      <c r="E6" s="173">
        <f t="shared" si="5"/>
        <v>0.82459876892845996</v>
      </c>
      <c r="G6" s="123">
        <f t="shared" si="6"/>
        <v>0.83043202746503419</v>
      </c>
      <c r="H6" s="37">
        <f t="shared" si="0"/>
        <v>0.38394618594403762</v>
      </c>
      <c r="I6" s="37">
        <f t="shared" si="0"/>
        <v>-0.22250221058134792</v>
      </c>
      <c r="J6" s="90">
        <f t="shared" si="0"/>
        <v>-0.33683933907094721</v>
      </c>
      <c r="L6" s="123">
        <f t="shared" si="7"/>
        <v>0.98389509368607653</v>
      </c>
      <c r="M6" s="37">
        <f t="shared" si="1"/>
        <v>0.11717669447801496</v>
      </c>
      <c r="N6" s="37">
        <f t="shared" si="1"/>
        <v>0.1137215140446229</v>
      </c>
      <c r="O6" s="90">
        <f t="shared" si="1"/>
        <v>7.2715088771665951E-2</v>
      </c>
      <c r="Q6" s="123">
        <f t="shared" si="8"/>
        <v>0.89344975887159217</v>
      </c>
      <c r="R6" s="37">
        <f t="shared" si="2"/>
        <v>0.10640513414345347</v>
      </c>
      <c r="S6" s="37">
        <f t="shared" si="2"/>
        <v>0.10326757390468178</v>
      </c>
      <c r="T6" s="90">
        <f t="shared" si="2"/>
        <v>6.6030696713790041E-2</v>
      </c>
      <c r="V6" s="192">
        <f t="shared" si="9"/>
        <v>0.75409390641255702</v>
      </c>
      <c r="W6" s="60">
        <f t="shared" si="3"/>
        <v>0.34865162907379821</v>
      </c>
      <c r="X6" s="60">
        <f t="shared" si="3"/>
        <v>-0.20204851885939915</v>
      </c>
      <c r="Y6" s="193">
        <f t="shared" si="3"/>
        <v>-0.30587511636421028</v>
      </c>
      <c r="Z6" s="192">
        <f t="shared" si="10"/>
        <v>0.89344975887159217</v>
      </c>
      <c r="AA6" s="60">
        <f t="shared" si="4"/>
        <v>0.10640513414345347</v>
      </c>
      <c r="AB6" s="60">
        <f t="shared" si="4"/>
        <v>0.10326757390468178</v>
      </c>
      <c r="AC6" s="193">
        <f t="shared" si="4"/>
        <v>6.6030696713790041E-2</v>
      </c>
      <c r="AI6" s="194">
        <v>0.74438594238915312</v>
      </c>
      <c r="AJ6" s="195">
        <v>-0.40957759030043861</v>
      </c>
      <c r="AK6" s="196">
        <v>-2.0342245616596158E-2</v>
      </c>
      <c r="AL6" s="123">
        <v>0.82914282581978305</v>
      </c>
      <c r="AM6" s="37">
        <v>0.1265547980110012</v>
      </c>
      <c r="AN6" s="90">
        <v>0.13705509166611762</v>
      </c>
      <c r="AP6" s="123">
        <v>0</v>
      </c>
      <c r="AQ6" s="37">
        <v>0</v>
      </c>
      <c r="AR6" s="37">
        <v>1</v>
      </c>
      <c r="AS6" s="37">
        <v>-0.18755832380424223</v>
      </c>
      <c r="AT6" s="37">
        <v>4.3369842578192342E-3</v>
      </c>
      <c r="AU6" s="90">
        <v>0.98224389320539462</v>
      </c>
    </row>
    <row r="7" spans="1:47" ht="14.45" x14ac:dyDescent="0.35">
      <c r="A7" s="123">
        <v>0.36597842708944173</v>
      </c>
      <c r="B7" s="37">
        <v>0.16252503821235492</v>
      </c>
      <c r="C7" s="37">
        <v>-0.19730233536452252</v>
      </c>
      <c r="D7" s="90">
        <v>0.84984515757982271</v>
      </c>
      <c r="E7" s="173">
        <f t="shared" si="5"/>
        <v>0.92151960054295756</v>
      </c>
      <c r="G7" s="123">
        <f t="shared" si="6"/>
        <v>0.38124415825932645</v>
      </c>
      <c r="H7" s="37">
        <f t="shared" si="0"/>
        <v>0.16930429993402657</v>
      </c>
      <c r="I7" s="37">
        <f t="shared" si="0"/>
        <v>-0.20553223141281923</v>
      </c>
      <c r="J7" s="90">
        <f t="shared" si="0"/>
        <v>0.88529398939982307</v>
      </c>
      <c r="L7" s="123">
        <f t="shared" si="7"/>
        <v>4.8523124604023207E-2</v>
      </c>
      <c r="M7" s="37">
        <f t="shared" si="1"/>
        <v>-1.4241987239556936E-3</v>
      </c>
      <c r="N7" s="37">
        <f t="shared" si="1"/>
        <v>8.0575829303107444E-2</v>
      </c>
      <c r="O7" s="90">
        <f t="shared" si="1"/>
        <v>0.99556567526646567</v>
      </c>
      <c r="Q7" s="123">
        <f t="shared" si="8"/>
        <v>4.6580167683424371E-2</v>
      </c>
      <c r="R7" s="37">
        <f t="shared" si="2"/>
        <v>-1.3671711357779051E-3</v>
      </c>
      <c r="S7" s="37">
        <f t="shared" si="2"/>
        <v>7.7349421967325874E-2</v>
      </c>
      <c r="T7" s="90">
        <f t="shared" si="2"/>
        <v>0.95570135831542469</v>
      </c>
      <c r="V7" s="192">
        <f t="shared" si="9"/>
        <v>0.36597842708944173</v>
      </c>
      <c r="W7" s="60">
        <f t="shared" si="3"/>
        <v>0.16252503821235492</v>
      </c>
      <c r="X7" s="60">
        <f t="shared" si="3"/>
        <v>-0.19730233536452252</v>
      </c>
      <c r="Y7" s="193">
        <f t="shared" si="3"/>
        <v>0.84984515757982271</v>
      </c>
      <c r="Z7" s="192">
        <f t="shared" si="10"/>
        <v>4.6580167683424371E-2</v>
      </c>
      <c r="AA7" s="60">
        <f t="shared" si="4"/>
        <v>-1.3671711357779051E-3</v>
      </c>
      <c r="AB7" s="60">
        <f t="shared" si="4"/>
        <v>7.7349421967325874E-2</v>
      </c>
      <c r="AC7" s="193">
        <f t="shared" si="4"/>
        <v>0.95570135831542469</v>
      </c>
      <c r="AI7" s="194">
        <v>0.47052553753531157</v>
      </c>
      <c r="AJ7" s="195">
        <v>0.52224511849987132</v>
      </c>
      <c r="AK7" s="196">
        <v>0.13489810567247856</v>
      </c>
      <c r="AL7" s="123">
        <v>3.0942332300160295E-2</v>
      </c>
      <c r="AM7" s="37">
        <v>0.70123649207596495</v>
      </c>
      <c r="AN7" s="90">
        <v>0.14014884386495546</v>
      </c>
      <c r="AP7" s="123">
        <v>0</v>
      </c>
      <c r="AQ7" s="37">
        <v>0</v>
      </c>
      <c r="AR7" s="37">
        <v>0</v>
      </c>
      <c r="AS7" s="37">
        <v>-2.2204460492503131E-16</v>
      </c>
      <c r="AT7" s="37">
        <v>2.9490299091605721E-16</v>
      </c>
      <c r="AU7" s="90">
        <v>-3.3306690738754696E-16</v>
      </c>
    </row>
    <row r="8" spans="1:47" ht="14.45" x14ac:dyDescent="0.35">
      <c r="A8" s="123">
        <v>0.57816295036903198</v>
      </c>
      <c r="B8" s="37">
        <v>4.4133810816552592E-2</v>
      </c>
      <c r="C8" s="37">
        <v>0.45272186814106236</v>
      </c>
      <c r="D8" s="90">
        <v>0.15789519627173182</v>
      </c>
      <c r="E8" s="173">
        <f t="shared" si="5"/>
        <v>0.56610817333543717</v>
      </c>
      <c r="G8" s="123">
        <f t="shared" si="6"/>
        <v>0.76842333599823143</v>
      </c>
      <c r="H8" s="37">
        <f t="shared" si="0"/>
        <v>5.865725245162072E-2</v>
      </c>
      <c r="I8" s="37">
        <f t="shared" si="0"/>
        <v>0.6017024231218191</v>
      </c>
      <c r="J8" s="90">
        <f t="shared" si="0"/>
        <v>0.20985494380049169</v>
      </c>
      <c r="L8" s="123">
        <f t="shared" si="7"/>
        <v>0.35382199687428961</v>
      </c>
      <c r="M8" s="37">
        <f t="shared" si="1"/>
        <v>-0.11105140485348258</v>
      </c>
      <c r="N8" s="37">
        <f t="shared" si="1"/>
        <v>0.88627016197023301</v>
      </c>
      <c r="O8" s="90">
        <f t="shared" si="1"/>
        <v>0.27749374769391794</v>
      </c>
      <c r="Q8" s="123">
        <f t="shared" si="8"/>
        <v>0.26621623789256255</v>
      </c>
      <c r="R8" s="37">
        <f t="shared" si="2"/>
        <v>-8.3555255111178853E-2</v>
      </c>
      <c r="S8" s="37">
        <f t="shared" si="2"/>
        <v>0.66683109122798567</v>
      </c>
      <c r="T8" s="90">
        <f t="shared" si="2"/>
        <v>0.2087867407973209</v>
      </c>
      <c r="V8" s="192">
        <f t="shared" si="9"/>
        <v>0.57816295036903198</v>
      </c>
      <c r="W8" s="60">
        <f t="shared" si="3"/>
        <v>4.4133810816552592E-2</v>
      </c>
      <c r="X8" s="60">
        <f t="shared" si="3"/>
        <v>0.45272186814106236</v>
      </c>
      <c r="Y8" s="193">
        <f t="shared" si="3"/>
        <v>0.15789519627173182</v>
      </c>
      <c r="Z8" s="192">
        <f t="shared" si="10"/>
        <v>0.26621623789256255</v>
      </c>
      <c r="AA8" s="60">
        <f t="shared" si="4"/>
        <v>-8.3555255111178853E-2</v>
      </c>
      <c r="AB8" s="60">
        <f t="shared" si="4"/>
        <v>0.66683109122798567</v>
      </c>
      <c r="AC8" s="193">
        <f t="shared" si="4"/>
        <v>0.2087867407973209</v>
      </c>
      <c r="AI8" s="194">
        <v>0.68078968690372377</v>
      </c>
      <c r="AJ8" s="195">
        <v>-0.15585532840255137</v>
      </c>
      <c r="AK8" s="196">
        <v>-0.14833247439129119</v>
      </c>
      <c r="AL8" s="123">
        <v>0.65230562922377366</v>
      </c>
      <c r="AM8" s="37">
        <v>0.28895720213505266</v>
      </c>
      <c r="AN8" s="90">
        <v>-2.7732752518274773E-2</v>
      </c>
      <c r="AP8" s="123">
        <v>0</v>
      </c>
      <c r="AQ8" s="37">
        <v>0</v>
      </c>
      <c r="AR8" s="37">
        <v>0</v>
      </c>
      <c r="AS8" s="37">
        <v>-3.0531133177191805E-16</v>
      </c>
      <c r="AT8" s="37">
        <v>2.6031694161376961E-16</v>
      </c>
      <c r="AU8" s="90">
        <v>0</v>
      </c>
    </row>
    <row r="9" spans="1:47" ht="14.45" x14ac:dyDescent="0.35">
      <c r="A9" s="123">
        <v>0.29966683800482935</v>
      </c>
      <c r="B9" s="37">
        <v>3.0388016666011732E-2</v>
      </c>
      <c r="C9" s="37">
        <v>0.77085649526279787</v>
      </c>
      <c r="D9" s="90">
        <v>6.3738785375869411E-2</v>
      </c>
      <c r="E9" s="173">
        <f t="shared" si="5"/>
        <v>0.68900601440674147</v>
      </c>
      <c r="G9" s="123">
        <f t="shared" si="6"/>
        <v>0.36101660589276868</v>
      </c>
      <c r="H9" s="37">
        <f t="shared" si="0"/>
        <v>3.6609251492818316E-2</v>
      </c>
      <c r="I9" s="37">
        <f t="shared" si="0"/>
        <v>0.92867131179088125</v>
      </c>
      <c r="J9" s="90">
        <f t="shared" si="0"/>
        <v>7.6787809132731533E-2</v>
      </c>
      <c r="L9" s="123">
        <f t="shared" si="7"/>
        <v>-3.1030400308247719E-2</v>
      </c>
      <c r="M9" s="37">
        <f t="shared" si="1"/>
        <v>2.2822610548184633E-2</v>
      </c>
      <c r="N9" s="37">
        <f t="shared" si="1"/>
        <v>0.99756399142493035</v>
      </c>
      <c r="O9" s="90">
        <f t="shared" si="1"/>
        <v>-5.815776574833055E-2</v>
      </c>
      <c r="Q9" s="123">
        <f t="shared" si="8"/>
        <v>-2.5757213908211903E-2</v>
      </c>
      <c r="R9" s="37">
        <f t="shared" si="2"/>
        <v>1.8944224244414862E-2</v>
      </c>
      <c r="S9" s="37">
        <f t="shared" si="2"/>
        <v>0.82804181895881435</v>
      </c>
      <c r="T9" s="90">
        <f t="shared" si="2"/>
        <v>-4.827465962162511E-2</v>
      </c>
      <c r="V9" s="192">
        <f t="shared" si="9"/>
        <v>0.29966683800482935</v>
      </c>
      <c r="W9" s="60">
        <f t="shared" si="3"/>
        <v>3.0388016666011732E-2</v>
      </c>
      <c r="X9" s="60">
        <f t="shared" si="3"/>
        <v>0.77085649526279787</v>
      </c>
      <c r="Y9" s="193">
        <f t="shared" si="3"/>
        <v>6.3738785375869411E-2</v>
      </c>
      <c r="Z9" s="192">
        <f t="shared" si="10"/>
        <v>-2.5757213908211903E-2</v>
      </c>
      <c r="AA9" s="60">
        <f t="shared" si="4"/>
        <v>1.8944224244414862E-2</v>
      </c>
      <c r="AB9" s="60">
        <f t="shared" si="4"/>
        <v>0.82804181895881435</v>
      </c>
      <c r="AC9" s="193">
        <f t="shared" si="4"/>
        <v>-4.827465962162511E-2</v>
      </c>
      <c r="AI9" s="194">
        <v>0.49816917573692815</v>
      </c>
      <c r="AJ9" s="195">
        <v>-0.49820303064754523</v>
      </c>
      <c r="AK9" s="196">
        <v>-0.25325935865574634</v>
      </c>
      <c r="AL9" s="123">
        <v>0.73336958828156706</v>
      </c>
      <c r="AM9" s="37">
        <v>-9.4387302590942163E-2</v>
      </c>
      <c r="AN9" s="90">
        <v>-0.11738472746000909</v>
      </c>
      <c r="AP9" s="123">
        <v>0</v>
      </c>
      <c r="AQ9" s="37">
        <v>0</v>
      </c>
      <c r="AR9" s="37">
        <v>0</v>
      </c>
      <c r="AS9" s="37">
        <v>-8.3266726846886741E-17</v>
      </c>
      <c r="AT9" s="37">
        <v>2.1684043449710089E-17</v>
      </c>
      <c r="AU9" s="90">
        <v>3.3306690738754696E-16</v>
      </c>
    </row>
    <row r="10" spans="1:47" ht="14.45" x14ac:dyDescent="0.35">
      <c r="A10" s="123">
        <v>0.81718661596991582</v>
      </c>
      <c r="B10" s="37">
        <v>0.23935266908492384</v>
      </c>
      <c r="C10" s="37">
        <v>-0.1945147303529734</v>
      </c>
      <c r="D10" s="90">
        <v>-0.16643424455975536</v>
      </c>
      <c r="E10" s="173">
        <f t="shared" si="5"/>
        <v>0.79062000360490625</v>
      </c>
      <c r="G10" s="123">
        <f t="shared" si="6"/>
        <v>0.91904620467667064</v>
      </c>
      <c r="H10" s="37">
        <f t="shared" si="0"/>
        <v>0.26918718173160661</v>
      </c>
      <c r="I10" s="37">
        <f t="shared" si="0"/>
        <v>-0.21876034334266117</v>
      </c>
      <c r="J10" s="90">
        <f t="shared" si="0"/>
        <v>-0.18717971856321144</v>
      </c>
      <c r="L10" s="123">
        <f t="shared" si="7"/>
        <v>0.96166880882099004</v>
      </c>
      <c r="M10" s="37">
        <f t="shared" si="1"/>
        <v>-2.2571765161517293E-2</v>
      </c>
      <c r="N10" s="37">
        <f t="shared" si="1"/>
        <v>0.16744099300257245</v>
      </c>
      <c r="O10" s="90">
        <f t="shared" si="1"/>
        <v>0.21597946990541453</v>
      </c>
      <c r="Q10" s="123">
        <f t="shared" si="8"/>
        <v>0.85508527815608459</v>
      </c>
      <c r="R10" s="37">
        <f t="shared" si="2"/>
        <v>-2.0070094729673801E-2</v>
      </c>
      <c r="S10" s="37">
        <f t="shared" si="2"/>
        <v>0.14888319841824801</v>
      </c>
      <c r="T10" s="90">
        <f t="shared" si="2"/>
        <v>0.19204206625615175</v>
      </c>
      <c r="V10" s="192">
        <f t="shared" si="9"/>
        <v>0.81718661596991582</v>
      </c>
      <c r="W10" s="60">
        <f t="shared" si="3"/>
        <v>0.23935266908492384</v>
      </c>
      <c r="X10" s="60">
        <f t="shared" si="3"/>
        <v>-0.1945147303529734</v>
      </c>
      <c r="Y10" s="193">
        <f t="shared" si="3"/>
        <v>-0.16643424455975536</v>
      </c>
      <c r="Z10" s="192">
        <f t="shared" si="10"/>
        <v>0.85508527815608459</v>
      </c>
      <c r="AA10" s="60">
        <f t="shared" si="4"/>
        <v>-2.0070094729673801E-2</v>
      </c>
      <c r="AB10" s="60">
        <f t="shared" si="4"/>
        <v>0.14888319841824801</v>
      </c>
      <c r="AC10" s="193">
        <f t="shared" si="4"/>
        <v>0.19204206625615175</v>
      </c>
      <c r="AI10" s="194">
        <v>0.8604957870010006</v>
      </c>
      <c r="AJ10" s="195">
        <v>-0.1150420711694501</v>
      </c>
      <c r="AK10" s="196">
        <v>1.1605686981563886E-2</v>
      </c>
      <c r="AL10" s="123">
        <v>0.73831868891076147</v>
      </c>
      <c r="AM10" s="37">
        <v>0.43120679142970381</v>
      </c>
      <c r="AN10" s="90">
        <v>0.15089263131689856</v>
      </c>
      <c r="AP10" s="123">
        <v>0</v>
      </c>
      <c r="AQ10" s="37">
        <v>0</v>
      </c>
      <c r="AR10" s="37">
        <v>0</v>
      </c>
      <c r="AS10" s="37">
        <v>-1.7347234759768071E-16</v>
      </c>
      <c r="AT10" s="37">
        <v>-8.0230960763927328E-18</v>
      </c>
      <c r="AU10" s="90">
        <v>-1.1102230246251565E-16</v>
      </c>
    </row>
    <row r="11" spans="1:47" ht="14.45" x14ac:dyDescent="0.35">
      <c r="A11" s="123">
        <v>0.68789272835115534</v>
      </c>
      <c r="B11" s="37">
        <v>3.5303982803739795E-2</v>
      </c>
      <c r="C11" s="37">
        <v>0.11603236905909446</v>
      </c>
      <c r="D11" s="90">
        <v>0.11762701672483196</v>
      </c>
      <c r="E11" s="173">
        <f t="shared" si="5"/>
        <v>0.50174240265325287</v>
      </c>
      <c r="G11" s="123">
        <f t="shared" si="6"/>
        <v>0.97113658653329049</v>
      </c>
      <c r="H11" s="37">
        <f t="shared" si="0"/>
        <v>4.9840604411146003E-2</v>
      </c>
      <c r="I11" s="37">
        <f t="shared" si="0"/>
        <v>0.16380937633330739</v>
      </c>
      <c r="J11" s="90">
        <f t="shared" si="0"/>
        <v>0.16606062951131315</v>
      </c>
      <c r="L11" s="123">
        <f t="shared" si="7"/>
        <v>0.67505563991120554</v>
      </c>
      <c r="M11" s="37">
        <f t="shared" si="1"/>
        <v>-0.22040826459599316</v>
      </c>
      <c r="N11" s="37">
        <f t="shared" si="1"/>
        <v>0.56879395426716584</v>
      </c>
      <c r="O11" s="90">
        <f t="shared" si="1"/>
        <v>0.41496206755675519</v>
      </c>
      <c r="Q11" s="123">
        <f t="shared" si="8"/>
        <v>0.47816740957625925</v>
      </c>
      <c r="R11" s="37">
        <f t="shared" si="2"/>
        <v>-0.15612349960505134</v>
      </c>
      <c r="S11" s="37">
        <f t="shared" si="2"/>
        <v>0.40289824366231958</v>
      </c>
      <c r="T11" s="90">
        <f t="shared" si="2"/>
        <v>0.29393330739688656</v>
      </c>
      <c r="V11" s="192">
        <f t="shared" si="9"/>
        <v>0.68789272835115534</v>
      </c>
      <c r="W11" s="60">
        <f t="shared" si="3"/>
        <v>3.5303982803739795E-2</v>
      </c>
      <c r="X11" s="60">
        <f t="shared" si="3"/>
        <v>0.11603236905909446</v>
      </c>
      <c r="Y11" s="193">
        <f t="shared" si="3"/>
        <v>0.11762701672483196</v>
      </c>
      <c r="Z11" s="192">
        <f t="shared" si="10"/>
        <v>0.47816740957625925</v>
      </c>
      <c r="AA11" s="60">
        <f t="shared" si="4"/>
        <v>-0.15612349960505134</v>
      </c>
      <c r="AB11" s="60">
        <f t="shared" si="4"/>
        <v>0.40289824366231958</v>
      </c>
      <c r="AC11" s="193">
        <f t="shared" si="4"/>
        <v>0.29393330739688656</v>
      </c>
      <c r="AI11" s="194">
        <v>0.64178906622912479</v>
      </c>
      <c r="AJ11" s="195">
        <v>0.32154746844579774</v>
      </c>
      <c r="AK11" s="196">
        <v>4.3814865308338655E-2</v>
      </c>
      <c r="AL11" s="123">
        <v>0.30134924156350584</v>
      </c>
      <c r="AM11" s="37">
        <v>0.64539442208262487</v>
      </c>
      <c r="AN11" s="90">
        <v>9.9299531574300506E-2</v>
      </c>
      <c r="AP11" s="123">
        <v>0</v>
      </c>
      <c r="AQ11" s="37">
        <v>0</v>
      </c>
      <c r="AR11" s="37">
        <v>0</v>
      </c>
      <c r="AS11" s="37">
        <v>-3.1918911957973251E-16</v>
      </c>
      <c r="AT11" s="37">
        <v>-3.664603343001005E-17</v>
      </c>
      <c r="AU11" s="90">
        <v>-1.6653345369377348E-16</v>
      </c>
    </row>
    <row r="12" spans="1:47" ht="14.45" x14ac:dyDescent="0.35">
      <c r="A12" s="91">
        <v>0.30145846294129131</v>
      </c>
      <c r="B12" s="92">
        <v>-0.74107631451599432</v>
      </c>
      <c r="C12" s="92">
        <v>-0.3441987786860507</v>
      </c>
      <c r="D12" s="93">
        <v>0.23397915226264601</v>
      </c>
      <c r="E12" s="174">
        <f t="shared" si="5"/>
        <v>0.81329035175805031</v>
      </c>
      <c r="G12" s="91">
        <f t="shared" si="6"/>
        <v>0.33427559488722935</v>
      </c>
      <c r="H12" s="92">
        <f t="shared" si="0"/>
        <v>-0.82175077612570924</v>
      </c>
      <c r="I12" s="92">
        <f t="shared" si="0"/>
        <v>-0.38166867296455587</v>
      </c>
      <c r="J12" s="93">
        <f t="shared" si="0"/>
        <v>0.25945040504315714</v>
      </c>
      <c r="L12" s="91">
        <f t="shared" si="7"/>
        <v>6.9878279150220726E-2</v>
      </c>
      <c r="M12" s="92">
        <f t="shared" si="1"/>
        <v>-0.92632891258735084</v>
      </c>
      <c r="N12" s="92">
        <f t="shared" si="1"/>
        <v>-0.20311339272564966</v>
      </c>
      <c r="O12" s="93">
        <f t="shared" si="1"/>
        <v>0.30947814382152455</v>
      </c>
      <c r="Q12" s="91">
        <f t="shared" si="8"/>
        <v>6.3018057398759875E-2</v>
      </c>
      <c r="R12" s="92">
        <f t="shared" si="2"/>
        <v>-0.83538760961854774</v>
      </c>
      <c r="S12" s="92">
        <f t="shared" si="2"/>
        <v>-0.1831729629993531</v>
      </c>
      <c r="T12" s="93">
        <f t="shared" si="2"/>
        <v>0.27909547384646627</v>
      </c>
      <c r="V12" s="197">
        <f t="shared" si="9"/>
        <v>0.30145846294129131</v>
      </c>
      <c r="W12" s="198">
        <f t="shared" si="3"/>
        <v>-0.74107631451599432</v>
      </c>
      <c r="X12" s="198">
        <f t="shared" si="3"/>
        <v>-0.3441987786860507</v>
      </c>
      <c r="Y12" s="199">
        <f t="shared" si="3"/>
        <v>0.23397915226264601</v>
      </c>
      <c r="Z12" s="197">
        <f t="shared" si="10"/>
        <v>6.3018057398759875E-2</v>
      </c>
      <c r="AA12" s="198">
        <f t="shared" si="4"/>
        <v>-0.83538760961854774</v>
      </c>
      <c r="AB12" s="198">
        <f t="shared" si="4"/>
        <v>-0.1831729629993531</v>
      </c>
      <c r="AC12" s="199">
        <f t="shared" si="4"/>
        <v>0.27909547384646627</v>
      </c>
      <c r="AI12" s="200">
        <v>0.29787837167899389</v>
      </c>
      <c r="AJ12" s="201">
        <v>0.59564132520222801</v>
      </c>
      <c r="AK12" s="202">
        <v>-0.5334811818405415</v>
      </c>
      <c r="AL12" s="91">
        <v>-2.2248379303483948E-2</v>
      </c>
      <c r="AM12" s="92">
        <v>0.65180584852740908</v>
      </c>
      <c r="AN12" s="93">
        <v>-0.55025124209274456</v>
      </c>
      <c r="AP12" s="91">
        <v>0</v>
      </c>
      <c r="AQ12" s="92">
        <v>0</v>
      </c>
      <c r="AR12" s="92">
        <v>0</v>
      </c>
      <c r="AS12" s="92">
        <v>-1.5959455978986625E-16</v>
      </c>
      <c r="AT12" s="92">
        <v>-1.1340754724198376E-16</v>
      </c>
      <c r="AU12" s="93">
        <v>-1.1102230246251565E-16</v>
      </c>
    </row>
    <row r="14" spans="1:47" ht="14.45" x14ac:dyDescent="0.35">
      <c r="AE14" t="s">
        <v>462</v>
      </c>
      <c r="AI14" t="s">
        <v>463</v>
      </c>
    </row>
    <row r="15" spans="1:47" ht="14.45" x14ac:dyDescent="0.35">
      <c r="A15">
        <v>1</v>
      </c>
      <c r="B15">
        <v>2</v>
      </c>
      <c r="C15">
        <v>3</v>
      </c>
      <c r="D15">
        <v>4</v>
      </c>
      <c r="F15">
        <v>1</v>
      </c>
      <c r="G15">
        <v>2</v>
      </c>
      <c r="I15" s="47" t="s">
        <v>207</v>
      </c>
      <c r="J15" s="47" t="s">
        <v>464</v>
      </c>
      <c r="K15" s="47" t="s">
        <v>465</v>
      </c>
      <c r="L15" s="47" t="s">
        <v>466</v>
      </c>
      <c r="Q15">
        <f>F15</f>
        <v>1</v>
      </c>
      <c r="R15">
        <f>G15</f>
        <v>2</v>
      </c>
      <c r="V15" s="156">
        <f t="array" ref="V15:AC23">[1]!ELIM(V4:AC12)</f>
        <v>1</v>
      </c>
      <c r="W15" s="157">
        <v>0</v>
      </c>
      <c r="X15" s="157">
        <v>0</v>
      </c>
      <c r="Y15" s="157">
        <v>0</v>
      </c>
      <c r="Z15" s="156">
        <v>0.80768766116372104</v>
      </c>
      <c r="AA15" s="157">
        <v>-0.28667430156054741</v>
      </c>
      <c r="AB15" s="157">
        <v>0.41164506926728484</v>
      </c>
      <c r="AC15" s="158">
        <v>0.30984967932302698</v>
      </c>
      <c r="AE15" s="156">
        <f t="array" ref="AE15:AH23">A4:D12</f>
        <v>-0.18443788055245225</v>
      </c>
      <c r="AF15" s="157">
        <v>0.76673944089161006</v>
      </c>
      <c r="AG15" s="157">
        <v>-0.27758481196302998</v>
      </c>
      <c r="AH15" s="158">
        <v>0.11515839253464147</v>
      </c>
      <c r="AI15" s="156">
        <f t="array" ref="AI15:AL23">[1]!VARIMAX(AE15:AH23,100)</f>
        <v>9.3044211001315102E-2</v>
      </c>
      <c r="AJ15" s="157">
        <v>0.75088947279199736</v>
      </c>
      <c r="AK15" s="157">
        <v>-0.28778265042245305</v>
      </c>
      <c r="AL15" s="158">
        <v>0.23855901946960667</v>
      </c>
      <c r="AS15" s="156">
        <f t="array" ref="AS15:AU17">AS4:AU6</f>
        <v>0.78088365547411032</v>
      </c>
      <c r="AT15" s="157">
        <v>0.60727235196507812</v>
      </c>
      <c r="AU15" s="158">
        <v>0.14642748086405946</v>
      </c>
    </row>
    <row r="16" spans="1:47" ht="14.45" x14ac:dyDescent="0.35">
      <c r="A16" s="189">
        <f t="shared" ref="A16:D24" si="11">G4</f>
        <v>-0.21854586186362432</v>
      </c>
      <c r="B16" s="190">
        <f t="shared" si="11"/>
        <v>0.90853208371604444</v>
      </c>
      <c r="C16" s="190">
        <f t="shared" si="11"/>
        <v>-0.32891839674691975</v>
      </c>
      <c r="D16" s="191">
        <f t="shared" si="11"/>
        <v>0.13645456167642001</v>
      </c>
      <c r="F16" s="156">
        <f>INDEX(A16:D24,,F15)</f>
        <v>-0.21854586186362432</v>
      </c>
      <c r="G16" s="158">
        <f>INDEX(A16:D24,,G15)</f>
        <v>0.90853208371604444</v>
      </c>
      <c r="I16" s="156">
        <f>F16^2-G16^2</f>
        <v>-0.77766825340370327</v>
      </c>
      <c r="J16" s="157">
        <f>2*F16*G16</f>
        <v>-0.39711185453295483</v>
      </c>
      <c r="K16" s="157">
        <f>I16^2-J16^2</f>
        <v>0.44707008734136378</v>
      </c>
      <c r="L16" s="158">
        <f t="shared" ref="L16:L24" si="12">I16*J16</f>
        <v>0.30882128232054845</v>
      </c>
      <c r="N16" t="s">
        <v>390</v>
      </c>
      <c r="O16" s="172">
        <f>L25*B26-2*I25*J25</f>
        <v>10.797704160579647</v>
      </c>
      <c r="Q16" s="156">
        <f t="array" ref="Q16:R24">MMULT(F16:G24,N20:O21)</f>
        <v>-4.4582702254963413E-2</v>
      </c>
      <c r="R16" s="158">
        <v>0.93338374934363266</v>
      </c>
      <c r="V16" s="123">
        <v>0</v>
      </c>
      <c r="W16" s="37">
        <v>1</v>
      </c>
      <c r="X16" s="37">
        <v>0</v>
      </c>
      <c r="Y16" s="37">
        <v>0</v>
      </c>
      <c r="Z16" s="123">
        <v>0.26161017740874476</v>
      </c>
      <c r="AA16" s="37">
        <v>0.95192919745277393</v>
      </c>
      <c r="AB16" s="37">
        <v>3.215644697121308E-2</v>
      </c>
      <c r="AC16" s="90">
        <v>0.15606691203221368</v>
      </c>
      <c r="AE16" s="123">
        <v>0.69848518848974062</v>
      </c>
      <c r="AF16" s="37">
        <v>-0.30363015858216247</v>
      </c>
      <c r="AG16" s="37">
        <v>-0.19538523477692776</v>
      </c>
      <c r="AH16" s="90">
        <v>-0.26479923502506097</v>
      </c>
      <c r="AI16" s="123">
        <v>0.65869691024767973</v>
      </c>
      <c r="AJ16" s="37">
        <v>-0.49931312319314547</v>
      </c>
      <c r="AK16" s="37">
        <v>6.975101896830023E-2</v>
      </c>
      <c r="AL16" s="90">
        <v>-1.7505352582024167E-2</v>
      </c>
      <c r="AS16" s="123">
        <v>-0.5958545055507557</v>
      </c>
      <c r="AT16" s="37">
        <v>0.79448189476308995</v>
      </c>
      <c r="AU16" s="90">
        <v>-0.11728566454820877</v>
      </c>
    </row>
    <row r="17" spans="1:47" ht="14.45" x14ac:dyDescent="0.35">
      <c r="A17" s="194">
        <f t="shared" si="11"/>
        <v>0.84187424842751124</v>
      </c>
      <c r="B17" s="195">
        <f t="shared" si="11"/>
        <v>-0.36596110521538799</v>
      </c>
      <c r="C17" s="195">
        <f t="shared" si="11"/>
        <v>-0.23549504039923524</v>
      </c>
      <c r="D17" s="196">
        <f t="shared" si="11"/>
        <v>-0.31915874616169831</v>
      </c>
      <c r="F17" s="123">
        <f>INDEX(A17:D25,,F15)</f>
        <v>0.84187424842751124</v>
      </c>
      <c r="G17" s="90">
        <f>INDEX(A16:D24,,G15)</f>
        <v>-0.36596110521538799</v>
      </c>
      <c r="I17" s="123">
        <f t="shared" ref="I17:I24" si="13">F17^2-G17^2</f>
        <v>0.57482471963491866</v>
      </c>
      <c r="J17" s="37">
        <f t="shared" ref="J17:J24" si="14">2*F17*G17</f>
        <v>-0.61618646081381223</v>
      </c>
      <c r="K17" s="37">
        <f t="shared" ref="K17:K24" si="15">I17^2-J17^2</f>
        <v>-4.9262296186888932E-2</v>
      </c>
      <c r="L17" s="90">
        <f t="shared" si="12"/>
        <v>-0.3541992095801324</v>
      </c>
      <c r="N17" t="s">
        <v>392</v>
      </c>
      <c r="O17" s="173">
        <f>K25*B26-(I25^2-J25^2)</f>
        <v>11.513191876374965</v>
      </c>
      <c r="Q17" s="123">
        <v>0.75847108252874218</v>
      </c>
      <c r="R17" s="90">
        <v>-0.51710869037711338</v>
      </c>
      <c r="V17" s="123">
        <v>0</v>
      </c>
      <c r="W17" s="37">
        <v>0</v>
      </c>
      <c r="X17" s="37">
        <v>1</v>
      </c>
      <c r="Y17" s="37">
        <v>0</v>
      </c>
      <c r="Z17" s="123">
        <v>-0.32314344730417399</v>
      </c>
      <c r="AA17" s="37">
        <v>0.10152176338363665</v>
      </c>
      <c r="AB17" s="37">
        <v>0.90319380149662432</v>
      </c>
      <c r="AC17" s="90">
        <v>-0.2636524245326185</v>
      </c>
      <c r="AE17" s="123">
        <v>0.75409390641255702</v>
      </c>
      <c r="AF17" s="37">
        <v>0.34865162907379821</v>
      </c>
      <c r="AG17" s="37">
        <v>-0.20204851885939915</v>
      </c>
      <c r="AH17" s="90">
        <v>-0.30587511636421028</v>
      </c>
      <c r="AI17" s="123">
        <v>0.89343770771827546</v>
      </c>
      <c r="AJ17" s="37">
        <v>0.10660633892082662</v>
      </c>
      <c r="AK17" s="37">
        <v>0.1033744945787235</v>
      </c>
      <c r="AL17" s="90">
        <v>6.5701093811782518E-2</v>
      </c>
      <c r="AS17" s="91">
        <v>-0.18755832380424223</v>
      </c>
      <c r="AT17" s="92">
        <v>4.3369842578192342E-3</v>
      </c>
      <c r="AU17" s="93">
        <v>0.98224389320539462</v>
      </c>
    </row>
    <row r="18" spans="1:47" ht="14.45" x14ac:dyDescent="0.35">
      <c r="A18" s="194">
        <f t="shared" si="11"/>
        <v>0.83043202746503419</v>
      </c>
      <c r="B18" s="195">
        <f t="shared" si="11"/>
        <v>0.38394618594403762</v>
      </c>
      <c r="C18" s="195">
        <f t="shared" si="11"/>
        <v>-0.22250221058134792</v>
      </c>
      <c r="D18" s="196">
        <f t="shared" si="11"/>
        <v>-0.33683933907094721</v>
      </c>
      <c r="F18" s="123">
        <f>INDEX(A18:D26,,F15)</f>
        <v>0.83043202746503419</v>
      </c>
      <c r="G18" s="90">
        <f>INDEX(A16:D24,,G15)</f>
        <v>0.38394618594403762</v>
      </c>
      <c r="I18" s="123">
        <f t="shared" si="13"/>
        <v>0.54220267853871384</v>
      </c>
      <c r="J18" s="37">
        <f t="shared" si="14"/>
        <v>0.63768241926194835</v>
      </c>
      <c r="K18" s="37">
        <f t="shared" si="15"/>
        <v>-0.11265512322121546</v>
      </c>
      <c r="L18" s="90">
        <f t="shared" si="12"/>
        <v>0.34575311578087553</v>
      </c>
      <c r="N18" t="s">
        <v>467</v>
      </c>
      <c r="O18" s="174">
        <f>0.25*ATAN(O16/O17)</f>
        <v>0.18833504210414834</v>
      </c>
      <c r="Q18" s="123">
        <v>0.88763156215296024</v>
      </c>
      <c r="R18" s="90">
        <v>0.22168048134771884</v>
      </c>
      <c r="V18" s="123">
        <v>0</v>
      </c>
      <c r="W18" s="37">
        <v>0</v>
      </c>
      <c r="X18" s="37">
        <v>0</v>
      </c>
      <c r="Y18" s="37">
        <v>1</v>
      </c>
      <c r="Z18" s="123">
        <v>-0.41806586747116492</v>
      </c>
      <c r="AA18" s="37">
        <v>-3.6633037291046472E-2</v>
      </c>
      <c r="AB18" s="37">
        <v>0.1172828069420091</v>
      </c>
      <c r="AC18" s="90">
        <v>0.90006871639348651</v>
      </c>
      <c r="AE18" s="123">
        <v>0.36597842708944173</v>
      </c>
      <c r="AF18" s="37">
        <v>0.16252503821235492</v>
      </c>
      <c r="AG18" s="37">
        <v>-0.19730233536452252</v>
      </c>
      <c r="AH18" s="90">
        <v>0.84984515757982271</v>
      </c>
      <c r="AI18" s="123">
        <v>4.6860080201476362E-2</v>
      </c>
      <c r="AJ18" s="37">
        <v>-5.6519618337628119E-4</v>
      </c>
      <c r="AK18" s="37">
        <v>7.7072404609851805E-2</v>
      </c>
      <c r="AL18" s="90">
        <v>0.95571086549614936</v>
      </c>
    </row>
    <row r="19" spans="1:47" ht="14.45" x14ac:dyDescent="0.35">
      <c r="A19" s="194">
        <f t="shared" si="11"/>
        <v>0.38124415825932645</v>
      </c>
      <c r="B19" s="195">
        <f t="shared" si="11"/>
        <v>0.16930429993402657</v>
      </c>
      <c r="C19" s="195">
        <f t="shared" si="11"/>
        <v>-0.20553223141281923</v>
      </c>
      <c r="D19" s="196">
        <f t="shared" si="11"/>
        <v>0.88529398939982307</v>
      </c>
      <c r="F19" s="123">
        <f>INDEX(A19:D27,,F15)</f>
        <v>0.38124415825932645</v>
      </c>
      <c r="G19" s="90">
        <f>INDEX(A16:D24,,G15)</f>
        <v>0.16930429993402657</v>
      </c>
      <c r="I19" s="123">
        <f t="shared" si="13"/>
        <v>0.11668316223071154</v>
      </c>
      <c r="J19" s="37">
        <f t="shared" si="14"/>
        <v>0.12909255063606501</v>
      </c>
      <c r="K19" s="37">
        <f t="shared" si="15"/>
        <v>-3.0499262815664608E-3</v>
      </c>
      <c r="L19" s="90">
        <f t="shared" si="12"/>
        <v>1.5062927028644318E-2</v>
      </c>
      <c r="Q19" s="123">
        <v>0.40620050528160723</v>
      </c>
      <c r="R19" s="90">
        <v>9.4932627120396199E-2</v>
      </c>
      <c r="V19" s="123">
        <v>0</v>
      </c>
      <c r="W19" s="37">
        <v>0</v>
      </c>
      <c r="X19" s="37">
        <v>0</v>
      </c>
      <c r="Y19" s="37">
        <v>0</v>
      </c>
      <c r="Z19" s="123">
        <v>1.9428902930940239E-16</v>
      </c>
      <c r="AA19" s="37">
        <v>-4.2500725161431774E-17</v>
      </c>
      <c r="AB19" s="37">
        <v>-2.4286128663675299E-17</v>
      </c>
      <c r="AC19" s="90">
        <v>5.5511151231257827E-17</v>
      </c>
      <c r="AE19" s="123">
        <v>0.57816295036903198</v>
      </c>
      <c r="AF19" s="37">
        <v>4.4133810816552592E-2</v>
      </c>
      <c r="AG19" s="37">
        <v>0.45272186814106236</v>
      </c>
      <c r="AH19" s="90">
        <v>0.15789519627173182</v>
      </c>
      <c r="AI19" s="123">
        <v>0.26628706702688987</v>
      </c>
      <c r="AJ19" s="37">
        <v>-8.3966477967249376E-2</v>
      </c>
      <c r="AK19" s="37">
        <v>0.6666913418866387</v>
      </c>
      <c r="AL19" s="90">
        <v>0.20897764593568968</v>
      </c>
      <c r="AS19" s="156">
        <f t="array" ref="AS19:AU21">MINVERSE(AS15:AU17)</f>
        <v>0.7808836554741091</v>
      </c>
      <c r="AT19" s="157">
        <v>-0.59585450555075492</v>
      </c>
      <c r="AU19" s="158">
        <v>-0.18755832380424181</v>
      </c>
    </row>
    <row r="20" spans="1:47" ht="14.45" x14ac:dyDescent="0.35">
      <c r="A20" s="194">
        <f t="shared" si="11"/>
        <v>0.76842333599823143</v>
      </c>
      <c r="B20" s="195">
        <f t="shared" si="11"/>
        <v>5.865725245162072E-2</v>
      </c>
      <c r="C20" s="195">
        <f t="shared" si="11"/>
        <v>0.6017024231218191</v>
      </c>
      <c r="D20" s="196">
        <f t="shared" si="11"/>
        <v>0.20985494380049169</v>
      </c>
      <c r="F20" s="123">
        <f>INDEX(A20:D28,,F15)</f>
        <v>0.76842333599823143</v>
      </c>
      <c r="G20" s="90">
        <f>INDEX(A16:D24,,G15)</f>
        <v>5.865725245162072E-2</v>
      </c>
      <c r="I20" s="123">
        <f t="shared" si="13"/>
        <v>0.58703375004147773</v>
      </c>
      <c r="J20" s="37">
        <f t="shared" si="14"/>
        <v>9.0147203218729668E-2</v>
      </c>
      <c r="K20" s="37">
        <f t="shared" si="15"/>
        <v>0.33648210543960116</v>
      </c>
      <c r="L20" s="90">
        <f t="shared" si="12"/>
        <v>5.2919450761242048E-2</v>
      </c>
      <c r="N20" s="156">
        <f>COS(O18)</f>
        <v>0.98231731598119665</v>
      </c>
      <c r="O20" s="158">
        <f>-N21</f>
        <v>-0.1872236382604982</v>
      </c>
      <c r="Q20" s="123">
        <v>0.76581757316945698</v>
      </c>
      <c r="R20" s="90">
        <v>-8.6246977898750632E-2</v>
      </c>
      <c r="V20" s="123">
        <v>0</v>
      </c>
      <c r="W20" s="37">
        <v>0</v>
      </c>
      <c r="X20" s="37">
        <v>0</v>
      </c>
      <c r="Y20" s="37">
        <v>0</v>
      </c>
      <c r="Z20" s="123">
        <v>5.5511151231257827E-17</v>
      </c>
      <c r="AA20" s="37">
        <v>-1.3877787807814457E-17</v>
      </c>
      <c r="AB20" s="37">
        <v>8.6736173798840355E-18</v>
      </c>
      <c r="AC20" s="90">
        <v>-2.7755575615628914E-17</v>
      </c>
      <c r="AE20" s="123">
        <v>0.29966683800482935</v>
      </c>
      <c r="AF20" s="37">
        <v>3.0388016666011732E-2</v>
      </c>
      <c r="AG20" s="37">
        <v>0.77085649526279787</v>
      </c>
      <c r="AH20" s="90">
        <v>6.3738785375869411E-2</v>
      </c>
      <c r="AI20" s="123">
        <v>-2.5793478802084414E-2</v>
      </c>
      <c r="AJ20" s="37">
        <v>1.8056347172927621E-2</v>
      </c>
      <c r="AK20" s="37">
        <v>0.82807395009893447</v>
      </c>
      <c r="AL20" s="90">
        <v>-4.8043858632978206E-2</v>
      </c>
      <c r="AS20" s="123">
        <v>0.60727235196507789</v>
      </c>
      <c r="AT20" s="37">
        <v>0.79448189476309028</v>
      </c>
      <c r="AU20" s="90">
        <v>4.3369842578186426E-3</v>
      </c>
    </row>
    <row r="21" spans="1:47" ht="14.45" x14ac:dyDescent="0.35">
      <c r="A21" s="194">
        <f t="shared" si="11"/>
        <v>0.36101660589276868</v>
      </c>
      <c r="B21" s="195">
        <f t="shared" si="11"/>
        <v>3.6609251492818316E-2</v>
      </c>
      <c r="C21" s="195">
        <f t="shared" si="11"/>
        <v>0.92867131179088125</v>
      </c>
      <c r="D21" s="196">
        <f t="shared" si="11"/>
        <v>7.6787809132731533E-2</v>
      </c>
      <c r="F21" s="123">
        <f>INDEX(A21:D29,,F15)</f>
        <v>0.36101660589276868</v>
      </c>
      <c r="G21" s="90">
        <f>INDEX(A16:D24,,G15)</f>
        <v>3.6609251492818316E-2</v>
      </c>
      <c r="I21" s="123">
        <f t="shared" si="13"/>
        <v>0.12899275243547023</v>
      </c>
      <c r="J21" s="37">
        <f t="shared" si="14"/>
        <v>2.6433095436424088E-2</v>
      </c>
      <c r="K21" s="37">
        <f t="shared" si="15"/>
        <v>1.5940421646527408E-2</v>
      </c>
      <c r="L21" s="90">
        <f t="shared" si="12"/>
        <v>3.4096777357338105E-3</v>
      </c>
      <c r="N21" s="91">
        <f>SIN(O18)</f>
        <v>0.1872236382604982</v>
      </c>
      <c r="O21" s="93">
        <f>N20</f>
        <v>0.98231731598119665</v>
      </c>
      <c r="Q21" s="123">
        <v>0.36148698058370499</v>
      </c>
      <c r="R21" s="90">
        <v>-3.1628940761194664E-2</v>
      </c>
      <c r="V21" s="123">
        <v>0</v>
      </c>
      <c r="W21" s="37">
        <v>0</v>
      </c>
      <c r="X21" s="37">
        <v>0</v>
      </c>
      <c r="Y21" s="37">
        <v>0</v>
      </c>
      <c r="Z21" s="123">
        <v>-2.2204460492503131E-16</v>
      </c>
      <c r="AA21" s="37">
        <v>2.1857515797307769E-16</v>
      </c>
      <c r="AB21" s="37">
        <v>1.3877787807814457E-17</v>
      </c>
      <c r="AC21" s="90">
        <v>5.5511151231257827E-17</v>
      </c>
      <c r="AE21" s="123">
        <v>0.81718661596991582</v>
      </c>
      <c r="AF21" s="37">
        <v>0.23935266908492384</v>
      </c>
      <c r="AG21" s="37">
        <v>-0.1945147303529734</v>
      </c>
      <c r="AH21" s="90">
        <v>-0.16643424455975536</v>
      </c>
      <c r="AI21" s="123">
        <v>0.85514419325934388</v>
      </c>
      <c r="AJ21" s="37">
        <v>-1.9811067237213646E-2</v>
      </c>
      <c r="AK21" s="37">
        <v>0.14882496420674807</v>
      </c>
      <c r="AL21" s="90">
        <v>0.19185167182882343</v>
      </c>
      <c r="AS21" s="91">
        <v>0.14642748086405916</v>
      </c>
      <c r="AT21" s="92">
        <v>-0.11728566454820934</v>
      </c>
      <c r="AU21" s="93">
        <v>0.98224389320539451</v>
      </c>
    </row>
    <row r="22" spans="1:47" ht="14.45" x14ac:dyDescent="0.35">
      <c r="A22" s="194">
        <f t="shared" si="11"/>
        <v>0.91904620467667064</v>
      </c>
      <c r="B22" s="195">
        <f t="shared" si="11"/>
        <v>0.26918718173160661</v>
      </c>
      <c r="C22" s="195">
        <f t="shared" si="11"/>
        <v>-0.21876034334266117</v>
      </c>
      <c r="D22" s="196">
        <f t="shared" si="11"/>
        <v>-0.18717971856321144</v>
      </c>
      <c r="F22" s="123">
        <f>INDEX(A22:D30,,F15)</f>
        <v>0.91904620467667064</v>
      </c>
      <c r="G22" s="90">
        <f>INDEX(A16:D24,,G15)</f>
        <v>0.26918718173160661</v>
      </c>
      <c r="I22" s="123">
        <f t="shared" si="13"/>
        <v>0.77218418752198781</v>
      </c>
      <c r="J22" s="37">
        <f t="shared" si="14"/>
        <v>0.4947909154360845</v>
      </c>
      <c r="K22" s="37">
        <f t="shared" si="15"/>
        <v>0.3514503694609139</v>
      </c>
      <c r="L22" s="90">
        <f t="shared" si="12"/>
        <v>0.3820697210292735</v>
      </c>
      <c r="Q22" s="123">
        <v>0.95319320457757395</v>
      </c>
      <c r="R22" s="90">
        <v>9.2360055686065617E-2</v>
      </c>
      <c r="V22" s="123">
        <v>0</v>
      </c>
      <c r="W22" s="37">
        <v>0</v>
      </c>
      <c r="X22" s="37">
        <v>0</v>
      </c>
      <c r="Y22" s="37">
        <v>0</v>
      </c>
      <c r="Z22" s="123">
        <v>6.9388939039072284E-17</v>
      </c>
      <c r="AA22" s="37">
        <v>6.0715321659188248E-17</v>
      </c>
      <c r="AB22" s="37">
        <v>-1.700029006457271E-16</v>
      </c>
      <c r="AC22" s="90">
        <v>1.1102230246251565E-16</v>
      </c>
      <c r="AE22" s="123">
        <v>0.68789272835115534</v>
      </c>
      <c r="AF22" s="37">
        <v>3.5303982803739795E-2</v>
      </c>
      <c r="AG22" s="37">
        <v>0.11603236905909446</v>
      </c>
      <c r="AH22" s="90">
        <v>0.11762701672483196</v>
      </c>
      <c r="AI22" s="123">
        <v>0.47828862013992957</v>
      </c>
      <c r="AJ22" s="37">
        <v>-0.15613230069330614</v>
      </c>
      <c r="AK22" s="37">
        <v>0.40266502254007863</v>
      </c>
      <c r="AL22" s="90">
        <v>0.29405098673683805</v>
      </c>
    </row>
    <row r="23" spans="1:47" ht="14.45" x14ac:dyDescent="0.35">
      <c r="A23" s="194">
        <f t="shared" si="11"/>
        <v>0.97113658653329049</v>
      </c>
      <c r="B23" s="195">
        <f t="shared" si="11"/>
        <v>4.9840604411146003E-2</v>
      </c>
      <c r="C23" s="195">
        <f t="shared" si="11"/>
        <v>0.16380937633330739</v>
      </c>
      <c r="D23" s="196">
        <f t="shared" si="11"/>
        <v>0.16606062951131315</v>
      </c>
      <c r="F23" s="123">
        <f>INDEX(A23:D31,,F15)</f>
        <v>0.97113658653329049</v>
      </c>
      <c r="G23" s="90">
        <f>INDEX(A16:D24,,G15)</f>
        <v>4.9840604411146003E-2</v>
      </c>
      <c r="I23" s="123">
        <f t="shared" si="13"/>
        <v>0.94062218385546281</v>
      </c>
      <c r="J23" s="37">
        <f t="shared" si="14"/>
        <v>9.6804068877192784E-2</v>
      </c>
      <c r="K23" s="37">
        <f t="shared" si="15"/>
        <v>0.87539906500983977</v>
      </c>
      <c r="L23" s="90">
        <f t="shared" si="12"/>
        <v>9.1056054673359713E-2</v>
      </c>
      <c r="Q23" s="123">
        <v>0.96329562442548</v>
      </c>
      <c r="R23" s="90">
        <v>-0.13286043622660626</v>
      </c>
      <c r="V23" s="91">
        <v>0</v>
      </c>
      <c r="W23" s="92">
        <v>0</v>
      </c>
      <c r="X23" s="92">
        <v>0</v>
      </c>
      <c r="Y23" s="92">
        <v>0</v>
      </c>
      <c r="Z23" s="91">
        <v>1.9428902930940239E-16</v>
      </c>
      <c r="AA23" s="92">
        <v>1.3877787807814457E-16</v>
      </c>
      <c r="AB23" s="92">
        <v>-7.6327832942979512E-17</v>
      </c>
      <c r="AC23" s="93">
        <v>0</v>
      </c>
      <c r="AE23" s="91">
        <v>0.30145846294129131</v>
      </c>
      <c r="AF23" s="92">
        <v>-0.74107631451599432</v>
      </c>
      <c r="AG23" s="92">
        <v>-0.3441987786860507</v>
      </c>
      <c r="AH23" s="93">
        <v>0.23397915226264601</v>
      </c>
      <c r="AI23" s="91">
        <v>6.3333904536896662E-2</v>
      </c>
      <c r="AJ23" s="92">
        <v>-0.83493103442524585</v>
      </c>
      <c r="AK23" s="92">
        <v>-0.1840969221434437</v>
      </c>
      <c r="AL23" s="93">
        <v>0.27978144917964382</v>
      </c>
    </row>
    <row r="24" spans="1:47" ht="14.45" x14ac:dyDescent="0.35">
      <c r="A24" s="200">
        <f t="shared" si="11"/>
        <v>0.33427559488722935</v>
      </c>
      <c r="B24" s="201">
        <f t="shared" si="11"/>
        <v>-0.82175077612570924</v>
      </c>
      <c r="C24" s="201">
        <f t="shared" si="11"/>
        <v>-0.38166867296455587</v>
      </c>
      <c r="D24" s="202">
        <f t="shared" si="11"/>
        <v>0.25945040504315714</v>
      </c>
      <c r="F24" s="91">
        <f>INDEX(A24:D32,,F15)</f>
        <v>0.33427559488722935</v>
      </c>
      <c r="G24" s="93">
        <f>INDEX(A16:D24,,G15)</f>
        <v>-0.82175077612570924</v>
      </c>
      <c r="I24" s="91">
        <f t="shared" si="13"/>
        <v>-0.56353416472599438</v>
      </c>
      <c r="J24" s="92">
        <f t="shared" si="14"/>
        <v>-0.54938245907692773</v>
      </c>
      <c r="K24" s="92">
        <f t="shared" si="15"/>
        <v>1.574966847201198E-2</v>
      </c>
      <c r="L24" s="93">
        <f t="shared" si="12"/>
        <v>0.30959578519102926</v>
      </c>
      <c r="Q24" s="91">
        <v>0.1745135351179975</v>
      </c>
      <c r="R24" s="93">
        <v>-0.86980430986575141</v>
      </c>
    </row>
    <row r="25" spans="1:47" ht="14.45" x14ac:dyDescent="0.35">
      <c r="I25">
        <f>SUM(I16:I24)</f>
        <v>2.3213410161290446</v>
      </c>
      <c r="J25">
        <f>SUM(J16:J24)</f>
        <v>-8.7730521557250529E-2</v>
      </c>
      <c r="K25">
        <f>SUM(K16:K24)</f>
        <v>1.877124371680587</v>
      </c>
      <c r="L25">
        <f>SUM(L16:L24)</f>
        <v>1.1544888049405744</v>
      </c>
      <c r="Z25" s="156">
        <f t="array" ref="Z25:AC28">MINVERSE(Z15:AC18)</f>
        <v>0.80768766116372137</v>
      </c>
      <c r="AA25" s="157">
        <v>0.26161017740874448</v>
      </c>
      <c r="AB25" s="157">
        <v>-0.32314344730417405</v>
      </c>
      <c r="AC25" s="158">
        <v>-0.41806586747116509</v>
      </c>
    </row>
    <row r="26" spans="1:47" ht="14.45" x14ac:dyDescent="0.35">
      <c r="A26" s="47" t="s">
        <v>53</v>
      </c>
      <c r="B26">
        <f>COUNT(A16:A24)</f>
        <v>9</v>
      </c>
      <c r="I26" s="47" t="s">
        <v>462</v>
      </c>
      <c r="J26" s="47" t="s">
        <v>389</v>
      </c>
      <c r="K26" s="47" t="s">
        <v>469</v>
      </c>
      <c r="L26" s="47" t="s">
        <v>470</v>
      </c>
      <c r="N26" s="47"/>
      <c r="Z26" s="123">
        <v>-0.28667430156054746</v>
      </c>
      <c r="AA26" s="37">
        <v>0.95192919745277349</v>
      </c>
      <c r="AB26" s="37">
        <v>0.10152176338363679</v>
      </c>
      <c r="AC26" s="90">
        <v>-3.6633037291046298E-2</v>
      </c>
    </row>
    <row r="27" spans="1:47" ht="14.45" x14ac:dyDescent="0.35">
      <c r="Z27" s="123">
        <v>0.41164506926728467</v>
      </c>
      <c r="AA27" s="37">
        <v>3.2156446971213198E-2</v>
      </c>
      <c r="AB27" s="37">
        <v>0.90319380149662387</v>
      </c>
      <c r="AC27" s="90">
        <v>0.11728280694200907</v>
      </c>
    </row>
    <row r="28" spans="1:47" ht="14.45" x14ac:dyDescent="0.35">
      <c r="A28">
        <v>1</v>
      </c>
      <c r="B28">
        <v>2</v>
      </c>
      <c r="C28">
        <v>3</v>
      </c>
      <c r="D28">
        <v>4</v>
      </c>
      <c r="F28">
        <v>1</v>
      </c>
      <c r="G28">
        <v>3</v>
      </c>
      <c r="I28" s="47" t="s">
        <v>207</v>
      </c>
      <c r="J28" s="47" t="s">
        <v>464</v>
      </c>
      <c r="K28" s="47" t="s">
        <v>465</v>
      </c>
      <c r="L28" s="47" t="s">
        <v>466</v>
      </c>
      <c r="Q28">
        <f>F28</f>
        <v>1</v>
      </c>
      <c r="R28">
        <f>G28</f>
        <v>3</v>
      </c>
      <c r="Z28" s="91">
        <v>0.30984967932302704</v>
      </c>
      <c r="AA28" s="92">
        <v>0.15606691203221373</v>
      </c>
      <c r="AB28" s="92">
        <v>-0.26365242453261845</v>
      </c>
      <c r="AC28" s="93">
        <v>0.90006871639348673</v>
      </c>
    </row>
    <row r="29" spans="1:47" ht="14.45" x14ac:dyDescent="0.35">
      <c r="A29" s="189">
        <f t="array" ref="A29:A37">IF(A28=$Q15,$Q16:$Q24,IF(A28=$R15,$R16:$R24,A16:A24))</f>
        <v>-4.4582702254963413E-2</v>
      </c>
      <c r="B29" s="190">
        <f t="array" ref="B29:B37">IF(B28=$Q15,$Q16:$Q24,IF(B28=$R15,$R16:$R24,B16:B24))</f>
        <v>0.93338374934363266</v>
      </c>
      <c r="C29" s="190">
        <f t="array" ref="C29:C37">IF(C28=$Q15,$Q16:$Q24,IF(C28=$R15,$R16:$R24,C16:C24))</f>
        <v>-0.32891839674691975</v>
      </c>
      <c r="D29" s="191">
        <f t="array" ref="D29:D37">IF(D28=$Q15,$Q16:$Q24,IF(D28=$R15,$R16:$R24,D16:D24))</f>
        <v>0.13645456167642001</v>
      </c>
      <c r="F29" s="156">
        <f>INDEX(A29:D37,,F28)</f>
        <v>-4.4582702254963413E-2</v>
      </c>
      <c r="G29" s="158">
        <f>INDEX(A29:D37,,G28)</f>
        <v>-0.32891839674691975</v>
      </c>
      <c r="I29" s="156">
        <f>F29^2-G29^2</f>
        <v>-0.10619969437820939</v>
      </c>
      <c r="J29" s="157">
        <f>2*F29*G29</f>
        <v>2.9328141896695699E-2</v>
      </c>
      <c r="K29" s="157">
        <f>I29^2-J29^2</f>
        <v>1.0418235178912362E-2</v>
      </c>
      <c r="L29" s="158">
        <f t="shared" ref="L29:L37" si="16">I29*J29</f>
        <v>-3.1146397061098414E-3</v>
      </c>
      <c r="N29" t="s">
        <v>390</v>
      </c>
      <c r="O29" s="172">
        <f>L38*B39-2*I38*J38</f>
        <v>-9.8637469142433538</v>
      </c>
      <c r="Q29" s="156">
        <f t="array" ref="Q29:R37">MMULT(F29:G37,N33:O34)</f>
        <v>5.1999756084740043E-2</v>
      </c>
      <c r="R29" s="158">
        <v>-0.32782762913770153</v>
      </c>
    </row>
    <row r="30" spans="1:47" ht="14.45" x14ac:dyDescent="0.35">
      <c r="A30" s="194">
        <v>0.75847108252874218</v>
      </c>
      <c r="B30" s="195">
        <v>-0.51710869037711338</v>
      </c>
      <c r="C30" s="195">
        <v>-0.23549504039923524</v>
      </c>
      <c r="D30" s="196">
        <v>-0.31915874616169831</v>
      </c>
      <c r="F30" s="123">
        <f>INDEX(A30:D38,,F28)</f>
        <v>0.75847108252874218</v>
      </c>
      <c r="G30" s="90">
        <f>INDEX(A29:D37,,G28)</f>
        <v>-0.23549504039923524</v>
      </c>
      <c r="I30" s="123">
        <f t="shared" ref="I30:I37" si="17">F30^2-G30^2</f>
        <v>0.51982046897968459</v>
      </c>
      <c r="J30" s="37">
        <f t="shared" ref="J30:J37" si="18">2*F30*G30</f>
        <v>-0.35723235644351564</v>
      </c>
      <c r="K30" s="37">
        <f t="shared" ref="K30:K37" si="19">I30^2-J30^2</f>
        <v>0.14259836348007221</v>
      </c>
      <c r="L30" s="90">
        <f t="shared" si="16"/>
        <v>-0.18569669106118616</v>
      </c>
      <c r="N30" t="s">
        <v>392</v>
      </c>
      <c r="O30" s="173">
        <f>K38*B39-(I38^2-J38^2)</f>
        <v>4.2014335718362732</v>
      </c>
      <c r="Q30" s="123">
        <v>0.79415678456229433</v>
      </c>
      <c r="R30" s="90">
        <v>-7.1623053995910901E-3</v>
      </c>
    </row>
    <row r="31" spans="1:47" ht="14.45" x14ac:dyDescent="0.35">
      <c r="A31" s="194">
        <v>0.88763156215296024</v>
      </c>
      <c r="B31" s="195">
        <v>0.22168048134771884</v>
      </c>
      <c r="C31" s="195">
        <v>-0.22250221058134792</v>
      </c>
      <c r="D31" s="196">
        <v>-0.33683933907094721</v>
      </c>
      <c r="F31" s="123">
        <f>INDEX(A31:D39,,F28)</f>
        <v>0.88763156215296024</v>
      </c>
      <c r="G31" s="90">
        <f>INDEX(A29:D37,,G28)</f>
        <v>-0.22250221058134792</v>
      </c>
      <c r="I31" s="123">
        <f t="shared" si="17"/>
        <v>0.73838255641651807</v>
      </c>
      <c r="J31" s="37">
        <f t="shared" si="18"/>
        <v>-0.39499996952161753</v>
      </c>
      <c r="K31" s="37">
        <f t="shared" si="19"/>
        <v>0.38918382369811377</v>
      </c>
      <c r="L31" s="90">
        <f t="shared" si="16"/>
        <v>-0.29166108727981865</v>
      </c>
      <c r="N31" t="s">
        <v>467</v>
      </c>
      <c r="O31" s="174">
        <f>0.25*ATAN(O29/O30)</f>
        <v>-0.29203095529931172</v>
      </c>
      <c r="Q31" s="123">
        <v>0.91410815024926584</v>
      </c>
      <c r="R31" s="90">
        <v>4.2465438789169779E-2</v>
      </c>
    </row>
    <row r="32" spans="1:47" x14ac:dyDescent="0.25">
      <c r="A32" s="194">
        <v>0.40620050528160723</v>
      </c>
      <c r="B32" s="195">
        <v>9.4932627120396199E-2</v>
      </c>
      <c r="C32" s="195">
        <v>-0.20553223141281923</v>
      </c>
      <c r="D32" s="196">
        <v>0.88529398939982307</v>
      </c>
      <c r="F32" s="123">
        <f>INDEX(A32:D40,,F28)</f>
        <v>0.40620050528160723</v>
      </c>
      <c r="G32" s="90">
        <f>INDEX(A29:D37,,G28)</f>
        <v>-0.20553223141281923</v>
      </c>
      <c r="I32" s="123">
        <f t="shared" si="17"/>
        <v>0.12275535234150034</v>
      </c>
      <c r="J32" s="37">
        <f t="shared" si="18"/>
        <v>-0.1669745925030868</v>
      </c>
      <c r="K32" s="37">
        <f t="shared" si="19"/>
        <v>-1.2811638013085998E-2</v>
      </c>
      <c r="L32" s="90">
        <f t="shared" si="16"/>
        <v>-2.0497024934794862E-2</v>
      </c>
      <c r="Q32" s="123">
        <v>0.44817471442625662</v>
      </c>
      <c r="R32" s="90">
        <v>-7.9886006218292296E-2</v>
      </c>
    </row>
    <row r="33" spans="1:18" x14ac:dyDescent="0.25">
      <c r="A33" s="194">
        <v>0.76581757316945698</v>
      </c>
      <c r="B33" s="195">
        <v>-8.6246977898750632E-2</v>
      </c>
      <c r="C33" s="195">
        <v>0.6017024231218191</v>
      </c>
      <c r="D33" s="196">
        <v>0.20985494380049169</v>
      </c>
      <c r="F33" s="123">
        <f>INDEX(A33:D41,,F28)</f>
        <v>0.76581757316945698</v>
      </c>
      <c r="G33" s="90">
        <f>INDEX(A29:D37,,G28)</f>
        <v>0.6017024231218191</v>
      </c>
      <c r="I33" s="123">
        <f t="shared" si="17"/>
        <v>0.22443074938448804</v>
      </c>
      <c r="J33" s="37">
        <f t="shared" si="18"/>
        <v>0.92158857889066648</v>
      </c>
      <c r="K33" s="37">
        <f t="shared" si="19"/>
        <v>-0.79895634747243527</v>
      </c>
      <c r="L33" s="90">
        <f t="shared" si="16"/>
        <v>0.20683281538461765</v>
      </c>
      <c r="N33" s="156">
        <f>COS(O31)</f>
        <v>0.95766114345338604</v>
      </c>
      <c r="O33" s="158">
        <f>-N34</f>
        <v>0.28789778449920939</v>
      </c>
      <c r="Q33" s="123">
        <v>0.56016493825358182</v>
      </c>
      <c r="R33" s="90">
        <v>0.79670421319156226</v>
      </c>
    </row>
    <row r="34" spans="1:18" x14ac:dyDescent="0.25">
      <c r="A34" s="194">
        <v>0.36148698058370499</v>
      </c>
      <c r="B34" s="195">
        <v>-3.1628940761194664E-2</v>
      </c>
      <c r="C34" s="195">
        <v>0.92867131179088125</v>
      </c>
      <c r="D34" s="196">
        <v>7.6787809132731533E-2</v>
      </c>
      <c r="F34" s="123">
        <f>INDEX(A34:D42,,F28)</f>
        <v>0.36148698058370499</v>
      </c>
      <c r="G34" s="90">
        <f>INDEX(A29:D37,,G28)</f>
        <v>0.92867131179088125</v>
      </c>
      <c r="I34" s="123">
        <f t="shared" si="17"/>
        <v>-0.73175756821187232</v>
      </c>
      <c r="J34" s="37">
        <f t="shared" si="18"/>
        <v>0.67140517690798829</v>
      </c>
      <c r="K34" s="37">
        <f t="shared" si="19"/>
        <v>8.4684227056505912E-2</v>
      </c>
      <c r="L34" s="90">
        <f t="shared" si="16"/>
        <v>-0.49130581953905145</v>
      </c>
      <c r="N34" s="91">
        <f>SIN(O31)</f>
        <v>-0.28789778449920939</v>
      </c>
      <c r="O34" s="93">
        <f>N33</f>
        <v>0.95766114345338604</v>
      </c>
      <c r="Q34" s="123">
        <v>7.88196219767337E-2</v>
      </c>
      <c r="R34" s="90">
        <v>0.99342373117736871</v>
      </c>
    </row>
    <row r="35" spans="1:18" x14ac:dyDescent="0.25">
      <c r="A35" s="194">
        <v>0.95319320457757395</v>
      </c>
      <c r="B35" s="195">
        <v>9.2360055686065617E-2</v>
      </c>
      <c r="C35" s="195">
        <v>-0.21876034334266117</v>
      </c>
      <c r="D35" s="196">
        <v>-0.18717971856321144</v>
      </c>
      <c r="F35" s="123">
        <f>INDEX(A35:D43,,F28)</f>
        <v>0.95319320457757395</v>
      </c>
      <c r="G35" s="90">
        <f>INDEX(A29:D37,,G28)</f>
        <v>-0.21876034334266117</v>
      </c>
      <c r="I35" s="123">
        <f t="shared" si="17"/>
        <v>0.86072119743346576</v>
      </c>
      <c r="J35" s="37">
        <f t="shared" si="18"/>
        <v>-0.4170417454105631</v>
      </c>
      <c r="K35" s="37">
        <f t="shared" si="19"/>
        <v>0.56691716229621014</v>
      </c>
      <c r="L35" s="90">
        <f t="shared" si="16"/>
        <v>-0.35895667048952246</v>
      </c>
      <c r="Q35" s="123">
        <v>0.97581671241239532</v>
      </c>
      <c r="R35" s="90">
        <v>6.4923931249796979E-2</v>
      </c>
    </row>
    <row r="36" spans="1:18" x14ac:dyDescent="0.25">
      <c r="A36" s="194">
        <v>0.96329562442548</v>
      </c>
      <c r="B36" s="195">
        <v>-0.13286043622660626</v>
      </c>
      <c r="C36" s="195">
        <v>0.16380937633330739</v>
      </c>
      <c r="D36" s="196">
        <v>0.16606062951131315</v>
      </c>
      <c r="F36" s="123">
        <f>INDEX(A36:D44,,F28)</f>
        <v>0.96329562442548</v>
      </c>
      <c r="G36" s="90">
        <f>INDEX(A29:D37,,G28)</f>
        <v>0.16380937633330739</v>
      </c>
      <c r="I36" s="123">
        <f t="shared" si="17"/>
        <v>0.90110494826256826</v>
      </c>
      <c r="J36" s="37">
        <f t="shared" si="18"/>
        <v>0.31559371092348359</v>
      </c>
      <c r="K36" s="37">
        <f t="shared" si="19"/>
        <v>0.71239073740883052</v>
      </c>
      <c r="L36" s="90">
        <f t="shared" si="16"/>
        <v>0.28438305455369761</v>
      </c>
      <c r="Q36" s="123">
        <v>0.87535043264439216</v>
      </c>
      <c r="R36" s="90">
        <v>0.43420455073761932</v>
      </c>
    </row>
    <row r="37" spans="1:18" x14ac:dyDescent="0.25">
      <c r="A37" s="200">
        <v>0.1745135351179975</v>
      </c>
      <c r="B37" s="201">
        <v>-0.86980430986575141</v>
      </c>
      <c r="C37" s="201">
        <v>-0.38166867296455587</v>
      </c>
      <c r="D37" s="202">
        <v>0.25945040504315714</v>
      </c>
      <c r="F37" s="91">
        <f>INDEX(A37:D45,,F28)</f>
        <v>0.1745135351179975</v>
      </c>
      <c r="G37" s="93">
        <f>INDEX(A29:D37,,G28)</f>
        <v>-0.38166867296455587</v>
      </c>
      <c r="I37" s="91">
        <f t="shared" si="17"/>
        <v>-0.11521600198314455</v>
      </c>
      <c r="J37" s="92">
        <f t="shared" si="18"/>
        <v>-0.13321269872567904</v>
      </c>
      <c r="K37" s="92">
        <f t="shared" si="19"/>
        <v>-4.4708959887985594E-3</v>
      </c>
      <c r="L37" s="93">
        <f t="shared" si="16"/>
        <v>1.5348234560557873E-2</v>
      </c>
      <c r="Q37" s="91">
        <v>0.27700639694844303</v>
      </c>
      <c r="R37" s="93">
        <v>-0.31526719764597655</v>
      </c>
    </row>
    <row r="38" spans="1:18" x14ac:dyDescent="0.25">
      <c r="I38">
        <f>SUM(I29:I37)</f>
        <v>2.4140420082449987</v>
      </c>
      <c r="J38">
        <f>SUM(J29:J37)</f>
        <v>0.46845424601437197</v>
      </c>
      <c r="K38">
        <f>SUM(K29:K37)</f>
        <v>1.0899536676443251</v>
      </c>
      <c r="L38">
        <f>SUM(L29:L37)</f>
        <v>-0.84466782851161015</v>
      </c>
    </row>
    <row r="39" spans="1:18" x14ac:dyDescent="0.25">
      <c r="A39" s="47" t="s">
        <v>53</v>
      </c>
      <c r="B39">
        <f>COUNT(A29:A37)</f>
        <v>9</v>
      </c>
      <c r="I39" s="47" t="s">
        <v>462</v>
      </c>
      <c r="J39" s="47" t="s">
        <v>389</v>
      </c>
      <c r="K39" s="47" t="s">
        <v>469</v>
      </c>
      <c r="L39" s="47" t="s">
        <v>470</v>
      </c>
      <c r="N39" s="47"/>
    </row>
    <row r="41" spans="1:18" x14ac:dyDescent="0.25">
      <c r="A41">
        <v>1</v>
      </c>
      <c r="B41">
        <v>2</v>
      </c>
      <c r="C41">
        <v>3</v>
      </c>
      <c r="D41">
        <v>4</v>
      </c>
      <c r="F41">
        <v>1</v>
      </c>
      <c r="G41">
        <v>4</v>
      </c>
      <c r="I41" s="47" t="s">
        <v>207</v>
      </c>
      <c r="J41" s="47" t="s">
        <v>464</v>
      </c>
      <c r="K41" s="47" t="s">
        <v>465</v>
      </c>
      <c r="L41" s="47" t="s">
        <v>466</v>
      </c>
      <c r="Q41">
        <f>F41</f>
        <v>1</v>
      </c>
      <c r="R41">
        <f>G41</f>
        <v>4</v>
      </c>
    </row>
    <row r="42" spans="1:18" x14ac:dyDescent="0.25">
      <c r="A42" s="189">
        <f t="array" ref="A42:A50">IF(A41=$Q28,$Q29:$Q37,IF(A41=$R28,$R29:$R37,A29:A37))</f>
        <v>5.1999756084740043E-2</v>
      </c>
      <c r="B42" s="190">
        <f t="array" ref="B42:B50">IF(B41=$Q28,$Q29:$Q37,IF(B41=$R28,$R29:$R37,B29:B37))</f>
        <v>0.93338374934363266</v>
      </c>
      <c r="C42" s="190">
        <f t="array" ref="C42:C50">IF(C41=$Q28,$Q29:$Q37,IF(C41=$R28,$R29:$R37,C29:C37))</f>
        <v>-0.32782762913770153</v>
      </c>
      <c r="D42" s="191">
        <f t="array" ref="D42:D50">IF(D41=$Q28,$Q29:$Q37,IF(D41=$R28,$R29:$R37,D29:D37))</f>
        <v>0.13645456167642001</v>
      </c>
      <c r="F42" s="156">
        <f>INDEX(A42:D50,,F41)</f>
        <v>5.1999756084740043E-2</v>
      </c>
      <c r="G42" s="158">
        <f>INDEX(A42:D50,,G41)</f>
        <v>0.13645456167642001</v>
      </c>
      <c r="I42" s="156">
        <f>F42^2-G42^2</f>
        <v>-1.5915872769431454E-2</v>
      </c>
      <c r="J42" s="157">
        <f>2*F42*G42</f>
        <v>1.4191207847647913E-2</v>
      </c>
      <c r="K42" s="157">
        <f>I42^2-J42^2</f>
        <v>5.1924625837585951E-5</v>
      </c>
      <c r="L42" s="158">
        <f t="shared" ref="L42:L50" si="20">I42*J42</f>
        <v>-2.2586545854772137E-4</v>
      </c>
      <c r="N42" t="s">
        <v>390</v>
      </c>
      <c r="O42" s="172">
        <f>L51*B52-2*I51*J51</f>
        <v>-11.086600445766452</v>
      </c>
      <c r="Q42" s="156">
        <f t="array" ref="Q42:R50">MMULT(F42:G50,N46:O47)</f>
        <v>4.4525469351076596E-3</v>
      </c>
      <c r="R42" s="158">
        <v>0.145958887571011</v>
      </c>
    </row>
    <row r="43" spans="1:18" x14ac:dyDescent="0.25">
      <c r="A43" s="194">
        <v>0.79415678456229433</v>
      </c>
      <c r="B43" s="195">
        <v>-0.51710869037711338</v>
      </c>
      <c r="C43" s="195">
        <v>-7.1623053995910901E-3</v>
      </c>
      <c r="D43" s="196">
        <v>-0.31915874616169831</v>
      </c>
      <c r="F43" s="123">
        <f>INDEX(A43:D51,,F41)</f>
        <v>0.79415678456229433</v>
      </c>
      <c r="G43" s="90">
        <f>INDEX(A42:D50,,G41)</f>
        <v>-0.31915874616169831</v>
      </c>
      <c r="I43" s="123">
        <f t="shared" ref="I43:I50" si="21">F43^2-G43^2</f>
        <v>0.5288226932148149</v>
      </c>
      <c r="J43" s="37">
        <f t="shared" ref="J43:J50" si="22">2*F43*G43</f>
        <v>-0.50692416723341571</v>
      </c>
      <c r="K43" s="37">
        <f t="shared" ref="K43:K50" si="23">I43^2-J43^2</f>
        <v>2.2681329533678241E-2</v>
      </c>
      <c r="L43" s="90">
        <f t="shared" si="20"/>
        <v>-0.26807300337205214</v>
      </c>
      <c r="N43" t="s">
        <v>392</v>
      </c>
      <c r="O43" s="173">
        <f>K51*B52-(I51^2-J51^2)</f>
        <v>2.6711371794561938</v>
      </c>
      <c r="Q43" s="123">
        <v>0.85488179504886008</v>
      </c>
      <c r="R43" s="90">
        <v>-4.1526138899112275E-2</v>
      </c>
    </row>
    <row r="44" spans="1:18" x14ac:dyDescent="0.25">
      <c r="A44" s="194">
        <v>0.91410815024926584</v>
      </c>
      <c r="B44" s="195">
        <v>0.22168048134771884</v>
      </c>
      <c r="C44" s="195">
        <v>4.2465438789169779E-2</v>
      </c>
      <c r="D44" s="196">
        <v>-0.33683933907094721</v>
      </c>
      <c r="F44" s="123">
        <f>INDEX(A44:D52,,F41)</f>
        <v>0.91410815024926584</v>
      </c>
      <c r="G44" s="90">
        <f>INDEX(A42:D50,,G41)</f>
        <v>-0.33683933907094721</v>
      </c>
      <c r="I44" s="123">
        <f t="shared" si="21"/>
        <v>0.72213297000638188</v>
      </c>
      <c r="J44" s="37">
        <f t="shared" si="22"/>
        <v>-0.61581517033865762</v>
      </c>
      <c r="K44" s="37">
        <f t="shared" si="23"/>
        <v>0.14224770235100814</v>
      </c>
      <c r="L44" s="90">
        <f t="shared" si="20"/>
        <v>-0.44470043793164077</v>
      </c>
      <c r="N44" t="s">
        <v>467</v>
      </c>
      <c r="O44" s="174">
        <f>0.25*ATAN(O42/O43)</f>
        <v>-0.33359213908225654</v>
      </c>
      <c r="Q44" s="123">
        <v>0.97400983002612218</v>
      </c>
      <c r="R44" s="90">
        <v>-1.8955255481567679E-2</v>
      </c>
    </row>
    <row r="45" spans="1:18" x14ac:dyDescent="0.25">
      <c r="A45" s="194">
        <v>0.44817471442625662</v>
      </c>
      <c r="B45" s="195">
        <v>9.4932627120396199E-2</v>
      </c>
      <c r="C45" s="195">
        <v>-7.9886006218292296E-2</v>
      </c>
      <c r="D45" s="196">
        <v>0.88529398939982307</v>
      </c>
      <c r="F45" s="123">
        <f>INDEX(A45:D53,,F41)</f>
        <v>0.44817471442625662</v>
      </c>
      <c r="G45" s="90">
        <f>INDEX(A42:D50,,G41)</f>
        <v>0.88529398939982307</v>
      </c>
      <c r="I45" s="123">
        <f t="shared" si="21"/>
        <v>-0.58288487301639735</v>
      </c>
      <c r="J45" s="37">
        <f t="shared" si="22"/>
        <v>0.79353276176509435</v>
      </c>
      <c r="K45" s="37">
        <f t="shared" si="23"/>
        <v>-0.28993946880319632</v>
      </c>
      <c r="L45" s="90">
        <f t="shared" si="20"/>
        <v>-0.46253824307579811</v>
      </c>
      <c r="Q45" s="123">
        <v>0.13358784751216146</v>
      </c>
      <c r="R45" s="90">
        <v>0.9832397008438879</v>
      </c>
    </row>
    <row r="46" spans="1:18" x14ac:dyDescent="0.25">
      <c r="A46" s="194">
        <v>0.56016493825358182</v>
      </c>
      <c r="B46" s="195">
        <v>-8.6246977898750632E-2</v>
      </c>
      <c r="C46" s="195">
        <v>0.79670421319156226</v>
      </c>
      <c r="D46" s="196">
        <v>0.20985494380049169</v>
      </c>
      <c r="F46" s="123">
        <f>INDEX(A46:D54,,F41)</f>
        <v>0.56016493825358182</v>
      </c>
      <c r="G46" s="90">
        <f>INDEX(A42:D50,,G41)</f>
        <v>0.20985494380049169</v>
      </c>
      <c r="I46" s="123">
        <f t="shared" si="21"/>
        <v>0.26974566061113164</v>
      </c>
      <c r="J46" s="37">
        <f t="shared" si="22"/>
        <v>0.23510676327242261</v>
      </c>
      <c r="K46" s="37">
        <f t="shared" si="23"/>
        <v>1.7487531282100857E-2</v>
      </c>
      <c r="L46" s="90">
        <f t="shared" si="20"/>
        <v>6.3419029173064578E-2</v>
      </c>
      <c r="N46" s="156">
        <f>COS(O44)</f>
        <v>0.94487223480033056</v>
      </c>
      <c r="O46" s="158">
        <f>-N47</f>
        <v>0.32743924612579495</v>
      </c>
      <c r="Q46" s="123">
        <v>0.46056955247064696</v>
      </c>
      <c r="R46" s="90">
        <v>0.38170609482052364</v>
      </c>
    </row>
    <row r="47" spans="1:18" x14ac:dyDescent="0.25">
      <c r="A47" s="194">
        <v>7.88196219767337E-2</v>
      </c>
      <c r="B47" s="195">
        <v>-3.1628940761194664E-2</v>
      </c>
      <c r="C47" s="195">
        <v>0.99342373117736871</v>
      </c>
      <c r="D47" s="196">
        <v>7.6787809132731533E-2</v>
      </c>
      <c r="F47" s="123">
        <f>INDEX(A47:D55,,F41)</f>
        <v>7.88196219767337E-2</v>
      </c>
      <c r="G47" s="90">
        <f>INDEX(A42:D50,,G41)</f>
        <v>7.6787809132731533E-2</v>
      </c>
      <c r="I47" s="123">
        <f t="shared" si="21"/>
        <v>3.1616517715039351E-4</v>
      </c>
      <c r="J47" s="37">
        <f t="shared" si="22"/>
        <v>1.2104772176526958E-2</v>
      </c>
      <c r="K47" s="37">
        <f t="shared" si="23"/>
        <v>-1.4642554902637864E-4</v>
      </c>
      <c r="L47" s="90">
        <f t="shared" si="20"/>
        <v>3.8271074395568002E-6</v>
      </c>
      <c r="N47" s="91">
        <f>SIN(O44)</f>
        <v>-0.32743924612579495</v>
      </c>
      <c r="O47" s="93">
        <f>N46</f>
        <v>0.94487223480033056</v>
      </c>
      <c r="Q47" s="123">
        <v>4.9331130029200573E-2</v>
      </c>
      <c r="R47" s="90">
        <v>9.8363306420647098E-2</v>
      </c>
    </row>
    <row r="48" spans="1:18" x14ac:dyDescent="0.25">
      <c r="A48" s="194">
        <v>0.97581671241239532</v>
      </c>
      <c r="B48" s="195">
        <v>9.2360055686065617E-2</v>
      </c>
      <c r="C48" s="195">
        <v>6.4923931249796979E-2</v>
      </c>
      <c r="D48" s="196">
        <v>-0.18717971856321144</v>
      </c>
      <c r="F48" s="123">
        <f>INDEX(A48:D56,,F41)</f>
        <v>0.97581671241239532</v>
      </c>
      <c r="G48" s="90">
        <f>INDEX(A42:D50,,G41)</f>
        <v>-0.18717971856321144</v>
      </c>
      <c r="I48" s="123">
        <f t="shared" si="21"/>
        <v>0.91718200918193238</v>
      </c>
      <c r="J48" s="37">
        <f t="shared" si="22"/>
        <v>-0.36530619519726076</v>
      </c>
      <c r="K48" s="37">
        <f t="shared" si="23"/>
        <v>0.70777422171750703</v>
      </c>
      <c r="L48" s="90">
        <f t="shared" si="20"/>
        <v>-0.33505227007763078</v>
      </c>
      <c r="Q48" s="123">
        <v>0.98331210374898792</v>
      </c>
      <c r="R48" s="90">
        <v>0.14265976968114785</v>
      </c>
    </row>
    <row r="49" spans="1:18" x14ac:dyDescent="0.25">
      <c r="A49" s="194">
        <v>0.87535043264439216</v>
      </c>
      <c r="B49" s="195">
        <v>-0.13286043622660626</v>
      </c>
      <c r="C49" s="195">
        <v>0.43420455073761932</v>
      </c>
      <c r="D49" s="196">
        <v>0.16606062951131315</v>
      </c>
      <c r="F49" s="123">
        <f>INDEX(A49:D57,,F41)</f>
        <v>0.87535043264439216</v>
      </c>
      <c r="G49" s="90">
        <f>INDEX(A42:D50,,G41)</f>
        <v>0.16606062951131315</v>
      </c>
      <c r="I49" s="123">
        <f t="shared" si="21"/>
        <v>0.73866224725703089</v>
      </c>
      <c r="J49" s="37">
        <f t="shared" si="22"/>
        <v>0.29072248777585613</v>
      </c>
      <c r="K49" s="37">
        <f t="shared" si="23"/>
        <v>0.46110235062422422</v>
      </c>
      <c r="L49" s="90">
        <f t="shared" si="20"/>
        <v>0.21474572614866858</v>
      </c>
      <c r="Q49" s="123">
        <v>0.77271955218778376</v>
      </c>
      <c r="R49" s="90">
        <v>0.44353016387967237</v>
      </c>
    </row>
    <row r="50" spans="1:18" x14ac:dyDescent="0.25">
      <c r="A50" s="200">
        <v>0.27700639694844303</v>
      </c>
      <c r="B50" s="201">
        <v>-0.86980430986575141</v>
      </c>
      <c r="C50" s="201">
        <v>-0.31526719764597655</v>
      </c>
      <c r="D50" s="202">
        <v>0.25945040504315714</v>
      </c>
      <c r="F50" s="91">
        <f>INDEX(A50:D58,,F41)</f>
        <v>0.27700639694844303</v>
      </c>
      <c r="G50" s="93">
        <f>INDEX(A42:D50,,G41)</f>
        <v>0.25945040504315714</v>
      </c>
      <c r="I50" s="91">
        <f t="shared" si="21"/>
        <v>9.4180312733000843E-3</v>
      </c>
      <c r="J50" s="92">
        <f t="shared" si="22"/>
        <v>0.14373884377563823</v>
      </c>
      <c r="K50" s="92">
        <f t="shared" si="23"/>
        <v>-2.0572155896892472E-2</v>
      </c>
      <c r="L50" s="93">
        <f t="shared" si="20"/>
        <v>1.3537369258669559E-3</v>
      </c>
      <c r="Q50" s="91">
        <v>0.17678140830429931</v>
      </c>
      <c r="R50" s="93">
        <v>0.33585024982179973</v>
      </c>
    </row>
    <row r="51" spans="1:18" x14ac:dyDescent="0.25">
      <c r="I51">
        <f>SUM(I42:I50)</f>
        <v>2.5874790309359135</v>
      </c>
      <c r="J51">
        <f>SUM(J42:J50)</f>
        <v>1.3513038438522362E-3</v>
      </c>
      <c r="K51">
        <f>SUM(K42:K50)</f>
        <v>1.040687009885241</v>
      </c>
      <c r="L51">
        <f>SUM(L42:L50)</f>
        <v>-1.23106750056063</v>
      </c>
    </row>
    <row r="52" spans="1:18" x14ac:dyDescent="0.25">
      <c r="A52" s="47" t="s">
        <v>53</v>
      </c>
      <c r="B52">
        <f>COUNT(A42:A50)</f>
        <v>9</v>
      </c>
      <c r="I52" s="47" t="s">
        <v>462</v>
      </c>
      <c r="J52" s="47" t="s">
        <v>389</v>
      </c>
      <c r="K52" s="47" t="s">
        <v>469</v>
      </c>
      <c r="L52" s="47" t="s">
        <v>470</v>
      </c>
      <c r="N52" s="47"/>
    </row>
    <row r="54" spans="1:18" x14ac:dyDescent="0.25">
      <c r="A54">
        <v>1</v>
      </c>
      <c r="B54">
        <v>2</v>
      </c>
      <c r="C54">
        <v>3</v>
      </c>
      <c r="D54">
        <v>4</v>
      </c>
      <c r="F54">
        <v>2</v>
      </c>
      <c r="G54">
        <v>3</v>
      </c>
      <c r="I54" s="47" t="s">
        <v>207</v>
      </c>
      <c r="J54" s="47" t="s">
        <v>464</v>
      </c>
      <c r="K54" s="47" t="s">
        <v>465</v>
      </c>
      <c r="L54" s="47" t="s">
        <v>466</v>
      </c>
      <c r="Q54">
        <f>F54</f>
        <v>2</v>
      </c>
      <c r="R54">
        <f>G54</f>
        <v>3</v>
      </c>
    </row>
    <row r="55" spans="1:18" x14ac:dyDescent="0.25">
      <c r="A55" s="189">
        <f t="array" ref="A55:A63">IF(A54=$Q41,$Q42:$Q50,IF(A54=$R41,$R42:$R50,A42:A50))</f>
        <v>4.4525469351076596E-3</v>
      </c>
      <c r="B55" s="190">
        <f t="array" ref="B55:B63">IF(B54=$Q41,$Q42:$Q50,IF(B54=$R41,$R42:$R50,B42:B50))</f>
        <v>0.93338374934363266</v>
      </c>
      <c r="C55" s="190">
        <f t="array" ref="C55:C63">IF(C54=$Q41,$Q42:$Q50,IF(C54=$R41,$R42:$R50,C42:C50))</f>
        <v>-0.32782762913770153</v>
      </c>
      <c r="D55" s="191">
        <f t="array" ref="D55:D63">IF(D54=$Q41,$Q42:$Q50,IF(D54=$R41,$R42:$R50,D42:D50))</f>
        <v>0.145958887571011</v>
      </c>
      <c r="F55" s="156">
        <f>INDEX(A55:D63,,F54)</f>
        <v>0.93338374934363266</v>
      </c>
      <c r="G55" s="158">
        <f>INDEX(A55:D63,,G54)</f>
        <v>-0.32782762913770153</v>
      </c>
      <c r="I55" s="156">
        <f>F55^2-G55^2</f>
        <v>0.7637342691127309</v>
      </c>
      <c r="J55" s="157">
        <f>2*F55*G55</f>
        <v>-0.61197796324596354</v>
      </c>
      <c r="K55" s="157">
        <f>I55^2-J55^2</f>
        <v>0.20877300631847939</v>
      </c>
      <c r="L55" s="158">
        <f t="shared" ref="L55:L63" si="24">I55*J55</f>
        <v>-0.46738854247275363</v>
      </c>
      <c r="N55" t="s">
        <v>390</v>
      </c>
      <c r="O55" s="172">
        <f>L64*B65-2*I64*J64</f>
        <v>0.54453366214637799</v>
      </c>
      <c r="Q55" s="156">
        <f t="array" ref="Q55:R63">MMULT(F55:G63,N59:O60)</f>
        <v>0.93057377257990526</v>
      </c>
      <c r="R55" s="158">
        <v>-0.33572106241823185</v>
      </c>
    </row>
    <row r="56" spans="1:18" x14ac:dyDescent="0.25">
      <c r="A56" s="194">
        <v>0.85488179504886008</v>
      </c>
      <c r="B56" s="195">
        <v>-0.51710869037711338</v>
      </c>
      <c r="C56" s="195">
        <v>-7.1623053995910901E-3</v>
      </c>
      <c r="D56" s="196">
        <v>-4.1526138899112275E-2</v>
      </c>
      <c r="F56" s="123">
        <f>INDEX(A56:D64,,F54)</f>
        <v>-0.51710869037711338</v>
      </c>
      <c r="G56" s="90">
        <f>INDEX(A55:D63,,G54)</f>
        <v>-7.1623053995910901E-3</v>
      </c>
      <c r="I56" s="123">
        <f t="shared" ref="I56:I63" si="25">F56^2-G56^2</f>
        <v>0.26735009904489632</v>
      </c>
      <c r="J56" s="37">
        <f t="shared" ref="J56:J63" si="26">2*F56*G56</f>
        <v>7.407380730526953E-3</v>
      </c>
      <c r="K56" s="37">
        <f t="shared" ref="K56:K63" si="27">I56^2-J56^2</f>
        <v>7.1421206170028895E-2</v>
      </c>
      <c r="L56" s="90">
        <f t="shared" si="24"/>
        <v>1.9803639719696373E-3</v>
      </c>
      <c r="N56" t="s">
        <v>392</v>
      </c>
      <c r="O56" s="173">
        <f>K64*B65-(I64^2-J64^2)</f>
        <v>16.067237612272361</v>
      </c>
      <c r="Q56" s="123">
        <v>-0.51715080415285974</v>
      </c>
      <c r="R56" s="90">
        <v>-2.7824532737751925E-3</v>
      </c>
    </row>
    <row r="57" spans="1:18" x14ac:dyDescent="0.25">
      <c r="A57" s="194">
        <v>0.97400983002612218</v>
      </c>
      <c r="B57" s="195">
        <v>0.22168048134771884</v>
      </c>
      <c r="C57" s="195">
        <v>4.2465438789169779E-2</v>
      </c>
      <c r="D57" s="196">
        <v>-1.8955255481567679E-2</v>
      </c>
      <c r="F57" s="123">
        <f>INDEX(A57:D65,,F54)</f>
        <v>0.22168048134771884</v>
      </c>
      <c r="G57" s="90">
        <f>INDEX(A55:D63,,G54)</f>
        <v>4.2465438789169779E-2</v>
      </c>
      <c r="I57" s="123">
        <f t="shared" si="25"/>
        <v>4.7338922318999596E-2</v>
      </c>
      <c r="J57" s="37">
        <f t="shared" si="26"/>
        <v>1.8827517822850495E-2</v>
      </c>
      <c r="K57" s="37">
        <f t="shared" si="27"/>
        <v>1.8864981389545251E-3</v>
      </c>
      <c r="L57" s="90">
        <f t="shared" si="24"/>
        <v>8.9127440367549999E-4</v>
      </c>
      <c r="N57" t="s">
        <v>467</v>
      </c>
      <c r="O57" s="174">
        <f>0.25*ATAN(O55/O56)</f>
        <v>8.4694913946623228E-3</v>
      </c>
      <c r="Q57" s="123">
        <v>0.2220321869401006</v>
      </c>
      <c r="R57" s="90">
        <v>4.0586417244064171E-2</v>
      </c>
    </row>
    <row r="58" spans="1:18" x14ac:dyDescent="0.25">
      <c r="A58" s="194">
        <v>0.13358784751216146</v>
      </c>
      <c r="B58" s="195">
        <v>9.4932627120396199E-2</v>
      </c>
      <c r="C58" s="195">
        <v>-7.9886006218292296E-2</v>
      </c>
      <c r="D58" s="196">
        <v>0.9832397008438879</v>
      </c>
      <c r="F58" s="123">
        <f>INDEX(A58:D66,,F54)</f>
        <v>9.4932627120396199E-2</v>
      </c>
      <c r="G58" s="90">
        <f>INDEX(A55:D63,,G54)</f>
        <v>-7.9886006218292296E-2</v>
      </c>
      <c r="I58" s="123">
        <f t="shared" si="25"/>
        <v>2.6304297024711473E-3</v>
      </c>
      <c r="J58" s="37">
        <f t="shared" si="26"/>
        <v>-1.5167576880917589E-2</v>
      </c>
      <c r="K58" s="37">
        <f t="shared" si="27"/>
        <v>-2.2313622801890329E-4</v>
      </c>
      <c r="L58" s="90">
        <f t="shared" si="24"/>
        <v>-3.9897244742080309E-5</v>
      </c>
      <c r="Q58" s="123">
        <v>9.4252636520329891E-2</v>
      </c>
      <c r="R58" s="90">
        <v>-8.0687162488563169E-2</v>
      </c>
    </row>
    <row r="59" spans="1:18" x14ac:dyDescent="0.25">
      <c r="A59" s="194">
        <v>0.46056955247064696</v>
      </c>
      <c r="B59" s="195">
        <v>-8.6246977898750632E-2</v>
      </c>
      <c r="C59" s="195">
        <v>0.79670421319156226</v>
      </c>
      <c r="D59" s="196">
        <v>0.38170609482052364</v>
      </c>
      <c r="F59" s="123">
        <f>INDEX(A59:D67,,F54)</f>
        <v>-8.6246977898750632E-2</v>
      </c>
      <c r="G59" s="90">
        <f>INDEX(A55:D63,,G54)</f>
        <v>0.79670421319156226</v>
      </c>
      <c r="I59" s="123">
        <f t="shared" si="25"/>
        <v>-0.62729906212051878</v>
      </c>
      <c r="J59" s="37">
        <f t="shared" si="26"/>
        <v>-0.13742666133394837</v>
      </c>
      <c r="K59" s="37">
        <f t="shared" si="27"/>
        <v>0.37461802609188671</v>
      </c>
      <c r="L59" s="90">
        <f t="shared" si="24"/>
        <v>8.620761576513998E-2</v>
      </c>
      <c r="N59" s="156">
        <f>COS(O57)</f>
        <v>0.99996413407215401</v>
      </c>
      <c r="O59" s="158">
        <f>-N60</f>
        <v>-8.4693901390311289E-3</v>
      </c>
      <c r="Q59" s="123">
        <v>-7.9496285763935207E-2</v>
      </c>
      <c r="R59" s="90">
        <v>0.79740609795987427</v>
      </c>
    </row>
    <row r="60" spans="1:18" x14ac:dyDescent="0.25">
      <c r="A60" s="194">
        <v>4.9331130029200573E-2</v>
      </c>
      <c r="B60" s="195">
        <v>-3.1628940761194664E-2</v>
      </c>
      <c r="C60" s="195">
        <v>0.99342373117736871</v>
      </c>
      <c r="D60" s="196">
        <v>9.8363306420647098E-2</v>
      </c>
      <c r="F60" s="123">
        <f>INDEX(A60:D68,,F54)</f>
        <v>-3.1628940761194664E-2</v>
      </c>
      <c r="G60" s="90">
        <f>INDEX(A55:D63,,G54)</f>
        <v>0.99342373117736871</v>
      </c>
      <c r="I60" s="123">
        <f t="shared" si="25"/>
        <v>-0.98589031977268982</v>
      </c>
      <c r="J60" s="37">
        <f t="shared" si="26"/>
        <v>-6.2841880688347937E-2</v>
      </c>
      <c r="K60" s="37">
        <f t="shared" si="27"/>
        <v>0.96803062065304801</v>
      </c>
      <c r="L60" s="90">
        <f t="shared" si="24"/>
        <v>6.1955201846952565E-2</v>
      </c>
      <c r="N60" s="91">
        <f>SIN(O57)</f>
        <v>8.4693901390311289E-3</v>
      </c>
      <c r="O60" s="93">
        <f>N59</f>
        <v>0.99996413407215401</v>
      </c>
      <c r="Q60" s="123">
        <v>-2.3214113207174356E-2</v>
      </c>
      <c r="R60" s="90">
        <v>0.99365597895249669</v>
      </c>
    </row>
    <row r="61" spans="1:18" x14ac:dyDescent="0.25">
      <c r="A61" s="194">
        <v>0.98331210374898792</v>
      </c>
      <c r="B61" s="195">
        <v>9.2360055686065617E-2</v>
      </c>
      <c r="C61" s="195">
        <v>6.4923931249796979E-2</v>
      </c>
      <c r="D61" s="196">
        <v>0.14265976968114785</v>
      </c>
      <c r="F61" s="123">
        <f>INDEX(A61:D69,,F54)</f>
        <v>9.2360055686065617E-2</v>
      </c>
      <c r="G61" s="90">
        <f>INDEX(A55:D63,,G54)</f>
        <v>6.4923931249796979E-2</v>
      </c>
      <c r="I61" s="123">
        <f t="shared" si="25"/>
        <v>4.3152630374047769E-3</v>
      </c>
      <c r="J61" s="37">
        <f t="shared" si="26"/>
        <v>1.199275581117909E-2</v>
      </c>
      <c r="K61" s="37">
        <f t="shared" si="27"/>
        <v>-1.2520469686457794E-4</v>
      </c>
      <c r="L61" s="90">
        <f t="shared" si="24"/>
        <v>5.1751895868602466E-5</v>
      </c>
      <c r="Q61" s="123">
        <v>9.2906609210086699E-2</v>
      </c>
      <c r="R61" s="90">
        <v>6.4139369347895367E-2</v>
      </c>
    </row>
    <row r="62" spans="1:18" x14ac:dyDescent="0.25">
      <c r="A62" s="194">
        <v>0.77271955218778376</v>
      </c>
      <c r="B62" s="195">
        <v>-0.13286043622660626</v>
      </c>
      <c r="C62" s="195">
        <v>0.43420455073761932</v>
      </c>
      <c r="D62" s="196">
        <v>0.44353016387967237</v>
      </c>
      <c r="F62" s="123">
        <f>INDEX(A62:D70,,F54)</f>
        <v>-0.13286043622660626</v>
      </c>
      <c r="G62" s="90">
        <f>INDEX(A55:D63,,G54)</f>
        <v>0.43420455073761932</v>
      </c>
      <c r="I62" s="123">
        <f t="shared" si="25"/>
        <v>-0.17088169636693373</v>
      </c>
      <c r="J62" s="37">
        <f t="shared" si="26"/>
        <v>-0.11537721204515539</v>
      </c>
      <c r="K62" s="37">
        <f t="shared" si="27"/>
        <v>1.5888653093928187E-2</v>
      </c>
      <c r="L62" s="90">
        <f t="shared" si="24"/>
        <v>1.9715853716363571E-2</v>
      </c>
      <c r="Q62" s="123">
        <v>-0.12917822332344733</v>
      </c>
      <c r="R62" s="90">
        <v>0.43531422445697715</v>
      </c>
    </row>
    <row r="63" spans="1:18" x14ac:dyDescent="0.25">
      <c r="A63" s="200">
        <v>0.17678140830429931</v>
      </c>
      <c r="B63" s="201">
        <v>-0.86980430986575141</v>
      </c>
      <c r="C63" s="201">
        <v>-0.31526719764597655</v>
      </c>
      <c r="D63" s="202">
        <v>0.33585024982179973</v>
      </c>
      <c r="F63" s="91">
        <f>INDEX(A63:D71,,F54)</f>
        <v>-0.86980430986575141</v>
      </c>
      <c r="G63" s="93">
        <f>INDEX(A55:D63,,G54)</f>
        <v>-0.31526719764597655</v>
      </c>
      <c r="I63" s="91">
        <f t="shared" si="25"/>
        <v>0.65716613154948889</v>
      </c>
      <c r="J63" s="92">
        <f t="shared" si="26"/>
        <v>0.54844153454353617</v>
      </c>
      <c r="K63" s="92">
        <f t="shared" si="27"/>
        <v>0.13107920764325137</v>
      </c>
      <c r="L63" s="93">
        <f t="shared" si="24"/>
        <v>0.36041720163704105</v>
      </c>
      <c r="Q63" s="91">
        <v>-0.87244323442203642</v>
      </c>
      <c r="R63" s="93">
        <v>-0.30788917825054979</v>
      </c>
    </row>
    <row r="64" spans="1:18" x14ac:dyDescent="0.25">
      <c r="I64">
        <f>SUM(I55:I63)</f>
        <v>-4.1535963494150896E-2</v>
      </c>
      <c r="J64">
        <f>SUM(J55:J63)</f>
        <v>-0.35612210528624011</v>
      </c>
      <c r="K64">
        <f>SUM(K55:K63)</f>
        <v>1.7713488771846937</v>
      </c>
      <c r="L64">
        <f>SUM(L55:L63)</f>
        <v>6.3790823519515205E-2</v>
      </c>
    </row>
    <row r="65" spans="1:18" x14ac:dyDescent="0.25">
      <c r="A65" s="47" t="s">
        <v>53</v>
      </c>
      <c r="B65">
        <f>COUNT(A55:A63)</f>
        <v>9</v>
      </c>
      <c r="I65" s="47" t="s">
        <v>462</v>
      </c>
      <c r="J65" s="47" t="s">
        <v>389</v>
      </c>
      <c r="K65" s="47" t="s">
        <v>469</v>
      </c>
      <c r="L65" s="47" t="s">
        <v>470</v>
      </c>
      <c r="N65" s="47"/>
    </row>
    <row r="67" spans="1:18" x14ac:dyDescent="0.25">
      <c r="A67">
        <v>1</v>
      </c>
      <c r="B67">
        <v>2</v>
      </c>
      <c r="C67">
        <v>3</v>
      </c>
      <c r="D67">
        <v>4</v>
      </c>
      <c r="F67">
        <v>2</v>
      </c>
      <c r="G67">
        <v>4</v>
      </c>
      <c r="I67" s="47" t="s">
        <v>207</v>
      </c>
      <c r="J67" s="47" t="s">
        <v>464</v>
      </c>
      <c r="K67" s="47" t="s">
        <v>465</v>
      </c>
      <c r="L67" s="47" t="s">
        <v>466</v>
      </c>
      <c r="Q67">
        <f>F67</f>
        <v>2</v>
      </c>
      <c r="R67">
        <f>G67</f>
        <v>4</v>
      </c>
    </row>
    <row r="68" spans="1:18" x14ac:dyDescent="0.25">
      <c r="A68" s="189">
        <f t="array" ref="A68:A76">IF(A67=$Q54,$Q55:$Q63,IF(A67=$R54,$R55:$R63,A55:A63))</f>
        <v>4.4525469351076596E-3</v>
      </c>
      <c r="B68" s="190">
        <f t="array" ref="B68:B76">IF(B67=$Q54,$Q55:$Q63,IF(B67=$R54,$R55:$R63,B55:B63))</f>
        <v>0.93057377257990526</v>
      </c>
      <c r="C68" s="190">
        <f t="array" ref="C68:C76">IF(C67=$Q54,$Q55:$Q63,IF(C67=$R54,$R55:$R63,C55:C63))</f>
        <v>-0.33572106241823185</v>
      </c>
      <c r="D68" s="191">
        <f t="array" ref="D68:D76">IF(D67=$Q54,$Q55:$Q63,IF(D67=$R54,$R55:$R63,D55:D63))</f>
        <v>0.145958887571011</v>
      </c>
      <c r="F68" s="156">
        <f>INDEX(A68:D76,,F67)</f>
        <v>0.93057377257990526</v>
      </c>
      <c r="G68" s="158">
        <f>INDEX(A68:D76,,G67)</f>
        <v>0.145958887571011</v>
      </c>
      <c r="I68" s="156">
        <f>F68^2-G68^2</f>
        <v>0.84466354935263011</v>
      </c>
      <c r="J68" s="157">
        <f>2*F68*G68</f>
        <v>0.27165102529704388</v>
      </c>
      <c r="K68" s="157">
        <f>I68^2-J68^2</f>
        <v>0.6396622320600478</v>
      </c>
      <c r="L68" s="158">
        <f t="shared" ref="L68:L76" si="28">I68*J68</f>
        <v>0.22945371921268221</v>
      </c>
      <c r="N68" t="s">
        <v>390</v>
      </c>
      <c r="O68" s="172">
        <f>L77*B78-2*I77*J77</f>
        <v>-2.3414049740249849</v>
      </c>
      <c r="Q68" s="156">
        <f t="array" ref="Q68:R76">MMULT(F68:G76,N72:O73)</f>
        <v>0.92429651414294389</v>
      </c>
      <c r="R68" s="158">
        <v>0.1815144540188659</v>
      </c>
    </row>
    <row r="69" spans="1:18" x14ac:dyDescent="0.25">
      <c r="A69" s="194">
        <v>0.85488179504886008</v>
      </c>
      <c r="B69" s="195">
        <v>-0.51715080415285974</v>
      </c>
      <c r="C69" s="195">
        <v>-2.7824532737751925E-3</v>
      </c>
      <c r="D69" s="196">
        <v>-4.1526138899112275E-2</v>
      </c>
      <c r="F69" s="123">
        <f>INDEX(A69:D77,,F67)</f>
        <v>-0.51715080415285974</v>
      </c>
      <c r="G69" s="90">
        <f>INDEX(A68:D76,,G67)</f>
        <v>-4.1526138899112275E-2</v>
      </c>
      <c r="I69" s="123">
        <f t="shared" ref="I69:I76" si="29">F69^2-G69^2</f>
        <v>0.26572053402408113</v>
      </c>
      <c r="J69" s="37">
        <f t="shared" ref="J69:J76" si="30">2*F69*G69</f>
        <v>4.2950552250078523E-2</v>
      </c>
      <c r="K69" s="37">
        <f t="shared" ref="K69:K76" si="31">I69^2-J69^2</f>
        <v>6.8762652263456125E-2</v>
      </c>
      <c r="L69" s="90">
        <f t="shared" si="28"/>
        <v>1.1412843680520065E-2</v>
      </c>
      <c r="N69" t="s">
        <v>392</v>
      </c>
      <c r="O69" s="173">
        <f>K77*B78-(I77^2-J77^2)</f>
        <v>15.15037521173514</v>
      </c>
      <c r="Q69" s="123">
        <v>-0.5151794739266885</v>
      </c>
      <c r="R69" s="90">
        <v>-6.1314631960392468E-2</v>
      </c>
    </row>
    <row r="70" spans="1:18" x14ac:dyDescent="0.25">
      <c r="A70" s="194">
        <v>0.97400983002612218</v>
      </c>
      <c r="B70" s="195">
        <v>0.2220321869401006</v>
      </c>
      <c r="C70" s="195">
        <v>4.0586417244064171E-2</v>
      </c>
      <c r="D70" s="196">
        <v>-1.8955255481567679E-2</v>
      </c>
      <c r="F70" s="123">
        <f>INDEX(A70:D78,,F67)</f>
        <v>0.2220321869401006</v>
      </c>
      <c r="G70" s="90">
        <f>INDEX(A68:D76,,G67)</f>
        <v>-1.8955255481567679E-2</v>
      </c>
      <c r="I70" s="123">
        <f t="shared" si="29"/>
        <v>4.8938990327032278E-2</v>
      </c>
      <c r="J70" s="37">
        <f t="shared" si="30"/>
        <v>-8.4173536571616036E-3</v>
      </c>
      <c r="K70" s="37">
        <f t="shared" si="31"/>
        <v>2.3241729316396272E-3</v>
      </c>
      <c r="L70" s="90">
        <f t="shared" si="28"/>
        <v>-4.1193678920704147E-4</v>
      </c>
      <c r="N70" t="s">
        <v>467</v>
      </c>
      <c r="O70" s="174">
        <f>0.25*ATAN(O68/O69)</f>
        <v>-3.8332828769234308E-2</v>
      </c>
      <c r="Q70" s="123">
        <v>0.22259550985541784</v>
      </c>
      <c r="R70" s="90">
        <v>-1.0432293131515285E-2</v>
      </c>
    </row>
    <row r="71" spans="1:18" x14ac:dyDescent="0.25">
      <c r="A71" s="194">
        <v>0.13358784751216146</v>
      </c>
      <c r="B71" s="195">
        <v>9.4252636520329891E-2</v>
      </c>
      <c r="C71" s="195">
        <v>-8.0687162488563169E-2</v>
      </c>
      <c r="D71" s="196">
        <v>0.9832397008438879</v>
      </c>
      <c r="F71" s="123">
        <f>INDEX(A71:D79,,F67)</f>
        <v>9.4252636520329891E-2</v>
      </c>
      <c r="G71" s="90">
        <f>INDEX(A68:D76,,G67)</f>
        <v>0.9832397008438879</v>
      </c>
      <c r="I71" s="123">
        <f t="shared" si="29"/>
        <v>-0.95787674982454474</v>
      </c>
      <c r="J71" s="37">
        <f t="shared" si="30"/>
        <v>0.18534586827199373</v>
      </c>
      <c r="K71" s="37">
        <f t="shared" si="31"/>
        <v>0.88317477696893432</v>
      </c>
      <c r="L71" s="90">
        <f t="shared" si="28"/>
        <v>-0.17753849789378556</v>
      </c>
      <c r="Q71" s="123">
        <v>5.6502267951193862E-2</v>
      </c>
      <c r="R71" s="90">
        <v>0.98612948567770919</v>
      </c>
    </row>
    <row r="72" spans="1:18" x14ac:dyDescent="0.25">
      <c r="A72" s="194">
        <v>0.46056955247064696</v>
      </c>
      <c r="B72" s="195">
        <v>-7.9496285763935207E-2</v>
      </c>
      <c r="C72" s="195">
        <v>0.79740609795987427</v>
      </c>
      <c r="D72" s="196">
        <v>0.38170609482052364</v>
      </c>
      <c r="F72" s="123">
        <f>INDEX(A72:D80,,F67)</f>
        <v>-7.9496285763935207E-2</v>
      </c>
      <c r="G72" s="90">
        <f>INDEX(A68:D76,,G67)</f>
        <v>0.38170609482052364</v>
      </c>
      <c r="I72" s="123">
        <f t="shared" si="29"/>
        <v>-0.13937988337287333</v>
      </c>
      <c r="J72" s="37">
        <f t="shared" si="30"/>
        <v>-6.0688433583376195E-2</v>
      </c>
      <c r="K72" s="37">
        <f t="shared" si="31"/>
        <v>1.5743665918231908E-2</v>
      </c>
      <c r="L72" s="90">
        <f t="shared" si="28"/>
        <v>8.4587467949333427E-3</v>
      </c>
      <c r="N72" s="156">
        <f>COS(O70)</f>
        <v>0.99926538707958845</v>
      </c>
      <c r="O72" s="158">
        <f>-N73</f>
        <v>3.832344171235625E-2</v>
      </c>
      <c r="Q72" s="123">
        <v>-9.406617804139375E-2</v>
      </c>
      <c r="R72" s="90">
        <v>0.37837911731764567</v>
      </c>
    </row>
    <row r="73" spans="1:18" x14ac:dyDescent="0.25">
      <c r="A73" s="194">
        <v>4.9331130029200573E-2</v>
      </c>
      <c r="B73" s="195">
        <v>-2.3214113207174356E-2</v>
      </c>
      <c r="C73" s="195">
        <v>0.99365597895249669</v>
      </c>
      <c r="D73" s="196">
        <v>9.8363306420647098E-2</v>
      </c>
      <c r="F73" s="123">
        <f>INDEX(A73:D81,,F67)</f>
        <v>-2.3214113207174356E-2</v>
      </c>
      <c r="G73" s="90">
        <f>INDEX(A68:D76,,G67)</f>
        <v>9.8363306420647098E-2</v>
      </c>
      <c r="I73" s="123">
        <f t="shared" si="29"/>
        <v>-9.1364449980066084E-3</v>
      </c>
      <c r="J73" s="37">
        <f t="shared" si="30"/>
        <v>-4.5668338613617633E-3</v>
      </c>
      <c r="K73" s="37">
        <f t="shared" si="31"/>
        <v>6.2618655684319586E-5</v>
      </c>
      <c r="L73" s="90">
        <f t="shared" si="28"/>
        <v>4.1724626389365889E-5</v>
      </c>
      <c r="N73" s="91">
        <f>SIN(O70)</f>
        <v>-3.832344171235625E-2</v>
      </c>
      <c r="O73" s="93">
        <f>N72</f>
        <v>0.99926538707958845</v>
      </c>
      <c r="Q73" s="123">
        <v>-2.6966680259922774E-2</v>
      </c>
      <c r="R73" s="90">
        <v>9.7401402750456903E-2</v>
      </c>
    </row>
    <row r="74" spans="1:18" x14ac:dyDescent="0.25">
      <c r="A74" s="194">
        <v>0.98331210374898792</v>
      </c>
      <c r="B74" s="195">
        <v>9.2906609210086699E-2</v>
      </c>
      <c r="C74" s="195">
        <v>6.4139369347895367E-2</v>
      </c>
      <c r="D74" s="196">
        <v>0.14265976968114785</v>
      </c>
      <c r="F74" s="123">
        <f>INDEX(A74:D82,,F67)</f>
        <v>9.2906609210086699E-2</v>
      </c>
      <c r="G74" s="90">
        <f>INDEX(A68:D76,,G67)</f>
        <v>0.14265976968114785</v>
      </c>
      <c r="I74" s="123">
        <f t="shared" si="29"/>
        <v>-1.1720171850562384E-2</v>
      </c>
      <c r="J74" s="37">
        <f t="shared" si="30"/>
        <v>2.6508070943534755E-2</v>
      </c>
      <c r="K74" s="37">
        <f t="shared" si="31"/>
        <v>-5.6531539694075668E-4</v>
      </c>
      <c r="L74" s="90">
        <f t="shared" si="28"/>
        <v>-3.1067914688512669E-4</v>
      </c>
      <c r="Q74" s="123">
        <v>8.7371145446495699E-2</v>
      </c>
      <c r="R74" s="90">
        <v>0.14611547099387256</v>
      </c>
    </row>
    <row r="75" spans="1:18" x14ac:dyDescent="0.25">
      <c r="A75" s="194">
        <v>0.77271955218778376</v>
      </c>
      <c r="B75" s="195">
        <v>-0.12917822332344733</v>
      </c>
      <c r="C75" s="195">
        <v>0.43531422445697715</v>
      </c>
      <c r="D75" s="196">
        <v>0.44353016387967237</v>
      </c>
      <c r="F75" s="123">
        <f>INDEX(A75:D83,,F67)</f>
        <v>-0.12917822332344733</v>
      </c>
      <c r="G75" s="90">
        <f>INDEX(A68:D76,,G67)</f>
        <v>0.44353016387967237</v>
      </c>
      <c r="I75" s="123">
        <f t="shared" si="29"/>
        <v>-0.18003199289012661</v>
      </c>
      <c r="J75" s="37">
        <f t="shared" si="30"/>
        <v>-0.11458887712066702</v>
      </c>
      <c r="K75" s="37">
        <f t="shared" si="31"/>
        <v>1.9280907704215269E-2</v>
      </c>
      <c r="L75" s="90">
        <f t="shared" si="28"/>
        <v>2.0629663911075517E-2</v>
      </c>
      <c r="Q75" s="123">
        <v>-0.14608092971467254</v>
      </c>
      <c r="R75" s="90">
        <v>0.43825378677865223</v>
      </c>
    </row>
    <row r="76" spans="1:18" x14ac:dyDescent="0.25">
      <c r="A76" s="200">
        <v>0.17678140830429931</v>
      </c>
      <c r="B76" s="201">
        <v>-0.87244323442203642</v>
      </c>
      <c r="C76" s="201">
        <v>-0.30788917825054979</v>
      </c>
      <c r="D76" s="202">
        <v>0.33585024982179973</v>
      </c>
      <c r="F76" s="91">
        <f>INDEX(A76:D84,,F67)</f>
        <v>-0.87244323442203642</v>
      </c>
      <c r="G76" s="93">
        <f>INDEX(A68:D76,,G67)</f>
        <v>0.33585024982179973</v>
      </c>
      <c r="I76" s="91">
        <f t="shared" si="29"/>
        <v>0.64836180698341916</v>
      </c>
      <c r="J76" s="92">
        <f t="shared" si="30"/>
        <v>-0.58602055647195983</v>
      </c>
      <c r="K76" s="92">
        <f t="shared" si="31"/>
        <v>7.6952940147099025E-2</v>
      </c>
      <c r="L76" s="93">
        <f t="shared" si="28"/>
        <v>-0.37995334692358873</v>
      </c>
      <c r="Q76" s="91">
        <v>-0.8846732638228304</v>
      </c>
      <c r="R76" s="93">
        <v>0.30216850244724475</v>
      </c>
    </row>
    <row r="77" spans="1:18" x14ac:dyDescent="0.25">
      <c r="I77">
        <f>SUM(I68:I76)</f>
        <v>0.50953963775104893</v>
      </c>
      <c r="J77">
        <f>SUM(J68:J76)</f>
        <v>-0.24782653793187548</v>
      </c>
      <c r="K77">
        <f>SUM(K68:K76)</f>
        <v>1.7053986512523678</v>
      </c>
      <c r="L77">
        <f>SUM(L68:L76)</f>
        <v>-0.28821776252786596</v>
      </c>
    </row>
    <row r="78" spans="1:18" x14ac:dyDescent="0.25">
      <c r="A78" s="47" t="s">
        <v>53</v>
      </c>
      <c r="B78">
        <f>COUNT(A68:A76)</f>
        <v>9</v>
      </c>
      <c r="I78" s="47" t="s">
        <v>462</v>
      </c>
      <c r="J78" s="47" t="s">
        <v>389</v>
      </c>
      <c r="K78" s="47" t="s">
        <v>469</v>
      </c>
      <c r="L78" s="47" t="s">
        <v>470</v>
      </c>
      <c r="N78" s="47"/>
    </row>
    <row r="80" spans="1:18" x14ac:dyDescent="0.25">
      <c r="A80">
        <v>1</v>
      </c>
      <c r="B80">
        <v>2</v>
      </c>
      <c r="C80">
        <v>3</v>
      </c>
      <c r="D80">
        <v>4</v>
      </c>
      <c r="F80">
        <v>3</v>
      </c>
      <c r="G80">
        <v>4</v>
      </c>
      <c r="I80" s="47" t="s">
        <v>207</v>
      </c>
      <c r="J80" s="47" t="s">
        <v>464</v>
      </c>
      <c r="K80" s="47" t="s">
        <v>465</v>
      </c>
      <c r="L80" s="47" t="s">
        <v>466</v>
      </c>
      <c r="Q80">
        <f>F80</f>
        <v>3</v>
      </c>
      <c r="R80">
        <f>G80</f>
        <v>4</v>
      </c>
    </row>
    <row r="81" spans="1:18" x14ac:dyDescent="0.25">
      <c r="A81" s="189">
        <f t="array" ref="A81:A89">IF(A80=$Q67,$Q68:$Q76,IF(A80=$R67,$R68:$R76,A68:A76))</f>
        <v>4.4525469351076596E-3</v>
      </c>
      <c r="B81" s="190">
        <f t="array" ref="B81:B89">IF(B80=$Q67,$Q68:$Q76,IF(B80=$R67,$R68:$R76,B68:B76))</f>
        <v>0.92429651414294389</v>
      </c>
      <c r="C81" s="190">
        <f t="array" ref="C81:C89">IF(C80=$Q67,$Q68:$Q76,IF(C80=$R67,$R68:$R76,C68:C76))</f>
        <v>-0.33572106241823185</v>
      </c>
      <c r="D81" s="191">
        <f t="array" ref="D81:D89">IF(D80=$Q67,$Q68:$Q76,IF(D80=$R67,$R68:$R76,D68:D76))</f>
        <v>0.1815144540188659</v>
      </c>
      <c r="F81" s="156">
        <f>INDEX(A81:D89,,F80)</f>
        <v>-0.33572106241823185</v>
      </c>
      <c r="G81" s="158">
        <f>INDEX(A81:D89,,G80)</f>
        <v>0.1815144540188659</v>
      </c>
      <c r="I81" s="156">
        <f>F81^2-G81^2</f>
        <v>7.9761134733459332E-2</v>
      </c>
      <c r="J81" s="157">
        <f>2*F81*G81</f>
        <v>-0.12187645069495791</v>
      </c>
      <c r="K81" s="157">
        <f>I81^2-J81^2</f>
        <v>-8.4920306200314526E-3</v>
      </c>
      <c r="L81" s="158">
        <f t="shared" ref="L81:L89" si="32">I81*J81</f>
        <v>-9.7210040047163507E-3</v>
      </c>
      <c r="N81" t="s">
        <v>390</v>
      </c>
      <c r="O81" s="172">
        <f>L90*B91-2*I90*J90</f>
        <v>4.8318562652780992</v>
      </c>
      <c r="Q81" s="156">
        <f t="array" ref="Q81:R89">MMULT(F81:G89,N85:O86)</f>
        <v>-0.3193364437090902</v>
      </c>
      <c r="R81" s="158">
        <v>0.20899847963137047</v>
      </c>
    </row>
    <row r="82" spans="1:18" x14ac:dyDescent="0.25">
      <c r="A82" s="194">
        <v>0.85488179504886008</v>
      </c>
      <c r="B82" s="195">
        <v>-0.5151794739266885</v>
      </c>
      <c r="C82" s="195">
        <v>-2.7824532737751925E-3</v>
      </c>
      <c r="D82" s="196">
        <v>-6.1314631960392468E-2</v>
      </c>
      <c r="F82" s="123">
        <f>INDEX(A82:D90,,F80)</f>
        <v>-2.7824532737751925E-3</v>
      </c>
      <c r="G82" s="90">
        <f>INDEX(A81:D89,,G80)</f>
        <v>-6.1314631960392468E-2</v>
      </c>
      <c r="I82" s="123">
        <f t="shared" ref="I82:I89" si="33">F82^2-G82^2</f>
        <v>-3.7517420462176393E-3</v>
      </c>
      <c r="J82" s="37">
        <f t="shared" ref="J82:J89" si="34">2*F82*G82</f>
        <v>3.4121019685703013E-4</v>
      </c>
      <c r="K82" s="37">
        <f t="shared" ref="K82:K89" si="35">I82^2-J82^2</f>
        <v>1.3959143982918105E-5</v>
      </c>
      <c r="L82" s="90">
        <f t="shared" si="32"/>
        <v>-1.2801326421467178E-6</v>
      </c>
      <c r="N82" t="s">
        <v>392</v>
      </c>
      <c r="O82" s="173">
        <f>K90*B91-(I90^2-J90^2)</f>
        <v>13.859432194425755</v>
      </c>
      <c r="Q82" s="123">
        <v>-7.9087473318959975E-3</v>
      </c>
      <c r="R82" s="90">
        <v>-6.0866064882653226E-2</v>
      </c>
    </row>
    <row r="83" spans="1:18" x14ac:dyDescent="0.25">
      <c r="A83" s="194">
        <v>0.97400983002612218</v>
      </c>
      <c r="B83" s="195">
        <v>0.22259550985541784</v>
      </c>
      <c r="C83" s="195">
        <v>4.0586417244064171E-2</v>
      </c>
      <c r="D83" s="196">
        <v>-1.0432293131515285E-2</v>
      </c>
      <c r="F83" s="123">
        <f>INDEX(A83:D91,,F80)</f>
        <v>4.0586417244064171E-2</v>
      </c>
      <c r="G83" s="90">
        <f>INDEX(A81:D89,,G80)</f>
        <v>-1.0432293131515285E-2</v>
      </c>
      <c r="I83" s="123">
        <f t="shared" si="33"/>
        <v>1.5384245247274085E-3</v>
      </c>
      <c r="J83" s="37">
        <f t="shared" si="34"/>
        <v>-8.4681880369612836E-4</v>
      </c>
      <c r="K83" s="37">
        <f t="shared" si="35"/>
        <v>1.6496479319894109E-6</v>
      </c>
      <c r="L83" s="90">
        <f t="shared" si="32"/>
        <v>-1.302766815606449E-6</v>
      </c>
      <c r="N83" t="s">
        <v>467</v>
      </c>
      <c r="O83" s="174">
        <f>0.25*ATAN(O81/O82)</f>
        <v>8.3864134356402817E-2</v>
      </c>
      <c r="Q83" s="123">
        <v>3.9569904780412647E-2</v>
      </c>
      <c r="R83" s="90">
        <v>-1.3795384748538432E-2</v>
      </c>
    </row>
    <row r="84" spans="1:18" x14ac:dyDescent="0.25">
      <c r="A84" s="194">
        <v>0.13358784751216146</v>
      </c>
      <c r="B84" s="195">
        <v>5.6502267951193862E-2</v>
      </c>
      <c r="C84" s="195">
        <v>-8.0687162488563169E-2</v>
      </c>
      <c r="D84" s="196">
        <v>0.98612948567770919</v>
      </c>
      <c r="F84" s="123">
        <f>INDEX(A84:D92,,F80)</f>
        <v>-8.0687162488563169E-2</v>
      </c>
      <c r="G84" s="90">
        <f>INDEX(A81:D89,,G80)</f>
        <v>0.98612948567770919</v>
      </c>
      <c r="I84" s="123">
        <f t="shared" si="33"/>
        <v>-0.96594094433252742</v>
      </c>
      <c r="J84" s="37">
        <f t="shared" si="34"/>
        <v>-0.1591359800912811</v>
      </c>
      <c r="K84" s="37">
        <f t="shared" si="35"/>
        <v>0.90771764777840214</v>
      </c>
      <c r="L84" s="90">
        <f t="shared" si="32"/>
        <v>0.15371595888665435</v>
      </c>
      <c r="Q84" s="123">
        <v>2.2004033132459883E-3</v>
      </c>
      <c r="R84" s="90">
        <v>0.98942252801252617</v>
      </c>
    </row>
    <row r="85" spans="1:18" x14ac:dyDescent="0.25">
      <c r="A85" s="194">
        <v>0.46056955247064696</v>
      </c>
      <c r="B85" s="195">
        <v>-9.406617804139375E-2</v>
      </c>
      <c r="C85" s="195">
        <v>0.79740609795987427</v>
      </c>
      <c r="D85" s="196">
        <v>0.37837911731764567</v>
      </c>
      <c r="F85" s="123">
        <f>INDEX(A85:D93,,F80)</f>
        <v>0.79740609795987427</v>
      </c>
      <c r="G85" s="90">
        <f>INDEX(A81:D89,,G80)</f>
        <v>0.37837911731764567</v>
      </c>
      <c r="I85" s="123">
        <f t="shared" si="33"/>
        <v>0.49268572864151194</v>
      </c>
      <c r="J85" s="37">
        <f t="shared" si="34"/>
        <v>0.60344363097953069</v>
      </c>
      <c r="K85" s="37">
        <f t="shared" si="35"/>
        <v>-0.12140498856274248</v>
      </c>
      <c r="L85" s="90">
        <f t="shared" si="32"/>
        <v>0.29730806502322971</v>
      </c>
      <c r="N85" s="156">
        <f>COS(O83)</f>
        <v>0.99648546407636396</v>
      </c>
      <c r="O85" s="158">
        <f>-N86</f>
        <v>-8.3765863479782224E-2</v>
      </c>
      <c r="Q85" s="123">
        <v>0.82629883906769819</v>
      </c>
      <c r="R85" s="90">
        <v>0.31025387997742643</v>
      </c>
    </row>
    <row r="86" spans="1:18" x14ac:dyDescent="0.25">
      <c r="A86" s="194">
        <v>4.9331130029200573E-2</v>
      </c>
      <c r="B86" s="195">
        <v>-2.6966680259922774E-2</v>
      </c>
      <c r="C86" s="195">
        <v>0.99365597895249669</v>
      </c>
      <c r="D86" s="196">
        <v>9.7401402750456903E-2</v>
      </c>
      <c r="F86" s="123">
        <f>INDEX(A86:D94,,F80)</f>
        <v>0.99365597895249669</v>
      </c>
      <c r="G86" s="90">
        <f>INDEX(A81:D89,,G80)</f>
        <v>9.7401402750456903E-2</v>
      </c>
      <c r="I86" s="123">
        <f t="shared" si="33"/>
        <v>0.97786517125028782</v>
      </c>
      <c r="J86" s="37">
        <f t="shared" si="34"/>
        <v>0.19356697240270332</v>
      </c>
      <c r="K86" s="37">
        <f t="shared" si="35"/>
        <v>0.91875212033920584</v>
      </c>
      <c r="L86" s="90">
        <f t="shared" si="32"/>
        <v>0.18928240061696922</v>
      </c>
      <c r="N86" s="91">
        <f>SIN(O83)</f>
        <v>8.3765863479782224E-2</v>
      </c>
      <c r="O86" s="93">
        <f>N85</f>
        <v>0.99648546407636396</v>
      </c>
      <c r="Q86" s="123">
        <v>0.99832265192426639</v>
      </c>
      <c r="R86" s="90">
        <v>1.382463094267368E-2</v>
      </c>
    </row>
    <row r="87" spans="1:18" x14ac:dyDescent="0.25">
      <c r="A87" s="194">
        <v>0.98331210374898792</v>
      </c>
      <c r="B87" s="195">
        <v>8.7371145446495699E-2</v>
      </c>
      <c r="C87" s="195">
        <v>6.4139369347895367E-2</v>
      </c>
      <c r="D87" s="196">
        <v>0.14611547099387256</v>
      </c>
      <c r="F87" s="123">
        <f>INDEX(A87:D95,,F80)</f>
        <v>6.4139369347895367E-2</v>
      </c>
      <c r="G87" s="90">
        <f>INDEX(A81:D89,,G80)</f>
        <v>0.14611547099387256</v>
      </c>
      <c r="I87" s="123">
        <f t="shared" si="33"/>
        <v>-1.7235872163415475E-2</v>
      </c>
      <c r="J87" s="37">
        <f t="shared" si="34"/>
        <v>1.8743508323035368E-2</v>
      </c>
      <c r="K87" s="37">
        <f t="shared" si="35"/>
        <v>-5.42438150220957E-5</v>
      </c>
      <c r="L87" s="90">
        <f t="shared" si="32"/>
        <v>-3.2306071334975157E-4</v>
      </c>
      <c r="Q87" s="123">
        <v>7.6153437825759632E-2</v>
      </c>
      <c r="R87" s="90">
        <v>0.14022925326559046</v>
      </c>
    </row>
    <row r="88" spans="1:18" x14ac:dyDescent="0.25">
      <c r="A88" s="194">
        <v>0.77271955218778376</v>
      </c>
      <c r="B88" s="195">
        <v>-0.14608092971467254</v>
      </c>
      <c r="C88" s="195">
        <v>0.43531422445697715</v>
      </c>
      <c r="D88" s="196">
        <v>0.43825378677865223</v>
      </c>
      <c r="F88" s="123">
        <f>INDEX(A88:D96,,F80)</f>
        <v>0.43531422445697715</v>
      </c>
      <c r="G88" s="90">
        <f>INDEX(A81:D89,,G80)</f>
        <v>0.43825378677865223</v>
      </c>
      <c r="I88" s="123">
        <f t="shared" si="33"/>
        <v>-2.567907611248893E-3</v>
      </c>
      <c r="J88" s="37">
        <f t="shared" si="34"/>
        <v>0.38155621461376482</v>
      </c>
      <c r="K88" s="37">
        <f t="shared" si="35"/>
        <v>-0.14557855076088544</v>
      </c>
      <c r="L88" s="90">
        <f t="shared" si="32"/>
        <v>-9.7980110762600271E-4</v>
      </c>
      <c r="Q88" s="123">
        <v>0.47049500384985149</v>
      </c>
      <c r="R88" s="90">
        <v>0.40024905620467871</v>
      </c>
    </row>
    <row r="89" spans="1:18" x14ac:dyDescent="0.25">
      <c r="A89" s="200">
        <v>0.17678140830429931</v>
      </c>
      <c r="B89" s="201">
        <v>-0.8846732638228304</v>
      </c>
      <c r="C89" s="201">
        <v>-0.30788917825054979</v>
      </c>
      <c r="D89" s="202">
        <v>0.30216850244724475</v>
      </c>
      <c r="F89" s="91">
        <f>INDEX(A89:D97,,F80)</f>
        <v>-0.30788917825054979</v>
      </c>
      <c r="G89" s="93">
        <f>INDEX(A81:D89,,G80)</f>
        <v>0.30216850244724475</v>
      </c>
      <c r="I89" s="91">
        <f t="shared" si="33"/>
        <v>3.4899422125882623E-3</v>
      </c>
      <c r="J89" s="92">
        <f t="shared" si="34"/>
        <v>-0.18606882382336284</v>
      </c>
      <c r="K89" s="92">
        <f t="shared" si="35"/>
        <v>-3.4609427502362435E-2</v>
      </c>
      <c r="L89" s="93">
        <f t="shared" si="32"/>
        <v>-6.493694427078025E-4</v>
      </c>
      <c r="Q89" s="91">
        <v>-0.28149568514920331</v>
      </c>
      <c r="R89" s="93">
        <v>0.32689712326264048</v>
      </c>
    </row>
    <row r="90" spans="1:18" x14ac:dyDescent="0.25">
      <c r="I90">
        <f>SUM(I81:I89)</f>
        <v>0.56584393520916532</v>
      </c>
      <c r="J90">
        <f>SUM(J81:J89)</f>
        <v>0.72972346310259317</v>
      </c>
      <c r="K90">
        <f>SUM(K81:K89)</f>
        <v>1.5163461356484786</v>
      </c>
      <c r="L90">
        <f>SUM(L81:L89)</f>
        <v>0.6286306063589957</v>
      </c>
    </row>
    <row r="91" spans="1:18" x14ac:dyDescent="0.25">
      <c r="A91" s="47" t="s">
        <v>53</v>
      </c>
      <c r="B91">
        <f>COUNT(A81:A89)</f>
        <v>9</v>
      </c>
      <c r="I91" s="47" t="s">
        <v>462</v>
      </c>
      <c r="J91" s="47" t="s">
        <v>389</v>
      </c>
      <c r="K91" s="47" t="s">
        <v>469</v>
      </c>
      <c r="L91" s="47" t="s">
        <v>470</v>
      </c>
      <c r="N91" s="47"/>
    </row>
    <row r="93" spans="1:18" x14ac:dyDescent="0.25">
      <c r="A93">
        <v>1</v>
      </c>
      <c r="B93">
        <v>2</v>
      </c>
      <c r="C93">
        <v>3</v>
      </c>
      <c r="D93">
        <v>4</v>
      </c>
      <c r="F93">
        <v>1</v>
      </c>
      <c r="G93">
        <v>2</v>
      </c>
      <c r="I93" s="47" t="s">
        <v>207</v>
      </c>
      <c r="J93" s="47" t="s">
        <v>464</v>
      </c>
      <c r="K93" s="47" t="s">
        <v>465</v>
      </c>
      <c r="L93" s="47" t="s">
        <v>466</v>
      </c>
      <c r="Q93">
        <f>F93</f>
        <v>1</v>
      </c>
      <c r="R93">
        <f>G93</f>
        <v>2</v>
      </c>
    </row>
    <row r="94" spans="1:18" x14ac:dyDescent="0.25">
      <c r="A94" s="189">
        <f t="array" ref="A94:A102">IF(A93=$Q80,$Q81:$Q89,IF(A93=$R80,$R81:$R89,A81:A89))</f>
        <v>4.4525469351076596E-3</v>
      </c>
      <c r="B94" s="190">
        <f t="array" ref="B94:B102">IF(B93=$Q80,$Q81:$Q89,IF(B93=$R80,$R81:$R89,B81:B89))</f>
        <v>0.92429651414294389</v>
      </c>
      <c r="C94" s="190">
        <f t="array" ref="C94:C102">IF(C93=$Q80,$Q81:$Q89,IF(C93=$R80,$R81:$R89,C81:C89))</f>
        <v>-0.3193364437090902</v>
      </c>
      <c r="D94" s="191">
        <f t="array" ref="D94:D102">IF(D93=$Q80,$Q81:$Q89,IF(D93=$R80,$R81:$R89,D81:D89))</f>
        <v>0.20899847963137047</v>
      </c>
      <c r="F94" s="156">
        <f>INDEX(A94:D102,,F93)</f>
        <v>4.4525469351076596E-3</v>
      </c>
      <c r="G94" s="158">
        <f>INDEX(A94:D102,,G93)</f>
        <v>0.92429651414294389</v>
      </c>
      <c r="I94" s="156">
        <f>F94^2-G94^2</f>
        <v>-0.85430422088258795</v>
      </c>
      <c r="J94" s="157">
        <f>2*F94*G94</f>
        <v>8.230947222355716E-3</v>
      </c>
      <c r="K94" s="157">
        <f>I94^2-J94^2</f>
        <v>0.72976795332562849</v>
      </c>
      <c r="L94" s="158">
        <f t="shared" ref="L94:L102" si="36">I94*J94</f>
        <v>-7.031732953920301E-3</v>
      </c>
      <c r="N94" t="s">
        <v>390</v>
      </c>
      <c r="O94" s="172">
        <f>L103*B104-2*I103*J103</f>
        <v>4.6919645680574167</v>
      </c>
      <c r="Q94" s="156">
        <f t="array" ref="Q94:R102">MMULT(F94:G102,N98:O99)</f>
        <v>5.6050778989653348E-2</v>
      </c>
      <c r="R94" s="158">
        <v>0.92260618977202824</v>
      </c>
    </row>
    <row r="95" spans="1:18" x14ac:dyDescent="0.25">
      <c r="A95" s="194">
        <v>0.85488179504886008</v>
      </c>
      <c r="B95" s="195">
        <v>-0.5151794739266885</v>
      </c>
      <c r="C95" s="195">
        <v>-7.9087473318959975E-3</v>
      </c>
      <c r="D95" s="196">
        <v>-6.0866064882653226E-2</v>
      </c>
      <c r="F95" s="123">
        <f>INDEX(A95:D103,,F93)</f>
        <v>0.85488179504886008</v>
      </c>
      <c r="G95" s="90">
        <f>INDEX(A94:D102,,G93)</f>
        <v>-0.5151794739266885</v>
      </c>
      <c r="I95" s="123">
        <f t="shared" ref="I95:I102" si="37">F95^2-G95^2</f>
        <v>0.46541299315058171</v>
      </c>
      <c r="J95" s="37">
        <f t="shared" ref="J95:J102" si="38">2*F95*G95</f>
        <v>-0.88083510688554978</v>
      </c>
      <c r="K95" s="37">
        <f t="shared" ref="K95:K102" si="39">I95^2-J95^2</f>
        <v>-0.55926123132869454</v>
      </c>
      <c r="L95" s="90">
        <f t="shared" si="36"/>
        <v>-0.40995210356771628</v>
      </c>
      <c r="N95" t="s">
        <v>392</v>
      </c>
      <c r="O95" s="173">
        <f>K103*B104-(I103^2-J103^2)</f>
        <v>20.647801117381437</v>
      </c>
      <c r="Q95" s="123">
        <v>0.82478491947920984</v>
      </c>
      <c r="R95" s="90">
        <v>-0.56210551541593512</v>
      </c>
    </row>
    <row r="96" spans="1:18" x14ac:dyDescent="0.25">
      <c r="A96" s="194">
        <v>0.97400983002612218</v>
      </c>
      <c r="B96" s="195">
        <v>0.22259550985541784</v>
      </c>
      <c r="C96" s="195">
        <v>3.9569904780412647E-2</v>
      </c>
      <c r="D96" s="196">
        <v>-1.3795384748538432E-2</v>
      </c>
      <c r="F96" s="123">
        <f>INDEX(A96:D104,,F93)</f>
        <v>0.97400983002612218</v>
      </c>
      <c r="G96" s="90">
        <f>INDEX(A94:D102,,G93)</f>
        <v>0.22259550985541784</v>
      </c>
      <c r="I96" s="123">
        <f t="shared" si="37"/>
        <v>0.89914638797972202</v>
      </c>
      <c r="J96" s="37">
        <f t="shared" si="38"/>
        <v>0.43362042943770707</v>
      </c>
      <c r="K96" s="37">
        <f t="shared" si="39"/>
        <v>0.62043755019123936</v>
      </c>
      <c r="L96" s="90">
        <f t="shared" si="36"/>
        <v>0.38988824288313023</v>
      </c>
      <c r="N96" t="s">
        <v>467</v>
      </c>
      <c r="O96" s="174">
        <f>0.25*ATAN(O94/O95)</f>
        <v>5.5860889498378162E-2</v>
      </c>
      <c r="Q96" s="123">
        <v>0.98491847343526207</v>
      </c>
      <c r="R96" s="90">
        <v>0.16786753909336335</v>
      </c>
    </row>
    <row r="97" spans="1:18" x14ac:dyDescent="0.25">
      <c r="A97" s="194">
        <v>0.13358784751216146</v>
      </c>
      <c r="B97" s="195">
        <v>5.6502267951193862E-2</v>
      </c>
      <c r="C97" s="195">
        <v>2.2004033132459883E-3</v>
      </c>
      <c r="D97" s="196">
        <v>0.98942252801252617</v>
      </c>
      <c r="F97" s="123">
        <f>INDEX(A97:D105,,F93)</f>
        <v>0.13358784751216146</v>
      </c>
      <c r="G97" s="90">
        <f>INDEX(A94:D102,,G93)</f>
        <v>5.6502267951193862E-2</v>
      </c>
      <c r="I97" s="123">
        <f t="shared" si="37"/>
        <v>1.4653206719303995E-2</v>
      </c>
      <c r="J97" s="37">
        <f t="shared" si="38"/>
        <v>1.5096032710310747E-2</v>
      </c>
      <c r="K97" s="37">
        <f t="shared" si="39"/>
        <v>-1.3173736432116275E-5</v>
      </c>
      <c r="L97" s="90">
        <f t="shared" si="36"/>
        <v>2.2120528794555833E-4</v>
      </c>
      <c r="Q97" s="123">
        <v>0.13653410105477085</v>
      </c>
      <c r="R97" s="90">
        <v>4.8955679300022391E-2</v>
      </c>
    </row>
    <row r="98" spans="1:18" x14ac:dyDescent="0.25">
      <c r="A98" s="194">
        <v>0.46056955247064696</v>
      </c>
      <c r="B98" s="195">
        <v>-9.406617804139375E-2</v>
      </c>
      <c r="C98" s="195">
        <v>0.82629883906769819</v>
      </c>
      <c r="D98" s="196">
        <v>0.31025387997742643</v>
      </c>
      <c r="F98" s="123">
        <f>INDEX(A98:D106,,F93)</f>
        <v>0.46056955247064696</v>
      </c>
      <c r="G98" s="90">
        <f>INDEX(A94:D102,,G93)</f>
        <v>-9.406617804139375E-2</v>
      </c>
      <c r="I98" s="123">
        <f t="shared" si="37"/>
        <v>0.20327586681169682</v>
      </c>
      <c r="J98" s="37">
        <f t="shared" si="38"/>
        <v>-8.6648035046297839E-2</v>
      </c>
      <c r="K98" s="37">
        <f t="shared" si="39"/>
        <v>3.3813196050662249E-2</v>
      </c>
      <c r="L98" s="90">
        <f t="shared" si="36"/>
        <v>-1.7613454431566478E-2</v>
      </c>
      <c r="N98" s="156">
        <f>COS(O96)</f>
        <v>0.99844018618416885</v>
      </c>
      <c r="O98" s="158">
        <f>-N99</f>
        <v>-5.5831842281285377E-2</v>
      </c>
      <c r="Q98" s="123">
        <v>0.45459926170314169</v>
      </c>
      <c r="R98" s="90">
        <v>-0.1196338989303857</v>
      </c>
    </row>
    <row r="99" spans="1:18" x14ac:dyDescent="0.25">
      <c r="A99" s="194">
        <v>4.9331130029200573E-2</v>
      </c>
      <c r="B99" s="195">
        <v>-2.6966680259922774E-2</v>
      </c>
      <c r="C99" s="195">
        <v>0.99832265192426639</v>
      </c>
      <c r="D99" s="196">
        <v>1.382463094267368E-2</v>
      </c>
      <c r="F99" s="123">
        <f>INDEX(A99:D107,,F93)</f>
        <v>4.9331130029200573E-2</v>
      </c>
      <c r="G99" s="90">
        <f>INDEX(A94:D102,,G93)</f>
        <v>-2.6966680259922774E-2</v>
      </c>
      <c r="I99" s="123">
        <f t="shared" si="37"/>
        <v>1.7063585457169858E-3</v>
      </c>
      <c r="J99" s="37">
        <f t="shared" si="38"/>
        <v>-2.6605936207162533E-3</v>
      </c>
      <c r="K99" s="37">
        <f t="shared" si="39"/>
        <v>-4.167098928054636E-6</v>
      </c>
      <c r="L99" s="90">
        <f t="shared" si="36"/>
        <v>-4.5399266613892756E-6</v>
      </c>
      <c r="N99" s="91">
        <f>SIN(O96)</f>
        <v>5.5831842281285377E-2</v>
      </c>
      <c r="O99" s="93">
        <f>N98</f>
        <v>0.99844018618416885</v>
      </c>
      <c r="Q99" s="123">
        <v>4.7748583211908606E-2</v>
      </c>
      <c r="R99" s="90">
        <v>-2.9678865130834155E-2</v>
      </c>
    </row>
    <row r="100" spans="1:18" x14ac:dyDescent="0.25">
      <c r="A100" s="194">
        <v>0.98331210374898792</v>
      </c>
      <c r="B100" s="195">
        <v>8.7371145446495699E-2</v>
      </c>
      <c r="C100" s="195">
        <v>7.6153437825759632E-2</v>
      </c>
      <c r="D100" s="196">
        <v>0.14022925326559046</v>
      </c>
      <c r="F100" s="123">
        <f>INDEX(A100:D108,,F93)</f>
        <v>0.98331210374898792</v>
      </c>
      <c r="G100" s="90">
        <f>INDEX(A94:D102,,G93)</f>
        <v>8.7371145446495699E-2</v>
      </c>
      <c r="I100" s="123">
        <f t="shared" si="37"/>
        <v>0.95926897632262764</v>
      </c>
      <c r="J100" s="37">
        <f t="shared" si="38"/>
        <v>0.17182620967190498</v>
      </c>
      <c r="K100" s="37">
        <f t="shared" si="39"/>
        <v>0.89067272260484853</v>
      </c>
      <c r="L100" s="90">
        <f t="shared" si="36"/>
        <v>0.16482755225736548</v>
      </c>
      <c r="Q100" s="123">
        <v>0.98665641195679021</v>
      </c>
      <c r="R100" s="90">
        <v>3.2334736436930842E-2</v>
      </c>
    </row>
    <row r="101" spans="1:18" x14ac:dyDescent="0.25">
      <c r="A101" s="194">
        <v>0.77271955218778376</v>
      </c>
      <c r="B101" s="195">
        <v>-0.14608092971467254</v>
      </c>
      <c r="C101" s="195">
        <v>0.47049500384985149</v>
      </c>
      <c r="D101" s="196">
        <v>0.40024905620467871</v>
      </c>
      <c r="F101" s="123">
        <f>INDEX(A101:D109,,F93)</f>
        <v>0.77271955218778376</v>
      </c>
      <c r="G101" s="90">
        <f>INDEX(A94:D102,,G93)</f>
        <v>-0.14608092971467254</v>
      </c>
      <c r="I101" s="123">
        <f t="shared" si="37"/>
        <v>0.575755868306986</v>
      </c>
      <c r="J101" s="37">
        <f t="shared" si="38"/>
        <v>-0.22575918118459376</v>
      </c>
      <c r="K101" s="37">
        <f t="shared" si="39"/>
        <v>0.28052761200079318</v>
      </c>
      <c r="L101" s="90">
        <f t="shared" si="36"/>
        <v>-0.12998217339120996</v>
      </c>
      <c r="Q101" s="123">
        <v>0.76335828612638523</v>
      </c>
      <c r="R101" s="90">
        <v>-0.18899542682768794</v>
      </c>
    </row>
    <row r="102" spans="1:18" x14ac:dyDescent="0.25">
      <c r="A102" s="200">
        <v>0.17678140830429931</v>
      </c>
      <c r="B102" s="201">
        <v>-0.8846732638228304</v>
      </c>
      <c r="C102" s="201">
        <v>-0.28149568514920331</v>
      </c>
      <c r="D102" s="202">
        <v>0.32689712326264048</v>
      </c>
      <c r="F102" s="91">
        <f>INDEX(A102:D110,,F93)</f>
        <v>0.17678140830429931</v>
      </c>
      <c r="G102" s="93">
        <f>INDEX(A94:D102,,G93)</f>
        <v>-0.8846732638228304</v>
      </c>
      <c r="I102" s="91">
        <f t="shared" si="37"/>
        <v>-0.75139511740088794</v>
      </c>
      <c r="J102" s="92">
        <f t="shared" si="38"/>
        <v>-0.31278757093552179</v>
      </c>
      <c r="K102" s="92">
        <f t="shared" si="39"/>
        <v>0.46675855792215004</v>
      </c>
      <c r="L102" s="93">
        <f t="shared" si="36"/>
        <v>0.23502705358463497</v>
      </c>
      <c r="Q102" s="91">
        <v>0.12711272408501795</v>
      </c>
      <c r="R102" s="93">
        <v>-0.89316336995013235</v>
      </c>
    </row>
    <row r="103" spans="1:18" x14ac:dyDescent="0.25">
      <c r="I103">
        <f>SUM(I94:I102)</f>
        <v>1.5135203195531595</v>
      </c>
      <c r="J103">
        <f>SUM(J94:J102)</f>
        <v>-0.87991686863040097</v>
      </c>
      <c r="K103">
        <f>SUM(K94:K102)</f>
        <v>2.4626990199312671</v>
      </c>
      <c r="L103">
        <f>SUM(L94:L102)</f>
        <v>0.22538004974200185</v>
      </c>
    </row>
    <row r="104" spans="1:18" x14ac:dyDescent="0.25">
      <c r="A104" s="47" t="s">
        <v>53</v>
      </c>
      <c r="B104">
        <f>COUNT(A94:A102)</f>
        <v>9</v>
      </c>
      <c r="I104" s="47" t="s">
        <v>462</v>
      </c>
      <c r="J104" s="47" t="s">
        <v>389</v>
      </c>
      <c r="K104" s="47" t="s">
        <v>469</v>
      </c>
      <c r="L104" s="47" t="s">
        <v>470</v>
      </c>
      <c r="N104" s="47"/>
    </row>
    <row r="106" spans="1:18" x14ac:dyDescent="0.25">
      <c r="A106">
        <v>1</v>
      </c>
      <c r="B106">
        <v>2</v>
      </c>
      <c r="C106">
        <v>3</v>
      </c>
      <c r="D106">
        <v>4</v>
      </c>
      <c r="F106">
        <v>1</v>
      </c>
      <c r="G106">
        <v>3</v>
      </c>
      <c r="I106" s="47" t="s">
        <v>207</v>
      </c>
      <c r="J106" s="47" t="s">
        <v>464</v>
      </c>
      <c r="K106" s="47" t="s">
        <v>465</v>
      </c>
      <c r="L106" s="47" t="s">
        <v>466</v>
      </c>
      <c r="Q106">
        <f>F106</f>
        <v>1</v>
      </c>
      <c r="R106">
        <f>G106</f>
        <v>3</v>
      </c>
    </row>
    <row r="107" spans="1:18" x14ac:dyDescent="0.25">
      <c r="A107" s="189">
        <f t="array" ref="A107:A115">IF(A106=$Q93,$Q94:$Q102,IF(A106=$R93,$R94:$R102,A94:A102))</f>
        <v>5.6050778989653348E-2</v>
      </c>
      <c r="B107" s="190">
        <f t="array" ref="B107:B115">IF(B106=$Q93,$Q94:$Q102,IF(B106=$R93,$R94:$R102,B94:B102))</f>
        <v>0.92260618977202824</v>
      </c>
      <c r="C107" s="190">
        <f t="array" ref="C107:C115">IF(C106=$Q93,$Q94:$Q102,IF(C106=$R93,$R94:$R102,C94:C102))</f>
        <v>-0.3193364437090902</v>
      </c>
      <c r="D107" s="191">
        <f t="array" ref="D107:D115">IF(D106=$Q93,$Q94:$Q102,IF(D106=$R93,$R94:$R102,D94:D102))</f>
        <v>0.20899847963137047</v>
      </c>
      <c r="F107" s="156">
        <f>INDEX(A107:D115,,F106)</f>
        <v>5.6050778989653348E-2</v>
      </c>
      <c r="G107" s="158">
        <f>INDEX(A107:D115,,G106)</f>
        <v>-0.3193364437090902</v>
      </c>
      <c r="I107" s="156">
        <f>F107^2-G107^2</f>
        <v>-9.8834074455421972E-2</v>
      </c>
      <c r="J107" s="157">
        <f>2*F107*G107</f>
        <v>-3.5798112859360187E-2</v>
      </c>
      <c r="K107" s="157">
        <f>I107^2-J107^2</f>
        <v>8.4866693891684046E-3</v>
      </c>
      <c r="L107" s="158">
        <f t="shared" ref="L107:L115" si="40">I107*J107</f>
        <v>3.5380733517056035E-3</v>
      </c>
      <c r="N107" t="s">
        <v>390</v>
      </c>
      <c r="O107" s="172">
        <f>L116*B117-2*I116*J116</f>
        <v>-4.320241163658344</v>
      </c>
      <c r="Q107" s="156">
        <f t="array" ref="Q107:R115">MMULT(F107:G115,N111:O112)</f>
        <v>7.0156376946175478E-2</v>
      </c>
      <c r="R107" s="158">
        <v>-0.31653678598213836</v>
      </c>
    </row>
    <row r="108" spans="1:18" x14ac:dyDescent="0.25">
      <c r="A108" s="194">
        <v>0.82478491947920984</v>
      </c>
      <c r="B108" s="195">
        <v>-0.56210551541593512</v>
      </c>
      <c r="C108" s="195">
        <v>-7.9087473318959975E-3</v>
      </c>
      <c r="D108" s="196">
        <v>-6.0866064882653226E-2</v>
      </c>
      <c r="F108" s="123">
        <f>INDEX(A108:D116,,F106)</f>
        <v>0.82478491947920984</v>
      </c>
      <c r="G108" s="90">
        <f>INDEX(A107:D115,,G106)</f>
        <v>-7.9087473318959975E-3</v>
      </c>
      <c r="I108" s="123">
        <f t="shared" ref="I108:I115" si="41">F108^2-G108^2</f>
        <v>0.68020761511596683</v>
      </c>
      <c r="J108" s="37">
        <f t="shared" ref="J108:J115" si="42">2*F108*G108</f>
        <v>-1.3046031062638512E-2</v>
      </c>
      <c r="K108" s="37">
        <f t="shared" ref="K108:K115" si="43">I108^2-J108^2</f>
        <v>0.46251220073526395</v>
      </c>
      <c r="L108" s="90">
        <f t="shared" si="40"/>
        <v>-8.8740096758461642E-3</v>
      </c>
      <c r="N108" t="s">
        <v>392</v>
      </c>
      <c r="O108" s="173">
        <f>K116*B117-(I116^2-J116^2)</f>
        <v>24.092219937058598</v>
      </c>
      <c r="Q108" s="123">
        <v>0.82432429425616227</v>
      </c>
      <c r="R108" s="90">
        <v>2.8673499677689604E-2</v>
      </c>
    </row>
    <row r="109" spans="1:18" x14ac:dyDescent="0.25">
      <c r="A109" s="194">
        <v>0.98491847343526207</v>
      </c>
      <c r="B109" s="195">
        <v>0.16786753909336335</v>
      </c>
      <c r="C109" s="195">
        <v>3.9569904780412647E-2</v>
      </c>
      <c r="D109" s="196">
        <v>-1.3795384748538432E-2</v>
      </c>
      <c r="F109" s="123">
        <f>INDEX(A109:D117,,F106)</f>
        <v>0.98491847343526207</v>
      </c>
      <c r="G109" s="90">
        <f>INDEX(A107:D115,,G106)</f>
        <v>3.9569904780412647E-2</v>
      </c>
      <c r="I109" s="123">
        <f t="shared" si="41"/>
        <v>0.96849862194971603</v>
      </c>
      <c r="J109" s="37">
        <f t="shared" si="42"/>
        <v>7.7946260420605401E-2</v>
      </c>
      <c r="K109" s="37">
        <f t="shared" si="43"/>
        <v>0.93191396120494219</v>
      </c>
      <c r="L109" s="90">
        <f t="shared" si="40"/>
        <v>7.5490845803490025E-2</v>
      </c>
      <c r="N109" t="s">
        <v>467</v>
      </c>
      <c r="O109" s="174">
        <f>0.25*ATAN(O107/O108)</f>
        <v>-4.4358794343300374E-2</v>
      </c>
      <c r="Q109" s="123">
        <v>0.98219492129867403</v>
      </c>
      <c r="R109" s="90">
        <v>8.3206449590578727E-2</v>
      </c>
    </row>
    <row r="110" spans="1:18" x14ac:dyDescent="0.25">
      <c r="A110" s="194">
        <v>0.13653410105477085</v>
      </c>
      <c r="B110" s="195">
        <v>4.8955679300022391E-2</v>
      </c>
      <c r="C110" s="195">
        <v>2.2004033132459883E-3</v>
      </c>
      <c r="D110" s="196">
        <v>0.98942252801252617</v>
      </c>
      <c r="F110" s="123">
        <f>INDEX(A110:D118,,F106)</f>
        <v>0.13653410105477085</v>
      </c>
      <c r="G110" s="90">
        <f>INDEX(A107:D115,,G106)</f>
        <v>2.2004033132459883E-3</v>
      </c>
      <c r="I110" s="123">
        <f t="shared" si="41"/>
        <v>1.8636718976093435E-2</v>
      </c>
      <c r="J110" s="37">
        <f t="shared" si="42"/>
        <v>6.0086017666396074E-4</v>
      </c>
      <c r="K110" s="37">
        <f t="shared" si="43"/>
        <v>3.4696626124198051E-4</v>
      </c>
      <c r="L110" s="90">
        <f t="shared" si="40"/>
        <v>1.1198062256412091E-5</v>
      </c>
      <c r="Q110" s="123">
        <v>0.13630221859389136</v>
      </c>
      <c r="R110" s="90">
        <v>8.2527408755144575E-3</v>
      </c>
    </row>
    <row r="111" spans="1:18" x14ac:dyDescent="0.25">
      <c r="A111" s="194">
        <v>0.45459926170314169</v>
      </c>
      <c r="B111" s="195">
        <v>-0.1196338989303857</v>
      </c>
      <c r="C111" s="195">
        <v>0.82629883906769819</v>
      </c>
      <c r="D111" s="196">
        <v>0.31025387997742643</v>
      </c>
      <c r="F111" s="123">
        <f>INDEX(A111:D119,,F106)</f>
        <v>0.45459926170314169</v>
      </c>
      <c r="G111" s="90">
        <f>INDEX(A107:D115,,G106)</f>
        <v>0.82629883906769819</v>
      </c>
      <c r="I111" s="123">
        <f t="shared" si="41"/>
        <v>-0.47610928270358432</v>
      </c>
      <c r="J111" s="37">
        <f t="shared" si="42"/>
        <v>0.75126968437267738</v>
      </c>
      <c r="K111" s="37">
        <f t="shared" si="43"/>
        <v>-0.33772608958090067</v>
      </c>
      <c r="L111" s="90">
        <f t="shared" si="40"/>
        <v>-0.35768647054362362</v>
      </c>
      <c r="N111" s="156">
        <f>COS(O109)</f>
        <v>0.99901630999885926</v>
      </c>
      <c r="O111" s="158">
        <f>-N112</f>
        <v>4.4344248288399495E-2</v>
      </c>
      <c r="Q111" s="123">
        <v>0.41751047607484409</v>
      </c>
      <c r="R111" s="90">
        <v>0.84564487969444024</v>
      </c>
    </row>
    <row r="112" spans="1:18" x14ac:dyDescent="0.25">
      <c r="A112" s="194">
        <v>4.7748583211908606E-2</v>
      </c>
      <c r="B112" s="195">
        <v>-2.9678865130834155E-2</v>
      </c>
      <c r="C112" s="195">
        <v>0.99832265192426639</v>
      </c>
      <c r="D112" s="196">
        <v>1.382463094267368E-2</v>
      </c>
      <c r="F112" s="123">
        <f>INDEX(A112:D120,,F106)</f>
        <v>4.7748583211908606E-2</v>
      </c>
      <c r="G112" s="90">
        <f>INDEX(A107:D115,,G106)</f>
        <v>0.99832265192426639</v>
      </c>
      <c r="I112" s="123">
        <f t="shared" si="41"/>
        <v>-0.99436819014635536</v>
      </c>
      <c r="J112" s="37">
        <f t="shared" si="42"/>
        <v>9.5336984435478209E-2</v>
      </c>
      <c r="K112" s="37">
        <f t="shared" si="43"/>
        <v>0.97967895697368768</v>
      </c>
      <c r="L112" s="90">
        <f t="shared" si="40"/>
        <v>-9.4800064667117712E-2</v>
      </c>
      <c r="N112" s="91">
        <f>SIN(O109)</f>
        <v>-4.4344248288399495E-2</v>
      </c>
      <c r="O112" s="93">
        <f>N111</f>
        <v>0.99901630999885926</v>
      </c>
      <c r="Q112" s="123">
        <v>3.4317458591713243E-3</v>
      </c>
      <c r="R112" s="90">
        <v>0.99945798694302435</v>
      </c>
    </row>
    <row r="113" spans="1:18" x14ac:dyDescent="0.25">
      <c r="A113" s="194">
        <v>0.98665641195679021</v>
      </c>
      <c r="B113" s="195">
        <v>3.2334736436930842E-2</v>
      </c>
      <c r="C113" s="195">
        <v>7.6153437825759632E-2</v>
      </c>
      <c r="D113" s="196">
        <v>0.14022925326559046</v>
      </c>
      <c r="F113" s="123">
        <f>INDEX(A113:D121,,F106)</f>
        <v>0.98665641195679021</v>
      </c>
      <c r="G113" s="90">
        <f>INDEX(A107:D115,,G106)</f>
        <v>7.6153437825759632E-2</v>
      </c>
      <c r="I113" s="123">
        <f t="shared" si="41"/>
        <v>0.96769152916276546</v>
      </c>
      <c r="J113" s="37">
        <f t="shared" si="42"/>
        <v>0.15027455544667701</v>
      </c>
      <c r="K113" s="37">
        <f t="shared" si="43"/>
        <v>0.91384445359867494</v>
      </c>
      <c r="L113" s="90">
        <f t="shared" si="40"/>
        <v>0.14541941435444966</v>
      </c>
      <c r="Q113" s="123">
        <v>0.98230888095482627</v>
      </c>
      <c r="R113" s="90">
        <v>0.11983106335757121</v>
      </c>
    </row>
    <row r="114" spans="1:18" x14ac:dyDescent="0.25">
      <c r="A114" s="194">
        <v>0.76335828612638523</v>
      </c>
      <c r="B114" s="195">
        <v>-0.18899542682768794</v>
      </c>
      <c r="C114" s="195">
        <v>0.47049500384985149</v>
      </c>
      <c r="D114" s="196">
        <v>0.40024905620467871</v>
      </c>
      <c r="F114" s="123">
        <f>INDEX(A114:D122,,F106)</f>
        <v>0.76335828612638523</v>
      </c>
      <c r="G114" s="90">
        <f>INDEX(A107:D115,,G106)</f>
        <v>0.47049500384985149</v>
      </c>
      <c r="I114" s="123">
        <f t="shared" si="41"/>
        <v>0.36135032435014047</v>
      </c>
      <c r="J114" s="37">
        <f t="shared" si="42"/>
        <v>0.71831251953969932</v>
      </c>
      <c r="K114" s="37">
        <f t="shared" si="43"/>
        <v>-0.38539881881951921</v>
      </c>
      <c r="L114" s="90">
        <f t="shared" si="40"/>
        <v>0.25956246192043697</v>
      </c>
      <c r="Q114" s="123">
        <v>0.74174363094386553</v>
      </c>
      <c r="R114" s="90">
        <v>0.5038827319919732</v>
      </c>
    </row>
    <row r="115" spans="1:18" x14ac:dyDescent="0.25">
      <c r="A115" s="200">
        <v>0.12711272408501795</v>
      </c>
      <c r="B115" s="201">
        <v>-0.89316336995013235</v>
      </c>
      <c r="C115" s="201">
        <v>-0.28149568514920331</v>
      </c>
      <c r="D115" s="202">
        <v>0.32689712326264048</v>
      </c>
      <c r="F115" s="91">
        <f>INDEX(A115:D123,,F106)</f>
        <v>0.12711272408501795</v>
      </c>
      <c r="G115" s="93">
        <f>INDEX(A107:D115,,G106)</f>
        <v>-0.28149568514920331</v>
      </c>
      <c r="I115" s="91">
        <f t="shared" si="41"/>
        <v>-6.3082176133305495E-2</v>
      </c>
      <c r="J115" s="92">
        <f t="shared" si="42"/>
        <v>-7.1563366714987531E-2</v>
      </c>
      <c r="K115" s="92">
        <f t="shared" si="43"/>
        <v>-1.1419545098704078E-3</v>
      </c>
      <c r="L115" s="93">
        <f t="shared" si="40"/>
        <v>4.5143729038071749E-3</v>
      </c>
      <c r="Q115" s="91">
        <v>0.13947039912368714</v>
      </c>
      <c r="R115" s="93">
        <v>-0.27558206246091688</v>
      </c>
    </row>
    <row r="116" spans="1:18" x14ac:dyDescent="0.25">
      <c r="I116">
        <f>SUM(I107:I115)</f>
        <v>1.3639910861160149</v>
      </c>
      <c r="J116">
        <f>SUM(J107:J115)</f>
        <v>1.6733333537548152</v>
      </c>
      <c r="K116">
        <f>SUM(K107:K115)</f>
        <v>2.5725163452526894</v>
      </c>
      <c r="L116">
        <f>SUM(L107:L115)</f>
        <v>2.7175821509558318E-2</v>
      </c>
    </row>
    <row r="117" spans="1:18" x14ac:dyDescent="0.25">
      <c r="A117" s="47" t="s">
        <v>53</v>
      </c>
      <c r="B117">
        <f>COUNT(A107:A115)</f>
        <v>9</v>
      </c>
      <c r="I117" s="47" t="s">
        <v>462</v>
      </c>
      <c r="J117" s="47" t="s">
        <v>389</v>
      </c>
      <c r="K117" s="47" t="s">
        <v>469</v>
      </c>
      <c r="L117" s="47" t="s">
        <v>470</v>
      </c>
      <c r="N117" s="47"/>
    </row>
    <row r="119" spans="1:18" x14ac:dyDescent="0.25">
      <c r="A119">
        <v>1</v>
      </c>
      <c r="B119">
        <v>2</v>
      </c>
      <c r="C119">
        <v>3</v>
      </c>
      <c r="D119">
        <v>4</v>
      </c>
      <c r="F119">
        <v>1</v>
      </c>
      <c r="G119">
        <v>4</v>
      </c>
      <c r="I119" s="47" t="s">
        <v>207</v>
      </c>
      <c r="J119" s="47" t="s">
        <v>464</v>
      </c>
      <c r="K119" s="47" t="s">
        <v>465</v>
      </c>
      <c r="L119" s="47" t="s">
        <v>466</v>
      </c>
      <c r="Q119">
        <f>F119</f>
        <v>1</v>
      </c>
      <c r="R119">
        <f>G119</f>
        <v>4</v>
      </c>
    </row>
    <row r="120" spans="1:18" x14ac:dyDescent="0.25">
      <c r="A120" s="189">
        <f t="array" ref="A120:A128">IF(A119=$Q106,$Q107:$Q115,IF(A119=$R106,$R107:$R115,A107:A115))</f>
        <v>7.0156376946175478E-2</v>
      </c>
      <c r="B120" s="190">
        <f t="array" ref="B120:B128">IF(B119=$Q106,$Q107:$Q115,IF(B119=$R106,$R107:$R115,B107:B115))</f>
        <v>0.92260618977202824</v>
      </c>
      <c r="C120" s="190">
        <f t="array" ref="C120:C128">IF(C119=$Q106,$Q107:$Q115,IF(C119=$R106,$R107:$R115,C107:C115))</f>
        <v>-0.31653678598213836</v>
      </c>
      <c r="D120" s="191">
        <f t="array" ref="D120:D128">IF(D119=$Q106,$Q107:$Q115,IF(D119=$R106,$R107:$R115,D107:D115))</f>
        <v>0.20899847963137047</v>
      </c>
      <c r="F120" s="156">
        <f>INDEX(A120:D128,,F119)</f>
        <v>7.0156376946175478E-2</v>
      </c>
      <c r="G120" s="158">
        <f>INDEX(A120:D128,,G119)</f>
        <v>0.20899847963137047</v>
      </c>
      <c r="I120" s="156">
        <f>F120^2-G120^2</f>
        <v>-3.8758447262010512E-2</v>
      </c>
      <c r="J120" s="157">
        <f>2*F120*G120</f>
        <v>2.932515223639201E-2</v>
      </c>
      <c r="K120" s="157">
        <f>I120^2-J120^2</f>
        <v>6.4225268047448281E-4</v>
      </c>
      <c r="L120" s="158">
        <f t="shared" ref="L120:L128" si="44">I120*J120</f>
        <v>-1.1365973664046293E-3</v>
      </c>
      <c r="N120" t="s">
        <v>390</v>
      </c>
      <c r="O120" s="172">
        <f>L129*B130-2*I129*J129</f>
        <v>-4.1218089655045826</v>
      </c>
      <c r="Q120" s="156">
        <f t="array" ref="Q120:R128">MMULT(F120:G128,N124:O125)</f>
        <v>6.0866529242717189E-2</v>
      </c>
      <c r="R120" s="158">
        <v>0.21189041349807144</v>
      </c>
    </row>
    <row r="121" spans="1:18" x14ac:dyDescent="0.25">
      <c r="A121" s="194">
        <v>0.82432429425616227</v>
      </c>
      <c r="B121" s="195">
        <v>-0.56210551541593512</v>
      </c>
      <c r="C121" s="195">
        <v>2.8673499677689604E-2</v>
      </c>
      <c r="D121" s="196">
        <v>-6.0866064882653226E-2</v>
      </c>
      <c r="F121" s="123">
        <f>INDEX(A121:D129,,F119)</f>
        <v>0.82432429425616227</v>
      </c>
      <c r="G121" s="90">
        <f>INDEX(A120:D128,,G119)</f>
        <v>-6.0866064882653226E-2</v>
      </c>
      <c r="I121" s="123">
        <f t="shared" ref="I121:I128" si="45">F121^2-G121^2</f>
        <v>0.67580586424662059</v>
      </c>
      <c r="J121" s="37">
        <f t="shared" ref="J121:J128" si="46">2*F121*G121</f>
        <v>-0.10034675195708581</v>
      </c>
      <c r="K121" s="37">
        <f t="shared" ref="K121:K128" si="47">I121^2-J121^2</f>
        <v>0.44664409552178486</v>
      </c>
      <c r="L121" s="90">
        <f t="shared" si="44"/>
        <v>-6.7814923430699642E-2</v>
      </c>
      <c r="N121" t="s">
        <v>392</v>
      </c>
      <c r="O121" s="173">
        <f>K129*B130-(I129^2-J129^2)</f>
        <v>23.103724129602345</v>
      </c>
      <c r="Q121" s="123">
        <v>0.82620706981735137</v>
      </c>
      <c r="R121" s="90">
        <v>-2.4435583460306505E-2</v>
      </c>
    </row>
    <row r="122" spans="1:18" x14ac:dyDescent="0.25">
      <c r="A122" s="194">
        <v>0.98219492129867403</v>
      </c>
      <c r="B122" s="195">
        <v>0.16786753909336335</v>
      </c>
      <c r="C122" s="195">
        <v>8.3206449590578727E-2</v>
      </c>
      <c r="D122" s="196">
        <v>-1.3795384748538432E-2</v>
      </c>
      <c r="F122" s="123">
        <f>INDEX(A122:D130,,F119)</f>
        <v>0.98219492129867403</v>
      </c>
      <c r="G122" s="90">
        <f>INDEX(A120:D128,,G119)</f>
        <v>-1.3795384748538432E-2</v>
      </c>
      <c r="I122" s="123">
        <f t="shared" si="45"/>
        <v>0.96451655078454834</v>
      </c>
      <c r="J122" s="37">
        <f t="shared" si="46"/>
        <v>-2.7099513674751267E-2</v>
      </c>
      <c r="K122" s="37">
        <f t="shared" si="47"/>
        <v>0.92955779309591424</v>
      </c>
      <c r="L122" s="90">
        <f t="shared" si="44"/>
        <v>-2.6137929457509795E-2</v>
      </c>
      <c r="N122" t="s">
        <v>467</v>
      </c>
      <c r="O122" s="174">
        <f>0.25*ATAN(O120/O121)</f>
        <v>-4.413677676718282E-2</v>
      </c>
      <c r="Q122" s="123">
        <v>0.98184707784643954</v>
      </c>
      <c r="R122" s="90">
        <v>2.955489451303029E-2</v>
      </c>
    </row>
    <row r="123" spans="1:18" x14ac:dyDescent="0.25">
      <c r="A123" s="194">
        <v>0.13630221859389136</v>
      </c>
      <c r="B123" s="195">
        <v>4.8955679300022391E-2</v>
      </c>
      <c r="C123" s="195">
        <v>8.2527408755144575E-3</v>
      </c>
      <c r="D123" s="196">
        <v>0.98942252801252617</v>
      </c>
      <c r="F123" s="123">
        <f>INDEX(A123:D131,,F119)</f>
        <v>0.13630221859389136</v>
      </c>
      <c r="G123" s="90">
        <f>INDEX(A120:D128,,G119)</f>
        <v>0.98942252801252617</v>
      </c>
      <c r="I123" s="123">
        <f t="shared" si="45"/>
        <v>-0.96037864414508123</v>
      </c>
      <c r="J123" s="37">
        <f t="shared" si="46"/>
        <v>0.26972097138976786</v>
      </c>
      <c r="K123" s="37">
        <f t="shared" si="47"/>
        <v>0.84957773772250456</v>
      </c>
      <c r="L123" s="90">
        <f t="shared" si="44"/>
        <v>-0.2590342608007995</v>
      </c>
      <c r="Q123" s="123">
        <v>9.2513733971531426E-2</v>
      </c>
      <c r="R123" s="90">
        <v>0.99447294722328161</v>
      </c>
    </row>
    <row r="124" spans="1:18" x14ac:dyDescent="0.25">
      <c r="A124" s="194">
        <v>0.41751047607484409</v>
      </c>
      <c r="B124" s="195">
        <v>-0.1196338989303857</v>
      </c>
      <c r="C124" s="195">
        <v>0.84564487969444024</v>
      </c>
      <c r="D124" s="196">
        <v>0.31025387997742643</v>
      </c>
      <c r="F124" s="123">
        <f>INDEX(A124:D132,,F119)</f>
        <v>0.41751047607484409</v>
      </c>
      <c r="G124" s="90">
        <f>INDEX(A120:D128,,G119)</f>
        <v>0.31025387997742643</v>
      </c>
      <c r="I124" s="123">
        <f t="shared" si="45"/>
        <v>7.8057527591195622E-2</v>
      </c>
      <c r="J124" s="37">
        <f t="shared" si="46"/>
        <v>0.25906849026688572</v>
      </c>
      <c r="K124" s="37">
        <f t="shared" si="47"/>
        <v>-6.1023505035513195E-2</v>
      </c>
      <c r="L124" s="90">
        <f t="shared" si="44"/>
        <v>2.0222245827016826E-2</v>
      </c>
      <c r="N124" s="156">
        <f>COS(O122)</f>
        <v>0.99902613057964007</v>
      </c>
      <c r="O124" s="158">
        <f>-N125</f>
        <v>4.4122448017669798E-2</v>
      </c>
      <c r="Q124" s="123">
        <v>0.4034147146979305</v>
      </c>
      <c r="R124" s="90">
        <v>0.32837331748861326</v>
      </c>
    </row>
    <row r="125" spans="1:18" x14ac:dyDescent="0.25">
      <c r="A125" s="194">
        <v>3.4317458591713243E-3</v>
      </c>
      <c r="B125" s="195">
        <v>-2.9678865130834155E-2</v>
      </c>
      <c r="C125" s="195">
        <v>0.99945798694302435</v>
      </c>
      <c r="D125" s="196">
        <v>1.382463094267368E-2</v>
      </c>
      <c r="F125" s="123">
        <f>INDEX(A125:D133,,F119)</f>
        <v>3.4317458591713243E-3</v>
      </c>
      <c r="G125" s="90">
        <f>INDEX(A120:D128,,G119)</f>
        <v>1.382463094267368E-2</v>
      </c>
      <c r="I125" s="123">
        <f t="shared" si="45"/>
        <v>-1.7934354105919104E-4</v>
      </c>
      <c r="J125" s="37">
        <f t="shared" si="46"/>
        <v>9.4885239984184323E-5</v>
      </c>
      <c r="K125" s="37">
        <f t="shared" si="47"/>
        <v>2.3160896952793489E-8</v>
      </c>
      <c r="L125" s="90">
        <f t="shared" si="44"/>
        <v>-1.7017054933014756E-8</v>
      </c>
      <c r="N125" s="91">
        <f>SIN(O122)</f>
        <v>-4.4122448017669798E-2</v>
      </c>
      <c r="O125" s="93">
        <f>N124</f>
        <v>0.99902613057964007</v>
      </c>
      <c r="Q125" s="123">
        <v>2.8184272266890418E-3</v>
      </c>
      <c r="R125" s="90">
        <v>1.3962584585631989E-2</v>
      </c>
    </row>
    <row r="126" spans="1:18" x14ac:dyDescent="0.25">
      <c r="A126" s="194">
        <v>0.98230888095482627</v>
      </c>
      <c r="B126" s="195">
        <v>3.2334736436930842E-2</v>
      </c>
      <c r="C126" s="195">
        <v>0.11983106335757121</v>
      </c>
      <c r="D126" s="196">
        <v>0.14022925326559046</v>
      </c>
      <c r="F126" s="123">
        <f>INDEX(A126:D134,,F119)</f>
        <v>0.98230888095482627</v>
      </c>
      <c r="G126" s="90">
        <f>INDEX(A120:D128,,G119)</f>
        <v>0.14022925326559046</v>
      </c>
      <c r="I126" s="123">
        <f t="shared" si="45"/>
        <v>0.94526649413129793</v>
      </c>
      <c r="J126" s="37">
        <f t="shared" si="46"/>
        <v>0.27549688170490616</v>
      </c>
      <c r="K126" s="37">
        <f t="shared" si="47"/>
        <v>0.81763021309814798</v>
      </c>
      <c r="L126" s="90">
        <f t="shared" si="44"/>
        <v>0.26041797151330154</v>
      </c>
      <c r="Q126" s="123">
        <v>0.9751649824365487</v>
      </c>
      <c r="R126" s="90">
        <v>0.18343456082121992</v>
      </c>
    </row>
    <row r="127" spans="1:18" x14ac:dyDescent="0.25">
      <c r="A127" s="194">
        <v>0.74174363094386553</v>
      </c>
      <c r="B127" s="195">
        <v>-0.18899542682768794</v>
      </c>
      <c r="C127" s="195">
        <v>0.5038827319919732</v>
      </c>
      <c r="D127" s="196">
        <v>0.40024905620467871</v>
      </c>
      <c r="F127" s="123">
        <f>INDEX(A127:D135,,F119)</f>
        <v>0.74174363094386553</v>
      </c>
      <c r="G127" s="90">
        <f>INDEX(A120:D128,,G119)</f>
        <v>0.40024905620467871</v>
      </c>
      <c r="I127" s="123">
        <f t="shared" si="45"/>
        <v>0.38998430705305337</v>
      </c>
      <c r="J127" s="37">
        <f t="shared" si="46"/>
        <v>0.59376437646222735</v>
      </c>
      <c r="K127" s="37">
        <f t="shared" si="47"/>
        <v>-0.20046837500792741</v>
      </c>
      <c r="L127" s="90">
        <f t="shared" si="44"/>
        <v>0.23155878890741005</v>
      </c>
      <c r="Q127" s="123">
        <v>0.72336130132743015</v>
      </c>
      <c r="R127" s="90">
        <v>0.43258681068707139</v>
      </c>
    </row>
    <row r="128" spans="1:18" x14ac:dyDescent="0.25">
      <c r="A128" s="200">
        <v>0.13947039912368714</v>
      </c>
      <c r="B128" s="201">
        <v>-0.89316336995013235</v>
      </c>
      <c r="C128" s="201">
        <v>-0.27558206246091688</v>
      </c>
      <c r="D128" s="202">
        <v>0.32689712326264048</v>
      </c>
      <c r="F128" s="91">
        <f>INDEX(A128:D136,,F119)</f>
        <v>0.13947039912368714</v>
      </c>
      <c r="G128" s="93">
        <f>INDEX(A120:D128,,G119)</f>
        <v>0.32689712326264048</v>
      </c>
      <c r="I128" s="91">
        <f t="shared" si="45"/>
        <v>-8.740973696566938E-2</v>
      </c>
      <c r="J128" s="92">
        <f t="shared" si="46"/>
        <v>9.1184944507651244E-2</v>
      </c>
      <c r="K128" s="92">
        <f t="shared" si="47"/>
        <v>-6.7423198845592818E-4</v>
      </c>
      <c r="L128" s="93">
        <f t="shared" si="44"/>
        <v>-7.9704520146429546E-3</v>
      </c>
      <c r="Q128" s="91">
        <v>0.12491107183865352</v>
      </c>
      <c r="R128" s="93">
        <v>0.33273254358602994</v>
      </c>
    </row>
    <row r="129" spans="1:18" x14ac:dyDescent="0.25">
      <c r="I129">
        <f>SUM(I120:I128)</f>
        <v>1.9669045718928957</v>
      </c>
      <c r="J129">
        <f>SUM(J120:J128)</f>
        <v>1.3912094361759775</v>
      </c>
      <c r="K129">
        <f>SUM(K120:K128)</f>
        <v>2.7818860032478265</v>
      </c>
      <c r="L129">
        <f>SUM(L120:L128)</f>
        <v>0.15010482616061696</v>
      </c>
    </row>
    <row r="130" spans="1:18" x14ac:dyDescent="0.25">
      <c r="A130" s="47" t="s">
        <v>53</v>
      </c>
      <c r="B130">
        <f>COUNT(A120:A128)</f>
        <v>9</v>
      </c>
      <c r="I130" s="47" t="s">
        <v>462</v>
      </c>
      <c r="J130" s="47" t="s">
        <v>389</v>
      </c>
      <c r="K130" s="47" t="s">
        <v>469</v>
      </c>
      <c r="L130" s="47" t="s">
        <v>470</v>
      </c>
      <c r="N130" s="47"/>
    </row>
    <row r="132" spans="1:18" x14ac:dyDescent="0.25">
      <c r="A132">
        <v>1</v>
      </c>
      <c r="B132">
        <v>2</v>
      </c>
      <c r="C132">
        <v>3</v>
      </c>
      <c r="D132">
        <v>4</v>
      </c>
      <c r="F132">
        <v>2</v>
      </c>
      <c r="G132">
        <v>3</v>
      </c>
      <c r="I132" s="47" t="s">
        <v>207</v>
      </c>
      <c r="J132" s="47" t="s">
        <v>464</v>
      </c>
      <c r="K132" s="47" t="s">
        <v>465</v>
      </c>
      <c r="L132" s="47" t="s">
        <v>466</v>
      </c>
      <c r="Q132">
        <f>F132</f>
        <v>2</v>
      </c>
      <c r="R132">
        <f>G132</f>
        <v>3</v>
      </c>
    </row>
    <row r="133" spans="1:18" x14ac:dyDescent="0.25">
      <c r="A133" s="189">
        <f t="array" ref="A133:A141">IF(A132=$Q119,$Q120:$Q128,IF(A132=$R119,$R120:$R128,A120:A128))</f>
        <v>6.0866529242717189E-2</v>
      </c>
      <c r="B133" s="190">
        <f t="array" ref="B133:B141">IF(B132=$Q119,$Q120:$Q128,IF(B132=$R119,$R120:$R128,B120:B128))</f>
        <v>0.92260618977202824</v>
      </c>
      <c r="C133" s="190">
        <f t="array" ref="C133:C141">IF(C132=$Q119,$Q120:$Q128,IF(C132=$R119,$R120:$R128,C120:C128))</f>
        <v>-0.31653678598213836</v>
      </c>
      <c r="D133" s="191">
        <f t="array" ref="D133:D141">IF(D132=$Q119,$Q120:$Q128,IF(D132=$R119,$R120:$R128,D120:D128))</f>
        <v>0.21189041349807144</v>
      </c>
      <c r="F133" s="156">
        <f>INDEX(A133:D141,,F132)</f>
        <v>0.92260618977202824</v>
      </c>
      <c r="G133" s="158">
        <f>INDEX(A133:D141,,G132)</f>
        <v>-0.31653678598213836</v>
      </c>
      <c r="I133" s="156">
        <f>F133^2-G133^2</f>
        <v>0.75100664452575783</v>
      </c>
      <c r="J133" s="157">
        <f>2*F133*G133</f>
        <v>-0.58407759607532928</v>
      </c>
      <c r="K133" s="157">
        <f>I133^2-J133^2</f>
        <v>0.22286434188470244</v>
      </c>
      <c r="L133" s="158">
        <f t="shared" ref="L133:L141" si="48">I133*J133</f>
        <v>-0.43864615557120396</v>
      </c>
      <c r="N133" t="s">
        <v>390</v>
      </c>
      <c r="O133" s="172">
        <f>L142*B143-2*I142*J142</f>
        <v>1.2179398934628571</v>
      </c>
      <c r="Q133" s="156">
        <f t="array" ref="Q133:R141">MMULT(F133:G141,N137:O138)</f>
        <v>0.91735485826523577</v>
      </c>
      <c r="R133" s="158">
        <v>-0.3314480084458663</v>
      </c>
    </row>
    <row r="134" spans="1:18" x14ac:dyDescent="0.25">
      <c r="A134" s="194">
        <v>0.82620706981735137</v>
      </c>
      <c r="B134" s="195">
        <v>-0.56210551541593512</v>
      </c>
      <c r="C134" s="195">
        <v>2.8673499677689604E-2</v>
      </c>
      <c r="D134" s="196">
        <v>-2.4435583460306505E-2</v>
      </c>
      <c r="F134" s="123">
        <f>INDEX(A134:D142,,F132)</f>
        <v>-0.56210551541593512</v>
      </c>
      <c r="G134" s="90">
        <f>INDEX(A133:D141,,G132)</f>
        <v>2.8673499677689604E-2</v>
      </c>
      <c r="I134" s="123">
        <f t="shared" ref="I134:I141" si="49">F134^2-G134^2</f>
        <v>0.31514044087724763</v>
      </c>
      <c r="J134" s="37">
        <f t="shared" ref="J134:J141" si="50">2*F134*G134</f>
        <v>-3.223506463021273E-2</v>
      </c>
      <c r="K134" s="37">
        <f t="shared" ref="K134:K141" si="51">I134^2-J134^2</f>
        <v>9.8274398084592013E-2</v>
      </c>
      <c r="L134" s="90">
        <f t="shared" si="48"/>
        <v>-1.0158572479271811E-2</v>
      </c>
      <c r="N134" t="s">
        <v>392</v>
      </c>
      <c r="O134" s="173">
        <f>K142*B143-(I142^2-J142^2)</f>
        <v>18.759950870168748</v>
      </c>
      <c r="Q134" s="123">
        <v>-0.56156697103428688</v>
      </c>
      <c r="R134" s="90">
        <v>3.7779850292939253E-2</v>
      </c>
    </row>
    <row r="135" spans="1:18" x14ac:dyDescent="0.25">
      <c r="A135" s="194">
        <v>0.98184707784643954</v>
      </c>
      <c r="B135" s="195">
        <v>0.16786753909336335</v>
      </c>
      <c r="C135" s="195">
        <v>8.3206449590578727E-2</v>
      </c>
      <c r="D135" s="196">
        <v>2.955489451303029E-2</v>
      </c>
      <c r="F135" s="123">
        <f>INDEX(A135:D143,,F132)</f>
        <v>0.16786753909336335</v>
      </c>
      <c r="G135" s="90">
        <f>INDEX(A133:D141,,G132)</f>
        <v>8.3206449590578727E-2</v>
      </c>
      <c r="I135" s="123">
        <f t="shared" si="49"/>
        <v>2.1256197427792355E-2</v>
      </c>
      <c r="J135" s="37">
        <f t="shared" si="50"/>
        <v>2.7935323858932885E-2</v>
      </c>
      <c r="K135" s="37">
        <f t="shared" si="51"/>
        <v>-3.2855639001417854E-4</v>
      </c>
      <c r="L135" s="90">
        <f t="shared" si="48"/>
        <v>5.9379875915479554E-4</v>
      </c>
      <c r="N135" t="s">
        <v>467</v>
      </c>
      <c r="O135" s="174">
        <f>0.25*ATAN(O133/O134)</f>
        <v>1.6207838806261959E-2</v>
      </c>
      <c r="Q135" s="123">
        <v>0.169194028353785</v>
      </c>
      <c r="R135" s="90">
        <v>8.0474870016359681E-2</v>
      </c>
    </row>
    <row r="136" spans="1:18" x14ac:dyDescent="0.25">
      <c r="A136" s="194">
        <v>9.2513733971531426E-2</v>
      </c>
      <c r="B136" s="195">
        <v>4.8955679300022391E-2</v>
      </c>
      <c r="C136" s="195">
        <v>8.2527408755144575E-3</v>
      </c>
      <c r="D136" s="196">
        <v>0.99447294722328161</v>
      </c>
      <c r="F136" s="123">
        <f>INDEX(A136:D144,,F132)</f>
        <v>4.8955679300022391E-2</v>
      </c>
      <c r="G136" s="90">
        <f>INDEX(A133:D141,,G132)</f>
        <v>8.2527408755144575E-3</v>
      </c>
      <c r="I136" s="123">
        <f t="shared" si="49"/>
        <v>2.3285508037682538E-3</v>
      </c>
      <c r="J136" s="37">
        <f t="shared" si="50"/>
        <v>8.0803707129574356E-4</v>
      </c>
      <c r="K136" s="37">
        <f t="shared" si="51"/>
        <v>4.7692249371415783E-6</v>
      </c>
      <c r="L136" s="90">
        <f t="shared" si="48"/>
        <v>1.8815553718402494E-6</v>
      </c>
      <c r="Q136" s="123">
        <v>4.9083002495838371E-2</v>
      </c>
      <c r="R136" s="90">
        <v>7.4582259069132838E-3</v>
      </c>
    </row>
    <row r="137" spans="1:18" x14ac:dyDescent="0.25">
      <c r="A137" s="194">
        <v>0.4034147146979305</v>
      </c>
      <c r="B137" s="195">
        <v>-0.1196338989303857</v>
      </c>
      <c r="C137" s="195">
        <v>0.84564487969444024</v>
      </c>
      <c r="D137" s="196">
        <v>0.32837331748861326</v>
      </c>
      <c r="F137" s="123">
        <f>INDEX(A137:D145,,F132)</f>
        <v>-0.1196338989303857</v>
      </c>
      <c r="G137" s="90">
        <f>INDEX(A133:D141,,G132)</f>
        <v>0.84564487969444024</v>
      </c>
      <c r="I137" s="123">
        <f t="shared" si="49"/>
        <v>-0.70080299278013858</v>
      </c>
      <c r="J137" s="37">
        <f t="shared" si="50"/>
        <v>-0.20233558813672567</v>
      </c>
      <c r="K137" s="37">
        <f t="shared" si="51"/>
        <v>0.45018514446296426</v>
      </c>
      <c r="L137" s="90">
        <f t="shared" si="48"/>
        <v>0.14179738571214684</v>
      </c>
      <c r="N137" s="156">
        <f>COS(O135)</f>
        <v>0.99986865585592988</v>
      </c>
      <c r="O137" s="158">
        <f>-N138</f>
        <v>-1.6207129198476552E-2</v>
      </c>
      <c r="Q137" s="123">
        <v>-0.10591270989709096</v>
      </c>
      <c r="R137" s="90">
        <v>0.84747273124801181</v>
      </c>
    </row>
    <row r="138" spans="1:18" x14ac:dyDescent="0.25">
      <c r="A138" s="194">
        <v>2.8184272266890418E-3</v>
      </c>
      <c r="B138" s="195">
        <v>-2.9678865130834155E-2</v>
      </c>
      <c r="C138" s="195">
        <v>0.99945798694302435</v>
      </c>
      <c r="D138" s="196">
        <v>1.3962584585631989E-2</v>
      </c>
      <c r="F138" s="123">
        <f>INDEX(A138:D146,,F132)</f>
        <v>-2.9678865130834155E-2</v>
      </c>
      <c r="G138" s="90">
        <f>INDEX(A133:D141,,G132)</f>
        <v>0.99945798694302435</v>
      </c>
      <c r="I138" s="123">
        <f t="shared" si="49"/>
        <v>-0.99803543262874839</v>
      </c>
      <c r="J138" s="37">
        <f t="shared" si="50"/>
        <v>-5.9325557596834048E-2</v>
      </c>
      <c r="K138" s="37">
        <f t="shared" si="51"/>
        <v>0.99255520299827771</v>
      </c>
      <c r="L138" s="90">
        <f t="shared" si="48"/>
        <v>5.9209008542097999E-2</v>
      </c>
      <c r="N138" s="91">
        <f>SIN(O135)</f>
        <v>1.6207129198476552E-2</v>
      </c>
      <c r="O138" s="93">
        <f>N137</f>
        <v>0.99986865585592988</v>
      </c>
      <c r="Q138" s="123">
        <v>-1.3476622262861688E-2</v>
      </c>
      <c r="R138" s="90">
        <v>0.99980772319083488</v>
      </c>
    </row>
    <row r="139" spans="1:18" x14ac:dyDescent="0.25">
      <c r="A139" s="194">
        <v>0.9751649824365487</v>
      </c>
      <c r="B139" s="195">
        <v>3.2334736436930842E-2</v>
      </c>
      <c r="C139" s="195">
        <v>0.11983106335757121</v>
      </c>
      <c r="D139" s="196">
        <v>0.18343456082121992</v>
      </c>
      <c r="F139" s="123">
        <f>INDEX(A139:D147,,F132)</f>
        <v>3.2334736436930842E-2</v>
      </c>
      <c r="G139" s="90">
        <f>INDEX(A133:D141,,G132)</f>
        <v>0.11983106335757121</v>
      </c>
      <c r="I139" s="123">
        <f t="shared" si="49"/>
        <v>-1.3313948564960463E-2</v>
      </c>
      <c r="J139" s="37">
        <f t="shared" si="50"/>
        <v>7.749411701248452E-3</v>
      </c>
      <c r="K139" s="37">
        <f t="shared" si="51"/>
        <v>1.1720784467496634E-4</v>
      </c>
      <c r="L139" s="90">
        <f t="shared" si="48"/>
        <v>-1.0317526879912464E-4</v>
      </c>
      <c r="Q139" s="123">
        <v>3.4272606984476789E-2</v>
      </c>
      <c r="R139" s="90">
        <v>0.11929127099808948</v>
      </c>
    </row>
    <row r="140" spans="1:18" x14ac:dyDescent="0.25">
      <c r="A140" s="194">
        <v>0.72336130132743015</v>
      </c>
      <c r="B140" s="195">
        <v>-0.18899542682768794</v>
      </c>
      <c r="C140" s="195">
        <v>0.5038827319919732</v>
      </c>
      <c r="D140" s="196">
        <v>0.43258681068707139</v>
      </c>
      <c r="F140" s="123">
        <f>INDEX(A140:D148,,F132)</f>
        <v>-0.18899542682768794</v>
      </c>
      <c r="G140" s="90">
        <f>INDEX(A133:D141,,G132)</f>
        <v>0.5038827319919732</v>
      </c>
      <c r="I140" s="123">
        <f t="shared" si="49"/>
        <v>-0.21817853623791478</v>
      </c>
      <c r="J140" s="37">
        <f t="shared" si="50"/>
        <v>-0.19046306400784893</v>
      </c>
      <c r="K140" s="37">
        <f t="shared" si="51"/>
        <v>1.1325694923661131E-2</v>
      </c>
      <c r="L140" s="90">
        <f t="shared" si="48"/>
        <v>4.1554952512620751E-2</v>
      </c>
      <c r="Q140" s="123">
        <v>-0.18080411084684284</v>
      </c>
      <c r="R140" s="90">
        <v>0.50687962324634561</v>
      </c>
    </row>
    <row r="141" spans="1:18" x14ac:dyDescent="0.25">
      <c r="A141" s="200">
        <v>0.12491107183865352</v>
      </c>
      <c r="B141" s="201">
        <v>-0.89316336995013235</v>
      </c>
      <c r="C141" s="201">
        <v>-0.27558206246091688</v>
      </c>
      <c r="D141" s="202">
        <v>0.33273254358602994</v>
      </c>
      <c r="F141" s="91">
        <f>INDEX(A141:D149,,F132)</f>
        <v>-0.89316336995013235</v>
      </c>
      <c r="G141" s="93">
        <f>INDEX(A133:D141,,G132)</f>
        <v>-0.27558206246091688</v>
      </c>
      <c r="I141" s="91">
        <f t="shared" si="49"/>
        <v>0.72179533227046422</v>
      </c>
      <c r="J141" s="92">
        <f t="shared" si="50"/>
        <v>0.49227960721080077</v>
      </c>
      <c r="K141" s="92">
        <f t="shared" si="51"/>
        <v>0.27864929001180955</v>
      </c>
      <c r="L141" s="93">
        <f t="shared" si="48"/>
        <v>0.35532512265669358</v>
      </c>
      <c r="Q141" s="91">
        <v>-0.89751245226287824</v>
      </c>
      <c r="R141" s="93">
        <v>-0.26107025223867336</v>
      </c>
    </row>
    <row r="142" spans="1:18" x14ac:dyDescent="0.25">
      <c r="I142">
        <f>SUM(I133:I141)</f>
        <v>-0.11880374430673202</v>
      </c>
      <c r="J142">
        <f>SUM(J133:J141)</f>
        <v>-0.5396644906046727</v>
      </c>
      <c r="K142">
        <f>SUM(K133:K141)</f>
        <v>2.053647493045605</v>
      </c>
      <c r="L142">
        <f>SUM(L133:L141)</f>
        <v>0.14957424641881087</v>
      </c>
    </row>
    <row r="143" spans="1:18" x14ac:dyDescent="0.25">
      <c r="A143" s="47" t="s">
        <v>53</v>
      </c>
      <c r="B143">
        <f>COUNT(A133:A141)</f>
        <v>9</v>
      </c>
      <c r="I143" s="47" t="s">
        <v>462</v>
      </c>
      <c r="J143" s="47" t="s">
        <v>389</v>
      </c>
      <c r="K143" s="47" t="s">
        <v>469</v>
      </c>
      <c r="L143" s="47" t="s">
        <v>470</v>
      </c>
      <c r="N143" s="47"/>
    </row>
    <row r="145" spans="1:18" x14ac:dyDescent="0.25">
      <c r="A145">
        <v>1</v>
      </c>
      <c r="B145">
        <v>2</v>
      </c>
      <c r="C145">
        <v>3</v>
      </c>
      <c r="D145">
        <v>4</v>
      </c>
      <c r="F145">
        <v>2</v>
      </c>
      <c r="G145">
        <v>4</v>
      </c>
      <c r="I145" s="47" t="s">
        <v>207</v>
      </c>
      <c r="J145" s="47" t="s">
        <v>464</v>
      </c>
      <c r="K145" s="47" t="s">
        <v>465</v>
      </c>
      <c r="L145" s="47" t="s">
        <v>466</v>
      </c>
      <c r="Q145">
        <f>F145</f>
        <v>2</v>
      </c>
      <c r="R145">
        <f>G145</f>
        <v>4</v>
      </c>
    </row>
    <row r="146" spans="1:18" x14ac:dyDescent="0.25">
      <c r="A146" s="189">
        <f t="array" ref="A146:A154">IF(A145=$Q132,$Q133:$Q141,IF(A145=$R132,$R133:$R141,A133:A141))</f>
        <v>6.0866529242717189E-2</v>
      </c>
      <c r="B146" s="190">
        <f t="array" ref="B146:B154">IF(B145=$Q132,$Q133:$Q141,IF(B145=$R132,$R133:$R141,B133:B141))</f>
        <v>0.91735485826523577</v>
      </c>
      <c r="C146" s="190">
        <f t="array" ref="C146:C154">IF(C145=$Q132,$Q133:$Q141,IF(C145=$R132,$R133:$R141,C133:C141))</f>
        <v>-0.3314480084458663</v>
      </c>
      <c r="D146" s="191">
        <f t="array" ref="D146:D154">IF(D145=$Q132,$Q133:$Q141,IF(D145=$R132,$R133:$R141,D133:D141))</f>
        <v>0.21189041349807144</v>
      </c>
      <c r="F146" s="156">
        <f>INDEX(A146:D154,,F145)</f>
        <v>0.91735485826523577</v>
      </c>
      <c r="G146" s="158">
        <f>INDEX(A146:D154,,G145)</f>
        <v>0.21189041349807144</v>
      </c>
      <c r="I146" s="156">
        <f>F146^2-G146^2</f>
        <v>0.79664238865044712</v>
      </c>
      <c r="J146" s="157">
        <f>2*F146*G146</f>
        <v>0.38875740048457108</v>
      </c>
      <c r="K146" s="157">
        <f>I146^2-J146^2</f>
        <v>0.48350677896316879</v>
      </c>
      <c r="L146" s="158">
        <f t="shared" ref="L146:L154" si="52">I146*J146</f>
        <v>0.30970062412756721</v>
      </c>
      <c r="N146" t="s">
        <v>390</v>
      </c>
      <c r="O146" s="172">
        <f>L155*B156-2*I155*J155</f>
        <v>-1.1360130766278784</v>
      </c>
      <c r="Q146" s="156">
        <f t="array" ref="Q146:R154">MMULT(F146:G154,N150:O151)</f>
        <v>0.91314600614956465</v>
      </c>
      <c r="R146" s="158">
        <v>0.22935094237502887</v>
      </c>
    </row>
    <row r="147" spans="1:18" x14ac:dyDescent="0.25">
      <c r="A147" s="194">
        <v>0.82620706981735137</v>
      </c>
      <c r="B147" s="195">
        <v>-0.56156697103428688</v>
      </c>
      <c r="C147" s="195">
        <v>3.7779850292939253E-2</v>
      </c>
      <c r="D147" s="196">
        <v>-2.4435583460306505E-2</v>
      </c>
      <c r="F147" s="123">
        <f>INDEX(A147:D155,,F145)</f>
        <v>-0.56156697103428688</v>
      </c>
      <c r="G147" s="90">
        <f>INDEX(A146:D154,,G145)</f>
        <v>-2.4435583460306505E-2</v>
      </c>
      <c r="I147" s="123">
        <f t="shared" ref="I147:I154" si="53">F147^2-G147^2</f>
        <v>0.314760365217578</v>
      </c>
      <c r="J147" s="37">
        <f t="shared" ref="J147:J154" si="54">2*F147*G147</f>
        <v>2.7444433178519686E-2</v>
      </c>
      <c r="K147" s="37">
        <f t="shared" ref="K147:K154" si="55">I147^2-J147^2</f>
        <v>9.8320890599412847E-2</v>
      </c>
      <c r="L147" s="90">
        <f t="shared" si="52"/>
        <v>8.6384198104602714E-3</v>
      </c>
      <c r="N147" t="s">
        <v>392</v>
      </c>
      <c r="O147" s="173">
        <f>K155*B156-(I155^2-J155^2)</f>
        <v>14.858500436271681</v>
      </c>
      <c r="Q147" s="123">
        <v>-0.56099866765873729</v>
      </c>
      <c r="R147" s="90">
        <v>-3.5143357562858427E-2</v>
      </c>
    </row>
    <row r="148" spans="1:18" x14ac:dyDescent="0.25">
      <c r="A148" s="194">
        <v>0.98184707784643954</v>
      </c>
      <c r="B148" s="195">
        <v>0.169194028353785</v>
      </c>
      <c r="C148" s="195">
        <v>8.0474870016359681E-2</v>
      </c>
      <c r="D148" s="196">
        <v>2.955489451303029E-2</v>
      </c>
      <c r="F148" s="123">
        <f>INDEX(A148:D156,,F145)</f>
        <v>0.169194028353785</v>
      </c>
      <c r="G148" s="90">
        <f>INDEX(A146:D154,,G145)</f>
        <v>2.955489451303029E-2</v>
      </c>
      <c r="I148" s="123">
        <f t="shared" si="53"/>
        <v>2.7753127440905051E-2</v>
      </c>
      <c r="J148" s="37">
        <f t="shared" si="54"/>
        <v>1.0001023320461544E-2</v>
      </c>
      <c r="K148" s="37">
        <f t="shared" si="55"/>
        <v>6.702156152947013E-4</v>
      </c>
      <c r="L148" s="90">
        <f t="shared" si="52"/>
        <v>2.7755967475223263E-4</v>
      </c>
      <c r="N148" t="s">
        <v>467</v>
      </c>
      <c r="O148" s="174">
        <f>0.25*ATAN(O146/O147)</f>
        <v>-1.9076745267173404E-2</v>
      </c>
      <c r="Q148" s="123">
        <v>0.16859946555767105</v>
      </c>
      <c r="R148" s="90">
        <v>3.2776992447835086E-2</v>
      </c>
    </row>
    <row r="149" spans="1:18" x14ac:dyDescent="0.25">
      <c r="A149" s="194">
        <v>9.2513733971531426E-2</v>
      </c>
      <c r="B149" s="195">
        <v>4.9083002495838371E-2</v>
      </c>
      <c r="C149" s="195">
        <v>7.4582259069132838E-3</v>
      </c>
      <c r="D149" s="196">
        <v>0.99447294722328161</v>
      </c>
      <c r="F149" s="123">
        <f>INDEX(A149:D157,,F145)</f>
        <v>4.9083002495838371E-2</v>
      </c>
      <c r="G149" s="90">
        <f>INDEX(A146:D154,,G145)</f>
        <v>0.99447294722328161</v>
      </c>
      <c r="I149" s="123">
        <f t="shared" si="53"/>
        <v>-0.98656730162495343</v>
      </c>
      <c r="J149" s="37">
        <f t="shared" si="54"/>
        <v>9.762343630120815E-2</v>
      </c>
      <c r="K149" s="37">
        <f t="shared" si="55"/>
        <v>0.96378470532028582</v>
      </c>
      <c r="L149" s="90">
        <f t="shared" si="52"/>
        <v>-9.6312090127038452E-2</v>
      </c>
      <c r="Q149" s="123">
        <v>3.0103915139108536E-2</v>
      </c>
      <c r="R149" s="90">
        <v>0.99522828445852751</v>
      </c>
    </row>
    <row r="150" spans="1:18" x14ac:dyDescent="0.25">
      <c r="A150" s="194">
        <v>0.4034147146979305</v>
      </c>
      <c r="B150" s="195">
        <v>-0.10591270989709096</v>
      </c>
      <c r="C150" s="195">
        <v>0.84747273124801181</v>
      </c>
      <c r="D150" s="196">
        <v>0.32837331748861326</v>
      </c>
      <c r="F150" s="123">
        <f>INDEX(A150:D158,,F145)</f>
        <v>-0.10591270989709096</v>
      </c>
      <c r="G150" s="90">
        <f>INDEX(A146:D154,,G145)</f>
        <v>0.32837331748861326</v>
      </c>
      <c r="I150" s="123">
        <f t="shared" si="53"/>
        <v>-9.6611533520732262E-2</v>
      </c>
      <c r="J150" s="37">
        <f t="shared" si="54"/>
        <v>-6.9557815826233688E-2</v>
      </c>
      <c r="K150" s="37">
        <f t="shared" si="55"/>
        <v>4.4954986667113273E-3</v>
      </c>
      <c r="L150" s="90">
        <f t="shared" si="52"/>
        <v>6.7200872553250966E-3</v>
      </c>
      <c r="N150" s="156">
        <f>COS(O148)</f>
        <v>0.99981804441324607</v>
      </c>
      <c r="O150" s="158">
        <f>-N151</f>
        <v>1.9075588213011321E-2</v>
      </c>
      <c r="Q150" s="123">
        <v>-0.11215735267237016</v>
      </c>
      <c r="R150" s="90">
        <v>0.32629322088843427</v>
      </c>
    </row>
    <row r="151" spans="1:18" x14ac:dyDescent="0.25">
      <c r="A151" s="194">
        <v>2.8184272266890418E-3</v>
      </c>
      <c r="B151" s="195">
        <v>-1.3476622262861688E-2</v>
      </c>
      <c r="C151" s="195">
        <v>0.99980772319083488</v>
      </c>
      <c r="D151" s="196">
        <v>1.3962584585631989E-2</v>
      </c>
      <c r="F151" s="123">
        <f>INDEX(A151:D159,,F145)</f>
        <v>-1.3476622262861688E-2</v>
      </c>
      <c r="G151" s="90">
        <f>INDEX(A146:D154,,G145)</f>
        <v>1.3962584585631989E-2</v>
      </c>
      <c r="I151" s="123">
        <f t="shared" si="53"/>
        <v>-1.3334420695068752E-5</v>
      </c>
      <c r="J151" s="37">
        <f t="shared" si="54"/>
        <v>-3.76336956547635E-4</v>
      </c>
      <c r="K151" s="37">
        <f t="shared" si="55"/>
        <v>-1.4145169808826343E-7</v>
      </c>
      <c r="L151" s="90">
        <f t="shared" si="52"/>
        <v>5.0182353017079737E-9</v>
      </c>
      <c r="N151" s="91">
        <f>SIN(O148)</f>
        <v>-1.9075588213011321E-2</v>
      </c>
      <c r="O151" s="93">
        <f>N150</f>
        <v>0.99981804441324607</v>
      </c>
      <c r="Q151" s="123">
        <v>-1.3740514630095244E-2</v>
      </c>
      <c r="R151" s="90">
        <v>1.370296951857246E-2</v>
      </c>
    </row>
    <row r="152" spans="1:18" x14ac:dyDescent="0.25">
      <c r="A152" s="194">
        <v>0.9751649824365487</v>
      </c>
      <c r="B152" s="195">
        <v>3.4272606984476789E-2</v>
      </c>
      <c r="C152" s="195">
        <v>0.11929127099808948</v>
      </c>
      <c r="D152" s="196">
        <v>0.18343456082121992</v>
      </c>
      <c r="F152" s="123">
        <f>INDEX(A152:D160,,F145)</f>
        <v>3.4272606984476789E-2</v>
      </c>
      <c r="G152" s="90">
        <f>INDEX(A146:D154,,G145)</f>
        <v>0.18343456082121992</v>
      </c>
      <c r="I152" s="123">
        <f t="shared" si="53"/>
        <v>-3.247362651416142E-2</v>
      </c>
      <c r="J152" s="37">
        <f t="shared" si="54"/>
        <v>1.2573561220791549E-2</v>
      </c>
      <c r="K152" s="37">
        <f t="shared" si="55"/>
        <v>8.9644197720825441E-4</v>
      </c>
      <c r="L152" s="90">
        <f t="shared" si="52"/>
        <v>-4.0830913103692825E-4</v>
      </c>
      <c r="Q152" s="123">
        <v>3.076724874590317E-2</v>
      </c>
      <c r="R152" s="90">
        <v>0.184054954015897</v>
      </c>
    </row>
    <row r="153" spans="1:18" x14ac:dyDescent="0.25">
      <c r="A153" s="194">
        <v>0.72336130132743015</v>
      </c>
      <c r="B153" s="195">
        <v>-0.18080411084684284</v>
      </c>
      <c r="C153" s="195">
        <v>0.50687962324634561</v>
      </c>
      <c r="D153" s="196">
        <v>0.43258681068707139</v>
      </c>
      <c r="F153" s="123">
        <f>INDEX(A153:D161,,F145)</f>
        <v>-0.18080411084684284</v>
      </c>
      <c r="G153" s="90">
        <f>INDEX(A146:D154,,G145)</f>
        <v>0.43258681068707139</v>
      </c>
      <c r="I153" s="123">
        <f t="shared" si="53"/>
        <v>-0.1544412222812947</v>
      </c>
      <c r="J153" s="37">
        <f t="shared" si="54"/>
        <v>-0.15642694734069496</v>
      </c>
      <c r="K153" s="37">
        <f t="shared" si="55"/>
        <v>-6.172987145882762E-4</v>
      </c>
      <c r="L153" s="90">
        <f t="shared" si="52"/>
        <v>2.415876894502865E-2</v>
      </c>
      <c r="Q153" s="123">
        <v>-0.18902306039581265</v>
      </c>
      <c r="R153" s="90">
        <v>0.42905915433437675</v>
      </c>
    </row>
    <row r="154" spans="1:18" x14ac:dyDescent="0.25">
      <c r="A154" s="200">
        <v>0.12491107183865352</v>
      </c>
      <c r="B154" s="201">
        <v>-0.89751245226287824</v>
      </c>
      <c r="C154" s="201">
        <v>-0.26107025223867336</v>
      </c>
      <c r="D154" s="202">
        <v>0.33273254358602994</v>
      </c>
      <c r="F154" s="91">
        <f>INDEX(A154:D162,,F145)</f>
        <v>-0.89751245226287824</v>
      </c>
      <c r="G154" s="93">
        <f>INDEX(A146:D154,,G145)</f>
        <v>0.33273254358602994</v>
      </c>
      <c r="I154" s="91">
        <f t="shared" si="53"/>
        <v>0.69481765640569604</v>
      </c>
      <c r="J154" s="92">
        <f t="shared" si="54"/>
        <v>-0.59726320228312546</v>
      </c>
      <c r="K154" s="92">
        <f t="shared" si="55"/>
        <v>0.1260482428516102</v>
      </c>
      <c r="L154" s="93">
        <f t="shared" si="52"/>
        <v>-0.4149890184677224</v>
      </c>
      <c r="Q154" s="91">
        <v>-0.9036962138445227</v>
      </c>
      <c r="R154" s="93">
        <v>0.31555142308541295</v>
      </c>
    </row>
    <row r="155" spans="1:18" x14ac:dyDescent="0.25">
      <c r="I155">
        <f>SUM(I146:I154)</f>
        <v>0.56386651935278942</v>
      </c>
      <c r="J155">
        <f>SUM(J146:J154)</f>
        <v>-0.28722444790104967</v>
      </c>
      <c r="K155">
        <f>SUM(K146:K154)</f>
        <v>1.6771053338274053</v>
      </c>
      <c r="L155">
        <f>SUM(L146:L154)</f>
        <v>-0.16221395289442903</v>
      </c>
    </row>
    <row r="156" spans="1:18" x14ac:dyDescent="0.25">
      <c r="A156" s="47" t="s">
        <v>53</v>
      </c>
      <c r="B156">
        <f>COUNT(A146:A154)</f>
        <v>9</v>
      </c>
      <c r="I156" s="47" t="s">
        <v>462</v>
      </c>
      <c r="J156" s="47" t="s">
        <v>389</v>
      </c>
      <c r="K156" s="47" t="s">
        <v>469</v>
      </c>
      <c r="L156" s="47" t="s">
        <v>470</v>
      </c>
      <c r="N156" s="47"/>
    </row>
    <row r="158" spans="1:18" x14ac:dyDescent="0.25">
      <c r="A158">
        <v>1</v>
      </c>
      <c r="B158">
        <v>2</v>
      </c>
      <c r="C158">
        <v>3</v>
      </c>
      <c r="D158">
        <v>4</v>
      </c>
      <c r="F158">
        <v>3</v>
      </c>
      <c r="G158">
        <v>4</v>
      </c>
      <c r="I158" s="47" t="s">
        <v>207</v>
      </c>
      <c r="J158" s="47" t="s">
        <v>464</v>
      </c>
      <c r="K158" s="47" t="s">
        <v>465</v>
      </c>
      <c r="L158" s="47" t="s">
        <v>466</v>
      </c>
      <c r="Q158">
        <f>F158</f>
        <v>3</v>
      </c>
      <c r="R158">
        <f>G158</f>
        <v>4</v>
      </c>
    </row>
    <row r="159" spans="1:18" x14ac:dyDescent="0.25">
      <c r="A159" s="189">
        <f t="array" ref="A159:A167">IF(A158=$Q145,$Q146:$Q154,IF(A158=$R145,$R146:$R154,A146:A154))</f>
        <v>6.0866529242717189E-2</v>
      </c>
      <c r="B159" s="190">
        <f t="array" ref="B159:B167">IF(B158=$Q145,$Q146:$Q154,IF(B158=$R145,$R146:$R154,B146:B154))</f>
        <v>0.91314600614956465</v>
      </c>
      <c r="C159" s="190">
        <f t="array" ref="C159:C167">IF(C158=$Q145,$Q146:$Q154,IF(C158=$R145,$R146:$R154,C146:C154))</f>
        <v>-0.3314480084458663</v>
      </c>
      <c r="D159" s="191">
        <f t="array" ref="D159:D167">IF(D158=$Q145,$Q146:$Q154,IF(D158=$R145,$R146:$R154,D146:D154))</f>
        <v>0.22935094237502887</v>
      </c>
      <c r="F159" s="156">
        <f>INDEX(A159:D167,,F158)</f>
        <v>-0.3314480084458663</v>
      </c>
      <c r="G159" s="158">
        <f>INDEX(A159:D167,,G158)</f>
        <v>0.22935094237502887</v>
      </c>
      <c r="I159" s="156">
        <f>F159^2-G159^2</f>
        <v>5.7255927534417252E-2</v>
      </c>
      <c r="J159" s="157">
        <f>2*F159*G159</f>
        <v>-0.15203582617077194</v>
      </c>
      <c r="K159" s="157">
        <f>I159^2-J159^2</f>
        <v>-1.9836651201602742E-2</v>
      </c>
      <c r="L159" s="158">
        <f t="shared" ref="L159:L167" si="56">I159*J159</f>
        <v>-8.7049522458689764E-3</v>
      </c>
      <c r="N159" t="s">
        <v>390</v>
      </c>
      <c r="O159" s="172">
        <f>L168*B169-2*I168*J168</f>
        <v>2.3327509168426408</v>
      </c>
      <c r="Q159" s="156">
        <f t="array" ref="Q159:R167">MMULT(F159:G167,N163:O164)</f>
        <v>-0.32315268570748806</v>
      </c>
      <c r="R159" s="158">
        <v>0.24089827477813597</v>
      </c>
    </row>
    <row r="160" spans="1:18" x14ac:dyDescent="0.25">
      <c r="A160" s="194">
        <v>0.82620706981735137</v>
      </c>
      <c r="B160" s="195">
        <v>-0.56099866765873729</v>
      </c>
      <c r="C160" s="195">
        <v>3.7779850292939253E-2</v>
      </c>
      <c r="D160" s="196">
        <v>-3.5143357562858427E-2</v>
      </c>
      <c r="F160" s="123">
        <f>INDEX(A160:D168,,F158)</f>
        <v>3.7779850292939253E-2</v>
      </c>
      <c r="G160" s="90">
        <f>INDEX(A159:D167,,G158)</f>
        <v>-3.5143357562858427E-2</v>
      </c>
      <c r="I160" s="123">
        <f t="shared" ref="I160:I167" si="57">F160^2-G160^2</f>
        <v>1.9226150736598364E-4</v>
      </c>
      <c r="J160" s="37">
        <f t="shared" ref="J160:J167" si="58">2*F160*G160</f>
        <v>-2.6554215750320517E-3</v>
      </c>
      <c r="K160" s="37">
        <f t="shared" ref="K160:K167" si="59">I160^2-J160^2</f>
        <v>-7.0142992539310625E-6</v>
      </c>
      <c r="L160" s="90">
        <f t="shared" si="56"/>
        <v>-5.1053535470781668E-7</v>
      </c>
      <c r="N160" t="s">
        <v>392</v>
      </c>
      <c r="O160" s="173">
        <f>K168*B169-(I168^2-J168^2)</f>
        <v>16.421857892480599</v>
      </c>
      <c r="Q160" s="123">
        <v>3.6516854142220542E-2</v>
      </c>
      <c r="R160" s="90">
        <v>-3.6453971422927459E-2</v>
      </c>
    </row>
    <row r="161" spans="1:18" x14ac:dyDescent="0.25">
      <c r="A161" s="194">
        <v>0.98184707784643954</v>
      </c>
      <c r="B161" s="195">
        <v>0.16859946555767105</v>
      </c>
      <c r="C161" s="195">
        <v>8.0474870016359681E-2</v>
      </c>
      <c r="D161" s="196">
        <v>3.2776992447835086E-2</v>
      </c>
      <c r="F161" s="123">
        <f>INDEX(A161:D169,,F158)</f>
        <v>8.0474870016359681E-2</v>
      </c>
      <c r="G161" s="90">
        <f>INDEX(A159:D167,,G158)</f>
        <v>3.2776992447835086E-2</v>
      </c>
      <c r="I161" s="123">
        <f t="shared" si="57"/>
        <v>5.4018734702245483E-3</v>
      </c>
      <c r="J161" s="37">
        <f t="shared" si="58"/>
        <v>5.275448413533463E-3</v>
      </c>
      <c r="K161" s="37">
        <f t="shared" si="59"/>
        <v>1.3498810244630739E-6</v>
      </c>
      <c r="L161" s="90">
        <f t="shared" si="56"/>
        <v>2.8497304828604597E-5</v>
      </c>
      <c r="N161" t="s">
        <v>467</v>
      </c>
      <c r="O161" s="174">
        <f>0.25*ATAN(O159/O160)</f>
        <v>3.5276879377005944E-2</v>
      </c>
      <c r="Q161" s="123">
        <v>8.1580831604576479E-2</v>
      </c>
      <c r="R161" s="90">
        <v>2.9918286260766334E-2</v>
      </c>
    </row>
    <row r="162" spans="1:18" x14ac:dyDescent="0.25">
      <c r="A162" s="194">
        <v>9.2513733971531426E-2</v>
      </c>
      <c r="B162" s="195">
        <v>3.0103915139108536E-2</v>
      </c>
      <c r="C162" s="195">
        <v>7.4582259069132838E-3</v>
      </c>
      <c r="D162" s="196">
        <v>0.99522828445852751</v>
      </c>
      <c r="F162" s="123">
        <f>INDEX(A162:D170,,F158)</f>
        <v>7.4582259069132838E-3</v>
      </c>
      <c r="G162" s="90">
        <f>INDEX(A159:D167,,G158)</f>
        <v>0.99522828445852751</v>
      </c>
      <c r="I162" s="123">
        <f t="shared" si="57"/>
        <v>-0.99042371305258525</v>
      </c>
      <c r="J162" s="37">
        <f t="shared" si="58"/>
        <v>1.4845274748882906E-2</v>
      </c>
      <c r="K162" s="37">
        <f t="shared" si="59"/>
        <v>0.98071874919449986</v>
      </c>
      <c r="L162" s="90">
        <f t="shared" si="56"/>
        <v>-1.4703112138074393E-2</v>
      </c>
      <c r="Q162" s="123">
        <v>4.2554852405862258E-2</v>
      </c>
      <c r="R162" s="90">
        <v>0.99434604029817386</v>
      </c>
    </row>
    <row r="163" spans="1:18" x14ac:dyDescent="0.25">
      <c r="A163" s="194">
        <v>0.4034147146979305</v>
      </c>
      <c r="B163" s="195">
        <v>-0.11215735267237016</v>
      </c>
      <c r="C163" s="195">
        <v>0.84747273124801181</v>
      </c>
      <c r="D163" s="196">
        <v>0.32629322088843427</v>
      </c>
      <c r="F163" s="123">
        <f>INDEX(A163:D171,,F158)</f>
        <v>0.84747273124801181</v>
      </c>
      <c r="G163" s="90">
        <f>INDEX(A159:D167,,G158)</f>
        <v>0.32629322088843427</v>
      </c>
      <c r="I163" s="123">
        <f t="shared" si="57"/>
        <v>0.61174276421121632</v>
      </c>
      <c r="J163" s="37">
        <f t="shared" si="58"/>
        <v>0.55304921418806441</v>
      </c>
      <c r="K163" s="37">
        <f t="shared" si="59"/>
        <v>6.8365776250744248E-2</v>
      </c>
      <c r="L163" s="90">
        <f t="shared" si="56"/>
        <v>0.33832385503224754</v>
      </c>
      <c r="N163" s="156">
        <f>COS(O161)</f>
        <v>0.99937783541621084</v>
      </c>
      <c r="O163" s="158">
        <f>-N164</f>
        <v>-3.5269563065185243E-2</v>
      </c>
      <c r="Q163" s="123">
        <v>0.8584536830607693</v>
      </c>
      <c r="R163" s="90">
        <v>0.29620021986169043</v>
      </c>
    </row>
    <row r="164" spans="1:18" x14ac:dyDescent="0.25">
      <c r="A164" s="194">
        <v>2.8184272266890418E-3</v>
      </c>
      <c r="B164" s="195">
        <v>-1.3740514630095244E-2</v>
      </c>
      <c r="C164" s="195">
        <v>0.99980772319083488</v>
      </c>
      <c r="D164" s="196">
        <v>1.370296951857246E-2</v>
      </c>
      <c r="F164" s="123">
        <f>INDEX(A164:D172,,F158)</f>
        <v>0.99980772319083488</v>
      </c>
      <c r="G164" s="90">
        <f>INDEX(A159:D167,,G158)</f>
        <v>1.370296951857246E-2</v>
      </c>
      <c r="I164" s="123">
        <f t="shared" si="57"/>
        <v>0.99942771197841418</v>
      </c>
      <c r="J164" s="37">
        <f t="shared" si="58"/>
        <v>2.7400669510634683E-2</v>
      </c>
      <c r="K164" s="37">
        <f t="shared" si="59"/>
        <v>0.99810495478077699</v>
      </c>
      <c r="L164" s="90">
        <f t="shared" si="56"/>
        <v>2.7384988435690316E-2</v>
      </c>
      <c r="N164" s="91">
        <f>SIN(O161)</f>
        <v>3.5269563065185243E-2</v>
      </c>
      <c r="O164" s="93">
        <f>N163</f>
        <v>0.99937783541621084</v>
      </c>
      <c r="Q164" s="123">
        <v>0.99966897598248228</v>
      </c>
      <c r="R164" s="90">
        <v>-2.1568337529893157E-2</v>
      </c>
    </row>
    <row r="165" spans="1:18" x14ac:dyDescent="0.25">
      <c r="A165" s="194">
        <v>0.9751649824365487</v>
      </c>
      <c r="B165" s="195">
        <v>3.076724874590317E-2</v>
      </c>
      <c r="C165" s="195">
        <v>0.11929127099808948</v>
      </c>
      <c r="D165" s="196">
        <v>0.184054954015897</v>
      </c>
      <c r="F165" s="123">
        <f>INDEX(A165:D173,,F158)</f>
        <v>0.11929127099808948</v>
      </c>
      <c r="G165" s="90">
        <f>INDEX(A159:D167,,G158)</f>
        <v>0.184054954015897</v>
      </c>
      <c r="I165" s="123">
        <f t="shared" si="57"/>
        <v>-1.9645818761454333E-2</v>
      </c>
      <c r="J165" s="37">
        <f t="shared" si="58"/>
        <v>4.3912298796102534E-2</v>
      </c>
      <c r="K165" s="37">
        <f t="shared" si="59"/>
        <v>-1.542331790750277E-3</v>
      </c>
      <c r="L165" s="90">
        <f t="shared" si="56"/>
        <v>-8.6269306354705964E-4</v>
      </c>
      <c r="Q165" s="123">
        <v>0.12570859000224271</v>
      </c>
      <c r="R165" s="90">
        <v>0.17973309053644415</v>
      </c>
    </row>
    <row r="166" spans="1:18" x14ac:dyDescent="0.25">
      <c r="A166" s="194">
        <v>0.72336130132743015</v>
      </c>
      <c r="B166" s="195">
        <v>-0.18902306039581265</v>
      </c>
      <c r="C166" s="195">
        <v>0.50687962324634561</v>
      </c>
      <c r="D166" s="196">
        <v>0.42905915433437675</v>
      </c>
      <c r="F166" s="123">
        <f>INDEX(A166:D174,,F158)</f>
        <v>0.50687962324634561</v>
      </c>
      <c r="G166" s="90">
        <f>INDEX(A159:D167,,G158)</f>
        <v>0.42905915433437675</v>
      </c>
      <c r="I166" s="123">
        <f t="shared" si="57"/>
        <v>7.2835194544226739E-2</v>
      </c>
      <c r="J166" s="37">
        <f t="shared" si="58"/>
        <v>0.43496268499880908</v>
      </c>
      <c r="K166" s="37">
        <f t="shared" si="59"/>
        <v>-0.18388757177707785</v>
      </c>
      <c r="L166" s="90">
        <f t="shared" si="56"/>
        <v>3.1680591781367472E-2</v>
      </c>
      <c r="Q166" s="123">
        <v>0.52169698959900879</v>
      </c>
      <c r="R166" s="90">
        <v>0.41091478608565507</v>
      </c>
    </row>
    <row r="167" spans="1:18" x14ac:dyDescent="0.25">
      <c r="A167" s="200">
        <v>0.12491107183865352</v>
      </c>
      <c r="B167" s="201">
        <v>-0.9036962138445227</v>
      </c>
      <c r="C167" s="201">
        <v>-0.26107025223867336</v>
      </c>
      <c r="D167" s="202">
        <v>0.31555142308541295</v>
      </c>
      <c r="F167" s="91">
        <f>INDEX(A167:D175,,F158)</f>
        <v>-0.26107025223867336</v>
      </c>
      <c r="G167" s="93">
        <f>INDEX(A159:D167,,G158)</f>
        <v>0.31555142308541295</v>
      </c>
      <c r="I167" s="91">
        <f t="shared" si="57"/>
        <v>-3.1415024007264758E-2</v>
      </c>
      <c r="J167" s="92">
        <f t="shared" si="58"/>
        <v>-0.1647621792383622</v>
      </c>
      <c r="K167" s="92">
        <f t="shared" si="59"/>
        <v>-2.6159671973997174E-2</v>
      </c>
      <c r="L167" s="93">
        <f t="shared" si="56"/>
        <v>5.1760078162624073E-3</v>
      </c>
      <c r="Q167" s="91">
        <v>-0.24977846275702964</v>
      </c>
      <c r="R167" s="93">
        <v>0.32456293189138063</v>
      </c>
    </row>
    <row r="168" spans="1:18" x14ac:dyDescent="0.25">
      <c r="I168">
        <f>SUM(I159:I167)</f>
        <v>0.70537117742456057</v>
      </c>
      <c r="J168">
        <f>SUM(J159:J167)</f>
        <v>0.75999216367186095</v>
      </c>
      <c r="K168">
        <f>SUM(K159:K167)</f>
        <v>1.8157575890643638</v>
      </c>
      <c r="L168">
        <f>SUM(L159:L167)</f>
        <v>0.37832267238755118</v>
      </c>
    </row>
    <row r="169" spans="1:18" x14ac:dyDescent="0.25">
      <c r="A169" s="47" t="s">
        <v>53</v>
      </c>
      <c r="B169">
        <f>COUNT(A159:A167)</f>
        <v>9</v>
      </c>
      <c r="I169" s="47" t="s">
        <v>462</v>
      </c>
      <c r="J169" s="47" t="s">
        <v>389</v>
      </c>
      <c r="K169" s="47" t="s">
        <v>469</v>
      </c>
      <c r="L169" s="47" t="s">
        <v>470</v>
      </c>
      <c r="N169" s="47"/>
    </row>
    <row r="171" spans="1:18" x14ac:dyDescent="0.25">
      <c r="A171">
        <v>1</v>
      </c>
      <c r="B171">
        <v>2</v>
      </c>
      <c r="C171">
        <v>3</v>
      </c>
      <c r="D171">
        <v>4</v>
      </c>
      <c r="F171">
        <v>1</v>
      </c>
      <c r="G171">
        <v>2</v>
      </c>
      <c r="I171" s="47" t="s">
        <v>207</v>
      </c>
      <c r="J171" s="47" t="s">
        <v>464</v>
      </c>
      <c r="K171" s="47" t="s">
        <v>465</v>
      </c>
      <c r="L171" s="47" t="s">
        <v>466</v>
      </c>
      <c r="Q171">
        <f>F171</f>
        <v>1</v>
      </c>
      <c r="R171">
        <f>G171</f>
        <v>2</v>
      </c>
    </row>
    <row r="172" spans="1:18" x14ac:dyDescent="0.25">
      <c r="A172" s="189">
        <f t="array" ref="A172:A180">IF(A171=$Q158,$Q159:$Q167,IF(A171=$R158,$R159:$R167,A159:A167))</f>
        <v>6.0866529242717189E-2</v>
      </c>
      <c r="B172" s="190">
        <f t="array" ref="B172:B180">IF(B171=$Q158,$Q159:$Q167,IF(B171=$R158,$R159:$R167,B159:B167))</f>
        <v>0.91314600614956465</v>
      </c>
      <c r="C172" s="190">
        <f t="array" ref="C172:C180">IF(C171=$Q158,$Q159:$Q167,IF(C171=$R158,$R159:$R167,C159:C167))</f>
        <v>-0.32315268570748806</v>
      </c>
      <c r="D172" s="191">
        <f t="array" ref="D172:D180">IF(D171=$Q158,$Q159:$Q167,IF(D171=$R158,$R159:$R167,D159:D167))</f>
        <v>0.24089827477813597</v>
      </c>
      <c r="F172" s="156">
        <f>INDEX(A172:D180,,F171)</f>
        <v>6.0866529242717189E-2</v>
      </c>
      <c r="G172" s="158">
        <f>INDEX(A172:D180,,G171)</f>
        <v>0.91314600614956465</v>
      </c>
      <c r="I172" s="156">
        <f>F172^2-G172^2</f>
        <v>-0.8301308941648462</v>
      </c>
      <c r="J172" s="157">
        <f>2*F172*G172</f>
        <v>0.11116005617234577</v>
      </c>
      <c r="K172" s="157">
        <f>I172^2-J172^2</f>
        <v>0.67676074335868797</v>
      </c>
      <c r="L172" s="158">
        <f t="shared" ref="L172:L180" si="60">I172*J172</f>
        <v>-9.2277396825763927E-2</v>
      </c>
      <c r="N172" t="s">
        <v>390</v>
      </c>
      <c r="O172" s="172">
        <f>L181*B182-2*I181*J181</f>
        <v>2.2645341960095959</v>
      </c>
      <c r="Q172" s="156">
        <f t="array" ref="Q172:R180">MMULT(F172:G180,N176:O177)</f>
        <v>8.5503187416053048E-2</v>
      </c>
      <c r="R172" s="158">
        <v>0.9111693409408872</v>
      </c>
    </row>
    <row r="173" spans="1:18" x14ac:dyDescent="0.25">
      <c r="A173" s="194">
        <v>0.82620706981735137</v>
      </c>
      <c r="B173" s="195">
        <v>-0.56099866765873729</v>
      </c>
      <c r="C173" s="195">
        <v>3.6516854142220542E-2</v>
      </c>
      <c r="D173" s="196">
        <v>-3.6453971422927459E-2</v>
      </c>
      <c r="F173" s="123">
        <f>INDEX(A173:D181,,F171)</f>
        <v>0.82620706981735137</v>
      </c>
      <c r="G173" s="90">
        <f>INDEX(A172:D180,,G171)</f>
        <v>-0.56099866765873729</v>
      </c>
      <c r="I173" s="123">
        <f t="shared" ref="I173:I180" si="61">F173^2-G173^2</f>
        <v>0.36789861710129529</v>
      </c>
      <c r="J173" s="37">
        <f t="shared" ref="J173:J180" si="62">2*F173*G173</f>
        <v>-0.92700213075552695</v>
      </c>
      <c r="K173" s="37">
        <f t="shared" ref="K173:K180" si="63">I173^2-J173^2</f>
        <v>-0.72398355796024161</v>
      </c>
      <c r="L173" s="90">
        <f t="shared" si="60"/>
        <v>-0.34104280195491249</v>
      </c>
      <c r="N173" t="s">
        <v>392</v>
      </c>
      <c r="O173" s="173">
        <f>K181*B182-(I181^2-J181^2)</f>
        <v>20.880423835405036</v>
      </c>
      <c r="Q173" s="123">
        <v>0.810756398824239</v>
      </c>
      <c r="R173" s="90">
        <v>-0.58310521271602744</v>
      </c>
    </row>
    <row r="174" spans="1:18" x14ac:dyDescent="0.25">
      <c r="A174" s="194">
        <v>0.98184707784643954</v>
      </c>
      <c r="B174" s="195">
        <v>0.16859946555767105</v>
      </c>
      <c r="C174" s="195">
        <v>8.1580831604576479E-2</v>
      </c>
      <c r="D174" s="196">
        <v>2.9918286260766334E-2</v>
      </c>
      <c r="F174" s="123">
        <f>INDEX(A174:D182,,F171)</f>
        <v>0.98184707784643954</v>
      </c>
      <c r="G174" s="90">
        <f>INDEX(A172:D180,,G171)</f>
        <v>0.16859946555767105</v>
      </c>
      <c r="I174" s="123">
        <f t="shared" si="61"/>
        <v>0.93559790448925995</v>
      </c>
      <c r="J174" s="37">
        <f t="shared" si="62"/>
        <v>0.33107778516854153</v>
      </c>
      <c r="K174" s="37">
        <f t="shared" si="63"/>
        <v>0.76573093905258738</v>
      </c>
      <c r="L174" s="90">
        <f t="shared" si="60"/>
        <v>0.30975568202663284</v>
      </c>
      <c r="N174" t="s">
        <v>467</v>
      </c>
      <c r="O174" s="174">
        <f>0.25*ATAN(O172/O173)</f>
        <v>2.7007568267474288E-2</v>
      </c>
      <c r="Q174" s="123">
        <v>0.98604192373023125</v>
      </c>
      <c r="R174" s="90">
        <v>0.14202390189087707</v>
      </c>
    </row>
    <row r="175" spans="1:18" x14ac:dyDescent="0.25">
      <c r="A175" s="194">
        <v>9.2513733971531426E-2</v>
      </c>
      <c r="B175" s="195">
        <v>3.0103915139108536E-2</v>
      </c>
      <c r="C175" s="195">
        <v>4.2554852405862258E-2</v>
      </c>
      <c r="D175" s="196">
        <v>0.99434604029817386</v>
      </c>
      <c r="F175" s="123">
        <f>INDEX(A175:D183,,F171)</f>
        <v>9.2513733971531426E-2</v>
      </c>
      <c r="G175" s="90">
        <f>INDEX(A172:D180,,G171)</f>
        <v>3.0103915139108536E-2</v>
      </c>
      <c r="I175" s="123">
        <f t="shared" si="61"/>
        <v>7.6525452666526394E-3</v>
      </c>
      <c r="J175" s="37">
        <f t="shared" si="62"/>
        <v>5.5700511933620888E-3</v>
      </c>
      <c r="K175" s="37">
        <f t="shared" si="63"/>
        <v>2.7535978761493287E-5</v>
      </c>
      <c r="L175" s="90">
        <f t="shared" si="60"/>
        <v>4.2625068894775938E-5</v>
      </c>
      <c r="Q175" s="123">
        <v>9.3292930566988924E-2</v>
      </c>
      <c r="R175" s="90">
        <v>2.7594669526575605E-2</v>
      </c>
    </row>
    <row r="176" spans="1:18" x14ac:dyDescent="0.25">
      <c r="A176" s="194">
        <v>0.4034147146979305</v>
      </c>
      <c r="B176" s="195">
        <v>-0.11215735267237016</v>
      </c>
      <c r="C176" s="195">
        <v>0.8584536830607693</v>
      </c>
      <c r="D176" s="196">
        <v>0.29620021986169043</v>
      </c>
      <c r="F176" s="123">
        <f>INDEX(A176:D184,,F171)</f>
        <v>0.4034147146979305</v>
      </c>
      <c r="G176" s="90">
        <f>INDEX(A172:D180,,G171)</f>
        <v>-0.11215735267237016</v>
      </c>
      <c r="I176" s="123">
        <f t="shared" si="61"/>
        <v>0.15016416027633825</v>
      </c>
      <c r="J176" s="37">
        <f t="shared" si="62"/>
        <v>-9.0491852859198765E-2</v>
      </c>
      <c r="K176" s="37">
        <f t="shared" si="63"/>
        <v>1.4360499597606921E-2</v>
      </c>
      <c r="L176" s="90">
        <f t="shared" si="60"/>
        <v>-1.358863309645154E-2</v>
      </c>
      <c r="N176" s="156">
        <f>COS(O174)</f>
        <v>0.99963531779581305</v>
      </c>
      <c r="O176" s="158">
        <f>-N177</f>
        <v>-2.7004285127807285E-2</v>
      </c>
      <c r="Q176" s="123">
        <v>0.40023886739982828</v>
      </c>
      <c r="R176" s="90">
        <v>-0.12301037686223779</v>
      </c>
    </row>
    <row r="177" spans="1:18" x14ac:dyDescent="0.25">
      <c r="A177" s="194">
        <v>2.8184272266890418E-3</v>
      </c>
      <c r="B177" s="195">
        <v>-1.3740514630095244E-2</v>
      </c>
      <c r="C177" s="195">
        <v>0.99966897598248228</v>
      </c>
      <c r="D177" s="196">
        <v>-2.1568337529893157E-2</v>
      </c>
      <c r="F177" s="123">
        <f>INDEX(A177:D185,,F171)</f>
        <v>2.8184272266890418E-3</v>
      </c>
      <c r="G177" s="90">
        <f>INDEX(A172:D180,,G171)</f>
        <v>-1.3740514630095244E-2</v>
      </c>
      <c r="I177" s="123">
        <f t="shared" si="61"/>
        <v>-1.8085821026771936E-4</v>
      </c>
      <c r="J177" s="37">
        <f t="shared" si="62"/>
        <v>-7.7453281084359081E-5</v>
      </c>
      <c r="K177" s="37">
        <f t="shared" si="63"/>
        <v>2.6710681470509849E-8</v>
      </c>
      <c r="L177" s="90">
        <f t="shared" si="60"/>
        <v>1.4008061796279785E-8</v>
      </c>
      <c r="N177" s="91">
        <f>SIN(O174)</f>
        <v>2.7004285127807285E-2</v>
      </c>
      <c r="O177" s="93">
        <f>N176</f>
        <v>0.99963531779581305</v>
      </c>
      <c r="Q177" s="123">
        <v>2.4463466215617728E-3</v>
      </c>
      <c r="R177" s="90">
        <v>-1.3811613321374764E-2</v>
      </c>
    </row>
    <row r="178" spans="1:18" x14ac:dyDescent="0.25">
      <c r="A178" s="194">
        <v>0.9751649824365487</v>
      </c>
      <c r="B178" s="195">
        <v>3.076724874590317E-2</v>
      </c>
      <c r="C178" s="195">
        <v>0.12570859000224271</v>
      </c>
      <c r="D178" s="196">
        <v>0.17973309053644415</v>
      </c>
      <c r="F178" s="123">
        <f>INDEX(A178:D186,,F171)</f>
        <v>0.9751649824365487</v>
      </c>
      <c r="G178" s="90">
        <f>INDEX(A172:D180,,G171)</f>
        <v>3.076724874590317E-2</v>
      </c>
      <c r="I178" s="123">
        <f t="shared" si="61"/>
        <v>0.950000119375082</v>
      </c>
      <c r="J178" s="37">
        <f t="shared" si="62"/>
        <v>6.0006287165839181E-2</v>
      </c>
      <c r="K178" s="37">
        <f t="shared" si="63"/>
        <v>0.89889947231324085</v>
      </c>
      <c r="L178" s="90">
        <f t="shared" si="60"/>
        <v>5.7005979970802673E-2</v>
      </c>
      <c r="Q178" s="123">
        <v>0.97564020467904033</v>
      </c>
      <c r="R178" s="90">
        <v>4.422395245444001E-3</v>
      </c>
    </row>
    <row r="179" spans="1:18" x14ac:dyDescent="0.25">
      <c r="A179" s="194">
        <v>0.72336130132743015</v>
      </c>
      <c r="B179" s="195">
        <v>-0.18902306039581265</v>
      </c>
      <c r="C179" s="195">
        <v>0.52169698959900879</v>
      </c>
      <c r="D179" s="196">
        <v>0.41091478608565507</v>
      </c>
      <c r="F179" s="123">
        <f>INDEX(A179:D187,,F171)</f>
        <v>0.72336130132743015</v>
      </c>
      <c r="G179" s="90">
        <f>INDEX(A172:D180,,G171)</f>
        <v>-0.18902306039581265</v>
      </c>
      <c r="I179" s="123">
        <f t="shared" si="61"/>
        <v>0.48752185489671424</v>
      </c>
      <c r="J179" s="37">
        <f t="shared" si="62"/>
        <v>-0.27346393389761692</v>
      </c>
      <c r="K179" s="37">
        <f t="shared" si="63"/>
        <v>0.1628950358591727</v>
      </c>
      <c r="L179" s="90">
        <f t="shared" si="60"/>
        <v>-0.13331964430111864</v>
      </c>
      <c r="Q179" s="123">
        <v>0.71799307171497928</v>
      </c>
      <c r="R179" s="90">
        <v>-0.20848798188097298</v>
      </c>
    </row>
    <row r="180" spans="1:18" x14ac:dyDescent="0.25">
      <c r="A180" s="200">
        <v>0.12491107183865352</v>
      </c>
      <c r="B180" s="201">
        <v>-0.9036962138445227</v>
      </c>
      <c r="C180" s="201">
        <v>-0.24977846275702964</v>
      </c>
      <c r="D180" s="202">
        <v>0.32456293189138063</v>
      </c>
      <c r="F180" s="91">
        <f>INDEX(A180:D188,,F171)</f>
        <v>0.12491107183865352</v>
      </c>
      <c r="G180" s="93">
        <f>INDEX(A172:D180,,G171)</f>
        <v>-0.9036962138445227</v>
      </c>
      <c r="I180" s="91">
        <f t="shared" si="61"/>
        <v>-0.80106407104904398</v>
      </c>
      <c r="J180" s="92">
        <f t="shared" si="62"/>
        <v>-0.22576332537570473</v>
      </c>
      <c r="K180" s="92">
        <f t="shared" si="63"/>
        <v>0.59073456684097148</v>
      </c>
      <c r="L180" s="93">
        <f t="shared" si="60"/>
        <v>0.18085088851903197</v>
      </c>
      <c r="Q180" s="91">
        <v>0.10046184876607064</v>
      </c>
      <c r="R180" s="93">
        <v>-0.90673978611689343</v>
      </c>
    </row>
    <row r="181" spans="1:18" x14ac:dyDescent="0.25">
      <c r="I181">
        <f>SUM(I172:I180)</f>
        <v>1.2674593779811845</v>
      </c>
      <c r="J181">
        <f>SUM(J172:J180)</f>
        <v>-1.008984516469043</v>
      </c>
      <c r="K181">
        <f>SUM(K172:K180)</f>
        <v>2.3854252617514686</v>
      </c>
      <c r="L181">
        <f>SUM(L172:L180)</f>
        <v>-3.2573286584822531E-2</v>
      </c>
    </row>
    <row r="182" spans="1:18" x14ac:dyDescent="0.25">
      <c r="A182" s="47" t="s">
        <v>53</v>
      </c>
      <c r="B182">
        <f>COUNT(A172:A180)</f>
        <v>9</v>
      </c>
      <c r="I182" s="47" t="s">
        <v>462</v>
      </c>
      <c r="J182" s="47" t="s">
        <v>389</v>
      </c>
      <c r="K182" s="47" t="s">
        <v>469</v>
      </c>
      <c r="L182" s="47" t="s">
        <v>470</v>
      </c>
      <c r="N182" s="47"/>
    </row>
    <row r="184" spans="1:18" x14ac:dyDescent="0.25">
      <c r="A184">
        <v>1</v>
      </c>
      <c r="B184">
        <v>2</v>
      </c>
      <c r="C184">
        <v>3</v>
      </c>
      <c r="D184">
        <v>4</v>
      </c>
      <c r="F184">
        <v>1</v>
      </c>
      <c r="G184">
        <v>3</v>
      </c>
      <c r="I184" s="47" t="s">
        <v>207</v>
      </c>
      <c r="J184" s="47" t="s">
        <v>464</v>
      </c>
      <c r="K184" s="47" t="s">
        <v>465</v>
      </c>
      <c r="L184" s="47" t="s">
        <v>466</v>
      </c>
      <c r="Q184">
        <f>F184</f>
        <v>1</v>
      </c>
      <c r="R184">
        <f>G184</f>
        <v>3</v>
      </c>
    </row>
    <row r="185" spans="1:18" x14ac:dyDescent="0.25">
      <c r="A185" s="189">
        <f t="array" ref="A185:A193">IF(A184=$Q171,$Q172:$Q180,IF(A184=$R171,$R172:$R180,A172:A180))</f>
        <v>8.5503187416053048E-2</v>
      </c>
      <c r="B185" s="190">
        <f t="array" ref="B185:B193">IF(B184=$Q171,$Q172:$Q180,IF(B184=$R171,$R172:$R180,B172:B180))</f>
        <v>0.9111693409408872</v>
      </c>
      <c r="C185" s="190">
        <f t="array" ref="C185:C193">IF(C184=$Q171,$Q172:$Q180,IF(C184=$R171,$R172:$R180,C172:C180))</f>
        <v>-0.32315268570748806</v>
      </c>
      <c r="D185" s="191">
        <f t="array" ref="D185:D193">IF(D184=$Q171,$Q172:$Q180,IF(D184=$R171,$R172:$R180,D172:D180))</f>
        <v>0.24089827477813597</v>
      </c>
      <c r="F185" s="156">
        <f>INDEX(A185:D193,,F184)</f>
        <v>8.5503187416053048E-2</v>
      </c>
      <c r="G185" s="158">
        <f>INDEX(A185:D193,,G184)</f>
        <v>-0.32315268570748806</v>
      </c>
      <c r="I185" s="156">
        <f>F185^2-G185^2</f>
        <v>-9.711686322165787E-2</v>
      </c>
      <c r="J185" s="157">
        <f>2*F185*G185</f>
        <v>-5.5261169300096474E-2</v>
      </c>
      <c r="K185" s="157">
        <f>I185^2-J185^2</f>
        <v>6.3778882896002777E-3</v>
      </c>
      <c r="L185" s="158">
        <f t="shared" ref="L185:L193" si="64">I185*J185</f>
        <v>5.3667914203863482E-3</v>
      </c>
      <c r="N185" t="s">
        <v>390</v>
      </c>
      <c r="O185" s="172">
        <f>L194*B195-2*I194*J194</f>
        <v>-1.9999658240182128</v>
      </c>
      <c r="Q185" s="156">
        <f t="array" ref="Q185:R193">MMULT(F185:G193,N189:O190)</f>
        <v>9.2007581044587866E-2</v>
      </c>
      <c r="R185" s="158">
        <v>-0.32136125835045964</v>
      </c>
    </row>
    <row r="186" spans="1:18" x14ac:dyDescent="0.25">
      <c r="A186" s="194">
        <v>0.810756398824239</v>
      </c>
      <c r="B186" s="195">
        <v>-0.58310521271602744</v>
      </c>
      <c r="C186" s="195">
        <v>3.6516854142220542E-2</v>
      </c>
      <c r="D186" s="196">
        <v>-3.6453971422927459E-2</v>
      </c>
      <c r="F186" s="123">
        <f>INDEX(A186:D194,,F184)</f>
        <v>0.810756398824239</v>
      </c>
      <c r="G186" s="90">
        <f>INDEX(A185:D193,,G184)</f>
        <v>3.6516854142220542E-2</v>
      </c>
      <c r="I186" s="123">
        <f t="shared" ref="I186:I193" si="65">F186^2-G186^2</f>
        <v>0.65599245759800429</v>
      </c>
      <c r="J186" s="37">
        <f t="shared" ref="J186:J193" si="66">2*F186*G186</f>
        <v>5.9212546321473443E-2</v>
      </c>
      <c r="K186" s="37">
        <f t="shared" ref="K186:K193" si="67">I186^2-J186^2</f>
        <v>0.42681997878359679</v>
      </c>
      <c r="L186" s="90">
        <f t="shared" si="64"/>
        <v>3.8842983782059033E-2</v>
      </c>
      <c r="N186" t="s">
        <v>392</v>
      </c>
      <c r="O186" s="173">
        <f>K194*B195-(I194^2-J194^2)</f>
        <v>24.718826556552049</v>
      </c>
      <c r="Q186" s="123">
        <v>0.80985429267291276</v>
      </c>
      <c r="R186" s="90">
        <v>5.2871953908939846E-2</v>
      </c>
    </row>
    <row r="187" spans="1:18" x14ac:dyDescent="0.25">
      <c r="A187" s="194">
        <v>0.98604192373023125</v>
      </c>
      <c r="B187" s="195">
        <v>0.14202390189087707</v>
      </c>
      <c r="C187" s="195">
        <v>8.1580831604576479E-2</v>
      </c>
      <c r="D187" s="196">
        <v>2.9918286260766334E-2</v>
      </c>
      <c r="F187" s="123">
        <f>INDEX(A187:D195,,F184)</f>
        <v>0.98604192373023125</v>
      </c>
      <c r="G187" s="90">
        <f>INDEX(A185:D193,,G184)</f>
        <v>8.1580831604576479E-2</v>
      </c>
      <c r="I187" s="123">
        <f t="shared" si="65"/>
        <v>0.96562324326832094</v>
      </c>
      <c r="J187" s="37">
        <f t="shared" si="66"/>
        <v>0.16088424026977727</v>
      </c>
      <c r="K187" s="37">
        <f t="shared" si="67"/>
        <v>0.90654450917284746</v>
      </c>
      <c r="L187" s="90">
        <f t="shared" si="64"/>
        <v>0.15535356188006214</v>
      </c>
      <c r="N187" t="s">
        <v>467</v>
      </c>
      <c r="O187" s="174">
        <f>0.25*ATAN(O185/O186)</f>
        <v>-2.0183187296254072E-2</v>
      </c>
      <c r="Q187" s="123">
        <v>0.98419464359598241</v>
      </c>
      <c r="R187" s="90">
        <v>0.10146433341764312</v>
      </c>
    </row>
    <row r="188" spans="1:18" x14ac:dyDescent="0.25">
      <c r="A188" s="194">
        <v>9.3292930566988924E-2</v>
      </c>
      <c r="B188" s="195">
        <v>2.7594669526575605E-2</v>
      </c>
      <c r="C188" s="195">
        <v>4.2554852405862258E-2</v>
      </c>
      <c r="D188" s="196">
        <v>0.99434604029817386</v>
      </c>
      <c r="F188" s="123">
        <f>INDEX(A188:D196,,F184)</f>
        <v>9.3292930566988924E-2</v>
      </c>
      <c r="G188" s="90">
        <f>INDEX(A185:D193,,G184)</f>
        <v>4.2554852405862258E-2</v>
      </c>
      <c r="I188" s="123">
        <f t="shared" si="65"/>
        <v>6.8926554304922956E-3</v>
      </c>
      <c r="J188" s="37">
        <f t="shared" si="66"/>
        <v>7.9401337815771383E-3</v>
      </c>
      <c r="K188" s="37">
        <f t="shared" si="67"/>
        <v>-1.5537025585847538E-5</v>
      </c>
      <c r="L188" s="90">
        <f t="shared" si="64"/>
        <v>5.4728606228422986E-5</v>
      </c>
      <c r="Q188" s="123">
        <v>9.2415095014553625E-2</v>
      </c>
      <c r="R188" s="90">
        <v>4.4429005959088975E-2</v>
      </c>
    </row>
    <row r="189" spans="1:18" x14ac:dyDescent="0.25">
      <c r="A189" s="194">
        <v>0.40023886739982828</v>
      </c>
      <c r="B189" s="195">
        <v>-0.12301037686223779</v>
      </c>
      <c r="C189" s="195">
        <v>0.8584536830607693</v>
      </c>
      <c r="D189" s="196">
        <v>0.29620021986169043</v>
      </c>
      <c r="F189" s="123">
        <f>INDEX(A189:D197,,F184)</f>
        <v>0.40023886739982828</v>
      </c>
      <c r="G189" s="90">
        <f>INDEX(A185:D193,,G184)</f>
        <v>0.8584536830607693</v>
      </c>
      <c r="I189" s="123">
        <f t="shared" si="65"/>
        <v>-0.57675157498310237</v>
      </c>
      <c r="J189" s="37">
        <f t="shared" si="66"/>
        <v>0.68717305964690689</v>
      </c>
      <c r="K189" s="37">
        <f t="shared" si="67"/>
        <v>-0.13956443465900231</v>
      </c>
      <c r="L189" s="90">
        <f t="shared" si="64"/>
        <v>-0.3963281444373109</v>
      </c>
      <c r="N189" s="156">
        <f>COS(O187)</f>
        <v>0.99979632638948102</v>
      </c>
      <c r="O189" s="158">
        <f>-N190</f>
        <v>2.0181817016771301E-2</v>
      </c>
      <c r="Q189" s="123">
        <v>0.38283219415572911</v>
      </c>
      <c r="R189" s="90">
        <v>0.86635638628454015</v>
      </c>
    </row>
    <row r="190" spans="1:18" x14ac:dyDescent="0.25">
      <c r="A190" s="194">
        <v>2.4463466215617728E-3</v>
      </c>
      <c r="B190" s="195">
        <v>-1.3811613321374764E-2</v>
      </c>
      <c r="C190" s="195">
        <v>0.99966897598248228</v>
      </c>
      <c r="D190" s="196">
        <v>-2.1568337529893157E-2</v>
      </c>
      <c r="F190" s="123">
        <f>INDEX(A190:D198,,F184)</f>
        <v>2.4463466215617728E-3</v>
      </c>
      <c r="G190" s="90">
        <f>INDEX(A185:D193,,G184)</f>
        <v>0.99966897598248228</v>
      </c>
      <c r="I190" s="123">
        <f t="shared" si="65"/>
        <v>-0.99933207693007198</v>
      </c>
      <c r="J190" s="37">
        <f t="shared" si="66"/>
        <v>4.891073644149725E-3</v>
      </c>
      <c r="K190" s="37">
        <f t="shared" si="67"/>
        <v>0.99864067737997875</v>
      </c>
      <c r="L190" s="90">
        <f t="shared" si="64"/>
        <v>-4.8878067832260801E-3</v>
      </c>
      <c r="N190" s="91">
        <f>SIN(O187)</f>
        <v>-2.0181817016771301E-2</v>
      </c>
      <c r="O190" s="93">
        <f>N189</f>
        <v>0.99979632638948102</v>
      </c>
      <c r="Q190" s="123">
        <v>-1.7729287985308824E-2</v>
      </c>
      <c r="R190" s="90">
        <v>0.99951474151269604</v>
      </c>
    </row>
    <row r="191" spans="1:18" x14ac:dyDescent="0.25">
      <c r="A191" s="194">
        <v>0.97564020467904033</v>
      </c>
      <c r="B191" s="195">
        <v>4.422395245444001E-3</v>
      </c>
      <c r="C191" s="195">
        <v>0.12570859000224271</v>
      </c>
      <c r="D191" s="196">
        <v>0.17973309053644415</v>
      </c>
      <c r="F191" s="123">
        <f>INDEX(A191:D199,,F184)</f>
        <v>0.97564020467904033</v>
      </c>
      <c r="G191" s="90">
        <f>INDEX(A185:D193,,G184)</f>
        <v>0.12570859000224271</v>
      </c>
      <c r="I191" s="123">
        <f t="shared" si="65"/>
        <v>0.93607115938580776</v>
      </c>
      <c r="J191" s="37">
        <f t="shared" si="66"/>
        <v>0.2452927089594033</v>
      </c>
      <c r="K191" s="37">
        <f t="shared" si="67"/>
        <v>0.81606070236524775</v>
      </c>
      <c r="L191" s="90">
        <f t="shared" si="64"/>
        <v>0.22961143046451415</v>
      </c>
      <c r="Q191" s="123">
        <v>0.97290446475512427</v>
      </c>
      <c r="R191" s="90">
        <v>0.14537317856488141</v>
      </c>
    </row>
    <row r="192" spans="1:18" x14ac:dyDescent="0.25">
      <c r="A192" s="194">
        <v>0.71799307171497928</v>
      </c>
      <c r="B192" s="195">
        <v>-0.20848798188097298</v>
      </c>
      <c r="C192" s="195">
        <v>0.52169698959900879</v>
      </c>
      <c r="D192" s="196">
        <v>0.41091478608565507</v>
      </c>
      <c r="F192" s="123">
        <f>INDEX(A192:D200,,F184)</f>
        <v>0.71799307171497928</v>
      </c>
      <c r="G192" s="90">
        <f>INDEX(A185:D193,,G184)</f>
        <v>0.52169698959900879</v>
      </c>
      <c r="I192" s="123">
        <f t="shared" si="65"/>
        <v>0.24334630207404306</v>
      </c>
      <c r="J192" s="37">
        <f t="shared" si="66"/>
        <v>0.74914964813329987</v>
      </c>
      <c r="K192" s="37">
        <f t="shared" si="67"/>
        <v>-0.50200777256513562</v>
      </c>
      <c r="L192" s="90">
        <f t="shared" si="64"/>
        <v>0.18230279657330906</v>
      </c>
      <c r="Q192" s="123">
        <v>0.7073180422914479</v>
      </c>
      <c r="R192" s="90">
        <v>0.53608113848220151</v>
      </c>
    </row>
    <row r="193" spans="1:18" x14ac:dyDescent="0.25">
      <c r="A193" s="200">
        <v>0.10046184876607064</v>
      </c>
      <c r="B193" s="201">
        <v>-0.90673978611689343</v>
      </c>
      <c r="C193" s="201">
        <v>-0.24977846275702964</v>
      </c>
      <c r="D193" s="202">
        <v>0.32456293189138063</v>
      </c>
      <c r="F193" s="91">
        <f>INDEX(A193:D201,,F184)</f>
        <v>0.10046184876607064</v>
      </c>
      <c r="G193" s="93">
        <f>INDEX(A185:D193,,G184)</f>
        <v>-0.24977846275702964</v>
      </c>
      <c r="I193" s="91">
        <f t="shared" si="65"/>
        <v>-5.2296697399767993E-2</v>
      </c>
      <c r="J193" s="92">
        <f t="shared" si="66"/>
        <v>-5.018641230103664E-2</v>
      </c>
      <c r="K193" s="92">
        <f t="shared" si="67"/>
        <v>2.162685792732582E-4</v>
      </c>
      <c r="L193" s="93">
        <f t="shared" si="64"/>
        <v>2.6245836176873073E-3</v>
      </c>
      <c r="Q193" s="91">
        <v>0.10548237056870584</v>
      </c>
      <c r="R193" s="93">
        <v>-0.24770008682672665</v>
      </c>
    </row>
    <row r="194" spans="1:18" x14ac:dyDescent="0.25">
      <c r="I194">
        <f>SUM(I185:I193)</f>
        <v>1.082428605222068</v>
      </c>
      <c r="J194">
        <f>SUM(J185:J193)</f>
        <v>1.8090958291554544</v>
      </c>
      <c r="K194">
        <f>SUM(K185:K193)</f>
        <v>2.5130722803208201</v>
      </c>
      <c r="L194">
        <f>SUM(L185:L193)</f>
        <v>0.21294092512370946</v>
      </c>
    </row>
    <row r="195" spans="1:18" x14ac:dyDescent="0.25">
      <c r="A195" s="47" t="s">
        <v>53</v>
      </c>
      <c r="B195">
        <f>COUNT(A185:A193)</f>
        <v>9</v>
      </c>
      <c r="I195" s="47" t="s">
        <v>462</v>
      </c>
      <c r="J195" s="47" t="s">
        <v>389</v>
      </c>
      <c r="K195" s="47" t="s">
        <v>469</v>
      </c>
      <c r="L195" s="47" t="s">
        <v>470</v>
      </c>
      <c r="N195" s="47"/>
    </row>
    <row r="197" spans="1:18" x14ac:dyDescent="0.25">
      <c r="A197">
        <v>1</v>
      </c>
      <c r="B197">
        <v>2</v>
      </c>
      <c r="C197">
        <v>3</v>
      </c>
      <c r="D197">
        <v>4</v>
      </c>
      <c r="F197">
        <v>1</v>
      </c>
      <c r="G197">
        <v>4</v>
      </c>
      <c r="I197" s="47" t="s">
        <v>207</v>
      </c>
      <c r="J197" s="47" t="s">
        <v>464</v>
      </c>
      <c r="K197" s="47" t="s">
        <v>465</v>
      </c>
      <c r="L197" s="47" t="s">
        <v>466</v>
      </c>
      <c r="Q197">
        <f>F197</f>
        <v>1</v>
      </c>
      <c r="R197">
        <f>G197</f>
        <v>4</v>
      </c>
    </row>
    <row r="198" spans="1:18" x14ac:dyDescent="0.25">
      <c r="A198" s="189">
        <f t="array" ref="A198:A206">IF(A197=$Q184,$Q185:$Q193,IF(A197=$R184,$R185:$R193,A185:A193))</f>
        <v>9.2007581044587866E-2</v>
      </c>
      <c r="B198" s="190">
        <f t="array" ref="B198:B206">IF(B197=$Q184,$Q185:$Q193,IF(B197=$R184,$R185:$R193,B185:B193))</f>
        <v>0.9111693409408872</v>
      </c>
      <c r="C198" s="190">
        <f t="array" ref="C198:C206">IF(C197=$Q184,$Q185:$Q193,IF(C197=$R184,$R185:$R193,C185:C193))</f>
        <v>-0.32136125835045964</v>
      </c>
      <c r="D198" s="191">
        <f t="array" ref="D198:D206">IF(D197=$Q184,$Q185:$Q193,IF(D197=$R184,$R185:$R193,D185:D193))</f>
        <v>0.24089827477813597</v>
      </c>
      <c r="F198" s="156">
        <f>INDEX(A198:D206,,F197)</f>
        <v>9.2007581044587866E-2</v>
      </c>
      <c r="G198" s="158">
        <f>INDEX(A198:D206,,G197)</f>
        <v>0.24089827477813597</v>
      </c>
      <c r="I198" s="156">
        <f>F198^2-G198^2</f>
        <v>-4.9566583821405899E-2</v>
      </c>
      <c r="J198" s="157">
        <f>2*F198*G198</f>
        <v>4.4328935080301488E-2</v>
      </c>
      <c r="K198" s="157">
        <f>I198^2-J198^2</f>
        <v>4.917917463708732E-4</v>
      </c>
      <c r="L198" s="158">
        <f t="shared" ref="L198:L206" si="68">I198*J198</f>
        <v>-2.197233876371424E-3</v>
      </c>
      <c r="N198" t="s">
        <v>390</v>
      </c>
      <c r="O198" s="172">
        <f>L207*B208-2*I207*J207</f>
        <v>-2.0481481919538012</v>
      </c>
      <c r="Q198" s="156">
        <f t="array" ref="Q198:R206">MMULT(F198:G206,N202:O203)</f>
        <v>8.6730828652857653E-2</v>
      </c>
      <c r="R198" s="158">
        <v>0.24284797121233556</v>
      </c>
    </row>
    <row r="199" spans="1:18" x14ac:dyDescent="0.25">
      <c r="A199" s="194">
        <v>0.80985429267291276</v>
      </c>
      <c r="B199" s="195">
        <v>-0.58310521271602744</v>
      </c>
      <c r="C199" s="195">
        <v>5.2871953908939846E-2</v>
      </c>
      <c r="D199" s="196">
        <v>-3.6453971422927459E-2</v>
      </c>
      <c r="F199" s="123">
        <f>INDEX(A199:D207,,F197)</f>
        <v>0.80985429267291276</v>
      </c>
      <c r="G199" s="90">
        <f>INDEX(A198:D206,,G197)</f>
        <v>-3.6453971422927459E-2</v>
      </c>
      <c r="I199" s="123">
        <f t="shared" ref="I199:I206" si="69">F199^2-G199^2</f>
        <v>0.65453508332824017</v>
      </c>
      <c r="J199" s="37">
        <f t="shared" ref="J199:J206" si="70">2*F199*G199</f>
        <v>-5.9044810483666985E-2</v>
      </c>
      <c r="K199" s="37">
        <f t="shared" ref="K199:K206" si="71">I199^2-J199^2</f>
        <v>0.42492988566245415</v>
      </c>
      <c r="L199" s="90">
        <f t="shared" si="68"/>
        <v>-3.8646899950027118E-2</v>
      </c>
      <c r="N199" t="s">
        <v>392</v>
      </c>
      <c r="O199" s="173">
        <f>K207*B208-(I207^2-J207^2)</f>
        <v>23.411822635362832</v>
      </c>
      <c r="Q199" s="123">
        <v>0.81045678442170932</v>
      </c>
      <c r="R199" s="90">
        <v>-1.877945627728558E-2</v>
      </c>
    </row>
    <row r="200" spans="1:18" x14ac:dyDescent="0.25">
      <c r="A200" s="194">
        <v>0.98419464359598241</v>
      </c>
      <c r="B200" s="195">
        <v>0.14202390189087707</v>
      </c>
      <c r="C200" s="195">
        <v>0.10146433341764312</v>
      </c>
      <c r="D200" s="196">
        <v>2.9918286260766334E-2</v>
      </c>
      <c r="F200" s="123">
        <f>INDEX(A200:D208,,F197)</f>
        <v>0.98419464359598241</v>
      </c>
      <c r="G200" s="90">
        <f>INDEX(A198:D206,,G197)</f>
        <v>2.9918286260766334E-2</v>
      </c>
      <c r="I200" s="123">
        <f t="shared" si="69"/>
        <v>0.96774399263024169</v>
      </c>
      <c r="J200" s="37">
        <f t="shared" si="70"/>
        <v>5.8890834166835E-2</v>
      </c>
      <c r="K200" s="37">
        <f t="shared" si="71"/>
        <v>0.93306030492305569</v>
      </c>
      <c r="L200" s="90">
        <f t="shared" si="68"/>
        <v>5.6991250985938359E-2</v>
      </c>
      <c r="N200" t="s">
        <v>467</v>
      </c>
      <c r="O200" s="174">
        <f>0.25*ATAN(O198/O199)</f>
        <v>-2.1815334641741516E-2</v>
      </c>
      <c r="Q200" s="123">
        <v>0.98330783376650566</v>
      </c>
      <c r="R200" s="90">
        <v>5.1379999895154127E-2</v>
      </c>
    </row>
    <row r="201" spans="1:18" x14ac:dyDescent="0.25">
      <c r="A201" s="194">
        <v>9.2415095014553625E-2</v>
      </c>
      <c r="B201" s="195">
        <v>2.7594669526575605E-2</v>
      </c>
      <c r="C201" s="195">
        <v>4.4429005959088975E-2</v>
      </c>
      <c r="D201" s="196">
        <v>0.99434604029817386</v>
      </c>
      <c r="F201" s="123">
        <f>INDEX(A201:D209,,F197)</f>
        <v>9.2415095014553625E-2</v>
      </c>
      <c r="G201" s="90">
        <f>INDEX(A198:D206,,G197)</f>
        <v>0.99434604029817386</v>
      </c>
      <c r="I201" s="123">
        <f t="shared" si="69"/>
        <v>-0.98018349807010863</v>
      </c>
      <c r="J201" s="37">
        <f t="shared" si="70"/>
        <v>0.18378516758300181</v>
      </c>
      <c r="K201" s="37">
        <f t="shared" si="71"/>
        <v>0.92698270206544264</v>
      </c>
      <c r="L201" s="90">
        <f t="shared" si="68"/>
        <v>-0.18014318845490784</v>
      </c>
      <c r="Q201" s="123">
        <v>7.0702834215640151E-2</v>
      </c>
      <c r="R201" s="90">
        <v>0.9961253469704916</v>
      </c>
    </row>
    <row r="202" spans="1:18" x14ac:dyDescent="0.25">
      <c r="A202" s="194">
        <v>0.38283219415572911</v>
      </c>
      <c r="B202" s="195">
        <v>-0.12301037686223779</v>
      </c>
      <c r="C202" s="195">
        <v>0.86635638628454015</v>
      </c>
      <c r="D202" s="196">
        <v>0.29620021986169043</v>
      </c>
      <c r="F202" s="123">
        <f>INDEX(A202:D210,,F197)</f>
        <v>0.38283219415572911</v>
      </c>
      <c r="G202" s="90">
        <f>INDEX(A198:D206,,G197)</f>
        <v>0.29620021986169043</v>
      </c>
      <c r="I202" s="123">
        <f t="shared" si="69"/>
        <v>5.882591863597611E-2</v>
      </c>
      <c r="J202" s="37">
        <f t="shared" si="70"/>
        <v>0.22678996015812064</v>
      </c>
      <c r="K202" s="37">
        <f t="shared" si="71"/>
        <v>-4.7973197325155467E-2</v>
      </c>
      <c r="L202" s="90">
        <f t="shared" si="68"/>
        <v>1.3341127743717868E-2</v>
      </c>
      <c r="N202" s="156">
        <f>COS(O200)</f>
        <v>0.99976205502413518</v>
      </c>
      <c r="O202" s="158">
        <f>-N203</f>
        <v>2.181360433120088E-2</v>
      </c>
      <c r="Q202" s="123">
        <v>0.37627990675965284</v>
      </c>
      <c r="R202" s="90">
        <v>0.30448069051608284</v>
      </c>
    </row>
    <row r="203" spans="1:18" x14ac:dyDescent="0.25">
      <c r="A203" s="194">
        <v>-1.7729287985308824E-2</v>
      </c>
      <c r="B203" s="195">
        <v>-1.3811613321374764E-2</v>
      </c>
      <c r="C203" s="195">
        <v>0.99951474151269604</v>
      </c>
      <c r="D203" s="196">
        <v>-2.1568337529893157E-2</v>
      </c>
      <c r="F203" s="123">
        <f>INDEX(A203:D211,,F197)</f>
        <v>-1.7729287985308824E-2</v>
      </c>
      <c r="G203" s="90">
        <f>INDEX(A198:D206,,G197)</f>
        <v>-2.1568337529893157E-2</v>
      </c>
      <c r="I203" s="123">
        <f t="shared" si="69"/>
        <v>-1.5086553133738183E-4</v>
      </c>
      <c r="J203" s="37">
        <f t="shared" si="70"/>
        <v>7.6478253486364034E-4</v>
      </c>
      <c r="K203" s="37">
        <f t="shared" si="71"/>
        <v>-5.6213191708674468E-7</v>
      </c>
      <c r="L203" s="90">
        <f t="shared" si="68"/>
        <v>-1.1537932347975284E-7</v>
      </c>
      <c r="N203" s="91">
        <f>SIN(O200)</f>
        <v>-2.181360433120088E-2</v>
      </c>
      <c r="O203" s="93">
        <f>N202</f>
        <v>0.99976205502413518</v>
      </c>
      <c r="Q203" s="123">
        <v>-1.725458620934818E-2</v>
      </c>
      <c r="R203" s="90">
        <v>-2.1949945125525606E-2</v>
      </c>
    </row>
    <row r="204" spans="1:18" x14ac:dyDescent="0.25">
      <c r="A204" s="194">
        <v>0.97290446475512427</v>
      </c>
      <c r="B204" s="195">
        <v>4.422395245444001E-3</v>
      </c>
      <c r="C204" s="195">
        <v>0.14537317856488141</v>
      </c>
      <c r="D204" s="196">
        <v>0.17973309053644415</v>
      </c>
      <c r="F204" s="123">
        <f>INDEX(A204:D212,,F197)</f>
        <v>0.97290446475512427</v>
      </c>
      <c r="G204" s="90">
        <f>INDEX(A198:D206,,G197)</f>
        <v>0.17973309053644415</v>
      </c>
      <c r="I204" s="123">
        <f t="shared" si="69"/>
        <v>0.91423911370667321</v>
      </c>
      <c r="J204" s="37">
        <f t="shared" si="70"/>
        <v>0.34972625249428696</v>
      </c>
      <c r="K204" s="37">
        <f t="shared" si="71"/>
        <v>0.71352470534746559</v>
      </c>
      <c r="L204" s="90">
        <f t="shared" si="68"/>
        <v>0.3197334191203331</v>
      </c>
      <c r="Q204" s="123">
        <v>0.96875234050355341</v>
      </c>
      <c r="R204" s="90">
        <v>0.2009128769967814</v>
      </c>
    </row>
    <row r="205" spans="1:18" x14ac:dyDescent="0.25">
      <c r="A205" s="194">
        <v>0.7073180422914479</v>
      </c>
      <c r="B205" s="195">
        <v>-0.20848798188097298</v>
      </c>
      <c r="C205" s="195">
        <v>0.53608113848220151</v>
      </c>
      <c r="D205" s="196">
        <v>0.41091478608565507</v>
      </c>
      <c r="F205" s="123">
        <f>INDEX(A205:D213,,F197)</f>
        <v>0.7073180422914479</v>
      </c>
      <c r="G205" s="90">
        <f>INDEX(A198:D206,,G197)</f>
        <v>0.41091478608565507</v>
      </c>
      <c r="I205" s="123">
        <f t="shared" si="69"/>
        <v>0.33144785152718687</v>
      </c>
      <c r="J205" s="37">
        <f t="shared" si="70"/>
        <v>0.58129488408542929</v>
      </c>
      <c r="K205" s="37">
        <f t="shared" si="71"/>
        <v>-0.22804606398190458</v>
      </c>
      <c r="L205" s="90">
        <f t="shared" si="68"/>
        <v>0.19266894043386065</v>
      </c>
      <c r="Q205" s="123">
        <v>0.69818620695943368</v>
      </c>
      <c r="R205" s="90">
        <v>0.42624616688766265</v>
      </c>
    </row>
    <row r="206" spans="1:18" x14ac:dyDescent="0.25">
      <c r="A206" s="200">
        <v>0.10548237056870584</v>
      </c>
      <c r="B206" s="201">
        <v>-0.90673978611689343</v>
      </c>
      <c r="C206" s="201">
        <v>-0.24770008682672665</v>
      </c>
      <c r="D206" s="202">
        <v>0.32456293189138063</v>
      </c>
      <c r="F206" s="91">
        <f>INDEX(A206:D214,,F197)</f>
        <v>0.10548237056870584</v>
      </c>
      <c r="G206" s="93">
        <f>INDEX(A198:D206,,G197)</f>
        <v>0.32456293189138063</v>
      </c>
      <c r="I206" s="91">
        <f t="shared" si="69"/>
        <v>-9.4214566257135202E-2</v>
      </c>
      <c r="J206" s="92">
        <f t="shared" si="70"/>
        <v>6.8471334909264492E-2</v>
      </c>
      <c r="K206" s="92">
        <f t="shared" si="71"/>
        <v>4.1880607907634577E-3</v>
      </c>
      <c r="L206" s="93">
        <f t="shared" si="68"/>
        <v>-6.4509971195233938E-3</v>
      </c>
      <c r="Q206" s="91">
        <v>9.8377384191733613E-2</v>
      </c>
      <c r="R206" s="93">
        <v>0.32678665446788796</v>
      </c>
    </row>
    <row r="207" spans="1:18" x14ac:dyDescent="0.25">
      <c r="I207">
        <f>SUM(I198:I206)</f>
        <v>1.8026764461483309</v>
      </c>
      <c r="J207">
        <f>SUM(J198:J206)</f>
        <v>1.4550073405284363</v>
      </c>
      <c r="K207">
        <f>SUM(K198:K206)</f>
        <v>2.7271576270965752</v>
      </c>
      <c r="L207">
        <f>SUM(L198:L206)</f>
        <v>0.35529630350369673</v>
      </c>
    </row>
    <row r="208" spans="1:18" x14ac:dyDescent="0.25">
      <c r="A208" s="47" t="s">
        <v>53</v>
      </c>
      <c r="B208">
        <f>COUNT(A198:A206)</f>
        <v>9</v>
      </c>
      <c r="I208" s="47" t="s">
        <v>462</v>
      </c>
      <c r="J208" s="47" t="s">
        <v>389</v>
      </c>
      <c r="K208" s="47" t="s">
        <v>469</v>
      </c>
      <c r="L208" s="47" t="s">
        <v>470</v>
      </c>
      <c r="N208" s="47"/>
    </row>
    <row r="210" spans="1:18" x14ac:dyDescent="0.25">
      <c r="A210">
        <v>1</v>
      </c>
      <c r="B210">
        <v>2</v>
      </c>
      <c r="C210">
        <v>3</v>
      </c>
      <c r="D210">
        <v>4</v>
      </c>
      <c r="F210">
        <v>2</v>
      </c>
      <c r="G210">
        <v>3</v>
      </c>
      <c r="I210" s="47" t="s">
        <v>207</v>
      </c>
      <c r="J210" s="47" t="s">
        <v>464</v>
      </c>
      <c r="K210" s="47" t="s">
        <v>465</v>
      </c>
      <c r="L210" s="47" t="s">
        <v>466</v>
      </c>
      <c r="Q210">
        <f>F210</f>
        <v>2</v>
      </c>
      <c r="R210">
        <f>G210</f>
        <v>3</v>
      </c>
    </row>
    <row r="211" spans="1:18" x14ac:dyDescent="0.25">
      <c r="A211" s="189">
        <f t="array" ref="A211:A219">IF(A210=$Q197,$Q198:$Q206,IF(A210=$R197,$R198:$R206,A198:A206))</f>
        <v>8.6730828652857653E-2</v>
      </c>
      <c r="B211" s="190">
        <f t="array" ref="B211:B219">IF(B210=$Q197,$Q198:$Q206,IF(B210=$R197,$R198:$R206,B198:B206))</f>
        <v>0.9111693409408872</v>
      </c>
      <c r="C211" s="190">
        <f t="array" ref="C211:C219">IF(C210=$Q197,$Q198:$Q206,IF(C210=$R197,$R198:$R206,C198:C206))</f>
        <v>-0.32136125835045964</v>
      </c>
      <c r="D211" s="191">
        <f t="array" ref="D211:D219">IF(D210=$Q197,$Q198:$Q206,IF(D210=$R197,$R198:$R206,D198:D206))</f>
        <v>0.24284797121233556</v>
      </c>
      <c r="F211" s="156">
        <f>INDEX(A211:D219,,F210)</f>
        <v>0.9111693409408872</v>
      </c>
      <c r="G211" s="158">
        <f>INDEX(A211:D219,,G210)</f>
        <v>-0.32136125835045964</v>
      </c>
      <c r="I211" s="156">
        <f>F211^2-G211^2</f>
        <v>0.72695650950205981</v>
      </c>
      <c r="J211" s="157">
        <f>2*F211*G211</f>
        <v>-0.58562905195024495</v>
      </c>
      <c r="K211" s="157">
        <f>I211^2-J211^2</f>
        <v>0.18550438021927573</v>
      </c>
      <c r="L211" s="158">
        <f t="shared" ref="L211:L219" si="72">I211*J211</f>
        <v>-0.4257268514687505</v>
      </c>
      <c r="N211" t="s">
        <v>390</v>
      </c>
      <c r="O211" s="172">
        <f>L220*B221-2*I220*J220</f>
        <v>1.0004852586879043</v>
      </c>
      <c r="Q211" s="156">
        <f t="array" ref="Q211:R219">MMULT(F211:G219,N215:O216)</f>
        <v>0.9070693639416435</v>
      </c>
      <c r="R211" s="158">
        <v>-0.33275786277373492</v>
      </c>
    </row>
    <row r="212" spans="1:18" x14ac:dyDescent="0.25">
      <c r="A212" s="194">
        <v>0.81045678442170932</v>
      </c>
      <c r="B212" s="195">
        <v>-0.58310521271602744</v>
      </c>
      <c r="C212" s="195">
        <v>5.2871953908939846E-2</v>
      </c>
      <c r="D212" s="196">
        <v>-1.877945627728558E-2</v>
      </c>
      <c r="F212" s="123">
        <f>INDEX(A212:D220,,F210)</f>
        <v>-0.58310521271602744</v>
      </c>
      <c r="G212" s="90">
        <f>INDEX(A211:D219,,G210)</f>
        <v>5.2871953908939846E-2</v>
      </c>
      <c r="I212" s="123">
        <f t="shared" ref="I212:I219" si="73">F212^2-G212^2</f>
        <v>0.33721624558645458</v>
      </c>
      <c r="J212" s="37">
        <f t="shared" ref="J212:J219" si="74">2*F212*G212</f>
        <v>-6.1659823861568736E-2</v>
      </c>
      <c r="K212" s="37">
        <f t="shared" ref="K212:K219" si="75">I212^2-J212^2</f>
        <v>0.10991286240878437</v>
      </c>
      <c r="L212" s="90">
        <f t="shared" si="72"/>
        <v>-2.0792694306120296E-2</v>
      </c>
      <c r="N212" t="s">
        <v>392</v>
      </c>
      <c r="O212" s="173">
        <f>K220*B221-(I220^2-J220^2)</f>
        <v>19.935981506612915</v>
      </c>
      <c r="Q212" s="123">
        <v>-0.58239662753440113</v>
      </c>
      <c r="R212" s="90">
        <v>6.0177245228646772E-2</v>
      </c>
    </row>
    <row r="213" spans="1:18" x14ac:dyDescent="0.25">
      <c r="A213" s="194">
        <v>0.98330783376650566</v>
      </c>
      <c r="B213" s="195">
        <v>0.14202390189087707</v>
      </c>
      <c r="C213" s="195">
        <v>0.10146433341764312</v>
      </c>
      <c r="D213" s="196">
        <v>5.1379999895154127E-2</v>
      </c>
      <c r="F213" s="123">
        <f>INDEX(A213:D221,,F210)</f>
        <v>0.14202390189087707</v>
      </c>
      <c r="G213" s="90">
        <f>INDEX(A211:D219,,G210)</f>
        <v>0.10146433341764312</v>
      </c>
      <c r="I213" s="123">
        <f t="shared" si="73"/>
        <v>9.8757777524228259E-3</v>
      </c>
      <c r="J213" s="37">
        <f t="shared" si="74"/>
        <v>2.8820721069461173E-2</v>
      </c>
      <c r="K213" s="37">
        <f t="shared" si="75"/>
        <v>-7.3310297674843356E-4</v>
      </c>
      <c r="L213" s="90">
        <f t="shared" si="72"/>
        <v>2.8462703594656845E-4</v>
      </c>
      <c r="N213" t="s">
        <v>467</v>
      </c>
      <c r="O213" s="174">
        <f>0.25*ATAN(O211/O212)</f>
        <v>1.2535708485315763E-2</v>
      </c>
      <c r="Q213" s="123">
        <v>0.1432846369289168</v>
      </c>
      <c r="R213" s="90">
        <v>9.9676037663746525E-2</v>
      </c>
    </row>
    <row r="214" spans="1:18" x14ac:dyDescent="0.25">
      <c r="A214" s="194">
        <v>7.0702834215640151E-2</v>
      </c>
      <c r="B214" s="195">
        <v>2.7594669526575605E-2</v>
      </c>
      <c r="C214" s="195">
        <v>4.4429005959088975E-2</v>
      </c>
      <c r="D214" s="196">
        <v>0.9961253469704916</v>
      </c>
      <c r="F214" s="123">
        <f>INDEX(A214:D222,,F210)</f>
        <v>2.7594669526575605E-2</v>
      </c>
      <c r="G214" s="90">
        <f>INDEX(A211:D219,,G210)</f>
        <v>4.4429005959088975E-2</v>
      </c>
      <c r="I214" s="123">
        <f t="shared" si="73"/>
        <v>-1.2124707842318433E-3</v>
      </c>
      <c r="J214" s="37">
        <f t="shared" si="74"/>
        <v>2.452007473670637E-3</v>
      </c>
      <c r="K214" s="37">
        <f t="shared" si="75"/>
        <v>-4.5422552483208781E-6</v>
      </c>
      <c r="L214" s="90">
        <f t="shared" si="72"/>
        <v>-2.9729874245437781E-6</v>
      </c>
      <c r="Q214" s="123">
        <v>2.8149435867014436E-2</v>
      </c>
      <c r="R214" s="90">
        <v>4.4079605456066928E-2</v>
      </c>
    </row>
    <row r="215" spans="1:18" x14ac:dyDescent="0.25">
      <c r="A215" s="194">
        <v>0.37627990675965284</v>
      </c>
      <c r="B215" s="195">
        <v>-0.12301037686223779</v>
      </c>
      <c r="C215" s="195">
        <v>0.86635638628454015</v>
      </c>
      <c r="D215" s="196">
        <v>0.30448069051608284</v>
      </c>
      <c r="F215" s="123">
        <f>INDEX(A215:D223,,F210)</f>
        <v>-0.12301037686223779</v>
      </c>
      <c r="G215" s="90">
        <f>INDEX(A211:D219,,G210)</f>
        <v>0.86635638628454015</v>
      </c>
      <c r="I215" s="123">
        <f t="shared" si="73"/>
        <v>-0.73544183524021756</v>
      </c>
      <c r="J215" s="37">
        <f t="shared" si="74"/>
        <v>-0.21314165114773548</v>
      </c>
      <c r="K215" s="37">
        <f t="shared" si="75"/>
        <v>0.4954453295675163</v>
      </c>
      <c r="L215" s="90">
        <f t="shared" si="72"/>
        <v>0.1567532870862208</v>
      </c>
      <c r="N215" s="156">
        <f>COS(O213)</f>
        <v>0.99992142903530656</v>
      </c>
      <c r="O215" s="158">
        <f>-N216</f>
        <v>-1.253538016935973E-2</v>
      </c>
      <c r="Q215" s="123">
        <v>-0.11214060515403103</v>
      </c>
      <c r="R215" s="90">
        <v>0.86783029766624575</v>
      </c>
    </row>
    <row r="216" spans="1:18" x14ac:dyDescent="0.25">
      <c r="A216" s="194">
        <v>-1.725458620934818E-2</v>
      </c>
      <c r="B216" s="195">
        <v>-1.3811613321374764E-2</v>
      </c>
      <c r="C216" s="195">
        <v>0.99951474151269604</v>
      </c>
      <c r="D216" s="196">
        <v>-2.1949945125525606E-2</v>
      </c>
      <c r="F216" s="123">
        <f>INDEX(A216:D224,,F210)</f>
        <v>-1.3811613321374764E-2</v>
      </c>
      <c r="G216" s="90">
        <f>INDEX(A211:D219,,G210)</f>
        <v>0.99951474151269604</v>
      </c>
      <c r="I216" s="123">
        <f t="shared" si="73"/>
        <v>-0.9988389578386524</v>
      </c>
      <c r="J216" s="37">
        <f t="shared" si="74"/>
        <v>-2.7609822237574414E-2</v>
      </c>
      <c r="K216" s="37">
        <f t="shared" si="75"/>
        <v>0.99691696141221475</v>
      </c>
      <c r="L216" s="90">
        <f t="shared" si="72"/>
        <v>2.7577766069889278E-2</v>
      </c>
      <c r="N216" s="91">
        <f>SIN(O213)</f>
        <v>1.253538016935973E-2</v>
      </c>
      <c r="O216" s="93">
        <f>N215</f>
        <v>0.99992142903530656</v>
      </c>
      <c r="Q216" s="123">
        <v>-1.2812308598511655E-3</v>
      </c>
      <c r="R216" s="90">
        <v>0.99960934249896571</v>
      </c>
    </row>
    <row r="217" spans="1:18" x14ac:dyDescent="0.25">
      <c r="A217" s="194">
        <v>0.96875234050355341</v>
      </c>
      <c r="B217" s="195">
        <v>4.422395245444001E-3</v>
      </c>
      <c r="C217" s="195">
        <v>0.14537317856488141</v>
      </c>
      <c r="D217" s="196">
        <v>0.2009128769967814</v>
      </c>
      <c r="F217" s="123">
        <f>INDEX(A217:D225,,F210)</f>
        <v>4.422395245444001E-3</v>
      </c>
      <c r="G217" s="90">
        <f>INDEX(A211:D219,,G210)</f>
        <v>0.14537317856488141</v>
      </c>
      <c r="I217" s="123">
        <f t="shared" si="73"/>
        <v>-2.1113803466349973E-2</v>
      </c>
      <c r="J217" s="37">
        <f t="shared" si="74"/>
        <v>1.2857953074008265E-3</v>
      </c>
      <c r="K217" s="37">
        <f t="shared" si="75"/>
        <v>4.4413942724311813E-4</v>
      </c>
      <c r="L217" s="90">
        <f t="shared" si="72"/>
        <v>-2.71480294184161E-5</v>
      </c>
      <c r="Q217" s="123">
        <v>6.2443558333223166E-3</v>
      </c>
      <c r="R217" s="90">
        <v>0.14530632004834021</v>
      </c>
    </row>
    <row r="218" spans="1:18" x14ac:dyDescent="0.25">
      <c r="A218" s="194">
        <v>0.69818620695943368</v>
      </c>
      <c r="B218" s="195">
        <v>-0.20848798188097298</v>
      </c>
      <c r="C218" s="195">
        <v>0.53608113848220151</v>
      </c>
      <c r="D218" s="196">
        <v>0.42624616688766265</v>
      </c>
      <c r="F218" s="123">
        <f>INDEX(A218:D226,,F210)</f>
        <v>-0.20848798188097298</v>
      </c>
      <c r="G218" s="90">
        <f>INDEX(A211:D219,,G210)</f>
        <v>0.53608113848220151</v>
      </c>
      <c r="I218" s="123">
        <f t="shared" si="73"/>
        <v>-0.24391574844757241</v>
      </c>
      <c r="J218" s="37">
        <f t="shared" si="74"/>
        <v>-0.22353294937321719</v>
      </c>
      <c r="K218" s="37">
        <f t="shared" si="75"/>
        <v>9.5279128852501435E-3</v>
      </c>
      <c r="L218" s="90">
        <f t="shared" si="72"/>
        <v>5.452320664906158E-2</v>
      </c>
      <c r="Q218" s="123">
        <v>-0.201751619906612</v>
      </c>
      <c r="R218" s="90">
        <v>0.5386524941836176</v>
      </c>
    </row>
    <row r="219" spans="1:18" x14ac:dyDescent="0.25">
      <c r="A219" s="200">
        <v>9.8377384191733613E-2</v>
      </c>
      <c r="B219" s="201">
        <v>-0.90673978611689343</v>
      </c>
      <c r="C219" s="201">
        <v>-0.24770008682672665</v>
      </c>
      <c r="D219" s="202">
        <v>0.32678665446788796</v>
      </c>
      <c r="F219" s="91">
        <f>INDEX(A219:D227,,F210)</f>
        <v>-0.90673978611689343</v>
      </c>
      <c r="G219" s="93">
        <f>INDEX(A211:D219,,G210)</f>
        <v>-0.24770008682672665</v>
      </c>
      <c r="I219" s="91">
        <f t="shared" si="73"/>
        <v>0.76082170671334171</v>
      </c>
      <c r="J219" s="92">
        <f t="shared" si="74"/>
        <v>0.44919904750080408</v>
      </c>
      <c r="K219" s="92">
        <f t="shared" si="75"/>
        <v>0.37706988513057255</v>
      </c>
      <c r="L219" s="93">
        <f t="shared" si="72"/>
        <v>0.34176038597356923</v>
      </c>
      <c r="Q219" s="91">
        <v>-0.90977355745352873</v>
      </c>
      <c r="R219" s="93">
        <v>-0.23631429685829083</v>
      </c>
    </row>
    <row r="220" spans="1:18" x14ac:dyDescent="0.25">
      <c r="I220">
        <f>SUM(I211:I219)</f>
        <v>-0.1656525762227451</v>
      </c>
      <c r="J220">
        <f>SUM(J211:J219)</f>
        <v>-0.62981572721900414</v>
      </c>
      <c r="K220">
        <f>SUM(K211:K219)</f>
        <v>2.1740838258188604</v>
      </c>
      <c r="L220">
        <f>SUM(L211:L219)</f>
        <v>0.13434960602297374</v>
      </c>
    </row>
    <row r="221" spans="1:18" x14ac:dyDescent="0.25">
      <c r="A221" s="47" t="s">
        <v>53</v>
      </c>
      <c r="B221">
        <f>COUNT(A211:A219)</f>
        <v>9</v>
      </c>
      <c r="I221" s="47" t="s">
        <v>462</v>
      </c>
      <c r="J221" s="47" t="s">
        <v>389</v>
      </c>
      <c r="K221" s="47" t="s">
        <v>469</v>
      </c>
      <c r="L221" s="47" t="s">
        <v>470</v>
      </c>
      <c r="N221" s="47"/>
    </row>
    <row r="223" spans="1:18" x14ac:dyDescent="0.25">
      <c r="A223">
        <v>1</v>
      </c>
      <c r="B223">
        <v>2</v>
      </c>
      <c r="C223">
        <v>3</v>
      </c>
      <c r="D223">
        <v>4</v>
      </c>
      <c r="F223">
        <v>2</v>
      </c>
      <c r="G223">
        <v>4</v>
      </c>
      <c r="I223" s="47" t="s">
        <v>207</v>
      </c>
      <c r="J223" s="47" t="s">
        <v>464</v>
      </c>
      <c r="K223" s="47" t="s">
        <v>465</v>
      </c>
      <c r="L223" s="47" t="s">
        <v>466</v>
      </c>
      <c r="Q223">
        <f>F223</f>
        <v>2</v>
      </c>
      <c r="R223">
        <f>G223</f>
        <v>4</v>
      </c>
    </row>
    <row r="224" spans="1:18" x14ac:dyDescent="0.25">
      <c r="A224" s="189">
        <f t="array" ref="A224:A232">IF(A223=$Q210,$Q211:$Q219,IF(A223=$R210,$R211:$R219,A211:A219))</f>
        <v>8.6730828652857653E-2</v>
      </c>
      <c r="B224" s="190">
        <f t="array" ref="B224:B232">IF(B223=$Q210,$Q211:$Q219,IF(B223=$R210,$R211:$R219,B211:B219))</f>
        <v>0.9070693639416435</v>
      </c>
      <c r="C224" s="190">
        <f t="array" ref="C224:C232">IF(C223=$Q210,$Q211:$Q219,IF(C223=$R210,$R211:$R219,C211:C219))</f>
        <v>-0.33275786277373492</v>
      </c>
      <c r="D224" s="191">
        <f t="array" ref="D224:D232">IF(D223=$Q210,$Q211:$Q219,IF(D223=$R210,$R211:$R219,D211:D219))</f>
        <v>0.24284797121233556</v>
      </c>
      <c r="F224" s="156">
        <f>INDEX(A224:D232,,F223)</f>
        <v>0.9070693639416435</v>
      </c>
      <c r="G224" s="158">
        <f>INDEX(A224:D232,,G223)</f>
        <v>0.24284797121233556</v>
      </c>
      <c r="I224" s="156">
        <f>F224^2-G224^2</f>
        <v>0.76379969387955038</v>
      </c>
      <c r="J224" s="157">
        <f>2*F224*G224</f>
        <v>0.44055990956418356</v>
      </c>
      <c r="K224" s="157">
        <f>I224^2-J224^2</f>
        <v>0.38929693845529323</v>
      </c>
      <c r="L224" s="158">
        <f t="shared" ref="L224:L232" si="76">I224*J224</f>
        <v>0.33649952406072581</v>
      </c>
      <c r="N224" t="s">
        <v>390</v>
      </c>
      <c r="O224" s="172">
        <f>L233*B234-2*I233*J233</f>
        <v>-0.64238766348608078</v>
      </c>
      <c r="Q224" s="156">
        <f t="array" ref="Q224:R232">MMULT(F224:G232,N228:O229)</f>
        <v>0.9043325376338035</v>
      </c>
      <c r="R224" s="158">
        <v>0.25284902511231944</v>
      </c>
    </row>
    <row r="225" spans="1:18" x14ac:dyDescent="0.25">
      <c r="A225" s="194">
        <v>0.81045678442170932</v>
      </c>
      <c r="B225" s="195">
        <v>-0.58239662753440113</v>
      </c>
      <c r="C225" s="195">
        <v>6.0177245228646772E-2</v>
      </c>
      <c r="D225" s="196">
        <v>-1.877945627728558E-2</v>
      </c>
      <c r="F225" s="123">
        <f>INDEX(A225:D233,,F223)</f>
        <v>-0.58239662753440113</v>
      </c>
      <c r="G225" s="90">
        <f>INDEX(A224:D232,,G223)</f>
        <v>-1.877945627728558E-2</v>
      </c>
      <c r="I225" s="123">
        <f t="shared" ref="I225:I232" si="77">F225^2-G225^2</f>
        <v>0.33883316378537348</v>
      </c>
      <c r="J225" s="37">
        <f t="shared" ref="J225:J232" si="78">2*F225*G225</f>
        <v>2.1874184005641721E-2</v>
      </c>
      <c r="K225" s="37">
        <f t="shared" ref="K225:K232" si="79">I225^2-J225^2</f>
        <v>0.11432943295489306</v>
      </c>
      <c r="L225" s="90">
        <f t="shared" si="76"/>
        <v>7.4116989718549979E-3</v>
      </c>
      <c r="N225" t="s">
        <v>392</v>
      </c>
      <c r="O225" s="173">
        <f>K233*B234-(I233^2-J233^2)</f>
        <v>14.534433872637644</v>
      </c>
      <c r="Q225" s="123">
        <v>-0.58215375914279144</v>
      </c>
      <c r="R225" s="90">
        <v>-2.5209134404638782E-2</v>
      </c>
    </row>
    <row r="226" spans="1:18" x14ac:dyDescent="0.25">
      <c r="A226" s="194">
        <v>0.98330783376650566</v>
      </c>
      <c r="B226" s="195">
        <v>0.1432846369289168</v>
      </c>
      <c r="C226" s="195">
        <v>9.9676037663746525E-2</v>
      </c>
      <c r="D226" s="196">
        <v>5.1379999895154127E-2</v>
      </c>
      <c r="F226" s="123">
        <f>INDEX(A226:D234,,F223)</f>
        <v>0.1432846369289168</v>
      </c>
      <c r="G226" s="90">
        <f>INDEX(A224:D232,,G223)</f>
        <v>5.1379999895154127E-2</v>
      </c>
      <c r="I226" s="123">
        <f t="shared" si="77"/>
        <v>1.789058279062547E-2</v>
      </c>
      <c r="J226" s="37">
        <f t="shared" si="78"/>
        <v>1.4723929260769885E-2</v>
      </c>
      <c r="K226" s="37">
        <f t="shared" si="79"/>
        <v>1.0327885971206865E-4</v>
      </c>
      <c r="L226" s="90">
        <f t="shared" si="76"/>
        <v>2.6341967544311651E-4</v>
      </c>
      <c r="N226" t="s">
        <v>467</v>
      </c>
      <c r="O226" s="174">
        <f>0.25*ATAN(O224/O225)</f>
        <v>-1.1042223452956426E-2</v>
      </c>
      <c r="Q226" s="123">
        <v>0.14270856370934973</v>
      </c>
      <c r="R226" s="90">
        <v>5.2959016353138703E-2</v>
      </c>
    </row>
    <row r="227" spans="1:18" x14ac:dyDescent="0.25">
      <c r="A227" s="194">
        <v>7.0702834215640151E-2</v>
      </c>
      <c r="B227" s="195">
        <v>2.8149435867014436E-2</v>
      </c>
      <c r="C227" s="195">
        <v>4.4079605456066928E-2</v>
      </c>
      <c r="D227" s="196">
        <v>0.9961253469704916</v>
      </c>
      <c r="F227" s="123">
        <f>INDEX(A227:D235,,F223)</f>
        <v>2.8149435867014436E-2</v>
      </c>
      <c r="G227" s="90">
        <f>INDEX(A224:D232,,G223)</f>
        <v>0.9961253469704916</v>
      </c>
      <c r="I227" s="123">
        <f t="shared" si="77"/>
        <v>-0.99147331613745115</v>
      </c>
      <c r="J227" s="37">
        <f t="shared" si="78"/>
        <v>5.6080733140106712E-2</v>
      </c>
      <c r="K227" s="37">
        <f t="shared" si="79"/>
        <v>0.9798742879830622</v>
      </c>
      <c r="L227" s="90">
        <f t="shared" si="76"/>
        <v>-5.5602550457841057E-2</v>
      </c>
      <c r="Q227" s="123">
        <v>1.7148504602701564E-2</v>
      </c>
      <c r="R227" s="90">
        <v>0.9963754445020232</v>
      </c>
    </row>
    <row r="228" spans="1:18" x14ac:dyDescent="0.25">
      <c r="A228" s="194">
        <v>0.37627990675965284</v>
      </c>
      <c r="B228" s="195">
        <v>-0.11214060515403103</v>
      </c>
      <c r="C228" s="195">
        <v>0.86783029766624575</v>
      </c>
      <c r="D228" s="196">
        <v>0.30448069051608284</v>
      </c>
      <c r="F228" s="123">
        <f>INDEX(A228:D236,,F223)</f>
        <v>-0.11214060515403103</v>
      </c>
      <c r="G228" s="90">
        <f>INDEX(A224:D232,,G223)</f>
        <v>0.30448069051608284</v>
      </c>
      <c r="I228" s="123">
        <f t="shared" si="77"/>
        <v>-8.0132975572838328E-2</v>
      </c>
      <c r="J228" s="37">
        <f t="shared" si="78"/>
        <v>-6.8289297784381531E-2</v>
      </c>
      <c r="K228" s="37">
        <f t="shared" si="79"/>
        <v>1.7578655822731671E-3</v>
      </c>
      <c r="L228" s="90">
        <f t="shared" si="76"/>
        <v>5.4722246312421275E-3</v>
      </c>
      <c r="N228" s="156">
        <f>COS(O226)</f>
        <v>0.99993903527006722</v>
      </c>
      <c r="O228" s="158">
        <f>-N229</f>
        <v>1.1041999056654176E-2</v>
      </c>
      <c r="Q228" s="123">
        <v>-0.11549584402977132</v>
      </c>
      <c r="R228" s="90">
        <v>0.30322387147669239</v>
      </c>
    </row>
    <row r="229" spans="1:18" x14ac:dyDescent="0.25">
      <c r="A229" s="194">
        <v>-1.725458620934818E-2</v>
      </c>
      <c r="B229" s="195">
        <v>-1.2812308598511655E-3</v>
      </c>
      <c r="C229" s="195">
        <v>0.99960934249896571</v>
      </c>
      <c r="D229" s="196">
        <v>-2.1949945125525606E-2</v>
      </c>
      <c r="F229" s="123">
        <f>INDEX(A229:D237,,F223)</f>
        <v>-1.2812308598511655E-3</v>
      </c>
      <c r="G229" s="90">
        <f>INDEX(A224:D232,,G223)</f>
        <v>-2.1949945125525606E-2</v>
      </c>
      <c r="I229" s="123">
        <f t="shared" si="77"/>
        <v>-4.8015853849735034E-4</v>
      </c>
      <c r="J229" s="37">
        <f t="shared" si="78"/>
        <v>5.624589413372614E-5</v>
      </c>
      <c r="K229" s="37">
        <f t="shared" si="79"/>
        <v>2.2738862148500913E-7</v>
      </c>
      <c r="L229" s="90">
        <f t="shared" si="76"/>
        <v>-2.7006946323726633E-8</v>
      </c>
      <c r="N229" s="91">
        <f>SIN(O226)</f>
        <v>-1.1041999056654176E-2</v>
      </c>
      <c r="O229" s="93">
        <f>N228</f>
        <v>0.99993903527006722</v>
      </c>
      <c r="Q229" s="123">
        <v>-1.0387814765881484E-3</v>
      </c>
      <c r="R229" s="90">
        <v>-2.1962754302994821E-2</v>
      </c>
    </row>
    <row r="230" spans="1:18" x14ac:dyDescent="0.25">
      <c r="A230" s="194">
        <v>0.96875234050355341</v>
      </c>
      <c r="B230" s="195">
        <v>6.2443558333223166E-3</v>
      </c>
      <c r="C230" s="195">
        <v>0.14530632004834021</v>
      </c>
      <c r="D230" s="196">
        <v>0.2009128769967814</v>
      </c>
      <c r="F230" s="123">
        <f>INDEX(A230:D238,,F223)</f>
        <v>6.2443558333223166E-3</v>
      </c>
      <c r="G230" s="90">
        <f>INDEX(A224:D232,,G223)</f>
        <v>0.2009128769967814</v>
      </c>
      <c r="I230" s="123">
        <f t="shared" si="77"/>
        <v>-4.0326992163350665E-2</v>
      </c>
      <c r="J230" s="37">
        <f t="shared" si="78"/>
        <v>2.5091429909288418E-3</v>
      </c>
      <c r="K230" s="37">
        <f t="shared" si="79"/>
        <v>1.6199704983940186E-3</v>
      </c>
      <c r="L230" s="90">
        <f t="shared" si="76"/>
        <v>-1.0118618973191366E-4</v>
      </c>
      <c r="Q230" s="123">
        <v>4.0254953495871965E-3</v>
      </c>
      <c r="R230" s="90">
        <v>0.20096957856871625</v>
      </c>
    </row>
    <row r="231" spans="1:18" x14ac:dyDescent="0.25">
      <c r="A231" s="194">
        <v>0.69818620695943368</v>
      </c>
      <c r="B231" s="195">
        <v>-0.201751619906612</v>
      </c>
      <c r="C231" s="195">
        <v>0.5386524941836176</v>
      </c>
      <c r="D231" s="196">
        <v>0.42624616688766265</v>
      </c>
      <c r="F231" s="123">
        <f>INDEX(A231:D239,,F223)</f>
        <v>-0.201751619906612</v>
      </c>
      <c r="G231" s="90">
        <f>INDEX(A224:D232,,G223)</f>
        <v>0.42624616688766265</v>
      </c>
      <c r="I231" s="123">
        <f t="shared" si="77"/>
        <v>-0.14098207865148313</v>
      </c>
      <c r="J231" s="37">
        <f t="shared" si="78"/>
        <v>-0.17199170929714003</v>
      </c>
      <c r="K231" s="37">
        <f t="shared" si="79"/>
        <v>-9.7052015660589498E-3</v>
      </c>
      <c r="L231" s="90">
        <f t="shared" si="76"/>
        <v>2.4247748687532416E-2</v>
      </c>
      <c r="Q231" s="123">
        <v>-0.20644592994626693</v>
      </c>
      <c r="R231" s="90">
        <v>0.42399243970852618</v>
      </c>
    </row>
    <row r="232" spans="1:18" x14ac:dyDescent="0.25">
      <c r="A232" s="200">
        <v>9.8377384191733613E-2</v>
      </c>
      <c r="B232" s="201">
        <v>-0.90977355745352873</v>
      </c>
      <c r="C232" s="201">
        <v>-0.23631429685829083</v>
      </c>
      <c r="D232" s="202">
        <v>0.32678665446788796</v>
      </c>
      <c r="F232" s="91">
        <f>INDEX(A232:D240,,F223)</f>
        <v>-0.90977355745352873</v>
      </c>
      <c r="G232" s="93">
        <f>INDEX(A224:D232,,G223)</f>
        <v>0.32678665446788796</v>
      </c>
      <c r="I232" s="91">
        <f t="shared" si="77"/>
        <v>0.7208984083033344</v>
      </c>
      <c r="J232" s="92">
        <f t="shared" si="78"/>
        <v>-0.59460371432717496</v>
      </c>
      <c r="K232" s="92">
        <f t="shared" si="79"/>
        <v>0.16614093800260832</v>
      </c>
      <c r="L232" s="93">
        <f t="shared" si="76"/>
        <v>-0.42864887122971096</v>
      </c>
      <c r="Q232" s="91">
        <v>-0.91332647128466016</v>
      </c>
      <c r="R232" s="93">
        <v>0.31672101324458191</v>
      </c>
    </row>
    <row r="233" spans="1:18" x14ac:dyDescent="0.25">
      <c r="I233">
        <f>SUM(I224:I232)</f>
        <v>0.58802632769526308</v>
      </c>
      <c r="J233">
        <f>SUM(J224:J232)</f>
        <v>-0.29908057655293202</v>
      </c>
      <c r="K233">
        <f>SUM(K224:K232)</f>
        <v>1.6434177381587984</v>
      </c>
      <c r="L233">
        <f>SUM(L224:L232)</f>
        <v>-0.11045801885743178</v>
      </c>
    </row>
    <row r="234" spans="1:18" x14ac:dyDescent="0.25">
      <c r="A234" s="47" t="s">
        <v>53</v>
      </c>
      <c r="B234">
        <f>COUNT(A224:A232)</f>
        <v>9</v>
      </c>
      <c r="I234" s="47" t="s">
        <v>462</v>
      </c>
      <c r="J234" s="47" t="s">
        <v>389</v>
      </c>
      <c r="K234" s="47" t="s">
        <v>469</v>
      </c>
      <c r="L234" s="47" t="s">
        <v>470</v>
      </c>
      <c r="N234" s="47"/>
    </row>
    <row r="236" spans="1:18" x14ac:dyDescent="0.25">
      <c r="A236">
        <v>1</v>
      </c>
      <c r="B236">
        <v>2</v>
      </c>
      <c r="C236">
        <v>3</v>
      </c>
      <c r="D236">
        <v>4</v>
      </c>
      <c r="F236">
        <v>3</v>
      </c>
      <c r="G236">
        <v>4</v>
      </c>
      <c r="I236" s="47" t="s">
        <v>207</v>
      </c>
      <c r="J236" s="47" t="s">
        <v>464</v>
      </c>
      <c r="K236" s="47" t="s">
        <v>465</v>
      </c>
      <c r="L236" s="47" t="s">
        <v>466</v>
      </c>
      <c r="Q236">
        <f>F236</f>
        <v>3</v>
      </c>
      <c r="R236">
        <f>G236</f>
        <v>4</v>
      </c>
    </row>
    <row r="237" spans="1:18" x14ac:dyDescent="0.25">
      <c r="A237" s="189">
        <f t="array" ref="A237:A245">IF(A236=$Q223,$Q224:$Q232,IF(A236=$R223,$R224:$R232,A224:A232))</f>
        <v>8.6730828652857653E-2</v>
      </c>
      <c r="B237" s="190">
        <f t="array" ref="B237:B245">IF(B236=$Q223,$Q224:$Q232,IF(B236=$R223,$R224:$R232,B224:B232))</f>
        <v>0.9043325376338035</v>
      </c>
      <c r="C237" s="190">
        <f t="array" ref="C237:C245">IF(C236=$Q223,$Q224:$Q232,IF(C236=$R223,$R224:$R232,C224:C232))</f>
        <v>-0.33275786277373492</v>
      </c>
      <c r="D237" s="191">
        <f t="array" ref="D237:D245">IF(D236=$Q223,$Q224:$Q232,IF(D236=$R223,$R224:$R232,D224:D232))</f>
        <v>0.25284902511231944</v>
      </c>
      <c r="F237" s="156">
        <f>INDEX(A237:D245,,F236)</f>
        <v>-0.33275786277373492</v>
      </c>
      <c r="G237" s="158">
        <f>INDEX(A237:D245,,G236)</f>
        <v>0.25284902511231944</v>
      </c>
      <c r="I237" s="156">
        <f>F237^2-G237^2</f>
        <v>4.6795165737493455E-2</v>
      </c>
      <c r="J237" s="157">
        <f>2*F237*G237</f>
        <v>-0.16827500240159568</v>
      </c>
      <c r="K237" s="157">
        <f>I237^2-J237^2</f>
        <v>-2.6126688896857549E-2</v>
      </c>
      <c r="L237" s="158">
        <f t="shared" ref="L237:L245" si="80">I237*J237</f>
        <v>-7.8744566268597795E-3</v>
      </c>
      <c r="N237" t="s">
        <v>390</v>
      </c>
      <c r="O237" s="172">
        <f>L246*B247-2*I246*J246</f>
        <v>1.1895403156421711</v>
      </c>
      <c r="Q237" s="156">
        <f t="array" ref="Q237:R245">MMULT(F237:G245,N241:O242)</f>
        <v>-0.32827975898096573</v>
      </c>
      <c r="R237" s="158">
        <v>0.25863647187006172</v>
      </c>
    </row>
    <row r="238" spans="1:18" x14ac:dyDescent="0.25">
      <c r="A238" s="194">
        <v>0.81045678442170932</v>
      </c>
      <c r="B238" s="195">
        <v>-0.58215375914279144</v>
      </c>
      <c r="C238" s="195">
        <v>6.0177245228646772E-2</v>
      </c>
      <c r="D238" s="196">
        <v>-2.5209134404638782E-2</v>
      </c>
      <c r="F238" s="123">
        <f>INDEX(A238:D246,,F236)</f>
        <v>6.0177245228646772E-2</v>
      </c>
      <c r="G238" s="90">
        <f>INDEX(A237:D245,,G236)</f>
        <v>-2.5209134404638782E-2</v>
      </c>
      <c r="I238" s="123">
        <f t="shared" ref="I238:I245" si="81">F238^2-G238^2</f>
        <v>2.9858003858775481E-3</v>
      </c>
      <c r="J238" s="37">
        <f t="shared" ref="J238:J245" si="82">2*F238*G238</f>
        <v>-3.0340325261397284E-3</v>
      </c>
      <c r="K238" s="37">
        <f t="shared" ref="K238:K245" si="83">I238^2-J238^2</f>
        <v>-2.9034942536730698E-7</v>
      </c>
      <c r="L238" s="90">
        <f t="shared" si="80"/>
        <v>-9.0590154873130337E-6</v>
      </c>
      <c r="N238" t="s">
        <v>392</v>
      </c>
      <c r="O238" s="173">
        <f>K246*B247-(I246^2-J246^2)</f>
        <v>16.956198488958162</v>
      </c>
      <c r="Q238" s="123">
        <v>5.9726637693719109E-2</v>
      </c>
      <c r="R238" s="90">
        <v>-2.6258904214438297E-2</v>
      </c>
    </row>
    <row r="239" spans="1:18" x14ac:dyDescent="0.25">
      <c r="A239" s="194">
        <v>0.98330783376650566</v>
      </c>
      <c r="B239" s="195">
        <v>0.14270856370934973</v>
      </c>
      <c r="C239" s="195">
        <v>9.9676037663746525E-2</v>
      </c>
      <c r="D239" s="196">
        <v>5.2959016353138703E-2</v>
      </c>
      <c r="F239" s="123">
        <f>INDEX(A239:D247,,F236)</f>
        <v>9.9676037663746525E-2</v>
      </c>
      <c r="G239" s="90">
        <f>INDEX(A237:D245,,G236)</f>
        <v>5.2959016353138703E-2</v>
      </c>
      <c r="I239" s="123">
        <f t="shared" si="81"/>
        <v>7.1306550712526041E-3</v>
      </c>
      <c r="J239" s="37">
        <f t="shared" si="82"/>
        <v>1.0557489817300843E-2</v>
      </c>
      <c r="K239" s="37">
        <f t="shared" si="83"/>
        <v>-6.0614349497230513E-5</v>
      </c>
      <c r="L239" s="90">
        <f t="shared" si="80"/>
        <v>7.5281818305433979E-5</v>
      </c>
      <c r="N239" t="s">
        <v>467</v>
      </c>
      <c r="O239" s="174">
        <f>0.25*ATAN(O237/O238)</f>
        <v>1.7509741356868624E-2</v>
      </c>
      <c r="Q239" s="123">
        <v>0.10058800945999419</v>
      </c>
      <c r="R239" s="90">
        <v>5.1205685722512766E-2</v>
      </c>
    </row>
    <row r="240" spans="1:18" x14ac:dyDescent="0.25">
      <c r="A240" s="194">
        <v>7.0702834215640151E-2</v>
      </c>
      <c r="B240" s="195">
        <v>1.7148504602701564E-2</v>
      </c>
      <c r="C240" s="195">
        <v>4.4079605456066928E-2</v>
      </c>
      <c r="D240" s="196">
        <v>0.9963754445020232</v>
      </c>
      <c r="F240" s="123">
        <f>INDEX(A240:D248,,F236)</f>
        <v>4.4079605456066928E-2</v>
      </c>
      <c r="G240" s="90">
        <f>INDEX(A237:D245,,G236)</f>
        <v>0.9963754445020232</v>
      </c>
      <c r="I240" s="123">
        <f t="shared" si="81"/>
        <v>-0.99082101478944185</v>
      </c>
      <c r="J240" s="37">
        <f t="shared" si="82"/>
        <v>8.7839672959524981E-2</v>
      </c>
      <c r="K240" s="37">
        <f t="shared" si="83"/>
        <v>0.97401047520274298</v>
      </c>
      <c r="L240" s="90">
        <f t="shared" si="80"/>
        <v>-8.7033393900529235E-2</v>
      </c>
      <c r="Q240" s="123">
        <v>6.1518233285171531E-2</v>
      </c>
      <c r="R240" s="90">
        <v>0.99545092545902947</v>
      </c>
    </row>
    <row r="241" spans="1:18" x14ac:dyDescent="0.25">
      <c r="A241" s="194">
        <v>0.37627990675965284</v>
      </c>
      <c r="B241" s="195">
        <v>-0.11549584402977132</v>
      </c>
      <c r="C241" s="195">
        <v>0.86783029766624575</v>
      </c>
      <c r="D241" s="196">
        <v>0.30322387147669239</v>
      </c>
      <c r="F241" s="123">
        <f>INDEX(A241:D249,,F236)</f>
        <v>0.86783029766624575</v>
      </c>
      <c r="G241" s="90">
        <f>INDEX(A237:D245,,G236)</f>
        <v>0.30322387147669239</v>
      </c>
      <c r="I241" s="123">
        <f t="shared" si="81"/>
        <v>0.66118470931417106</v>
      </c>
      <c r="J241" s="37">
        <f t="shared" si="82"/>
        <v>0.52629372528625884</v>
      </c>
      <c r="K241" s="37">
        <f t="shared" si="83"/>
        <v>0.16018013455517677</v>
      </c>
      <c r="L241" s="90">
        <f t="shared" si="80"/>
        <v>0.34797736376726723</v>
      </c>
      <c r="N241" s="156">
        <f>COS(O239)</f>
        <v>0.99984670839535394</v>
      </c>
      <c r="O241" s="158">
        <f>-N242</f>
        <v>-1.7508846648941791E-2</v>
      </c>
      <c r="Q241" s="123">
        <v>0.87300636683333988</v>
      </c>
      <c r="R241" s="90">
        <v>0.28798268220372292</v>
      </c>
    </row>
    <row r="242" spans="1:18" x14ac:dyDescent="0.25">
      <c r="A242" s="194">
        <v>-1.725458620934818E-2</v>
      </c>
      <c r="B242" s="195">
        <v>-1.0387814765881484E-3</v>
      </c>
      <c r="C242" s="195">
        <v>0.99960934249896571</v>
      </c>
      <c r="D242" s="196">
        <v>-2.1962754302994821E-2</v>
      </c>
      <c r="F242" s="123">
        <f>INDEX(A242:D250,,F236)</f>
        <v>0.99960934249896571</v>
      </c>
      <c r="G242" s="90">
        <f>INDEX(A237:D245,,G236)</f>
        <v>-2.1962754302994821E-2</v>
      </c>
      <c r="I242" s="123">
        <f t="shared" si="81"/>
        <v>0.9987364750346408</v>
      </c>
      <c r="J242" s="37">
        <f t="shared" si="82"/>
        <v>-4.3908348776565964E-2</v>
      </c>
      <c r="K242" s="37">
        <f t="shared" si="83"/>
        <v>0.99554660347233503</v>
      </c>
      <c r="L242" s="90">
        <f t="shared" si="80"/>
        <v>-4.3852869481699072E-2</v>
      </c>
      <c r="N242" s="91">
        <f>SIN(O239)</f>
        <v>1.7508846648941791E-2</v>
      </c>
      <c r="O242" s="93">
        <f>N241</f>
        <v>0.99984670839535394</v>
      </c>
      <c r="Q242" s="123">
        <v>0.99907156828175536</v>
      </c>
      <c r="R242" s="90">
        <v>-3.9461394283809195E-2</v>
      </c>
    </row>
    <row r="243" spans="1:18" x14ac:dyDescent="0.25">
      <c r="A243" s="194">
        <v>0.96875234050355341</v>
      </c>
      <c r="B243" s="195">
        <v>4.0254953495871965E-3</v>
      </c>
      <c r="C243" s="195">
        <v>0.14530632004834021</v>
      </c>
      <c r="D243" s="196">
        <v>0.20096957856871625</v>
      </c>
      <c r="F243" s="123">
        <f>INDEX(A243:D251,,F236)</f>
        <v>0.14530632004834021</v>
      </c>
      <c r="G243" s="90">
        <f>INDEX(A237:D245,,G236)</f>
        <v>0.20096957856871625</v>
      </c>
      <c r="I243" s="123">
        <f t="shared" si="81"/>
        <v>-1.9274844864096738E-2</v>
      </c>
      <c r="J243" s="37">
        <f t="shared" si="82"/>
        <v>5.8404299806971871E-2</v>
      </c>
      <c r="K243" s="37">
        <f t="shared" si="83"/>
        <v>-3.0395425914076582E-3</v>
      </c>
      <c r="L243" s="90">
        <f t="shared" si="80"/>
        <v>-1.1257338181755779E-3</v>
      </c>
      <c r="Q243" s="123">
        <v>0.1488027913416369</v>
      </c>
      <c r="R243" s="90">
        <v>0.19839462554468396</v>
      </c>
    </row>
    <row r="244" spans="1:18" x14ac:dyDescent="0.25">
      <c r="A244" s="194">
        <v>0.69818620695943368</v>
      </c>
      <c r="B244" s="195">
        <v>-0.20644592994626693</v>
      </c>
      <c r="C244" s="195">
        <v>0.5386524941836176</v>
      </c>
      <c r="D244" s="196">
        <v>0.42399243970852618</v>
      </c>
      <c r="F244" s="123">
        <f>INDEX(A244:D252,,F236)</f>
        <v>0.5386524941836176</v>
      </c>
      <c r="G244" s="90">
        <f>INDEX(A237:D245,,G236)</f>
        <v>0.42399243970852618</v>
      </c>
      <c r="I244" s="123">
        <f t="shared" si="81"/>
        <v>0.11037692056024398</v>
      </c>
      <c r="J244" s="37">
        <f t="shared" si="82"/>
        <v>0.45676917032798947</v>
      </c>
      <c r="K244" s="37">
        <f t="shared" si="83"/>
        <v>-0.19645501036975746</v>
      </c>
      <c r="L244" s="90">
        <f t="shared" si="80"/>
        <v>5.0416774427661043E-2</v>
      </c>
      <c r="Q244" s="123">
        <v>0.54599354188560489</v>
      </c>
      <c r="R244" s="90">
        <v>0.41449626130935452</v>
      </c>
    </row>
    <row r="245" spans="1:18" x14ac:dyDescent="0.25">
      <c r="A245" s="200">
        <v>9.8377384191733613E-2</v>
      </c>
      <c r="B245" s="201">
        <v>-0.91332647128466016</v>
      </c>
      <c r="C245" s="201">
        <v>-0.23631429685829083</v>
      </c>
      <c r="D245" s="202">
        <v>0.31672101324458191</v>
      </c>
      <c r="F245" s="91">
        <f>INDEX(A245:D253,,F236)</f>
        <v>-0.23631429685829083</v>
      </c>
      <c r="G245" s="93">
        <f>INDEX(A237:D245,,G236)</f>
        <v>0.31672101324458191</v>
      </c>
      <c r="I245" s="91">
        <f t="shared" si="81"/>
        <v>-4.4467753331046217E-2</v>
      </c>
      <c r="J245" s="92">
        <f t="shared" si="82"/>
        <v>-0.14969140709027759</v>
      </c>
      <c r="K245" s="92">
        <f t="shared" si="83"/>
        <v>-2.0430136270356437E-2</v>
      </c>
      <c r="L245" s="93">
        <f t="shared" si="80"/>
        <v>6.6564405662676868E-3</v>
      </c>
      <c r="Q245" s="91">
        <v>-0.23073265220912778</v>
      </c>
      <c r="R245" s="93">
        <v>0.32081005335688084</v>
      </c>
    </row>
    <row r="246" spans="1:18" x14ac:dyDescent="0.25">
      <c r="I246">
        <f>SUM(I237:I245)</f>
        <v>0.77264611311909459</v>
      </c>
      <c r="J246">
        <f>SUM(J237:J245)</f>
        <v>0.77495556740346705</v>
      </c>
      <c r="K246">
        <f>SUM(K237:K245)</f>
        <v>1.8836249304029529</v>
      </c>
      <c r="L246">
        <f>SUM(L237:L245)</f>
        <v>0.26523034773675042</v>
      </c>
    </row>
    <row r="247" spans="1:18" x14ac:dyDescent="0.25">
      <c r="A247" s="47" t="s">
        <v>53</v>
      </c>
      <c r="B247">
        <f>COUNT(A237:A245)</f>
        <v>9</v>
      </c>
      <c r="I247" s="47" t="s">
        <v>462</v>
      </c>
      <c r="J247" s="47" t="s">
        <v>389</v>
      </c>
      <c r="K247" s="47" t="s">
        <v>469</v>
      </c>
      <c r="L247" s="47" t="s">
        <v>470</v>
      </c>
      <c r="N247" s="47"/>
    </row>
    <row r="249" spans="1:18" x14ac:dyDescent="0.25">
      <c r="A249">
        <v>1</v>
      </c>
      <c r="B249">
        <v>2</v>
      </c>
      <c r="C249">
        <v>3</v>
      </c>
      <c r="D249">
        <v>4</v>
      </c>
      <c r="F249">
        <v>1</v>
      </c>
      <c r="G249">
        <v>2</v>
      </c>
      <c r="I249" s="47" t="s">
        <v>207</v>
      </c>
      <c r="J249" s="47" t="s">
        <v>464</v>
      </c>
      <c r="K249" s="47" t="s">
        <v>465</v>
      </c>
      <c r="L249" s="47" t="s">
        <v>466</v>
      </c>
      <c r="Q249">
        <f>F249</f>
        <v>1</v>
      </c>
      <c r="R249">
        <f>G249</f>
        <v>2</v>
      </c>
    </row>
    <row r="250" spans="1:18" x14ac:dyDescent="0.25">
      <c r="A250" s="189">
        <f t="array" ref="A250:A258">IF(A249=$Q236,$Q237:$Q245,IF(A249=$R236,$R237:$R245,A237:A245))</f>
        <v>8.6730828652857653E-2</v>
      </c>
      <c r="B250" s="190">
        <f t="array" ref="B250:B258">IF(B249=$Q236,$Q237:$Q245,IF(B249=$R236,$R237:$R245,B237:B245))</f>
        <v>0.9043325376338035</v>
      </c>
      <c r="C250" s="190">
        <f t="array" ref="C250:C258">IF(C249=$Q236,$Q237:$Q245,IF(C249=$R236,$R237:$R245,C237:C245))</f>
        <v>-0.32827975898096573</v>
      </c>
      <c r="D250" s="191">
        <f t="array" ref="D250:D258">IF(D249=$Q236,$Q237:$Q245,IF(D249=$R236,$R237:$R245,D237:D245))</f>
        <v>0.25863647187006172</v>
      </c>
      <c r="F250" s="156">
        <f>INDEX(A250:D258,,F249)</f>
        <v>8.6730828652857653E-2</v>
      </c>
      <c r="G250" s="158">
        <f>INDEX(A250:D258,,G249)</f>
        <v>0.9043325376338035</v>
      </c>
      <c r="I250" s="156">
        <f>F250^2-G250^2</f>
        <v>-0.81029510198438326</v>
      </c>
      <c r="J250" s="157">
        <f>2*F250*G250</f>
        <v>0.15686702073344272</v>
      </c>
      <c r="K250" s="157">
        <f>I250^2-J250^2</f>
        <v>0.63197089010609564</v>
      </c>
      <c r="L250" s="158">
        <f t="shared" ref="L250:L258" si="84">I250*J250</f>
        <v>-0.12710857856319133</v>
      </c>
      <c r="N250" t="s">
        <v>390</v>
      </c>
      <c r="O250" s="172">
        <f>L259*B260-2*I259*J259</f>
        <v>1.1004889111409926</v>
      </c>
      <c r="Q250" s="156">
        <f t="array" ref="Q250:R258">MMULT(F250:G258,N254:O255)</f>
        <v>9.8792112934274312E-2</v>
      </c>
      <c r="R250" s="158">
        <v>0.90309450982939077</v>
      </c>
    </row>
    <row r="251" spans="1:18" x14ac:dyDescent="0.25">
      <c r="A251" s="194">
        <v>0.81045678442170932</v>
      </c>
      <c r="B251" s="195">
        <v>-0.58215375914279144</v>
      </c>
      <c r="C251" s="195">
        <v>5.9726637693719109E-2</v>
      </c>
      <c r="D251" s="196">
        <v>-2.6258904214438297E-2</v>
      </c>
      <c r="F251" s="123">
        <f>INDEX(A251:D259,,F249)</f>
        <v>0.81045678442170932</v>
      </c>
      <c r="G251" s="90">
        <f>INDEX(A250:D258,,G249)</f>
        <v>-0.58215375914279144</v>
      </c>
      <c r="I251" s="123">
        <f t="shared" ref="I251:I258" si="85">F251^2-G251^2</f>
        <v>0.31793720013109378</v>
      </c>
      <c r="J251" s="37">
        <f t="shared" ref="J251:J258" si="86">2*F251*G251</f>
        <v>-0.94362092734775405</v>
      </c>
      <c r="K251" s="37">
        <f t="shared" ref="K251:K258" si="87">I251^2-J251^2</f>
        <v>-0.78933639130143607</v>
      </c>
      <c r="L251" s="90">
        <f t="shared" si="84"/>
        <v>-0.30001219562605119</v>
      </c>
      <c r="N251" t="s">
        <v>392</v>
      </c>
      <c r="O251" s="173">
        <f>K259*B260-(I259^2-J259^2)</f>
        <v>20.59474935520338</v>
      </c>
      <c r="Q251" s="123">
        <v>0.80261531967221833</v>
      </c>
      <c r="R251" s="90">
        <v>-0.59291807809066088</v>
      </c>
    </row>
    <row r="252" spans="1:18" x14ac:dyDescent="0.25">
      <c r="A252" s="194">
        <v>0.98330783376650566</v>
      </c>
      <c r="B252" s="195">
        <v>0.14270856370934973</v>
      </c>
      <c r="C252" s="195">
        <v>0.10058800945999419</v>
      </c>
      <c r="D252" s="196">
        <v>5.1205685722512766E-2</v>
      </c>
      <c r="F252" s="123">
        <f>INDEX(A252:D260,,F249)</f>
        <v>0.98330783376650566</v>
      </c>
      <c r="G252" s="90">
        <f>INDEX(A250:D258,,G249)</f>
        <v>0.14270856370934973</v>
      </c>
      <c r="I252" s="123">
        <f t="shared" si="85"/>
        <v>0.94652856179059242</v>
      </c>
      <c r="J252" s="37">
        <f t="shared" si="86"/>
        <v>0.28065289728194009</v>
      </c>
      <c r="K252" s="37">
        <f t="shared" si="87"/>
        <v>0.81715026953262015</v>
      </c>
      <c r="L252" s="90">
        <f t="shared" si="84"/>
        <v>0.26564598322663763</v>
      </c>
      <c r="N252" t="s">
        <v>467</v>
      </c>
      <c r="O252" s="174">
        <f>0.25*ATAN(O250/O251)</f>
        <v>1.3346159966085161E-2</v>
      </c>
      <c r="Q252" s="123">
        <v>0.98512481645640715</v>
      </c>
      <c r="R252" s="90">
        <v>0.1295728602149909</v>
      </c>
    </row>
    <row r="253" spans="1:18" x14ac:dyDescent="0.25">
      <c r="A253" s="194">
        <v>7.0702834215640151E-2</v>
      </c>
      <c r="B253" s="195">
        <v>1.7148504602701564E-2</v>
      </c>
      <c r="C253" s="195">
        <v>6.1518233285171531E-2</v>
      </c>
      <c r="D253" s="196">
        <v>0.99545092545902947</v>
      </c>
      <c r="F253" s="123">
        <f>INDEX(A253:D261,,F249)</f>
        <v>7.0702834215640151E-2</v>
      </c>
      <c r="G253" s="90">
        <f>INDEX(A250:D258,,G249)</f>
        <v>1.7148504602701564E-2</v>
      </c>
      <c r="I253" s="123">
        <f t="shared" si="85"/>
        <v>4.7048195560154193E-3</v>
      </c>
      <c r="J253" s="37">
        <f t="shared" si="86"/>
        <v>2.4248957559419014E-3</v>
      </c>
      <c r="K253" s="37">
        <f t="shared" si="87"/>
        <v>1.6255207627480082E-5</v>
      </c>
      <c r="L253" s="90">
        <f t="shared" si="84"/>
        <v>1.1408696973854251E-5</v>
      </c>
      <c r="Q253" s="123">
        <v>7.0925397406569168E-2</v>
      </c>
      <c r="R253" s="90">
        <v>1.6203394056598278E-2</v>
      </c>
    </row>
    <row r="254" spans="1:18" x14ac:dyDescent="0.25">
      <c r="A254" s="194">
        <v>0.37627990675965284</v>
      </c>
      <c r="B254" s="195">
        <v>-0.11549584402977132</v>
      </c>
      <c r="C254" s="195">
        <v>0.87300636683333988</v>
      </c>
      <c r="D254" s="196">
        <v>0.28798268220372292</v>
      </c>
      <c r="F254" s="123">
        <f>INDEX(A254:D262,,F249)</f>
        <v>0.37627990675965284</v>
      </c>
      <c r="G254" s="90">
        <f>INDEX(A250:D258,,G249)</f>
        <v>-0.11549584402977132</v>
      </c>
      <c r="I254" s="123">
        <f t="shared" si="85"/>
        <v>0.12824727824290377</v>
      </c>
      <c r="J254" s="37">
        <f t="shared" si="86"/>
        <v>-8.6917530845299518E-2</v>
      </c>
      <c r="K254" s="37">
        <f t="shared" si="87"/>
        <v>8.8927072084691861E-3</v>
      </c>
      <c r="L254" s="90">
        <f t="shared" si="84"/>
        <v>-1.1146936762503298E-2</v>
      </c>
      <c r="N254" s="156">
        <f>COS(O252)</f>
        <v>0.99991094132901903</v>
      </c>
      <c r="O254" s="158">
        <f>-N255</f>
        <v>-1.3345763766643032E-2</v>
      </c>
      <c r="Q254" s="123">
        <v>0.37470501552078961</v>
      </c>
      <c r="R254" s="90">
        <v>-0.120507300869147</v>
      </c>
    </row>
    <row r="255" spans="1:18" x14ac:dyDescent="0.25">
      <c r="A255" s="194">
        <v>-1.725458620934818E-2</v>
      </c>
      <c r="B255" s="195">
        <v>-1.0387814765881484E-3</v>
      </c>
      <c r="C255" s="195">
        <v>0.99907156828175536</v>
      </c>
      <c r="D255" s="196">
        <v>-3.9461394283809195E-2</v>
      </c>
      <c r="F255" s="123">
        <f>INDEX(A255:D263,,F249)</f>
        <v>-1.725458620934818E-2</v>
      </c>
      <c r="G255" s="90">
        <f>INDEX(A250:D258,,G249)</f>
        <v>-1.0387814765881484E-3</v>
      </c>
      <c r="I255" s="123">
        <f t="shared" si="85"/>
        <v>2.9664167829972579E-4</v>
      </c>
      <c r="J255" s="37">
        <f t="shared" si="86"/>
        <v>3.584748908092841E-5</v>
      </c>
      <c r="K255" s="37">
        <f t="shared" si="87"/>
        <v>8.6711242831070723E-8</v>
      </c>
      <c r="L255" s="90">
        <f t="shared" si="84"/>
        <v>1.0633859323797698E-8</v>
      </c>
      <c r="N255" s="91">
        <f>SIN(O252)</f>
        <v>1.3345763766643032E-2</v>
      </c>
      <c r="O255" s="93">
        <f>N254</f>
        <v>0.99991094132901903</v>
      </c>
      <c r="Q255" s="123">
        <v>-1.7266912871023759E-2</v>
      </c>
      <c r="R255" s="90">
        <v>-8.0841333264926622E-4</v>
      </c>
    </row>
    <row r="256" spans="1:18" x14ac:dyDescent="0.25">
      <c r="A256" s="194">
        <v>0.96875234050355341</v>
      </c>
      <c r="B256" s="195">
        <v>4.0254953495871965E-3</v>
      </c>
      <c r="C256" s="195">
        <v>0.1488027913416369</v>
      </c>
      <c r="D256" s="196">
        <v>0.19839462554468396</v>
      </c>
      <c r="F256" s="123">
        <f>INDEX(A256:D264,,F249)</f>
        <v>0.96875234050355341</v>
      </c>
      <c r="G256" s="90">
        <f>INDEX(A250:D258,,G249)</f>
        <v>4.0254953495871965E-3</v>
      </c>
      <c r="I256" s="123">
        <f t="shared" si="85"/>
        <v>0.93846489261830313</v>
      </c>
      <c r="J256" s="37">
        <f t="shared" si="86"/>
        <v>7.7994160831975331E-3</v>
      </c>
      <c r="K256" s="37">
        <f t="shared" si="87"/>
        <v>0.88065552378584433</v>
      </c>
      <c r="L256" s="90">
        <f t="shared" si="84"/>
        <v>7.3194781770034396E-3</v>
      </c>
      <c r="Q256" s="123">
        <v>0.96871978801757774</v>
      </c>
      <c r="R256" s="90">
        <v>-8.9036030404216343E-3</v>
      </c>
    </row>
    <row r="257" spans="1:18" x14ac:dyDescent="0.25">
      <c r="A257" s="194">
        <v>0.69818620695943368</v>
      </c>
      <c r="B257" s="195">
        <v>-0.20644592994626693</v>
      </c>
      <c r="C257" s="195">
        <v>0.54599354188560489</v>
      </c>
      <c r="D257" s="196">
        <v>0.41449626130935452</v>
      </c>
      <c r="F257" s="123">
        <f>INDEX(A257:D265,,F249)</f>
        <v>0.69818620695943368</v>
      </c>
      <c r="G257" s="90">
        <f>INDEX(A250:D258,,G249)</f>
        <v>-0.20644592994626693</v>
      </c>
      <c r="I257" s="123">
        <f t="shared" si="85"/>
        <v>0.44484405759702222</v>
      </c>
      <c r="J257" s="37">
        <f t="shared" si="86"/>
        <v>-0.28827540154279413</v>
      </c>
      <c r="K257" s="37">
        <f t="shared" si="87"/>
        <v>0.11478352844472361</v>
      </c>
      <c r="L257" s="90">
        <f t="shared" si="84"/>
        <v>-0.12823759932770742</v>
      </c>
      <c r="Q257" s="123">
        <v>0.69536884881209671</v>
      </c>
      <c r="R257" s="90">
        <v>-0.21574537232932561</v>
      </c>
    </row>
    <row r="258" spans="1:18" x14ac:dyDescent="0.25">
      <c r="A258" s="200">
        <v>9.8377384191733613E-2</v>
      </c>
      <c r="B258" s="201">
        <v>-0.91332647128466016</v>
      </c>
      <c r="C258" s="201">
        <v>-0.23073265220912778</v>
      </c>
      <c r="D258" s="202">
        <v>0.32081005335688084</v>
      </c>
      <c r="F258" s="91">
        <f>INDEX(A258:D266,,F249)</f>
        <v>9.8377384191733613E-2</v>
      </c>
      <c r="G258" s="93">
        <f>INDEX(A250:D258,,G249)</f>
        <v>-0.91332647128466016</v>
      </c>
      <c r="I258" s="91">
        <f t="shared" si="85"/>
        <v>-0.82448713342888125</v>
      </c>
      <c r="J258" s="92">
        <f t="shared" si="86"/>
        <v>-0.17970133831610274</v>
      </c>
      <c r="K258" s="92">
        <f t="shared" si="87"/>
        <v>0.64748646219717543</v>
      </c>
      <c r="L258" s="93">
        <f t="shared" si="84"/>
        <v>0.14816144130157713</v>
      </c>
      <c r="Q258" s="91">
        <v>8.6179583505056168E-2</v>
      </c>
      <c r="R258" s="93">
        <v>-0.91455805297235904</v>
      </c>
    </row>
    <row r="259" spans="1:18" x14ac:dyDescent="0.25">
      <c r="I259">
        <f>SUM(I250:I258)</f>
        <v>1.1462412162009661</v>
      </c>
      <c r="J259">
        <f>SUM(J250:J258)</f>
        <v>-1.0507351207083473</v>
      </c>
      <c r="K259">
        <f>SUM(K250:K258)</f>
        <v>2.3116193318923628</v>
      </c>
      <c r="L259">
        <f>SUM(L250:L258)</f>
        <v>-0.14536698824340191</v>
      </c>
    </row>
    <row r="260" spans="1:18" x14ac:dyDescent="0.25">
      <c r="A260" s="47" t="s">
        <v>53</v>
      </c>
      <c r="B260">
        <f>COUNT(A250:A258)</f>
        <v>9</v>
      </c>
      <c r="I260" s="47" t="s">
        <v>462</v>
      </c>
      <c r="J260" s="47" t="s">
        <v>389</v>
      </c>
      <c r="K260" s="47" t="s">
        <v>469</v>
      </c>
      <c r="L260" s="47" t="s">
        <v>470</v>
      </c>
      <c r="N260" s="47"/>
    </row>
    <row r="262" spans="1:18" x14ac:dyDescent="0.25">
      <c r="A262">
        <v>1</v>
      </c>
      <c r="B262">
        <v>2</v>
      </c>
      <c r="C262">
        <v>3</v>
      </c>
      <c r="D262">
        <v>4</v>
      </c>
      <c r="F262">
        <v>1</v>
      </c>
      <c r="G262">
        <v>3</v>
      </c>
      <c r="I262" s="47" t="s">
        <v>207</v>
      </c>
      <c r="J262" s="47" t="s">
        <v>464</v>
      </c>
      <c r="K262" s="47" t="s">
        <v>465</v>
      </c>
      <c r="L262" s="47" t="s">
        <v>466</v>
      </c>
      <c r="Q262">
        <f>F262</f>
        <v>1</v>
      </c>
      <c r="R262">
        <f>G262</f>
        <v>3</v>
      </c>
    </row>
    <row r="263" spans="1:18" x14ac:dyDescent="0.25">
      <c r="A263" s="189">
        <f t="array" ref="A263:A271">IF(A262=$Q249,$Q250:$Q258,IF(A262=$R249,$R250:$R258,A250:A258))</f>
        <v>9.8792112934274312E-2</v>
      </c>
      <c r="B263" s="190">
        <f t="array" ref="B263:B271">IF(B262=$Q249,$Q250:$Q258,IF(B262=$R249,$R250:$R258,B250:B258))</f>
        <v>0.90309450982939077</v>
      </c>
      <c r="C263" s="190">
        <f t="array" ref="C263:C271">IF(C262=$Q249,$Q250:$Q258,IF(C262=$R249,$R250:$R258,C250:C258))</f>
        <v>-0.32827975898096573</v>
      </c>
      <c r="D263" s="191">
        <f t="array" ref="D263:D271">IF(D262=$Q249,$Q250:$Q258,IF(D262=$R249,$R250:$R258,D250:D258))</f>
        <v>0.25863647187006172</v>
      </c>
      <c r="F263" s="156">
        <f>INDEX(A263:D271,,F262)</f>
        <v>9.8792112934274312E-2</v>
      </c>
      <c r="G263" s="158">
        <f>INDEX(A263:D271,,G262)</f>
        <v>-0.32827975898096573</v>
      </c>
      <c r="I263" s="156">
        <f>F263^2-G263^2</f>
        <v>-9.8007718578582537E-2</v>
      </c>
      <c r="J263" s="157">
        <f>2*F263*G263</f>
        <v>-6.4862902046567833E-2</v>
      </c>
      <c r="K263" s="157">
        <f>I263^2-J263^2</f>
        <v>5.3983168390759782E-3</v>
      </c>
      <c r="L263" s="158">
        <f t="shared" ref="L263:L271" si="88">I263*J263</f>
        <v>6.3570650499701854E-3</v>
      </c>
      <c r="N263" t="s">
        <v>390</v>
      </c>
      <c r="O263" s="172">
        <f>L272*B273-2*I272*J272</f>
        <v>-0.87610643815660838</v>
      </c>
      <c r="Q263" s="156">
        <f t="array" ref="Q263:R271">MMULT(F263:G271,N267:O268)</f>
        <v>0.10169663779304622</v>
      </c>
      <c r="R263" s="158">
        <v>-0.32739162419984008</v>
      </c>
    </row>
    <row r="264" spans="1:18" x14ac:dyDescent="0.25">
      <c r="A264" s="194">
        <v>0.80261531967221833</v>
      </c>
      <c r="B264" s="195">
        <v>-0.59291807809066088</v>
      </c>
      <c r="C264" s="195">
        <v>5.9726637693719109E-2</v>
      </c>
      <c r="D264" s="196">
        <v>-2.6258904214438297E-2</v>
      </c>
      <c r="F264" s="123">
        <f>INDEX(A264:D272,,F262)</f>
        <v>0.80261531967221833</v>
      </c>
      <c r="G264" s="90">
        <f>INDEX(A263:D271,,G262)</f>
        <v>5.9726637693719109E-2</v>
      </c>
      <c r="I264" s="123">
        <f t="shared" ref="I264:I271" si="89">F264^2-G264^2</f>
        <v>0.64062408012234051</v>
      </c>
      <c r="J264" s="37">
        <f t="shared" ref="J264:J271" si="90">2*F264*G264</f>
        <v>9.5875028810982255E-2</v>
      </c>
      <c r="K264" s="37">
        <f t="shared" ref="K264:K271" si="91">I264^2-J264^2</f>
        <v>0.40120719088308826</v>
      </c>
      <c r="L264" s="90">
        <f t="shared" si="88"/>
        <v>6.14198521387384E-2</v>
      </c>
      <c r="N264" t="s">
        <v>392</v>
      </c>
      <c r="O264" s="173">
        <f>K272*B273-(I272^2-J272^2)</f>
        <v>24.711493558849863</v>
      </c>
      <c r="Q264" s="123">
        <v>0.80205467043226442</v>
      </c>
      <c r="R264" s="90">
        <v>6.683508255793319E-2</v>
      </c>
    </row>
    <row r="265" spans="1:18" x14ac:dyDescent="0.25">
      <c r="A265" s="194">
        <v>0.98512481645640715</v>
      </c>
      <c r="B265" s="195">
        <v>0.1295728602149909</v>
      </c>
      <c r="C265" s="195">
        <v>0.10058800945999419</v>
      </c>
      <c r="D265" s="196">
        <v>5.1205685722512766E-2</v>
      </c>
      <c r="F265" s="123">
        <f>INDEX(A265:D273,,F262)</f>
        <v>0.98512481645640715</v>
      </c>
      <c r="G265" s="90">
        <f>INDEX(A263:D271,,G262)</f>
        <v>0.10058800945999419</v>
      </c>
      <c r="I265" s="123">
        <f t="shared" si="89"/>
        <v>0.96035295635114593</v>
      </c>
      <c r="J265" s="37">
        <f t="shared" si="90"/>
        <v>0.19818348871398425</v>
      </c>
      <c r="K265" s="37">
        <f t="shared" si="91"/>
        <v>0.88300110557354006</v>
      </c>
      <c r="L265" s="90">
        <f t="shared" si="88"/>
        <v>0.19032609928645874</v>
      </c>
      <c r="N265" t="s">
        <v>467</v>
      </c>
      <c r="O265" s="174">
        <f>0.25*ATAN(O263/O264)</f>
        <v>-8.8596389425098128E-3</v>
      </c>
      <c r="Q265" s="123">
        <v>0.98419499212130512</v>
      </c>
      <c r="R265" s="90">
        <v>0.10931179775640759</v>
      </c>
    </row>
    <row r="266" spans="1:18" x14ac:dyDescent="0.25">
      <c r="A266" s="194">
        <v>7.0925397406569168E-2</v>
      </c>
      <c r="B266" s="195">
        <v>1.6203394056598278E-2</v>
      </c>
      <c r="C266" s="195">
        <v>6.1518233285171531E-2</v>
      </c>
      <c r="D266" s="196">
        <v>0.99545092545902947</v>
      </c>
      <c r="F266" s="123">
        <f>INDEX(A266:D274,,F262)</f>
        <v>7.0925397406569168E-2</v>
      </c>
      <c r="G266" s="90">
        <f>INDEX(A263:D271,,G262)</f>
        <v>6.1518233285171531E-2</v>
      </c>
      <c r="I266" s="123">
        <f t="shared" si="89"/>
        <v>1.2459189707509821E-3</v>
      </c>
      <c r="J266" s="37">
        <f t="shared" si="90"/>
        <v>8.7264102870016434E-3</v>
      </c>
      <c r="K266" s="37">
        <f t="shared" si="91"/>
        <v>-7.4597922415410917E-5</v>
      </c>
      <c r="L266" s="90">
        <f t="shared" si="88"/>
        <v>1.0872400123131869E-5</v>
      </c>
      <c r="Q266" s="123">
        <v>7.0377591638864492E-2</v>
      </c>
      <c r="R266" s="90">
        <v>6.2144184111803932E-2</v>
      </c>
    </row>
    <row r="267" spans="1:18" x14ac:dyDescent="0.25">
      <c r="A267" s="194">
        <v>0.37470501552078961</v>
      </c>
      <c r="B267" s="195">
        <v>-0.120507300869147</v>
      </c>
      <c r="C267" s="195">
        <v>0.87300636683333988</v>
      </c>
      <c r="D267" s="196">
        <v>0.28798268220372292</v>
      </c>
      <c r="F267" s="123">
        <f>INDEX(A267:D275,,F262)</f>
        <v>0.37470501552078961</v>
      </c>
      <c r="G267" s="90">
        <f>INDEX(A263:D271,,G262)</f>
        <v>0.87300636683333988</v>
      </c>
      <c r="I267" s="123">
        <f t="shared" si="89"/>
        <v>-0.62173626787511282</v>
      </c>
      <c r="J267" s="37">
        <f t="shared" si="90"/>
        <v>0.65423972846806955</v>
      </c>
      <c r="K267" s="37">
        <f t="shared" si="91"/>
        <v>-4.1473635514699292E-2</v>
      </c>
      <c r="L267" s="90">
        <f t="shared" si="88"/>
        <v>-0.40676456707336478</v>
      </c>
      <c r="N267" s="156">
        <f>COS(O265)</f>
        <v>0.99996075365561943</v>
      </c>
      <c r="O267" s="158">
        <f>-N268</f>
        <v>8.8595230393928841E-3</v>
      </c>
      <c r="Q267" s="123">
        <v>0.36695588969821274</v>
      </c>
      <c r="R267" s="90">
        <v>0.87629181224280317</v>
      </c>
    </row>
    <row r="268" spans="1:18" x14ac:dyDescent="0.25">
      <c r="A268" s="194">
        <v>-1.7266912871023759E-2</v>
      </c>
      <c r="B268" s="195">
        <v>-8.0841333264926622E-4</v>
      </c>
      <c r="C268" s="195">
        <v>0.99907156828175536</v>
      </c>
      <c r="D268" s="196">
        <v>-3.9461394283809195E-2</v>
      </c>
      <c r="F268" s="123">
        <f>INDEX(A268:D276,,F262)</f>
        <v>-1.7266912871023759E-2</v>
      </c>
      <c r="G268" s="90">
        <f>INDEX(A263:D271,,G262)</f>
        <v>0.99907156828175536</v>
      </c>
      <c r="I268" s="123">
        <f t="shared" si="89"/>
        <v>-0.99784585226887068</v>
      </c>
      <c r="J268" s="37">
        <f t="shared" si="90"/>
        <v>-3.4501763442876268E-2</v>
      </c>
      <c r="K268" s="37">
        <f t="shared" si="91"/>
        <v>0.99450597320952072</v>
      </c>
      <c r="L268" s="90">
        <f t="shared" si="88"/>
        <v>3.4427441547435836E-2</v>
      </c>
      <c r="N268" s="91">
        <f>SIN(O265)</f>
        <v>-8.8595230393928841E-3</v>
      </c>
      <c r="O268" s="93">
        <f>N267</f>
        <v>0.99996075365561943</v>
      </c>
      <c r="Q268" s="123">
        <v>-2.6117532785009424E-2</v>
      </c>
      <c r="R268" s="90">
        <v>0.99887938176252578</v>
      </c>
    </row>
    <row r="269" spans="1:18" x14ac:dyDescent="0.25">
      <c r="A269" s="194">
        <v>0.96871978801757774</v>
      </c>
      <c r="B269" s="195">
        <v>-8.9036030404216343E-3</v>
      </c>
      <c r="C269" s="195">
        <v>0.1488027913416369</v>
      </c>
      <c r="D269" s="196">
        <v>0.19839462554468396</v>
      </c>
      <c r="F269" s="123">
        <f>INDEX(A269:D277,,F262)</f>
        <v>0.96871978801757774</v>
      </c>
      <c r="G269" s="90">
        <f>INDEX(A263:D271,,G262)</f>
        <v>0.1488027913416369</v>
      </c>
      <c r="I269" s="123">
        <f t="shared" si="89"/>
        <v>0.91627575698575803</v>
      </c>
      <c r="J269" s="37">
        <f t="shared" si="90"/>
        <v>0.28829641696978869</v>
      </c>
      <c r="K269" s="37">
        <f t="shared" si="91"/>
        <v>0.75644643880220563</v>
      </c>
      <c r="L269" s="90">
        <f t="shared" si="88"/>
        <v>0.26415901769527489</v>
      </c>
      <c r="Q269" s="123">
        <v>0.96736344754895176</v>
      </c>
      <c r="R269" s="90">
        <v>0.15737934665670064</v>
      </c>
    </row>
    <row r="270" spans="1:18" x14ac:dyDescent="0.25">
      <c r="A270" s="194">
        <v>0.69536884881209671</v>
      </c>
      <c r="B270" s="195">
        <v>-0.21574537232932561</v>
      </c>
      <c r="C270" s="195">
        <v>0.54599354188560489</v>
      </c>
      <c r="D270" s="196">
        <v>0.41449626130935452</v>
      </c>
      <c r="F270" s="123">
        <f>INDEX(A270:D278,,F262)</f>
        <v>0.69536884881209671</v>
      </c>
      <c r="G270" s="90">
        <f>INDEX(A263:D271,,G262)</f>
        <v>0.54599354188560489</v>
      </c>
      <c r="I270" s="123">
        <f t="shared" si="89"/>
        <v>0.18542888811747282</v>
      </c>
      <c r="J270" s="37">
        <f t="shared" si="90"/>
        <v>0.75933380135966477</v>
      </c>
      <c r="K270" s="37">
        <f t="shared" si="91"/>
        <v>-0.54220394933883653</v>
      </c>
      <c r="L270" s="90">
        <f t="shared" si="88"/>
        <v>0.14080242249613661</v>
      </c>
      <c r="Q270" s="123">
        <v>0.69050431576308946</v>
      </c>
      <c r="R270" s="90">
        <v>0.55213274997195738</v>
      </c>
    </row>
    <row r="271" spans="1:18" x14ac:dyDescent="0.25">
      <c r="A271" s="200">
        <v>8.6179583505056168E-2</v>
      </c>
      <c r="B271" s="201">
        <v>-0.91455805297235904</v>
      </c>
      <c r="C271" s="201">
        <v>-0.23073265220912778</v>
      </c>
      <c r="D271" s="202">
        <v>0.32081005335688084</v>
      </c>
      <c r="F271" s="91">
        <f>INDEX(A271:D279,,F262)</f>
        <v>8.6179583505056168E-2</v>
      </c>
      <c r="G271" s="93">
        <f>INDEX(A263:D271,,G262)</f>
        <v>-0.23073265220912778</v>
      </c>
      <c r="I271" s="91">
        <f t="shared" si="89"/>
        <v>-4.581063618235337E-2</v>
      </c>
      <c r="J271" s="92">
        <f t="shared" si="90"/>
        <v>-3.9768887736799222E-2</v>
      </c>
      <c r="K271" s="92">
        <f t="shared" si="91"/>
        <v>5.1704995560980407E-4</v>
      </c>
      <c r="L271" s="93">
        <f t="shared" si="88"/>
        <v>1.8218380474873638E-3</v>
      </c>
      <c r="Q271" s="91">
        <v>8.8220382519630339E-2</v>
      </c>
      <c r="R271" s="93">
        <v>-0.22996008679041099</v>
      </c>
    </row>
    <row r="272" spans="1:18" x14ac:dyDescent="0.25">
      <c r="I272">
        <f>SUM(I263:I271)</f>
        <v>0.94052712564254892</v>
      </c>
      <c r="J272">
        <f>SUM(J263:J271)</f>
        <v>1.8655213213832478</v>
      </c>
      <c r="K272">
        <f>SUM(K263:K271)</f>
        <v>2.4573238924870888</v>
      </c>
      <c r="L272">
        <f>SUM(L263:L271)</f>
        <v>0.29256004158826038</v>
      </c>
    </row>
    <row r="273" spans="1:18" x14ac:dyDescent="0.25">
      <c r="A273" s="47" t="s">
        <v>53</v>
      </c>
      <c r="B273">
        <f>COUNT(A263:A271)</f>
        <v>9</v>
      </c>
      <c r="I273" s="47" t="s">
        <v>462</v>
      </c>
      <c r="J273" s="47" t="s">
        <v>389</v>
      </c>
      <c r="K273" s="47" t="s">
        <v>469</v>
      </c>
      <c r="L273" s="47" t="s">
        <v>470</v>
      </c>
      <c r="N273" s="47"/>
    </row>
    <row r="275" spans="1:18" x14ac:dyDescent="0.25">
      <c r="A275">
        <v>1</v>
      </c>
      <c r="B275">
        <v>2</v>
      </c>
      <c r="C275">
        <v>3</v>
      </c>
      <c r="D275">
        <v>4</v>
      </c>
      <c r="F275">
        <v>1</v>
      </c>
      <c r="G275">
        <v>4</v>
      </c>
      <c r="I275" s="47" t="s">
        <v>207</v>
      </c>
      <c r="J275" s="47" t="s">
        <v>464</v>
      </c>
      <c r="K275" s="47" t="s">
        <v>465</v>
      </c>
      <c r="L275" s="47" t="s">
        <v>466</v>
      </c>
      <c r="Q275">
        <f>F275</f>
        <v>1</v>
      </c>
      <c r="R275">
        <f>G275</f>
        <v>4</v>
      </c>
    </row>
    <row r="276" spans="1:18" x14ac:dyDescent="0.25">
      <c r="A276" s="189">
        <f t="array" ref="A276:A284">IF(A275=$Q262,$Q263:$Q271,IF(A275=$R262,$R263:$R271,A263:A271))</f>
        <v>0.10169663779304622</v>
      </c>
      <c r="B276" s="190">
        <f t="array" ref="B276:B284">IF(B275=$Q262,$Q263:$Q271,IF(B275=$R262,$R263:$R271,B263:B271))</f>
        <v>0.90309450982939077</v>
      </c>
      <c r="C276" s="190">
        <f t="array" ref="C276:C284">IF(C275=$Q262,$Q263:$Q271,IF(C275=$R262,$R263:$R271,C263:C271))</f>
        <v>-0.32739162419984008</v>
      </c>
      <c r="D276" s="191">
        <f t="array" ref="D276:D284">IF(D275=$Q262,$Q263:$Q271,IF(D275=$R262,$R263:$R271,D263:D271))</f>
        <v>0.25863647187006172</v>
      </c>
      <c r="F276" s="156">
        <f>INDEX(A276:D284,,F275)</f>
        <v>0.10169663779304622</v>
      </c>
      <c r="G276" s="158">
        <f>INDEX(A276:D284,,G275)</f>
        <v>0.25863647187006172</v>
      </c>
      <c r="I276" s="156">
        <f>F276^2-G276^2</f>
        <v>-5.6550618442983189E-2</v>
      </c>
      <c r="J276" s="157">
        <f>2*F276*G276</f>
        <v>5.2604919199682111E-2</v>
      </c>
      <c r="K276" s="157">
        <f>I276^2-J276^2</f>
        <v>4.3069492227878689E-4</v>
      </c>
      <c r="L276" s="158">
        <f t="shared" ref="L276:L284" si="92">I276*J276</f>
        <v>-2.9748407138851835E-3</v>
      </c>
      <c r="N276" t="s">
        <v>390</v>
      </c>
      <c r="O276" s="172">
        <f>L285*B286-2*I285*J285</f>
        <v>-1.0122377587507136</v>
      </c>
      <c r="Q276" s="156">
        <f t="array" ref="Q276:R284">MMULT(F276:G284,N280:O281)</f>
        <v>9.8879473993942674E-2</v>
      </c>
      <c r="R276" s="158">
        <v>0.25972654916755139</v>
      </c>
    </row>
    <row r="277" spans="1:18" x14ac:dyDescent="0.25">
      <c r="A277" s="194">
        <v>0.80205467043226442</v>
      </c>
      <c r="B277" s="195">
        <v>-0.59291807809066088</v>
      </c>
      <c r="C277" s="195">
        <v>6.683508255793319E-2</v>
      </c>
      <c r="D277" s="196">
        <v>-2.6258904214438297E-2</v>
      </c>
      <c r="F277" s="123">
        <f>INDEX(A277:D285,,F275)</f>
        <v>0.80205467043226442</v>
      </c>
      <c r="G277" s="90">
        <f>INDEX(A276:D284,,G275)</f>
        <v>-2.6258904214438297E-2</v>
      </c>
      <c r="I277" s="123">
        <f t="shared" ref="I277:I284" si="93">F277^2-G277^2</f>
        <v>0.64260216431166517</v>
      </c>
      <c r="J277" s="37">
        <f t="shared" ref="J277:J284" si="94">2*F277*G277</f>
        <v>-4.2122153531247417E-2</v>
      </c>
      <c r="K277" s="37">
        <f t="shared" ref="K277:K284" si="95">I277^2-J277^2</f>
        <v>0.41116326575992634</v>
      </c>
      <c r="L277" s="90">
        <f t="shared" si="92"/>
        <v>-2.7067787024647839E-2</v>
      </c>
      <c r="N277" t="s">
        <v>392</v>
      </c>
      <c r="O277" s="173">
        <f>K285*B286-(I285^2-J285^2)</f>
        <v>23.26724525855969</v>
      </c>
      <c r="Q277" s="123">
        <v>0.80229270412160225</v>
      </c>
      <c r="R277" s="90">
        <v>-1.7539707124081011E-2</v>
      </c>
    </row>
    <row r="278" spans="1:18" x14ac:dyDescent="0.25">
      <c r="A278" s="194">
        <v>0.98419499212130512</v>
      </c>
      <c r="B278" s="195">
        <v>0.1295728602149909</v>
      </c>
      <c r="C278" s="195">
        <v>0.10931179775640759</v>
      </c>
      <c r="D278" s="196">
        <v>5.1205685722512766E-2</v>
      </c>
      <c r="F278" s="123">
        <f>INDEX(A278:D286,,F275)</f>
        <v>0.98419499212130512</v>
      </c>
      <c r="G278" s="90">
        <f>INDEX(A276:D284,,G275)</f>
        <v>5.1205685722512766E-2</v>
      </c>
      <c r="I278" s="123">
        <f t="shared" si="93"/>
        <v>0.96601776026634312</v>
      </c>
      <c r="J278" s="37">
        <f t="shared" si="94"/>
        <v>0.10079275891246896</v>
      </c>
      <c r="K278" s="37">
        <f t="shared" si="95"/>
        <v>0.92303113290081495</v>
      </c>
      <c r="L278" s="90">
        <f t="shared" si="92"/>
        <v>9.736759521568876E-2</v>
      </c>
      <c r="N278" t="s">
        <v>467</v>
      </c>
      <c r="O278" s="174">
        <f>0.25*ATAN(O276/O277)</f>
        <v>-1.0869355833879905E-2</v>
      </c>
      <c r="Q278" s="123">
        <v>0.98358029301055194</v>
      </c>
      <c r="R278" s="90">
        <v>6.1900015898588109E-2</v>
      </c>
    </row>
    <row r="279" spans="1:18" x14ac:dyDescent="0.25">
      <c r="A279" s="194">
        <v>7.0377591638864492E-2</v>
      </c>
      <c r="B279" s="195">
        <v>1.6203394056598278E-2</v>
      </c>
      <c r="C279" s="195">
        <v>6.2144184111803932E-2</v>
      </c>
      <c r="D279" s="196">
        <v>0.99545092545902947</v>
      </c>
      <c r="F279" s="123">
        <f>INDEX(A279:D287,,F275)</f>
        <v>7.0377591638864492E-2</v>
      </c>
      <c r="G279" s="90">
        <f>INDEX(A276:D284,,G275)</f>
        <v>0.99545092545902947</v>
      </c>
      <c r="I279" s="123">
        <f t="shared" si="93"/>
        <v>-0.98596953959235145</v>
      </c>
      <c r="J279" s="37">
        <f t="shared" si="94"/>
        <v>0.14011487745697063</v>
      </c>
      <c r="K279" s="37">
        <f t="shared" si="95"/>
        <v>0.95250375411917165</v>
      </c>
      <c r="L279" s="90">
        <f t="shared" si="92"/>
        <v>-0.13814900121628806</v>
      </c>
      <c r="Q279" s="123">
        <v>5.9553737097559956E-2</v>
      </c>
      <c r="R279" s="90">
        <v>0.99615706733418286</v>
      </c>
    </row>
    <row r="280" spans="1:18" x14ac:dyDescent="0.25">
      <c r="A280" s="194">
        <v>0.36695588969821274</v>
      </c>
      <c r="B280" s="195">
        <v>-0.120507300869147</v>
      </c>
      <c r="C280" s="195">
        <v>0.87629181224280317</v>
      </c>
      <c r="D280" s="196">
        <v>0.28798268220372292</v>
      </c>
      <c r="F280" s="123">
        <f>INDEX(A280:D288,,F275)</f>
        <v>0.36695588969821274</v>
      </c>
      <c r="G280" s="90">
        <f>INDEX(A276:D284,,G275)</f>
        <v>0.28798268220372292</v>
      </c>
      <c r="I280" s="123">
        <f t="shared" si="93"/>
        <v>5.1722599734956423E-2</v>
      </c>
      <c r="J280" s="37">
        <f t="shared" si="94"/>
        <v>0.21135388273148961</v>
      </c>
      <c r="K280" s="37">
        <f t="shared" si="95"/>
        <v>-4.199523642233375E-2</v>
      </c>
      <c r="L280" s="90">
        <f t="shared" si="92"/>
        <v>1.0931772278949755E-2</v>
      </c>
      <c r="N280" s="156">
        <f>COS(O278)</f>
        <v>0.99994092913344867</v>
      </c>
      <c r="O280" s="158">
        <f>-N281</f>
        <v>1.086914181228108E-2</v>
      </c>
      <c r="Q280" s="123">
        <v>0.36380408868346881</v>
      </c>
      <c r="R280" s="90">
        <v>0.29195416642111499</v>
      </c>
    </row>
    <row r="281" spans="1:18" x14ac:dyDescent="0.25">
      <c r="A281" s="194">
        <v>-2.6117532785009424E-2</v>
      </c>
      <c r="B281" s="195">
        <v>-8.0841333264926622E-4</v>
      </c>
      <c r="C281" s="195">
        <v>0.99887938176252578</v>
      </c>
      <c r="D281" s="196">
        <v>-3.9461394283809195E-2</v>
      </c>
      <c r="F281" s="123">
        <f>INDEX(A281:D289,,F275)</f>
        <v>-2.6117532785009424E-2</v>
      </c>
      <c r="G281" s="90">
        <f>INDEX(A276:D284,,G275)</f>
        <v>-3.9461394283809195E-2</v>
      </c>
      <c r="I281" s="123">
        <f t="shared" si="93"/>
        <v>-8.7507612004620694E-4</v>
      </c>
      <c r="J281" s="37">
        <f t="shared" si="94"/>
        <v>2.0612685178991405E-3</v>
      </c>
      <c r="K281" s="37">
        <f t="shared" si="95"/>
        <v>-3.4830696870069956E-6</v>
      </c>
      <c r="L281" s="90">
        <f t="shared" si="92"/>
        <v>-1.8037668570165753E-6</v>
      </c>
      <c r="N281" s="91">
        <f>SIN(O278)</f>
        <v>-1.086914181228108E-2</v>
      </c>
      <c r="O281" s="93">
        <f>N280</f>
        <v>0.99994092913344867</v>
      </c>
      <c r="Q281" s="123">
        <v>-2.5687078509134573E-2</v>
      </c>
      <c r="R281" s="90">
        <v>-3.9742938432680695E-2</v>
      </c>
    </row>
    <row r="282" spans="1:18" x14ac:dyDescent="0.25">
      <c r="A282" s="194">
        <v>0.96736344754895176</v>
      </c>
      <c r="B282" s="195">
        <v>-8.9036030404216343E-3</v>
      </c>
      <c r="C282" s="195">
        <v>0.15737934665670064</v>
      </c>
      <c r="D282" s="196">
        <v>0.19839462554468396</v>
      </c>
      <c r="F282" s="123">
        <f>INDEX(A282:D290,,F275)</f>
        <v>0.96736344754895176</v>
      </c>
      <c r="G282" s="90">
        <f>INDEX(A276:D284,,G275)</f>
        <v>0.19839462554468396</v>
      </c>
      <c r="I282" s="123">
        <f t="shared" si="93"/>
        <v>0.89643161220877821</v>
      </c>
      <c r="J282" s="37">
        <f t="shared" si="94"/>
        <v>0.38383941788417758</v>
      </c>
      <c r="K282" s="37">
        <f t="shared" si="95"/>
        <v>0.65625693664556495</v>
      </c>
      <c r="L282" s="90">
        <f t="shared" si="92"/>
        <v>0.34408578820319224</v>
      </c>
      <c r="Q282" s="123">
        <v>0.96514992523199539</v>
      </c>
      <c r="R282" s="90">
        <v>0.2088973166976606</v>
      </c>
    </row>
    <row r="283" spans="1:18" x14ac:dyDescent="0.25">
      <c r="A283" s="194">
        <v>0.69050431576308946</v>
      </c>
      <c r="B283" s="195">
        <v>-0.21574537232932561</v>
      </c>
      <c r="C283" s="195">
        <v>0.55213274997195738</v>
      </c>
      <c r="D283" s="196">
        <v>0.41449626130935452</v>
      </c>
      <c r="F283" s="123">
        <f>INDEX(A283:D291,,F275)</f>
        <v>0.69050431576308946</v>
      </c>
      <c r="G283" s="90">
        <f>INDEX(A276:D284,,G275)</f>
        <v>0.41449626130935452</v>
      </c>
      <c r="I283" s="123">
        <f t="shared" si="93"/>
        <v>0.30498905944801968</v>
      </c>
      <c r="J283" s="37">
        <f t="shared" si="94"/>
        <v>0.5724229146035491</v>
      </c>
      <c r="K283" s="37">
        <f t="shared" si="95"/>
        <v>-0.23464966678023441</v>
      </c>
      <c r="L283" s="90">
        <f t="shared" si="92"/>
        <v>0.17458272633143054</v>
      </c>
      <c r="Q283" s="123">
        <v>0.68595830842996819</v>
      </c>
      <c r="R283" s="90">
        <v>0.42197696598603784</v>
      </c>
    </row>
    <row r="284" spans="1:18" x14ac:dyDescent="0.25">
      <c r="A284" s="200">
        <v>8.8220382519630339E-2</v>
      </c>
      <c r="B284" s="201">
        <v>-0.91455805297235904</v>
      </c>
      <c r="C284" s="201">
        <v>-0.22996008679041099</v>
      </c>
      <c r="D284" s="202">
        <v>0.32081005335688084</v>
      </c>
      <c r="F284" s="91">
        <f>INDEX(A284:D292,,F275)</f>
        <v>8.8220382519630339E-2</v>
      </c>
      <c r="G284" s="93">
        <f>INDEX(A276:D284,,G275)</f>
        <v>0.32081005335688084</v>
      </c>
      <c r="I284" s="91">
        <f t="shared" si="93"/>
        <v>-9.5136254442934831E-2</v>
      </c>
      <c r="J284" s="92">
        <f t="shared" si="94"/>
        <v>5.660397124657409E-2</v>
      </c>
      <c r="K284" s="92">
        <f t="shared" si="95"/>
        <v>5.8468973485478505E-3</v>
      </c>
      <c r="L284" s="93">
        <f t="shared" si="92"/>
        <v>-5.3850898109946395E-3</v>
      </c>
      <c r="Q284" s="91">
        <v>8.4728241300446011E-2</v>
      </c>
      <c r="R284" s="93">
        <v>0.32174998267737021</v>
      </c>
    </row>
    <row r="285" spans="1:18" x14ac:dyDescent="0.25">
      <c r="I285">
        <f>SUM(I276:I284)</f>
        <v>1.7232317073714469</v>
      </c>
      <c r="J285">
        <f>SUM(J276:J284)</f>
        <v>1.4776718570215637</v>
      </c>
      <c r="K285">
        <f>SUM(K276:K284)</f>
        <v>2.6725842954240497</v>
      </c>
      <c r="L285">
        <f>SUM(L276:L284)</f>
        <v>0.45338935949658865</v>
      </c>
    </row>
    <row r="286" spans="1:18" x14ac:dyDescent="0.25">
      <c r="A286" s="47" t="s">
        <v>53</v>
      </c>
      <c r="B286">
        <f>COUNT(A276:A284)</f>
        <v>9</v>
      </c>
      <c r="I286" s="47" t="s">
        <v>462</v>
      </c>
      <c r="J286" s="47" t="s">
        <v>389</v>
      </c>
      <c r="K286" s="47" t="s">
        <v>469</v>
      </c>
      <c r="L286" s="47" t="s">
        <v>470</v>
      </c>
      <c r="N286" s="47"/>
    </row>
    <row r="288" spans="1:18" x14ac:dyDescent="0.25">
      <c r="A288">
        <v>1</v>
      </c>
      <c r="B288">
        <v>2</v>
      </c>
      <c r="C288">
        <v>3</v>
      </c>
      <c r="D288">
        <v>4</v>
      </c>
      <c r="F288">
        <v>2</v>
      </c>
      <c r="G288">
        <v>3</v>
      </c>
      <c r="I288" s="47" t="s">
        <v>207</v>
      </c>
      <c r="J288" s="47" t="s">
        <v>464</v>
      </c>
      <c r="K288" s="47" t="s">
        <v>465</v>
      </c>
      <c r="L288" s="47" t="s">
        <v>466</v>
      </c>
      <c r="Q288">
        <f>F288</f>
        <v>2</v>
      </c>
      <c r="R288">
        <f>G288</f>
        <v>3</v>
      </c>
    </row>
    <row r="289" spans="1:18" x14ac:dyDescent="0.25">
      <c r="A289" s="189">
        <f t="array" ref="A289:A297">IF(A288=$Q275,$Q276:$Q284,IF(A288=$R275,$R276:$R284,A276:A284))</f>
        <v>9.8879473993942674E-2</v>
      </c>
      <c r="B289" s="190">
        <f t="array" ref="B289:B297">IF(B288=$Q275,$Q276:$Q284,IF(B288=$R275,$R276:$R284,B276:B284))</f>
        <v>0.90309450982939077</v>
      </c>
      <c r="C289" s="190">
        <f t="array" ref="C289:C297">IF(C288=$Q275,$Q276:$Q284,IF(C288=$R275,$R276:$R284,C276:C284))</f>
        <v>-0.32739162419984008</v>
      </c>
      <c r="D289" s="191">
        <f t="array" ref="D289:D297">IF(D288=$Q275,$Q276:$Q284,IF(D288=$R275,$R276:$R284,D276:D284))</f>
        <v>0.25972654916755139</v>
      </c>
      <c r="F289" s="156">
        <f>INDEX(A289:D297,,F288)</f>
        <v>0.90309450982939077</v>
      </c>
      <c r="G289" s="158">
        <f>INDEX(A289:D297,,G288)</f>
        <v>-0.32739162419984008</v>
      </c>
      <c r="I289" s="156">
        <f>F289^2-G289^2</f>
        <v>0.70839441808777825</v>
      </c>
      <c r="J289" s="157">
        <f>2*F289*G289</f>
        <v>-0.59133115675800541</v>
      </c>
      <c r="K289" s="157">
        <f>I289^2-J289^2</f>
        <v>0.1521501146251612</v>
      </c>
      <c r="L289" s="158">
        <f t="shared" ref="L289:L297" si="96">I289*J289</f>
        <v>-0.41889569068876004</v>
      </c>
      <c r="N289" t="s">
        <v>390</v>
      </c>
      <c r="O289" s="172">
        <f>L298*B299-2*I298*J298</f>
        <v>0.68952914387071806</v>
      </c>
      <c r="Q289" s="156">
        <f t="array" ref="Q289:R297">MMULT(F289:G297,N293:O294)</f>
        <v>0.90031073899632608</v>
      </c>
      <c r="R289" s="158">
        <v>-0.33497095773825841</v>
      </c>
    </row>
    <row r="290" spans="1:18" x14ac:dyDescent="0.25">
      <c r="A290" s="194">
        <v>0.80229270412160225</v>
      </c>
      <c r="B290" s="195">
        <v>-0.59291807809066088</v>
      </c>
      <c r="C290" s="195">
        <v>6.683508255793319E-2</v>
      </c>
      <c r="D290" s="196">
        <v>-1.7539707124081011E-2</v>
      </c>
      <c r="F290" s="123">
        <f>INDEX(A290:D298,,F288)</f>
        <v>-0.59291807809066088</v>
      </c>
      <c r="G290" s="90">
        <f>INDEX(A289:D297,,G288)</f>
        <v>6.683508255793319E-2</v>
      </c>
      <c r="I290" s="123">
        <f t="shared" ref="I290:I297" si="97">F290^2-G290^2</f>
        <v>0.34708491906619726</v>
      </c>
      <c r="J290" s="37">
        <f t="shared" ref="J290:J297" si="98">2*F290*G290</f>
        <v>-7.9255457398560797E-2</v>
      </c>
      <c r="K290" s="37">
        <f t="shared" ref="K290:K297" si="99">I290^2-J290^2</f>
        <v>0.11418651351573361</v>
      </c>
      <c r="L290" s="90">
        <f t="shared" si="96"/>
        <v>-2.7508374016733918E-2</v>
      </c>
      <c r="N290" t="s">
        <v>392</v>
      </c>
      <c r="O290" s="173">
        <f>K298*B299-(I298^2-J298^2)</f>
        <v>20.500469861004522</v>
      </c>
      <c r="Q290" s="123">
        <v>-0.59233535480061272</v>
      </c>
      <c r="R290" s="90">
        <v>7.1816453828360549E-2</v>
      </c>
    </row>
    <row r="291" spans="1:18" x14ac:dyDescent="0.25">
      <c r="A291" s="194">
        <v>0.98358029301055194</v>
      </c>
      <c r="B291" s="195">
        <v>0.1295728602149909</v>
      </c>
      <c r="C291" s="195">
        <v>0.10931179775640759</v>
      </c>
      <c r="D291" s="196">
        <v>6.1900015898588109E-2</v>
      </c>
      <c r="F291" s="123">
        <f>INDEX(A291:D299,,F288)</f>
        <v>0.1295728602149909</v>
      </c>
      <c r="G291" s="90">
        <f>INDEX(A289:D297,,G288)</f>
        <v>0.10931179775640759</v>
      </c>
      <c r="I291" s="123">
        <f t="shared" si="97"/>
        <v>4.8400569755558155E-3</v>
      </c>
      <c r="J291" s="37">
        <f t="shared" si="98"/>
        <v>2.8327684581080714E-2</v>
      </c>
      <c r="K291" s="37">
        <f t="shared" si="99"/>
        <v>-7.7903156219857146E-4</v>
      </c>
      <c r="L291" s="90">
        <f t="shared" si="96"/>
        <v>1.3710760735800463E-4</v>
      </c>
      <c r="N291" t="s">
        <v>467</v>
      </c>
      <c r="O291" s="174">
        <f>0.25*ATAN(O289/O290)</f>
        <v>8.4055305019390368E-3</v>
      </c>
      <c r="Q291" s="123">
        <v>0.13048709572068865</v>
      </c>
      <c r="R291" s="90">
        <v>0.10821882037525249</v>
      </c>
    </row>
    <row r="292" spans="1:18" x14ac:dyDescent="0.25">
      <c r="A292" s="194">
        <v>5.9553737097559956E-2</v>
      </c>
      <c r="B292" s="195">
        <v>1.6203394056598278E-2</v>
      </c>
      <c r="C292" s="195">
        <v>6.2144184111803932E-2</v>
      </c>
      <c r="D292" s="196">
        <v>0.99615706733418286</v>
      </c>
      <c r="F292" s="123">
        <f>INDEX(A292:D300,,F288)</f>
        <v>1.6203394056598278E-2</v>
      </c>
      <c r="G292" s="90">
        <f>INDEX(A289:D297,,G288)</f>
        <v>6.2144184111803932E-2</v>
      </c>
      <c r="I292" s="123">
        <f t="shared" si="97"/>
        <v>-3.5993496399683799E-3</v>
      </c>
      <c r="J292" s="37">
        <f t="shared" si="98"/>
        <v>2.0138934069787061E-3</v>
      </c>
      <c r="K292" s="37">
        <f t="shared" si="99"/>
        <v>8.8995511760682067E-6</v>
      </c>
      <c r="L292" s="90">
        <f t="shared" si="96"/>
        <v>-7.2487065093434993E-6</v>
      </c>
      <c r="Q292" s="123">
        <v>1.6725170335337183E-2</v>
      </c>
      <c r="R292" s="90">
        <v>6.2005792270796327E-2</v>
      </c>
    </row>
    <row r="293" spans="1:18" x14ac:dyDescent="0.25">
      <c r="A293" s="194">
        <v>0.36380408868346881</v>
      </c>
      <c r="B293" s="195">
        <v>-0.120507300869147</v>
      </c>
      <c r="C293" s="195">
        <v>0.87629181224280317</v>
      </c>
      <c r="D293" s="196">
        <v>0.29195416642111499</v>
      </c>
      <c r="F293" s="123">
        <f>INDEX(A293:D301,,F288)</f>
        <v>-0.120507300869147</v>
      </c>
      <c r="G293" s="90">
        <f>INDEX(A289:D297,,G288)</f>
        <v>0.87629181224280317</v>
      </c>
      <c r="I293" s="123">
        <f t="shared" si="97"/>
        <v>-0.75336533064100908</v>
      </c>
      <c r="J293" s="37">
        <f t="shared" si="98"/>
        <v>-0.21119912213422712</v>
      </c>
      <c r="K293" s="37">
        <f t="shared" si="99"/>
        <v>0.52295425222156877</v>
      </c>
      <c r="L293" s="90">
        <f t="shared" si="96"/>
        <v>0.15911009647774288</v>
      </c>
      <c r="N293" s="156">
        <f>COS(O291)</f>
        <v>0.99996467373648323</v>
      </c>
      <c r="O293" s="158">
        <f>-N294</f>
        <v>-8.4054315230440955E-3</v>
      </c>
      <c r="Q293" s="123">
        <v>-0.11313743297446971</v>
      </c>
      <c r="R293" s="90">
        <v>0.87727377199280876</v>
      </c>
    </row>
    <row r="294" spans="1:18" x14ac:dyDescent="0.25">
      <c r="A294" s="194">
        <v>-2.5687078509134573E-2</v>
      </c>
      <c r="B294" s="195">
        <v>-8.0841333264926622E-4</v>
      </c>
      <c r="C294" s="195">
        <v>0.99887938176252578</v>
      </c>
      <c r="D294" s="196">
        <v>-3.9742938432680695E-2</v>
      </c>
      <c r="F294" s="123">
        <f>INDEX(A294:D302,,F288)</f>
        <v>-8.0841333264926622E-4</v>
      </c>
      <c r="G294" s="90">
        <f>INDEX(A289:D297,,G288)</f>
        <v>0.99887938176252578</v>
      </c>
      <c r="I294" s="123">
        <f t="shared" si="97"/>
        <v>-0.99775936577816926</v>
      </c>
      <c r="J294" s="37">
        <f t="shared" si="98"/>
        <v>-1.6150148198505643E-3</v>
      </c>
      <c r="K294" s="37">
        <f t="shared" si="99"/>
        <v>0.99552114372518619</v>
      </c>
      <c r="L294" s="90">
        <f t="shared" si="96"/>
        <v>1.6113961623764434E-3</v>
      </c>
      <c r="N294" s="91">
        <f>SIN(O291)</f>
        <v>8.4054315230440955E-3</v>
      </c>
      <c r="O294" s="93">
        <f>N293</f>
        <v>0.99996467373648323</v>
      </c>
      <c r="Q294" s="123">
        <v>7.5876274687586859E-3</v>
      </c>
      <c r="R294" s="90">
        <v>0.99885089014917405</v>
      </c>
    </row>
    <row r="295" spans="1:18" x14ac:dyDescent="0.25">
      <c r="A295" s="194">
        <v>0.96514992523199539</v>
      </c>
      <c r="B295" s="195">
        <v>-8.9036030404216343E-3</v>
      </c>
      <c r="C295" s="195">
        <v>0.15737934665670064</v>
      </c>
      <c r="D295" s="196">
        <v>0.2088973166976606</v>
      </c>
      <c r="F295" s="123">
        <f>INDEX(A295:D303,,F288)</f>
        <v>-8.9036030404216343E-3</v>
      </c>
      <c r="G295" s="90">
        <f>INDEX(A289:D297,,G288)</f>
        <v>0.15737934665670064</v>
      </c>
      <c r="I295" s="123">
        <f t="shared" si="97"/>
        <v>-2.4688984606988547E-2</v>
      </c>
      <c r="J295" s="37">
        <f t="shared" si="98"/>
        <v>-2.8024864587843402E-3</v>
      </c>
      <c r="K295" s="37">
        <f t="shared" si="99"/>
        <v>6.0169203057244781E-4</v>
      </c>
      <c r="L295" s="90">
        <f t="shared" si="96"/>
        <v>6.9190545042220416E-5</v>
      </c>
      <c r="Q295" s="123">
        <v>-7.5804471879300636E-3</v>
      </c>
      <c r="R295" s="90">
        <v>0.15744862565809317</v>
      </c>
    </row>
    <row r="296" spans="1:18" x14ac:dyDescent="0.25">
      <c r="A296" s="194">
        <v>0.68595830842996819</v>
      </c>
      <c r="B296" s="195">
        <v>-0.21574537232932561</v>
      </c>
      <c r="C296" s="195">
        <v>0.55213274997195738</v>
      </c>
      <c r="D296" s="196">
        <v>0.42197696598603784</v>
      </c>
      <c r="F296" s="123">
        <f>INDEX(A296:D304,,F288)</f>
        <v>-0.21574537232932561</v>
      </c>
      <c r="G296" s="90">
        <f>INDEX(A289:D297,,G288)</f>
        <v>0.55213274997195738</v>
      </c>
      <c r="I296" s="123">
        <f t="shared" si="97"/>
        <v>-0.25830450791007664</v>
      </c>
      <c r="J296" s="37">
        <f t="shared" si="98"/>
        <v>-0.23824017143582879</v>
      </c>
      <c r="K296" s="37">
        <f t="shared" si="99"/>
        <v>9.9628395208937529E-3</v>
      </c>
      <c r="L296" s="90">
        <f t="shared" si="96"/>
        <v>6.1538510247144053E-2</v>
      </c>
      <c r="Q296" s="123">
        <v>-0.21109683682993088</v>
      </c>
      <c r="R296" s="90">
        <v>0.55392667813846341</v>
      </c>
    </row>
    <row r="297" spans="1:18" x14ac:dyDescent="0.25">
      <c r="A297" s="200">
        <v>8.4728241300446011E-2</v>
      </c>
      <c r="B297" s="201">
        <v>-0.91455805297235904</v>
      </c>
      <c r="C297" s="201">
        <v>-0.22996008679041099</v>
      </c>
      <c r="D297" s="202">
        <v>0.32174998267737021</v>
      </c>
      <c r="F297" s="91">
        <f>INDEX(A297:D305,,F288)</f>
        <v>-0.91455805297235904</v>
      </c>
      <c r="G297" s="93">
        <f>INDEX(A289:D297,,G288)</f>
        <v>-0.22996008679041099</v>
      </c>
      <c r="I297" s="91">
        <f t="shared" si="97"/>
        <v>0.78353479073993892</v>
      </c>
      <c r="J297" s="92">
        <f t="shared" si="98"/>
        <v>0.42062369847278597</v>
      </c>
      <c r="K297" s="92">
        <f t="shared" si="99"/>
        <v>0.43700247258295477</v>
      </c>
      <c r="L297" s="93">
        <f t="shared" si="96"/>
        <v>0.32957330156313352</v>
      </c>
      <c r="Q297" s="91">
        <v>-0.91645865881612842</v>
      </c>
      <c r="R297" s="93">
        <v>-0.222264708071679</v>
      </c>
    </row>
    <row r="298" spans="1:18" x14ac:dyDescent="0.25">
      <c r="I298">
        <f>SUM(I289:I297)</f>
        <v>-0.19386335370674179</v>
      </c>
      <c r="J298">
        <f>SUM(J289:J297)</f>
        <v>-0.67347813254441169</v>
      </c>
      <c r="K298">
        <f>SUM(K289:K297)</f>
        <v>2.2316088962110485</v>
      </c>
      <c r="L298">
        <f>SUM(L289:L297)</f>
        <v>0.10562828919079384</v>
      </c>
    </row>
    <row r="299" spans="1:18" x14ac:dyDescent="0.25">
      <c r="A299" s="47" t="s">
        <v>53</v>
      </c>
      <c r="B299">
        <f>COUNT(A289:A297)</f>
        <v>9</v>
      </c>
      <c r="I299" s="47" t="s">
        <v>462</v>
      </c>
      <c r="J299" s="47" t="s">
        <v>389</v>
      </c>
      <c r="K299" s="47" t="s">
        <v>469</v>
      </c>
      <c r="L299" s="47" t="s">
        <v>470</v>
      </c>
      <c r="N299" s="47"/>
    </row>
    <row r="301" spans="1:18" x14ac:dyDescent="0.25">
      <c r="A301">
        <v>1</v>
      </c>
      <c r="B301">
        <v>2</v>
      </c>
      <c r="C301">
        <v>3</v>
      </c>
      <c r="D301">
        <v>4</v>
      </c>
      <c r="F301">
        <v>2</v>
      </c>
      <c r="G301">
        <v>4</v>
      </c>
      <c r="I301" s="47" t="s">
        <v>207</v>
      </c>
      <c r="J301" s="47" t="s">
        <v>464</v>
      </c>
      <c r="K301" s="47" t="s">
        <v>465</v>
      </c>
      <c r="L301" s="47" t="s">
        <v>466</v>
      </c>
      <c r="Q301">
        <f>F301</f>
        <v>2</v>
      </c>
      <c r="R301">
        <f>G301</f>
        <v>4</v>
      </c>
    </row>
    <row r="302" spans="1:18" x14ac:dyDescent="0.25">
      <c r="A302" s="189">
        <f t="array" ref="A302:A310">IF(A301=$Q288,$Q289:$Q297,IF(A301=$R288,$R289:$R297,A289:A297))</f>
        <v>9.8879473993942674E-2</v>
      </c>
      <c r="B302" s="190">
        <f t="array" ref="B302:B310">IF(B301=$Q288,$Q289:$Q297,IF(B301=$R288,$R289:$R297,B289:B297))</f>
        <v>0.90031073899632608</v>
      </c>
      <c r="C302" s="190">
        <f t="array" ref="C302:C310">IF(C301=$Q288,$Q289:$Q297,IF(C301=$R288,$R289:$R297,C289:C297))</f>
        <v>-0.33497095773825841</v>
      </c>
      <c r="D302" s="191">
        <f t="array" ref="D302:D310">IF(D301=$Q288,$Q289:$Q297,IF(D301=$R288,$R289:$R297,D289:D297))</f>
        <v>0.25972654916755139</v>
      </c>
      <c r="F302" s="156">
        <f>INDEX(A302:D310,,F301)</f>
        <v>0.90031073899632608</v>
      </c>
      <c r="G302" s="158">
        <f>INDEX(A302:D310,,G301)</f>
        <v>0.25972654916755139</v>
      </c>
      <c r="I302" s="156">
        <f>F302^2-G302^2</f>
        <v>0.74310154640962633</v>
      </c>
      <c r="J302" s="157">
        <f>2*F302*G302</f>
        <v>0.4676692028360076</v>
      </c>
      <c r="K302" s="157">
        <f>I302^2-J302^2</f>
        <v>0.33348542499511113</v>
      </c>
      <c r="L302" s="158">
        <f t="shared" ref="L302:L310" si="100">I302*J302</f>
        <v>0.34752570783559444</v>
      </c>
      <c r="N302" t="s">
        <v>390</v>
      </c>
      <c r="O302" s="172">
        <f>L311*B312-2*I311*J311</f>
        <v>-0.39250975220594581</v>
      </c>
      <c r="Q302" s="156">
        <f t="array" ref="Q302:R310">MMULT(F302:G310,N306:O307)</f>
        <v>0.89851152861124972</v>
      </c>
      <c r="R302" s="158">
        <v>0.26588407257162017</v>
      </c>
    </row>
    <row r="303" spans="1:18" x14ac:dyDescent="0.25">
      <c r="A303" s="194">
        <v>0.80229270412160225</v>
      </c>
      <c r="B303" s="195">
        <v>-0.59233535480061272</v>
      </c>
      <c r="C303" s="195">
        <v>7.1816453828360549E-2</v>
      </c>
      <c r="D303" s="196">
        <v>-1.7539707124081011E-2</v>
      </c>
      <c r="F303" s="123">
        <f>INDEX(A303:D311,,F301)</f>
        <v>-0.59233535480061272</v>
      </c>
      <c r="G303" s="90">
        <f>INDEX(A302:D310,,G301)</f>
        <v>-1.7539707124081011E-2</v>
      </c>
      <c r="I303" s="123">
        <f t="shared" ref="I303:I310" si="101">F303^2-G303^2</f>
        <v>0.35055353122076921</v>
      </c>
      <c r="J303" s="37">
        <f t="shared" ref="J303:J310" si="102">2*F303*G303</f>
        <v>2.077877728488272E-2</v>
      </c>
      <c r="K303" s="37">
        <f t="shared" ref="K303:K310" si="103">I303^2-J303^2</f>
        <v>0.12245602066589606</v>
      </c>
      <c r="L303" s="90">
        <f t="shared" si="100"/>
        <v>7.2840737516655443E-3</v>
      </c>
      <c r="N303" t="s">
        <v>392</v>
      </c>
      <c r="O303" s="173">
        <f>K311*B312-(I311^2-J311^2)</f>
        <v>14.329655986057929</v>
      </c>
      <c r="Q303" s="123">
        <v>-0.59220139511640235</v>
      </c>
      <c r="R303" s="90">
        <v>-2.1594478344082832E-2</v>
      </c>
    </row>
    <row r="304" spans="1:18" x14ac:dyDescent="0.25">
      <c r="A304" s="194">
        <v>0.98358029301055194</v>
      </c>
      <c r="B304" s="195">
        <v>0.13048709572068865</v>
      </c>
      <c r="C304" s="195">
        <v>0.10821882037525249</v>
      </c>
      <c r="D304" s="196">
        <v>6.1900015898588109E-2</v>
      </c>
      <c r="F304" s="123">
        <f>INDEX(A304:D312,,F301)</f>
        <v>0.13048709572068865</v>
      </c>
      <c r="G304" s="90">
        <f>INDEX(A302:D310,,G301)</f>
        <v>6.1900015898588109E-2</v>
      </c>
      <c r="I304" s="123">
        <f t="shared" si="101"/>
        <v>1.3195270181374699E-2</v>
      </c>
      <c r="J304" s="37">
        <f t="shared" si="102"/>
        <v>1.615430659934243E-2</v>
      </c>
      <c r="K304" s="37">
        <f t="shared" si="103"/>
        <v>-8.684646654608211E-5</v>
      </c>
      <c r="L304" s="90">
        <f t="shared" si="100"/>
        <v>2.1316044017108767E-4</v>
      </c>
      <c r="N304" t="s">
        <v>467</v>
      </c>
      <c r="O304" s="174">
        <f>0.25*ATAN(O302/O303)</f>
        <v>-6.8461453527924702E-3</v>
      </c>
      <c r="Q304" s="123">
        <v>0.13006026459090367</v>
      </c>
      <c r="R304" s="90">
        <v>6.2791891932077917E-2</v>
      </c>
    </row>
    <row r="305" spans="1:18" x14ac:dyDescent="0.25">
      <c r="A305" s="194">
        <v>5.9553737097559956E-2</v>
      </c>
      <c r="B305" s="195">
        <v>1.6725170335337183E-2</v>
      </c>
      <c r="C305" s="195">
        <v>6.2005792270796327E-2</v>
      </c>
      <c r="D305" s="196">
        <v>0.99615706733418286</v>
      </c>
      <c r="F305" s="123">
        <f>INDEX(A305:D313,,F301)</f>
        <v>1.6725170335337183E-2</v>
      </c>
      <c r="G305" s="90">
        <f>INDEX(A302:D310,,G301)</f>
        <v>0.99615706733418286</v>
      </c>
      <c r="I305" s="123">
        <f t="shared" si="101"/>
        <v>-0.99204917147709371</v>
      </c>
      <c r="J305" s="37">
        <f t="shared" si="102"/>
        <v>3.3321793263828316E-2</v>
      </c>
      <c r="K305" s="37">
        <f t="shared" si="103"/>
        <v>0.98305121672207074</v>
      </c>
      <c r="L305" s="90">
        <f t="shared" si="100"/>
        <v>-3.3056857399511884E-2</v>
      </c>
      <c r="Q305" s="123">
        <v>9.9049955816043235E-3</v>
      </c>
      <c r="R305" s="90">
        <v>0.99624822468354457</v>
      </c>
    </row>
    <row r="306" spans="1:18" x14ac:dyDescent="0.25">
      <c r="A306" s="194">
        <v>0.36380408868346881</v>
      </c>
      <c r="B306" s="195">
        <v>-0.11313743297446971</v>
      </c>
      <c r="C306" s="195">
        <v>0.87727377199280876</v>
      </c>
      <c r="D306" s="196">
        <v>0.29195416642111499</v>
      </c>
      <c r="F306" s="123">
        <f>INDEX(A306:D314,,F301)</f>
        <v>-0.11313743297446971</v>
      </c>
      <c r="G306" s="90">
        <f>INDEX(A302:D310,,G301)</f>
        <v>0.29195416642111499</v>
      </c>
      <c r="I306" s="123">
        <f t="shared" si="101"/>
        <v>-7.2437156550595488E-2</v>
      </c>
      <c r="J306" s="37">
        <f t="shared" si="102"/>
        <v>-6.6061889870172141E-2</v>
      </c>
      <c r="K306" s="37">
        <f t="shared" si="103"/>
        <v>8.8296835591672625E-4</v>
      </c>
      <c r="L306" s="90">
        <f t="shared" si="100"/>
        <v>4.785335458553858E-3</v>
      </c>
      <c r="N306" s="156">
        <f>COS(O304)</f>
        <v>0.99997656523843614</v>
      </c>
      <c r="O306" s="158">
        <f>-N307</f>
        <v>6.8460918734475932E-3</v>
      </c>
      <c r="Q306" s="123">
        <v>-0.11513352667185876</v>
      </c>
      <c r="R306" s="90">
        <v>0.29117277528436813</v>
      </c>
    </row>
    <row r="307" spans="1:18" x14ac:dyDescent="0.25">
      <c r="A307" s="194">
        <v>-2.5687078509134573E-2</v>
      </c>
      <c r="B307" s="195">
        <v>7.5876274687586859E-3</v>
      </c>
      <c r="C307" s="195">
        <v>0.99885089014917405</v>
      </c>
      <c r="D307" s="196">
        <v>-3.9742938432680695E-2</v>
      </c>
      <c r="F307" s="123">
        <f>INDEX(A307:D315,,F301)</f>
        <v>7.5876274687586859E-3</v>
      </c>
      <c r="G307" s="90">
        <f>INDEX(A302:D310,,G301)</f>
        <v>-3.9742938432680695E-2</v>
      </c>
      <c r="I307" s="123">
        <f t="shared" si="101"/>
        <v>-1.5219290646591868E-3</v>
      </c>
      <c r="J307" s="37">
        <f t="shared" si="102"/>
        <v>-6.0310922268198668E-4</v>
      </c>
      <c r="K307" s="37">
        <f t="shared" si="103"/>
        <v>1.952527343370317E-6</v>
      </c>
      <c r="L307" s="90">
        <f t="shared" si="100"/>
        <v>9.1788945516372523E-7</v>
      </c>
      <c r="N307" s="91">
        <f>SIN(O304)</f>
        <v>-6.8460918734475932E-3</v>
      </c>
      <c r="O307" s="93">
        <f>N306</f>
        <v>0.99997656523843614</v>
      </c>
      <c r="Q307" s="123">
        <v>7.8595334623490238E-3</v>
      </c>
      <c r="R307" s="90">
        <v>-3.9690061471642057E-2</v>
      </c>
    </row>
    <row r="308" spans="1:18" x14ac:dyDescent="0.25">
      <c r="A308" s="194">
        <v>0.96514992523199539</v>
      </c>
      <c r="B308" s="195">
        <v>-7.5804471879300636E-3</v>
      </c>
      <c r="C308" s="195">
        <v>0.15744862565809317</v>
      </c>
      <c r="D308" s="196">
        <v>0.2088973166976606</v>
      </c>
      <c r="F308" s="123">
        <f>INDEX(A308:D316,,F301)</f>
        <v>-7.5804471879300636E-3</v>
      </c>
      <c r="G308" s="90">
        <f>INDEX(A302:D310,,G301)</f>
        <v>0.2088973166976606</v>
      </c>
      <c r="I308" s="123">
        <f t="shared" si="101"/>
        <v>-4.3580625743913706E-2</v>
      </c>
      <c r="J308" s="37">
        <f t="shared" si="102"/>
        <v>-3.1670701538538343E-3</v>
      </c>
      <c r="K308" s="37">
        <f t="shared" si="103"/>
        <v>1.8892406068716423E-3</v>
      </c>
      <c r="L308" s="90">
        <f t="shared" si="100"/>
        <v>1.3802289907982317E-4</v>
      </c>
      <c r="Q308" s="123">
        <v>-9.0103997641865288E-3</v>
      </c>
      <c r="R308" s="90">
        <v>0.20884052480096207</v>
      </c>
    </row>
    <row r="309" spans="1:18" x14ac:dyDescent="0.25">
      <c r="A309" s="194">
        <v>0.68595830842996819</v>
      </c>
      <c r="B309" s="195">
        <v>-0.21109683682993088</v>
      </c>
      <c r="C309" s="195">
        <v>0.55392667813846341</v>
      </c>
      <c r="D309" s="196">
        <v>0.42197696598603784</v>
      </c>
      <c r="F309" s="123">
        <f>INDEX(A309:D317,,F301)</f>
        <v>-0.21109683682993088</v>
      </c>
      <c r="G309" s="90">
        <f>INDEX(A302:D310,,G301)</f>
        <v>0.42197696598603784</v>
      </c>
      <c r="I309" s="123">
        <f t="shared" si="101"/>
        <v>-0.13350268530317927</v>
      </c>
      <c r="J309" s="37">
        <f t="shared" si="102"/>
        <v>-0.17815600546948784</v>
      </c>
      <c r="K309" s="37">
        <f t="shared" si="103"/>
        <v>-1.3916595301684462E-2</v>
      </c>
      <c r="L309" s="90">
        <f t="shared" si="100"/>
        <v>2.378430513306452E-2</v>
      </c>
      <c r="Q309" s="123">
        <v>-0.21398078290351197</v>
      </c>
      <c r="R309" s="90">
        <v>0.42052188871732266</v>
      </c>
    </row>
    <row r="310" spans="1:18" x14ac:dyDescent="0.25">
      <c r="A310" s="200">
        <v>8.4728241300446011E-2</v>
      </c>
      <c r="B310" s="201">
        <v>-0.91645865881612842</v>
      </c>
      <c r="C310" s="201">
        <v>-0.222264708071679</v>
      </c>
      <c r="D310" s="202">
        <v>0.32174998267737021</v>
      </c>
      <c r="F310" s="91">
        <f>INDEX(A310:D318,,F301)</f>
        <v>-0.91645865881612842</v>
      </c>
      <c r="G310" s="93">
        <f>INDEX(A302:D310,,G301)</f>
        <v>0.32174998267737021</v>
      </c>
      <c r="I310" s="91">
        <f t="shared" si="101"/>
        <v>0.73637342196616884</v>
      </c>
      <c r="J310" s="92">
        <f t="shared" si="102"/>
        <v>-0.58974111519723049</v>
      </c>
      <c r="K310" s="92">
        <f t="shared" si="103"/>
        <v>0.19445123362409233</v>
      </c>
      <c r="L310" s="93">
        <f t="shared" si="100"/>
        <v>-0.4342696830719292</v>
      </c>
      <c r="Q310" s="91">
        <v>-0.91863991176766535</v>
      </c>
      <c r="R310" s="93">
        <v>0.31546828236677121</v>
      </c>
    </row>
    <row r="311" spans="1:18" x14ac:dyDescent="0.25">
      <c r="I311">
        <f>SUM(I302:I310)</f>
        <v>0.60013220163849768</v>
      </c>
      <c r="J311">
        <f>SUM(J302:J310)</f>
        <v>-0.29980510992936515</v>
      </c>
      <c r="K311">
        <f>SUM(K302:K310)</f>
        <v>1.6222146157290713</v>
      </c>
      <c r="L311">
        <f>SUM(L302:L310)</f>
        <v>-8.359501706385658E-2</v>
      </c>
    </row>
    <row r="312" spans="1:18" x14ac:dyDescent="0.25">
      <c r="A312" s="47" t="s">
        <v>53</v>
      </c>
      <c r="B312">
        <f>COUNT(A302:A310)</f>
        <v>9</v>
      </c>
      <c r="I312" s="47" t="s">
        <v>462</v>
      </c>
      <c r="J312" s="47" t="s">
        <v>389</v>
      </c>
      <c r="K312" s="47" t="s">
        <v>469</v>
      </c>
      <c r="L312" s="47" t="s">
        <v>470</v>
      </c>
      <c r="N312" s="47"/>
    </row>
    <row r="314" spans="1:18" x14ac:dyDescent="0.25">
      <c r="A314">
        <v>1</v>
      </c>
      <c r="B314">
        <v>2</v>
      </c>
      <c r="C314">
        <v>3</v>
      </c>
      <c r="D314">
        <v>4</v>
      </c>
      <c r="F314">
        <v>3</v>
      </c>
      <c r="G314">
        <v>4</v>
      </c>
      <c r="I314" s="47" t="s">
        <v>207</v>
      </c>
      <c r="J314" s="47" t="s">
        <v>464</v>
      </c>
      <c r="K314" s="47" t="s">
        <v>465</v>
      </c>
      <c r="L314" s="47" t="s">
        <v>466</v>
      </c>
      <c r="Q314">
        <f>F314</f>
        <v>3</v>
      </c>
      <c r="R314">
        <f>G314</f>
        <v>4</v>
      </c>
    </row>
    <row r="315" spans="1:18" x14ac:dyDescent="0.25">
      <c r="A315" s="189">
        <f t="array" ref="A315:A323">IF(A314=$Q301,$Q302:$Q310,IF(A314=$R301,$R302:$R310,A302:A310))</f>
        <v>9.8879473993942674E-2</v>
      </c>
      <c r="B315" s="190">
        <f t="array" ref="B315:B323">IF(B314=$Q301,$Q302:$Q310,IF(B314=$R301,$R302:$R310,B302:B310))</f>
        <v>0.89851152861124972</v>
      </c>
      <c r="C315" s="190">
        <f t="array" ref="C315:C323">IF(C314=$Q301,$Q302:$Q310,IF(C314=$R301,$R302:$R310,C302:C310))</f>
        <v>-0.33497095773825841</v>
      </c>
      <c r="D315" s="191">
        <f t="array" ref="D315:D323">IF(D314=$Q301,$Q302:$Q310,IF(D314=$R301,$R302:$R310,D302:D310))</f>
        <v>0.26588407257162017</v>
      </c>
      <c r="F315" s="156">
        <f>INDEX(A315:D323,,F314)</f>
        <v>-0.33497095773825841</v>
      </c>
      <c r="G315" s="158">
        <f>INDEX(A315:D323,,G314)</f>
        <v>0.26588407257162017</v>
      </c>
      <c r="I315" s="156">
        <f>F315^2-G315^2</f>
        <v>4.1511202480815523E-2</v>
      </c>
      <c r="J315" s="157">
        <f>2*F315*G315</f>
        <v>-0.17812688487332842</v>
      </c>
      <c r="K315" s="157">
        <f>I315^2-J315^2</f>
        <v>-3.0006007183272732E-2</v>
      </c>
      <c r="L315" s="158">
        <f t="shared" ref="L315:L323" si="104">I315*J315</f>
        <v>-7.3942611852536519E-3</v>
      </c>
      <c r="N315" t="s">
        <v>390</v>
      </c>
      <c r="O315" s="172">
        <f>L324*B325-2*I324*J324</f>
        <v>0.61241932704464674</v>
      </c>
      <c r="Q315" s="156">
        <f t="array" ref="Q315:R323">MMULT(F315:G323,N319:O320)</f>
        <v>-0.33257772340060204</v>
      </c>
      <c r="R315" s="158">
        <v>0.26887160592563386</v>
      </c>
    </row>
    <row r="316" spans="1:18" x14ac:dyDescent="0.25">
      <c r="A316" s="194">
        <v>0.80229270412160225</v>
      </c>
      <c r="B316" s="195">
        <v>-0.59220139511640235</v>
      </c>
      <c r="C316" s="195">
        <v>7.1816453828360549E-2</v>
      </c>
      <c r="D316" s="196">
        <v>-2.1594478344082832E-2</v>
      </c>
      <c r="F316" s="123">
        <f>INDEX(A316:D324,,F314)</f>
        <v>7.1816453828360549E-2</v>
      </c>
      <c r="G316" s="90">
        <f>INDEX(A315:D323,,G314)</f>
        <v>-2.1594478344082832E-2</v>
      </c>
      <c r="I316" s="123">
        <f t="shared" ref="I316:I323" si="105">F316^2-G316^2</f>
        <v>4.6912815455279798E-3</v>
      </c>
      <c r="J316" s="37">
        <f t="shared" ref="J316:J323" si="106">2*F316*G316</f>
        <v>-3.1016777138907128E-3</v>
      </c>
      <c r="K316" s="37">
        <f t="shared" ref="K316:K323" si="107">I316^2-J316^2</f>
        <v>1.2387717898565073E-5</v>
      </c>
      <c r="L316" s="90">
        <f t="shared" si="104"/>
        <v>-1.4550843419350914E-5</v>
      </c>
      <c r="N316" t="s">
        <v>392</v>
      </c>
      <c r="O316" s="173">
        <f>K324*B325-(I324^2-J324^2)</f>
        <v>17.098041196198267</v>
      </c>
      <c r="Q316" s="123">
        <v>7.1620293981147443E-2</v>
      </c>
      <c r="R316" s="90">
        <v>-2.2236412154125088E-2</v>
      </c>
    </row>
    <row r="317" spans="1:18" x14ac:dyDescent="0.25">
      <c r="A317" s="194">
        <v>0.98358029301055194</v>
      </c>
      <c r="B317" s="195">
        <v>0.13006026459090367</v>
      </c>
      <c r="C317" s="195">
        <v>0.10821882037525249</v>
      </c>
      <c r="D317" s="196">
        <v>6.2791891932077917E-2</v>
      </c>
      <c r="F317" s="123">
        <f>INDEX(A317:D325,,F314)</f>
        <v>0.10821882037525249</v>
      </c>
      <c r="G317" s="90">
        <f>INDEX(A315:D323,,G314)</f>
        <v>6.2791891932077917E-2</v>
      </c>
      <c r="I317" s="123">
        <f t="shared" si="105"/>
        <v>7.7684913910014107E-3</v>
      </c>
      <c r="J317" s="37">
        <f t="shared" si="106"/>
        <v>1.3590528948039611E-2</v>
      </c>
      <c r="K317" s="37">
        <f t="shared" si="107"/>
        <v>-1.2435301859543962E-4</v>
      </c>
      <c r="L317" s="90">
        <f t="shared" si="104"/>
        <v>1.0557790713200118E-4</v>
      </c>
      <c r="N317" t="s">
        <v>467</v>
      </c>
      <c r="O317" s="174">
        <f>0.25*ATAN(O315/O316)</f>
        <v>8.9506982573041675E-3</v>
      </c>
      <c r="Q317" s="123">
        <v>0.10877650920203163</v>
      </c>
      <c r="R317" s="90">
        <v>6.182075558937504E-2</v>
      </c>
    </row>
    <row r="318" spans="1:18" x14ac:dyDescent="0.25">
      <c r="A318" s="194">
        <v>5.9553737097559956E-2</v>
      </c>
      <c r="B318" s="195">
        <v>9.9049955816043235E-3</v>
      </c>
      <c r="C318" s="195">
        <v>6.2005792270796327E-2</v>
      </c>
      <c r="D318" s="196">
        <v>0.99624822468354457</v>
      </c>
      <c r="F318" s="123">
        <f>INDEX(A318:D326,,F314)</f>
        <v>6.2005792270796327E-2</v>
      </c>
      <c r="G318" s="90">
        <f>INDEX(A315:D323,,G314)</f>
        <v>0.99624822468354457</v>
      </c>
      <c r="I318" s="123">
        <f t="shared" si="105"/>
        <v>-0.98866580690998518</v>
      </c>
      <c r="J318" s="37">
        <f t="shared" si="106"/>
        <v>0.12354632093975498</v>
      </c>
      <c r="K318" s="37">
        <f t="shared" si="107"/>
        <v>0.96219638433522314</v>
      </c>
      <c r="L318" s="90">
        <f t="shared" si="104"/>
        <v>-0.12214602308266286</v>
      </c>
      <c r="Q318" s="123">
        <v>7.0920306673564068E-2</v>
      </c>
      <c r="R318" s="90">
        <v>0.99565333001078804</v>
      </c>
    </row>
    <row r="319" spans="1:18" x14ac:dyDescent="0.25">
      <c r="A319" s="194">
        <v>0.36380408868346881</v>
      </c>
      <c r="B319" s="195">
        <v>-0.11513352667185876</v>
      </c>
      <c r="C319" s="195">
        <v>0.87727377199280876</v>
      </c>
      <c r="D319" s="196">
        <v>0.29117277528436813</v>
      </c>
      <c r="F319" s="123">
        <f>INDEX(A319:D327,,F314)</f>
        <v>0.87727377199280876</v>
      </c>
      <c r="G319" s="90">
        <f>INDEX(A315:D323,,G314)</f>
        <v>0.29117277528436813</v>
      </c>
      <c r="I319" s="123">
        <f t="shared" si="105"/>
        <v>0.68482768595968946</v>
      </c>
      <c r="J319" s="37">
        <f t="shared" si="106"/>
        <v>0.51087647775066425</v>
      </c>
      <c r="K319" s="37">
        <f t="shared" si="107"/>
        <v>0.20799418393797814</v>
      </c>
      <c r="L319" s="90">
        <f t="shared" si="104"/>
        <v>0.34986235606922417</v>
      </c>
      <c r="N319" s="156">
        <f>COS(O317)</f>
        <v>0.99995994276778655</v>
      </c>
      <c r="O319" s="158">
        <f>-N320</f>
        <v>-8.9505787435854838E-3</v>
      </c>
      <c r="Q319" s="123">
        <v>0.87984479568678042</v>
      </c>
      <c r="R319" s="90">
        <v>0.28330900373299045</v>
      </c>
    </row>
    <row r="320" spans="1:18" x14ac:dyDescent="0.25">
      <c r="A320" s="194">
        <v>-2.5687078509134573E-2</v>
      </c>
      <c r="B320" s="195">
        <v>7.8595334623490238E-3</v>
      </c>
      <c r="C320" s="195">
        <v>0.99885089014917405</v>
      </c>
      <c r="D320" s="196">
        <v>-3.9690061471642057E-2</v>
      </c>
      <c r="F320" s="123">
        <f>INDEX(A320:D328,,F314)</f>
        <v>0.99885089014917405</v>
      </c>
      <c r="G320" s="90">
        <f>INDEX(A315:D323,,G314)</f>
        <v>-3.9690061471642057E-2</v>
      </c>
      <c r="I320" s="123">
        <f t="shared" si="105"/>
        <v>0.99612779977217458</v>
      </c>
      <c r="J320" s="37">
        <f t="shared" si="106"/>
        <v>-7.928890646205021E-2</v>
      </c>
      <c r="K320" s="37">
        <f t="shared" si="107"/>
        <v>0.98598386279100581</v>
      </c>
      <c r="L320" s="90">
        <f t="shared" si="104"/>
        <v>-7.8981883940383829E-2</v>
      </c>
      <c r="N320" s="91">
        <f>SIN(O317)</f>
        <v>8.9505787435854838E-3</v>
      </c>
      <c r="O320" s="93">
        <f>N319</f>
        <v>0.99995994276778655</v>
      </c>
      <c r="Q320" s="123">
        <v>0.9984556299265811</v>
      </c>
      <c r="R320" s="90">
        <v>-4.8628765143013758E-2</v>
      </c>
    </row>
    <row r="321" spans="1:18" x14ac:dyDescent="0.25">
      <c r="A321" s="194">
        <v>0.96514992523199539</v>
      </c>
      <c r="B321" s="195">
        <v>-9.0103997641865288E-3</v>
      </c>
      <c r="C321" s="195">
        <v>0.15744862565809317</v>
      </c>
      <c r="D321" s="196">
        <v>0.20884052480096207</v>
      </c>
      <c r="F321" s="123">
        <f>INDEX(A321:D329,,F314)</f>
        <v>0.15744862565809317</v>
      </c>
      <c r="G321" s="90">
        <f>INDEX(A315:D323,,G314)</f>
        <v>0.20884052480096207</v>
      </c>
      <c r="I321" s="123">
        <f t="shared" si="105"/>
        <v>-1.8824295077518899E-2</v>
      </c>
      <c r="J321" s="37">
        <f t="shared" si="106"/>
        <v>6.5763307223252798E-2</v>
      </c>
      <c r="K321" s="37">
        <f t="shared" si="107"/>
        <v>-3.9704584917744307E-3</v>
      </c>
      <c r="L321" s="90">
        <f t="shared" si="104"/>
        <v>-1.2379479004440406E-3</v>
      </c>
      <c r="Q321" s="123">
        <v>0.15931156226401624</v>
      </c>
      <c r="R321" s="90">
        <v>0.20742290290554247</v>
      </c>
    </row>
    <row r="322" spans="1:18" x14ac:dyDescent="0.25">
      <c r="A322" s="194">
        <v>0.68595830842996819</v>
      </c>
      <c r="B322" s="195">
        <v>-0.21398078290351197</v>
      </c>
      <c r="C322" s="195">
        <v>0.55392667813846341</v>
      </c>
      <c r="D322" s="196">
        <v>0.42052188871732266</v>
      </c>
      <c r="F322" s="123">
        <f>INDEX(A322:D330,,F314)</f>
        <v>0.55392667813846341</v>
      </c>
      <c r="G322" s="90">
        <f>INDEX(A315:D323,,G314)</f>
        <v>0.42052188871732266</v>
      </c>
      <c r="I322" s="123">
        <f t="shared" si="105"/>
        <v>0.12999610586312854</v>
      </c>
      <c r="J322" s="37">
        <f t="shared" si="106"/>
        <v>0.46587658580339825</v>
      </c>
      <c r="K322" s="37">
        <f t="shared" si="107"/>
        <v>-0.20014200566025336</v>
      </c>
      <c r="L322" s="90">
        <f t="shared" si="104"/>
        <v>6.0562141967251445E-2</v>
      </c>
      <c r="Q322" s="123">
        <v>0.55766840364725367</v>
      </c>
      <c r="R322" s="90">
        <v>0.41554707942352442</v>
      </c>
    </row>
    <row r="323" spans="1:18" x14ac:dyDescent="0.25">
      <c r="A323" s="200">
        <v>8.4728241300446011E-2</v>
      </c>
      <c r="B323" s="201">
        <v>-0.91863991176766535</v>
      </c>
      <c r="C323" s="201">
        <v>-0.222264708071679</v>
      </c>
      <c r="D323" s="202">
        <v>0.31546828236677121</v>
      </c>
      <c r="F323" s="91">
        <f>INDEX(A323:D331,,F314)</f>
        <v>-0.222264708071679</v>
      </c>
      <c r="G323" s="93">
        <f>INDEX(A315:D323,,G314)</f>
        <v>0.31546828236677121</v>
      </c>
      <c r="I323" s="91">
        <f t="shared" si="105"/>
        <v>-5.01186367252522E-2</v>
      </c>
      <c r="J323" s="92">
        <f t="shared" si="106"/>
        <v>-0.14023493137224879</v>
      </c>
      <c r="K323" s="92">
        <f t="shared" si="107"/>
        <v>-1.7153958229781531E-2</v>
      </c>
      <c r="L323" s="93">
        <f t="shared" si="104"/>
        <v>7.0283835816364101E-3</v>
      </c>
      <c r="Q323" s="91">
        <v>-0.21943218106022747</v>
      </c>
      <c r="R323" s="93">
        <v>0.31744504335204404</v>
      </c>
    </row>
    <row r="324" spans="1:18" x14ac:dyDescent="0.25">
      <c r="I324">
        <f>SUM(I315:I323)</f>
        <v>0.80731382829958132</v>
      </c>
      <c r="J324">
        <f>SUM(J315:J323)</f>
        <v>0.77890082024359164</v>
      </c>
      <c r="K324">
        <f>SUM(K315:K323)</f>
        <v>1.904790036198428</v>
      </c>
      <c r="L324">
        <f>SUM(L315:L323)</f>
        <v>0.2077837925730803</v>
      </c>
    </row>
    <row r="325" spans="1:18" x14ac:dyDescent="0.25">
      <c r="A325" s="47" t="s">
        <v>53</v>
      </c>
      <c r="B325">
        <f>COUNT(A315:A323)</f>
        <v>9</v>
      </c>
      <c r="I325" s="47" t="s">
        <v>462</v>
      </c>
      <c r="J325" s="47" t="s">
        <v>389</v>
      </c>
      <c r="K325" s="47" t="s">
        <v>469</v>
      </c>
      <c r="L325" s="47" t="s">
        <v>470</v>
      </c>
      <c r="N325" s="47"/>
    </row>
    <row r="327" spans="1:18" x14ac:dyDescent="0.25">
      <c r="A327">
        <v>1</v>
      </c>
      <c r="B327">
        <v>2</v>
      </c>
      <c r="C327">
        <v>3</v>
      </c>
      <c r="D327">
        <v>4</v>
      </c>
      <c r="F327">
        <v>1</v>
      </c>
      <c r="G327">
        <v>2</v>
      </c>
      <c r="I327" s="47" t="s">
        <v>207</v>
      </c>
      <c r="J327" s="47" t="s">
        <v>464</v>
      </c>
      <c r="K327" s="47" t="s">
        <v>465</v>
      </c>
      <c r="L327" s="47" t="s">
        <v>466</v>
      </c>
      <c r="Q327">
        <f>F327</f>
        <v>1</v>
      </c>
      <c r="R327">
        <f>G327</f>
        <v>2</v>
      </c>
    </row>
    <row r="328" spans="1:18" x14ac:dyDescent="0.25">
      <c r="A328" s="189">
        <f t="array" ref="A328:A336">IF(A327=$Q314,$Q315:$Q323,IF(A327=$R314,$R315:$R323,A315:A323))</f>
        <v>9.8879473993942674E-2</v>
      </c>
      <c r="B328" s="190">
        <f t="array" ref="B328:B336">IF(B327=$Q314,$Q315:$Q323,IF(B327=$R314,$R315:$R323,B315:B323))</f>
        <v>0.89851152861124972</v>
      </c>
      <c r="C328" s="190">
        <f t="array" ref="C328:C336">IF(C327=$Q314,$Q315:$Q323,IF(C327=$R314,$R315:$R323,C315:C323))</f>
        <v>-0.33257772340060204</v>
      </c>
      <c r="D328" s="191">
        <f t="array" ref="D328:D336">IF(D327=$Q314,$Q315:$Q323,IF(D327=$R314,$R315:$R323,D315:D323))</f>
        <v>0.26887160592563386</v>
      </c>
      <c r="F328" s="156">
        <f>INDEX(A328:D336,,F327)</f>
        <v>9.8879473993942674E-2</v>
      </c>
      <c r="G328" s="158">
        <f>INDEX(A328:D336,,G327)</f>
        <v>0.89851152861124972</v>
      </c>
      <c r="I328" s="156">
        <f>F328^2-G328^2</f>
        <v>-0.7975458166700059</v>
      </c>
      <c r="J328" s="157">
        <f>2*F328*G328</f>
        <v>0.17768869465314749</v>
      </c>
      <c r="K328" s="157">
        <f>I328^2-J328^2</f>
        <v>0.60450605748028718</v>
      </c>
      <c r="L328" s="158">
        <f t="shared" ref="L328:L336" si="108">I328*J328</f>
        <v>-0.14171487509017183</v>
      </c>
      <c r="N328" t="s">
        <v>390</v>
      </c>
      <c r="O328" s="172">
        <f>L337*B338-2*I337*J337</f>
        <v>0.54370030674527214</v>
      </c>
      <c r="Q328" s="156">
        <f t="array" ref="Q328:R336">MMULT(F328:G336,N332:O333)</f>
        <v>0.10486797739277315</v>
      </c>
      <c r="R328" s="158">
        <v>0.89783229210259097</v>
      </c>
    </row>
    <row r="329" spans="1:18" x14ac:dyDescent="0.25">
      <c r="A329" s="194">
        <v>0.80229270412160225</v>
      </c>
      <c r="B329" s="195">
        <v>-0.59220139511640235</v>
      </c>
      <c r="C329" s="195">
        <v>7.1620293981147443E-2</v>
      </c>
      <c r="D329" s="196">
        <v>-2.2236412154125088E-2</v>
      </c>
      <c r="F329" s="123">
        <f>INDEX(A329:D337,,F327)</f>
        <v>0.80229270412160225</v>
      </c>
      <c r="G329" s="90">
        <f>INDEX(A328:D336,,G327)</f>
        <v>-0.59220139511640235</v>
      </c>
      <c r="I329" s="123">
        <f t="shared" ref="I329:I336" si="109">F329^2-G329^2</f>
        <v>0.29297109070893951</v>
      </c>
      <c r="J329" s="37">
        <f t="shared" ref="J329:J336" si="110">2*F329*G329</f>
        <v>-0.95023771734504769</v>
      </c>
      <c r="K329" s="37">
        <f t="shared" ref="K329:K336" si="111">I329^2-J329^2</f>
        <v>-0.81711965947394105</v>
      </c>
      <c r="L329" s="90">
        <f t="shared" si="108"/>
        <v>-0.27839218048335157</v>
      </c>
      <c r="N329" t="s">
        <v>392</v>
      </c>
      <c r="O329" s="173">
        <f>K337*B338-(I337^2-J337^2)</f>
        <v>20.381651898423154</v>
      </c>
      <c r="Q329" s="123">
        <v>0.79832645067819863</v>
      </c>
      <c r="R329" s="90">
        <v>-0.59753740770943853</v>
      </c>
    </row>
    <row r="330" spans="1:18" x14ac:dyDescent="0.25">
      <c r="A330" s="194">
        <v>0.98358029301055194</v>
      </c>
      <c r="B330" s="195">
        <v>0.13006026459090367</v>
      </c>
      <c r="C330" s="195">
        <v>0.10877650920203163</v>
      </c>
      <c r="D330" s="196">
        <v>6.182075558937504E-2</v>
      </c>
      <c r="F330" s="123">
        <f>INDEX(A330:D338,,F327)</f>
        <v>0.98358029301055194</v>
      </c>
      <c r="G330" s="90">
        <f>INDEX(A328:D336,,G327)</f>
        <v>0.13006026459090367</v>
      </c>
      <c r="I330" s="123">
        <f t="shared" si="109"/>
        <v>0.95051452037326734</v>
      </c>
      <c r="J330" s="37">
        <f t="shared" si="110"/>
        <v>0.2558494263107019</v>
      </c>
      <c r="K330" s="37">
        <f t="shared" si="111"/>
        <v>0.83801892449690718</v>
      </c>
      <c r="L330" s="90">
        <f t="shared" si="108"/>
        <v>0.24318859473749241</v>
      </c>
      <c r="N330" t="s">
        <v>467</v>
      </c>
      <c r="O330" s="174">
        <f>0.25*ATAN(O328/O329)</f>
        <v>6.6674109323231331E-3</v>
      </c>
      <c r="Q330" s="123">
        <v>0.98442558967625182</v>
      </c>
      <c r="R330" s="90">
        <v>0.12349948831773735</v>
      </c>
    </row>
    <row r="331" spans="1:18" x14ac:dyDescent="0.25">
      <c r="A331" s="194">
        <v>5.9553737097559956E-2</v>
      </c>
      <c r="B331" s="195">
        <v>9.9049955816043235E-3</v>
      </c>
      <c r="C331" s="195">
        <v>7.0920306673564068E-2</v>
      </c>
      <c r="D331" s="196">
        <v>0.99565333001078804</v>
      </c>
      <c r="F331" s="123">
        <f>INDEX(A331:D339,,F327)</f>
        <v>5.9553737097559956E-2</v>
      </c>
      <c r="G331" s="90">
        <f>INDEX(A328:D336,,G327)</f>
        <v>9.9049955816043235E-3</v>
      </c>
      <c r="I331" s="123">
        <f t="shared" si="109"/>
        <v>3.4485386648136877E-3</v>
      </c>
      <c r="J331" s="37">
        <f t="shared" si="110"/>
        <v>1.1797590056387137E-3</v>
      </c>
      <c r="K331" s="37">
        <f t="shared" si="111"/>
        <v>1.0500587611329326E-5</v>
      </c>
      <c r="L331" s="90">
        <f t="shared" si="108"/>
        <v>4.0684445461072533E-6</v>
      </c>
      <c r="Q331" s="123">
        <v>5.9618453577102298E-2</v>
      </c>
      <c r="R331" s="90">
        <v>9.5077091263767888E-3</v>
      </c>
    </row>
    <row r="332" spans="1:18" x14ac:dyDescent="0.25">
      <c r="A332" s="194">
        <v>0.36380408868346881</v>
      </c>
      <c r="B332" s="195">
        <v>-0.11513352667185876</v>
      </c>
      <c r="C332" s="195">
        <v>0.87984479568678042</v>
      </c>
      <c r="D332" s="196">
        <v>0.28330900373299045</v>
      </c>
      <c r="F332" s="123">
        <f>INDEX(A332:D340,,F327)</f>
        <v>0.36380408868346881</v>
      </c>
      <c r="G332" s="90">
        <f>INDEX(A328:D336,,G327)</f>
        <v>-0.11513352667185876</v>
      </c>
      <c r="I332" s="123">
        <f t="shared" si="109"/>
        <v>0.11909768597890964</v>
      </c>
      <c r="J332" s="37">
        <f t="shared" si="110"/>
        <v>-8.3772095495538851E-2</v>
      </c>
      <c r="K332" s="37">
        <f t="shared" si="111"/>
        <v>7.1664948218172894E-3</v>
      </c>
      <c r="L332" s="90">
        <f t="shared" si="108"/>
        <v>-9.9770627231229175E-3</v>
      </c>
      <c r="N332" s="156">
        <f>COS(O330)</f>
        <v>0.99997777289807088</v>
      </c>
      <c r="O332" s="158">
        <f>-N333</f>
        <v>-6.6673615331758005E-3</v>
      </c>
      <c r="Q332" s="123">
        <v>0.3630283655259966</v>
      </c>
      <c r="R332" s="90">
        <v>-0.1175565809737262</v>
      </c>
    </row>
    <row r="333" spans="1:18" x14ac:dyDescent="0.25">
      <c r="A333" s="194">
        <v>-2.5687078509134573E-2</v>
      </c>
      <c r="B333" s="195">
        <v>7.8595334623490238E-3</v>
      </c>
      <c r="C333" s="195">
        <v>0.9984556299265811</v>
      </c>
      <c r="D333" s="196">
        <v>-4.8628765143013758E-2</v>
      </c>
      <c r="F333" s="123">
        <f>INDEX(A333:D341,,F327)</f>
        <v>-2.5687078509134573E-2</v>
      </c>
      <c r="G333" s="90">
        <f>INDEX(A328:D336,,G327)</f>
        <v>7.8595334623490238E-3</v>
      </c>
      <c r="I333" s="123">
        <f t="shared" si="109"/>
        <v>5.9805373608865918E-4</v>
      </c>
      <c r="J333" s="37">
        <f t="shared" si="110"/>
        <v>-4.0377690618505929E-4</v>
      </c>
      <c r="K333" s="37">
        <f t="shared" si="111"/>
        <v>1.9463248128122541E-7</v>
      </c>
      <c r="L333" s="90">
        <f t="shared" si="108"/>
        <v>-2.4148028729029476E-7</v>
      </c>
      <c r="N333" s="91">
        <f>SIN(O330)</f>
        <v>6.6673615331758005E-3</v>
      </c>
      <c r="O333" s="93">
        <f>N332</f>
        <v>0.99997777289807088</v>
      </c>
      <c r="Q333" s="123">
        <v>-2.5634105208746715E-2</v>
      </c>
      <c r="R333" s="90">
        <v>8.0306238068491107E-3</v>
      </c>
    </row>
    <row r="334" spans="1:18" x14ac:dyDescent="0.25">
      <c r="A334" s="194">
        <v>0.96514992523199539</v>
      </c>
      <c r="B334" s="195">
        <v>-9.0103997641865288E-3</v>
      </c>
      <c r="C334" s="195">
        <v>0.15931156226401624</v>
      </c>
      <c r="D334" s="196">
        <v>0.20742290290554247</v>
      </c>
      <c r="F334" s="123">
        <f>INDEX(A334:D342,,F327)</f>
        <v>0.96514992523199539</v>
      </c>
      <c r="G334" s="90">
        <f>INDEX(A328:D336,,G327)</f>
        <v>-9.0103997641865288E-3</v>
      </c>
      <c r="I334" s="123">
        <f t="shared" si="109"/>
        <v>0.93143319087141585</v>
      </c>
      <c r="J334" s="37">
        <f t="shared" si="110"/>
        <v>-1.7392773317430034E-2</v>
      </c>
      <c r="K334" s="37">
        <f t="shared" si="111"/>
        <v>0.86726528049323581</v>
      </c>
      <c r="L334" s="90">
        <f t="shared" si="108"/>
        <v>-1.6200206349157076E-2</v>
      </c>
      <c r="Q334" s="123">
        <v>0.96506839715344406</v>
      </c>
      <c r="R334" s="90">
        <v>-1.5445202974351854E-2</v>
      </c>
    </row>
    <row r="335" spans="1:18" x14ac:dyDescent="0.25">
      <c r="A335" s="194">
        <v>0.68595830842996819</v>
      </c>
      <c r="B335" s="195">
        <v>-0.21398078290351197</v>
      </c>
      <c r="C335" s="195">
        <v>0.55766840364725367</v>
      </c>
      <c r="D335" s="196">
        <v>0.41554707942352442</v>
      </c>
      <c r="F335" s="123">
        <f>INDEX(A335:D343,,F327)</f>
        <v>0.68595830842996819</v>
      </c>
      <c r="G335" s="90">
        <f>INDEX(A328:D336,,G327)</f>
        <v>-0.21398078290351197</v>
      </c>
      <c r="I335" s="123">
        <f t="shared" si="109"/>
        <v>0.42475102545210347</v>
      </c>
      <c r="J335" s="37">
        <f t="shared" si="110"/>
        <v>-0.29356379175402664</v>
      </c>
      <c r="K335" s="37">
        <f t="shared" si="111"/>
        <v>9.4233733793611926E-2</v>
      </c>
      <c r="L335" s="90">
        <f t="shared" si="108"/>
        <v>-0.12469152158313057</v>
      </c>
      <c r="Q335" s="123">
        <v>0.68451637432395795</v>
      </c>
      <c r="R335" s="90">
        <v>-0.21854955876982779</v>
      </c>
    </row>
    <row r="336" spans="1:18" x14ac:dyDescent="0.25">
      <c r="A336" s="200">
        <v>8.4728241300446011E-2</v>
      </c>
      <c r="B336" s="201">
        <v>-0.91863991176766535</v>
      </c>
      <c r="C336" s="201">
        <v>-0.21943218106022747</v>
      </c>
      <c r="D336" s="202">
        <v>0.31744504335204404</v>
      </c>
      <c r="F336" s="91">
        <f>INDEX(A336:D344,,F327)</f>
        <v>8.4728241300446011E-2</v>
      </c>
      <c r="G336" s="93">
        <f>INDEX(A328:D336,,G327)</f>
        <v>-0.91863991176766535</v>
      </c>
      <c r="I336" s="91">
        <f t="shared" si="109"/>
        <v>-0.83672041261863739</v>
      </c>
      <c r="J336" s="92">
        <f t="shared" si="110"/>
        <v>-0.15566948822494237</v>
      </c>
      <c r="K336" s="92">
        <f t="shared" si="111"/>
        <v>0.67586805932848737</v>
      </c>
      <c r="L336" s="93">
        <f t="shared" si="108"/>
        <v>0.13025183841970589</v>
      </c>
      <c r="Q336" s="91">
        <v>7.860145362663061E-2</v>
      </c>
      <c r="R336" s="93">
        <v>-0.91918440688153058</v>
      </c>
    </row>
    <row r="337" spans="1:18" x14ac:dyDescent="0.25">
      <c r="I337">
        <f>SUM(I328:I336)</f>
        <v>1.0885478764968948</v>
      </c>
      <c r="J337">
        <f>SUM(J328:J336)</f>
        <v>-1.0663217630736825</v>
      </c>
      <c r="K337">
        <f>SUM(K328:K336)</f>
        <v>2.2699495861604984</v>
      </c>
      <c r="L337">
        <f>SUM(L328:L336)</f>
        <v>-0.1975315861074769</v>
      </c>
    </row>
    <row r="338" spans="1:18" x14ac:dyDescent="0.25">
      <c r="A338" s="47" t="s">
        <v>53</v>
      </c>
      <c r="B338">
        <f>COUNT(A328:A336)</f>
        <v>9</v>
      </c>
      <c r="I338" s="47" t="s">
        <v>462</v>
      </c>
      <c r="J338" s="47" t="s">
        <v>389</v>
      </c>
      <c r="K338" s="47" t="s">
        <v>469</v>
      </c>
      <c r="L338" s="47" t="s">
        <v>470</v>
      </c>
      <c r="N338" s="47"/>
    </row>
    <row r="340" spans="1:18" x14ac:dyDescent="0.25">
      <c r="A340">
        <v>1</v>
      </c>
      <c r="B340">
        <v>2</v>
      </c>
      <c r="C340">
        <v>3</v>
      </c>
      <c r="D340">
        <v>4</v>
      </c>
      <c r="F340">
        <v>1</v>
      </c>
      <c r="G340">
        <v>3</v>
      </c>
      <c r="I340" s="47" t="s">
        <v>207</v>
      </c>
      <c r="J340" s="47" t="s">
        <v>464</v>
      </c>
      <c r="K340" s="47" t="s">
        <v>465</v>
      </c>
      <c r="L340" s="47" t="s">
        <v>466</v>
      </c>
      <c r="Q340">
        <f>F340</f>
        <v>1</v>
      </c>
      <c r="R340">
        <f>G340</f>
        <v>3</v>
      </c>
    </row>
    <row r="341" spans="1:18" x14ac:dyDescent="0.25">
      <c r="A341" s="189">
        <f t="array" ref="A341:A349">IF(A340=$Q327,$Q328:$Q336,IF(A340=$R327,$R328:$R336,A328:A336))</f>
        <v>0.10486797739277315</v>
      </c>
      <c r="B341" s="190">
        <f t="array" ref="B341:B349">IF(B340=$Q327,$Q328:$Q336,IF(B340=$R327,$R328:$R336,B328:B336))</f>
        <v>0.89783229210259097</v>
      </c>
      <c r="C341" s="190">
        <f t="array" ref="C341:C349">IF(C340=$Q327,$Q328:$Q336,IF(C340=$R327,$R328:$R336,C328:C336))</f>
        <v>-0.33257772340060204</v>
      </c>
      <c r="D341" s="191">
        <f t="array" ref="D341:D349">IF(D340=$Q327,$Q328:$Q336,IF(D340=$R327,$R328:$R336,D328:D336))</f>
        <v>0.26887160592563386</v>
      </c>
      <c r="F341" s="156">
        <f>INDEX(A341:D349,,F340)</f>
        <v>0.10486797739277315</v>
      </c>
      <c r="G341" s="158">
        <f>INDEX(A341:D349,,G340)</f>
        <v>-0.33257772340060204</v>
      </c>
      <c r="I341" s="156">
        <f>F341^2-G341^2</f>
        <v>-9.9610649419876171E-2</v>
      </c>
      <c r="J341" s="157">
        <f>2*F341*G341</f>
        <v>-6.9753506357828593E-2</v>
      </c>
      <c r="K341" s="157">
        <f>I341^2-J341^2</f>
        <v>5.0567298286378426E-3</v>
      </c>
      <c r="L341" s="158">
        <f t="shared" ref="L341:L349" si="112">I341*J341</f>
        <v>6.9481920676167678E-3</v>
      </c>
      <c r="N341" t="s">
        <v>390</v>
      </c>
      <c r="O341" s="172">
        <f>L350*B351-2*I350*J350</f>
        <v>-0.36892395362766672</v>
      </c>
      <c r="Q341" s="156">
        <f t="array" ref="Q341:R349">MMULT(F341:G349,N345:O346)</f>
        <v>0.10611178030985033</v>
      </c>
      <c r="R341" s="158">
        <v>-0.33218296895574373</v>
      </c>
    </row>
    <row r="342" spans="1:18" x14ac:dyDescent="0.25">
      <c r="A342" s="194">
        <v>0.79832645067819863</v>
      </c>
      <c r="B342" s="195">
        <v>-0.59753740770943853</v>
      </c>
      <c r="C342" s="195">
        <v>7.1620293981147443E-2</v>
      </c>
      <c r="D342" s="196">
        <v>-2.2236412154125088E-2</v>
      </c>
      <c r="F342" s="123">
        <f>INDEX(A342:D350,,F340)</f>
        <v>0.79832645067819863</v>
      </c>
      <c r="G342" s="90">
        <f>INDEX(A341:D349,,G340)</f>
        <v>7.1620293981147443E-2</v>
      </c>
      <c r="I342" s="123">
        <f t="shared" ref="I342:I349" si="113">F342^2-G342^2</f>
        <v>0.63219565534250433</v>
      </c>
      <c r="J342" s="37">
        <f t="shared" ref="J342:J349" si="114">2*F342*G342</f>
        <v>0.11435275018099718</v>
      </c>
      <c r="K342" s="37">
        <f t="shared" ref="K342:K349" si="115">I342^2-J342^2</f>
        <v>0.38659479515998096</v>
      </c>
      <c r="L342" s="90">
        <f t="shared" si="112"/>
        <v>7.2293311840893187E-2</v>
      </c>
      <c r="N342" t="s">
        <v>392</v>
      </c>
      <c r="O342" s="173">
        <f>K350*B351-(I350^2-J350^2)</f>
        <v>24.64499291792098</v>
      </c>
      <c r="Q342" s="123">
        <v>0.79805285118255032</v>
      </c>
      <c r="R342" s="90">
        <v>7.4607205294116061E-2</v>
      </c>
    </row>
    <row r="343" spans="1:18" x14ac:dyDescent="0.25">
      <c r="A343" s="194">
        <v>0.98442558967625182</v>
      </c>
      <c r="B343" s="195">
        <v>0.12349948831773735</v>
      </c>
      <c r="C343" s="195">
        <v>0.10877650920203163</v>
      </c>
      <c r="D343" s="196">
        <v>6.182075558937504E-2</v>
      </c>
      <c r="F343" s="123">
        <f>INDEX(A343:D351,,F340)</f>
        <v>0.98442558967625182</v>
      </c>
      <c r="G343" s="90">
        <f>INDEX(A341:D349,,G340)</f>
        <v>0.10877650920203163</v>
      </c>
      <c r="I343" s="123">
        <f t="shared" si="113"/>
        <v>0.95726141265525644</v>
      </c>
      <c r="J343" s="37">
        <f t="shared" si="114"/>
        <v>0.21416475842826846</v>
      </c>
      <c r="K343" s="37">
        <f t="shared" si="115"/>
        <v>0.87048286840609856</v>
      </c>
      <c r="L343" s="90">
        <f t="shared" si="112"/>
        <v>0.20501165919401601</v>
      </c>
      <c r="N343" t="s">
        <v>467</v>
      </c>
      <c r="O343" s="174">
        <f>0.25*ATAN(O341/O342)</f>
        <v>-3.7421029249457838E-3</v>
      </c>
      <c r="Q343" s="123">
        <v>0.98401164512074712</v>
      </c>
      <c r="R343" s="90">
        <v>0.11245956086690263</v>
      </c>
    </row>
    <row r="344" spans="1:18" x14ac:dyDescent="0.25">
      <c r="A344" s="194">
        <v>5.9618453577102298E-2</v>
      </c>
      <c r="B344" s="195">
        <v>9.5077091263767888E-3</v>
      </c>
      <c r="C344" s="195">
        <v>7.0920306673564068E-2</v>
      </c>
      <c r="D344" s="196">
        <v>0.99565333001078804</v>
      </c>
      <c r="F344" s="123">
        <f>INDEX(A344:D352,,F340)</f>
        <v>5.9618453577102298E-2</v>
      </c>
      <c r="G344" s="90">
        <f>INDEX(A341:D349,,G340)</f>
        <v>7.0920306673564068E-2</v>
      </c>
      <c r="I344" s="123">
        <f t="shared" si="113"/>
        <v>-1.4753298917472746E-3</v>
      </c>
      <c r="J344" s="37">
        <f t="shared" si="114"/>
        <v>8.4563180221834747E-3</v>
      </c>
      <c r="K344" s="37">
        <f t="shared" si="115"/>
        <v>-6.9332716202822017E-5</v>
      </c>
      <c r="L344" s="90">
        <f t="shared" si="112"/>
        <v>-1.2475858752248473E-5</v>
      </c>
      <c r="Q344" s="123">
        <v>5.9352645681373162E-2</v>
      </c>
      <c r="R344" s="90">
        <v>7.1142907982587086E-2</v>
      </c>
    </row>
    <row r="345" spans="1:18" x14ac:dyDescent="0.25">
      <c r="A345" s="194">
        <v>0.3630283655259966</v>
      </c>
      <c r="B345" s="195">
        <v>-0.1175565809737262</v>
      </c>
      <c r="C345" s="195">
        <v>0.87984479568678042</v>
      </c>
      <c r="D345" s="196">
        <v>0.28330900373299045</v>
      </c>
      <c r="F345" s="123">
        <f>INDEX(A345:D353,,F340)</f>
        <v>0.3630283655259966</v>
      </c>
      <c r="G345" s="90">
        <f>INDEX(A341:D349,,G340)</f>
        <v>0.87984479568678042</v>
      </c>
      <c r="I345" s="123">
        <f t="shared" si="113"/>
        <v>-0.64233727032063581</v>
      </c>
      <c r="J345" s="37">
        <f t="shared" si="114"/>
        <v>0.63881723618945263</v>
      </c>
      <c r="K345" s="37">
        <f t="shared" si="115"/>
        <v>4.5097075902346129E-3</v>
      </c>
      <c r="L345" s="90">
        <f t="shared" si="112"/>
        <v>-0.41033611972770589</v>
      </c>
      <c r="N345" s="156">
        <f>COS(O343)</f>
        <v>0.99999299834102007</v>
      </c>
      <c r="O345" s="158">
        <f>-N346</f>
        <v>3.7420941912988579E-3</v>
      </c>
      <c r="Q345" s="123">
        <v>0.35973336162599712</v>
      </c>
      <c r="R345" s="90">
        <v>0.88119712165147734</v>
      </c>
    </row>
    <row r="346" spans="1:18" x14ac:dyDescent="0.25">
      <c r="A346" s="194">
        <v>-2.5634105208746715E-2</v>
      </c>
      <c r="B346" s="195">
        <v>8.0306238068491107E-3</v>
      </c>
      <c r="C346" s="195">
        <v>0.9984556299265811</v>
      </c>
      <c r="D346" s="196">
        <v>-4.8628765143013758E-2</v>
      </c>
      <c r="F346" s="123">
        <f>INDEX(A346:D354,,F340)</f>
        <v>-2.5634105208746715E-2</v>
      </c>
      <c r="G346" s="90">
        <f>INDEX(A341:D349,,G340)</f>
        <v>0.9984556299265811</v>
      </c>
      <c r="I346" s="123">
        <f t="shared" si="113"/>
        <v>-0.99625653758223276</v>
      </c>
      <c r="J346" s="37">
        <f t="shared" si="114"/>
        <v>-5.1189033327606909E-2</v>
      </c>
      <c r="K346" s="37">
        <f t="shared" si="115"/>
        <v>0.98990677154232398</v>
      </c>
      <c r="L346" s="90">
        <f t="shared" si="112"/>
        <v>5.0997409105143179E-2</v>
      </c>
      <c r="N346" s="91">
        <f>SIN(O343)</f>
        <v>-3.7420941912988579E-3</v>
      </c>
      <c r="O346" s="93">
        <f>N345</f>
        <v>0.99999299834102007</v>
      </c>
      <c r="Q346" s="123">
        <v>-2.9370240740501687E-2</v>
      </c>
      <c r="R346" s="90">
        <v>0.99835271384455293</v>
      </c>
    </row>
    <row r="347" spans="1:18" x14ac:dyDescent="0.25">
      <c r="A347" s="194">
        <v>0.96506839715344406</v>
      </c>
      <c r="B347" s="195">
        <v>-1.5445202974351854E-2</v>
      </c>
      <c r="C347" s="195">
        <v>0.15931156226401624</v>
      </c>
      <c r="D347" s="196">
        <v>0.20742290290554247</v>
      </c>
      <c r="F347" s="123">
        <f>INDEX(A347:D355,,F340)</f>
        <v>0.96506839715344406</v>
      </c>
      <c r="G347" s="90">
        <f>INDEX(A341:D349,,G340)</f>
        <v>0.15931156226401624</v>
      </c>
      <c r="I347" s="123">
        <f t="shared" si="113"/>
        <v>0.90597683731331613</v>
      </c>
      <c r="J347" s="37">
        <f t="shared" si="114"/>
        <v>0.30749310808429053</v>
      </c>
      <c r="K347" s="37">
        <f t="shared" si="115"/>
        <v>0.72624201822890178</v>
      </c>
      <c r="L347" s="90">
        <f t="shared" si="112"/>
        <v>0.27858163355784721</v>
      </c>
      <c r="Q347" s="123">
        <v>0.96446548120188003</v>
      </c>
      <c r="R347" s="90">
        <v>0.16292182366197971</v>
      </c>
    </row>
    <row r="348" spans="1:18" x14ac:dyDescent="0.25">
      <c r="A348" s="194">
        <v>0.68451637432395795</v>
      </c>
      <c r="B348" s="195">
        <v>-0.21854955876982779</v>
      </c>
      <c r="C348" s="195">
        <v>0.55766840364725367</v>
      </c>
      <c r="D348" s="196">
        <v>0.41554707942352442</v>
      </c>
      <c r="F348" s="123">
        <f>INDEX(A348:D356,,F340)</f>
        <v>0.68451637432395795</v>
      </c>
      <c r="G348" s="90">
        <f>INDEX(A341:D349,,G340)</f>
        <v>0.55766840364725367</v>
      </c>
      <c r="I348" s="123">
        <f t="shared" si="113"/>
        <v>0.15756861829114066</v>
      </c>
      <c r="J348" s="37">
        <f t="shared" si="114"/>
        <v>0.76346630747929511</v>
      </c>
      <c r="K348" s="37">
        <f t="shared" si="115"/>
        <v>-0.55805293318589033</v>
      </c>
      <c r="L348" s="90">
        <f t="shared" si="112"/>
        <v>0.12029833118135168</v>
      </c>
      <c r="Q348" s="123">
        <v>0.68242473387977942</v>
      </c>
      <c r="R348" s="90">
        <v>0.56022602379147401</v>
      </c>
    </row>
    <row r="349" spans="1:18" x14ac:dyDescent="0.25">
      <c r="A349" s="200">
        <v>7.860145362663061E-2</v>
      </c>
      <c r="B349" s="201">
        <v>-0.91918440688153058</v>
      </c>
      <c r="C349" s="201">
        <v>-0.21943218106022747</v>
      </c>
      <c r="D349" s="202">
        <v>0.31744504335204404</v>
      </c>
      <c r="F349" s="91">
        <f>INDEX(A349:D357,,F340)</f>
        <v>7.860145362663061E-2</v>
      </c>
      <c r="G349" s="93">
        <f>INDEX(A341:D349,,G340)</f>
        <v>-0.21943218106022747</v>
      </c>
      <c r="I349" s="91">
        <f t="shared" si="113"/>
        <v>-4.1972293572629084E-2</v>
      </c>
      <c r="J349" s="92">
        <f t="shared" si="114"/>
        <v>-3.4495376807591759E-2</v>
      </c>
      <c r="K349" s="92">
        <f t="shared" si="115"/>
        <v>5.7174240664922132E-4</v>
      </c>
      <c r="L349" s="93">
        <f t="shared" si="112"/>
        <v>1.447850082266702E-3</v>
      </c>
      <c r="Q349" s="91">
        <v>7.9422039176186496E-2</v>
      </c>
      <c r="R349" s="93">
        <v>-0.21913651062788261</v>
      </c>
    </row>
    <row r="350" spans="1:18" x14ac:dyDescent="0.25">
      <c r="I350">
        <f>SUM(I341:I349)</f>
        <v>0.87135044281509633</v>
      </c>
      <c r="J350">
        <f>SUM(J341:J349)</f>
        <v>1.8913125618914601</v>
      </c>
      <c r="K350">
        <f>SUM(K341:K349)</f>
        <v>2.4252423672607342</v>
      </c>
      <c r="L350">
        <f>SUM(L341:L349)</f>
        <v>0.32522979144267661</v>
      </c>
    </row>
    <row r="351" spans="1:18" x14ac:dyDescent="0.25">
      <c r="A351" s="47" t="s">
        <v>53</v>
      </c>
      <c r="B351">
        <f>COUNT(A341:A349)</f>
        <v>9</v>
      </c>
      <c r="I351" s="47" t="s">
        <v>462</v>
      </c>
      <c r="J351" s="47" t="s">
        <v>389</v>
      </c>
      <c r="K351" s="47" t="s">
        <v>469</v>
      </c>
      <c r="L351" s="47" t="s">
        <v>470</v>
      </c>
      <c r="N351" s="47"/>
    </row>
    <row r="353" spans="1:18" x14ac:dyDescent="0.25">
      <c r="A353">
        <v>1</v>
      </c>
      <c r="B353">
        <v>2</v>
      </c>
      <c r="C353">
        <v>3</v>
      </c>
      <c r="D353">
        <v>4</v>
      </c>
      <c r="F353">
        <v>1</v>
      </c>
      <c r="G353">
        <v>4</v>
      </c>
      <c r="I353" s="47" t="s">
        <v>207</v>
      </c>
      <c r="J353" s="47" t="s">
        <v>464</v>
      </c>
      <c r="K353" s="47" t="s">
        <v>465</v>
      </c>
      <c r="L353" s="47" t="s">
        <v>466</v>
      </c>
      <c r="Q353">
        <f>F353</f>
        <v>1</v>
      </c>
      <c r="R353">
        <f>G353</f>
        <v>4</v>
      </c>
    </row>
    <row r="354" spans="1:18" x14ac:dyDescent="0.25">
      <c r="A354" s="189">
        <f t="array" ref="A354:A362">IF(A353=$Q340,$Q341:$Q349,IF(A353=$R340,$R341:$R349,A341:A349))</f>
        <v>0.10611178030985033</v>
      </c>
      <c r="B354" s="190">
        <f t="array" ref="B354:B362">IF(B353=$Q340,$Q341:$Q349,IF(B353=$R340,$R341:$R349,B341:B349))</f>
        <v>0.89783229210259097</v>
      </c>
      <c r="C354" s="190">
        <f t="array" ref="C354:C362">IF(C353=$Q340,$Q341:$Q349,IF(C353=$R340,$R341:$R349,C341:C349))</f>
        <v>-0.33218296895574373</v>
      </c>
      <c r="D354" s="191">
        <f t="array" ref="D354:D362">IF(D353=$Q340,$Q341:$Q349,IF(D353=$R340,$R341:$R349,D341:D349))</f>
        <v>0.26887160592563386</v>
      </c>
      <c r="F354" s="156">
        <f>INDEX(A354:D362,,F353)</f>
        <v>0.10611178030985033</v>
      </c>
      <c r="G354" s="158">
        <f>INDEX(A354:D362,,G353)</f>
        <v>0.26887160592563386</v>
      </c>
      <c r="I354" s="156">
        <f>F354^2-G354^2</f>
        <v>-6.1032230552503411E-2</v>
      </c>
      <c r="J354" s="157">
        <f>2*F354*G354</f>
        <v>5.7060889559075026E-2</v>
      </c>
      <c r="K354" s="157">
        <f>I354^2-J354^2</f>
        <v>4.6898804894097328E-4</v>
      </c>
      <c r="L354" s="158">
        <f t="shared" ref="L354:L362" si="116">I354*J354</f>
        <v>-3.4825533671004015E-3</v>
      </c>
      <c r="N354" t="s">
        <v>390</v>
      </c>
      <c r="O354" s="172">
        <f>L363*B364-2*I363*J363</f>
        <v>-0.49997297081974867</v>
      </c>
      <c r="Q354" s="156">
        <f t="array" ref="Q354:R362">MMULT(F354:G362,N358:O359)</f>
        <v>0.10465719368085187</v>
      </c>
      <c r="R354" s="158">
        <v>0.26944112938525916</v>
      </c>
    </row>
    <row r="355" spans="1:18" x14ac:dyDescent="0.25">
      <c r="A355" s="194">
        <v>0.79805285118255032</v>
      </c>
      <c r="B355" s="195">
        <v>-0.59753740770943853</v>
      </c>
      <c r="C355" s="195">
        <v>7.4607205294116061E-2</v>
      </c>
      <c r="D355" s="196">
        <v>-2.2236412154125088E-2</v>
      </c>
      <c r="F355" s="123">
        <f>INDEX(A355:D363,,F353)</f>
        <v>0.79805285118255032</v>
      </c>
      <c r="G355" s="90">
        <f>INDEX(A354:D362,,G353)</f>
        <v>-2.2236412154125088E-2</v>
      </c>
      <c r="I355" s="123">
        <f t="shared" ref="I355:I362" si="117">F355^2-G355^2</f>
        <v>0.6363938952551097</v>
      </c>
      <c r="J355" s="37">
        <f t="shared" ref="J355:J362" si="118">2*F355*G355</f>
        <v>-3.5491664239339686E-2</v>
      </c>
      <c r="K355" s="37">
        <f t="shared" ref="K355:K362" si="119">I355^2-J355^2</f>
        <v>0.40373753168749349</v>
      </c>
      <c r="L355" s="90">
        <f t="shared" si="116"/>
        <v>-2.2586678454359861E-2</v>
      </c>
      <c r="N355" t="s">
        <v>392</v>
      </c>
      <c r="O355" s="173">
        <f>K363*B364-(I363^2-J363^2)</f>
        <v>23.125173780081727</v>
      </c>
      <c r="Q355" s="123">
        <v>0.798161367476248</v>
      </c>
      <c r="R355" s="90">
        <v>-1.7923246763123561E-2</v>
      </c>
    </row>
    <row r="356" spans="1:18" x14ac:dyDescent="0.25">
      <c r="A356" s="194">
        <v>0.98401164512074712</v>
      </c>
      <c r="B356" s="195">
        <v>0.12349948831773735</v>
      </c>
      <c r="C356" s="195">
        <v>0.11245956086690263</v>
      </c>
      <c r="D356" s="196">
        <v>6.182075558937504E-2</v>
      </c>
      <c r="F356" s="123">
        <f>INDEX(A356:D364,,F353)</f>
        <v>0.98401164512074712</v>
      </c>
      <c r="G356" s="90">
        <f>INDEX(A354:D362,,G353)</f>
        <v>6.182075558937504E-2</v>
      </c>
      <c r="I356" s="123">
        <f t="shared" si="117"/>
        <v>0.96445711191159789</v>
      </c>
      <c r="J356" s="37">
        <f t="shared" si="118"/>
        <v>0.12166468682021711</v>
      </c>
      <c r="K356" s="37">
        <f t="shared" si="119"/>
        <v>0.91537522469779897</v>
      </c>
      <c r="L356" s="90">
        <f t="shared" si="116"/>
        <v>0.11734037247225564</v>
      </c>
      <c r="N356" t="s">
        <v>467</v>
      </c>
      <c r="O356" s="174">
        <f>0.25*ATAN(O354/O355)</f>
        <v>-5.4042306391675482E-3</v>
      </c>
      <c r="Q356" s="123">
        <v>0.98366318378168238</v>
      </c>
      <c r="R356" s="90">
        <v>6.7137652828830691E-2</v>
      </c>
    </row>
    <row r="357" spans="1:18" x14ac:dyDescent="0.25">
      <c r="A357" s="194">
        <v>5.9352645681373162E-2</v>
      </c>
      <c r="B357" s="195">
        <v>9.5077091263767888E-3</v>
      </c>
      <c r="C357" s="195">
        <v>7.1142907982587086E-2</v>
      </c>
      <c r="D357" s="196">
        <v>0.99565333001078804</v>
      </c>
      <c r="F357" s="123">
        <f>INDEX(A357:D365,,F353)</f>
        <v>5.9352645681373162E-2</v>
      </c>
      <c r="G357" s="90">
        <f>INDEX(A354:D362,,G353)</f>
        <v>0.99565333001078804</v>
      </c>
      <c r="I357" s="123">
        <f t="shared" si="117"/>
        <v>-0.98780281701219252</v>
      </c>
      <c r="J357" s="37">
        <f t="shared" si="118"/>
        <v>0.11818931863521921</v>
      </c>
      <c r="K357" s="37">
        <f t="shared" si="119"/>
        <v>0.96178569025776572</v>
      </c>
      <c r="L357" s="90">
        <f t="shared" si="116"/>
        <v>-0.11674774188862116</v>
      </c>
      <c r="Q357" s="123">
        <v>5.3971064924756389E-2</v>
      </c>
      <c r="R357" s="90">
        <v>0.9959595444905569</v>
      </c>
    </row>
    <row r="358" spans="1:18" x14ac:dyDescent="0.25">
      <c r="A358" s="194">
        <v>0.35973336162599712</v>
      </c>
      <c r="B358" s="195">
        <v>-0.1175565809737262</v>
      </c>
      <c r="C358" s="195">
        <v>0.88119712165147734</v>
      </c>
      <c r="D358" s="196">
        <v>0.28330900373299045</v>
      </c>
      <c r="F358" s="123">
        <f>INDEX(A358:D366,,F353)</f>
        <v>0.35973336162599712</v>
      </c>
      <c r="G358" s="90">
        <f>INDEX(A354:D362,,G353)</f>
        <v>0.28330900373299045</v>
      </c>
      <c r="I358" s="123">
        <f t="shared" si="117"/>
        <v>4.9144099870560828E-2</v>
      </c>
      <c r="J358" s="37">
        <f t="shared" si="118"/>
        <v>0.20383140058356164</v>
      </c>
      <c r="K358" s="37">
        <f t="shared" si="119"/>
        <v>-3.913209731176872E-2</v>
      </c>
      <c r="L358" s="90">
        <f t="shared" si="116"/>
        <v>1.0017110707034843E-2</v>
      </c>
      <c r="N358" s="156">
        <f>COS(O356)</f>
        <v>0.99998539718113988</v>
      </c>
      <c r="O358" s="158">
        <f>-N359</f>
        <v>5.4042043334749049E-3</v>
      </c>
      <c r="Q358" s="123">
        <v>0.35819704875919306</v>
      </c>
      <c r="R358" s="90">
        <v>0.28524893921472216</v>
      </c>
    </row>
    <row r="359" spans="1:18" x14ac:dyDescent="0.25">
      <c r="A359" s="194">
        <v>-2.9370240740501687E-2</v>
      </c>
      <c r="B359" s="195">
        <v>8.0306238068491107E-3</v>
      </c>
      <c r="C359" s="195">
        <v>0.99835271384455293</v>
      </c>
      <c r="D359" s="196">
        <v>-4.8628765143013758E-2</v>
      </c>
      <c r="F359" s="123">
        <f>INDEX(A359:D367,,F353)</f>
        <v>-2.9370240740501687E-2</v>
      </c>
      <c r="G359" s="90">
        <f>INDEX(A354:D362,,G353)</f>
        <v>-4.8628765143013758E-2</v>
      </c>
      <c r="I359" s="123">
        <f t="shared" si="117"/>
        <v>-1.5021457581793649E-3</v>
      </c>
      <c r="J359" s="37">
        <f t="shared" si="118"/>
        <v>2.8564770783272618E-3</v>
      </c>
      <c r="K359" s="37">
        <f t="shared" si="119"/>
        <v>-5.9030194201927904E-6</v>
      </c>
      <c r="L359" s="90">
        <f t="shared" si="116"/>
        <v>-4.2908449265458816E-6</v>
      </c>
      <c r="N359" s="91">
        <f>SIN(O356)</f>
        <v>-5.4042043334749049E-3</v>
      </c>
      <c r="O359" s="93">
        <f>N358</f>
        <v>0.99998539718113988</v>
      </c>
      <c r="Q359" s="123">
        <v>-2.9107012068878866E-2</v>
      </c>
      <c r="R359" s="90">
        <v>-4.8786777808250005E-2</v>
      </c>
    </row>
    <row r="360" spans="1:18" x14ac:dyDescent="0.25">
      <c r="A360" s="194">
        <v>0.96446548120188003</v>
      </c>
      <c r="B360" s="195">
        <v>-1.5445202974351854E-2</v>
      </c>
      <c r="C360" s="195">
        <v>0.16292182366197971</v>
      </c>
      <c r="D360" s="196">
        <v>0.20742290290554247</v>
      </c>
      <c r="F360" s="123">
        <f>INDEX(A360:D368,,F353)</f>
        <v>0.96446548120188003</v>
      </c>
      <c r="G360" s="90">
        <f>INDEX(A354:D362,,G353)</f>
        <v>0.20742290290554247</v>
      </c>
      <c r="I360" s="123">
        <f t="shared" si="117"/>
        <v>0.88716940378021192</v>
      </c>
      <c r="J360" s="37">
        <f t="shared" si="118"/>
        <v>0.4001044597261697</v>
      </c>
      <c r="K360" s="37">
        <f t="shared" si="119"/>
        <v>0.62698597231096653</v>
      </c>
      <c r="L360" s="90">
        <f t="shared" si="116"/>
        <v>0.35496043498506979</v>
      </c>
      <c r="Q360" s="123">
        <v>0.96333044153641711</v>
      </c>
      <c r="R360" s="90">
        <v>0.21263204247946205</v>
      </c>
    </row>
    <row r="361" spans="1:18" x14ac:dyDescent="0.25">
      <c r="A361" s="194">
        <v>0.68242473387977942</v>
      </c>
      <c r="B361" s="195">
        <v>-0.21854955876982779</v>
      </c>
      <c r="C361" s="195">
        <v>0.56022602379147401</v>
      </c>
      <c r="D361" s="196">
        <v>0.41554707942352442</v>
      </c>
      <c r="F361" s="123">
        <f>INDEX(A361:D369,,F353)</f>
        <v>0.68242473387977942</v>
      </c>
      <c r="G361" s="90">
        <f>INDEX(A354:D362,,G353)</f>
        <v>0.41554707942352442</v>
      </c>
      <c r="I361" s="123">
        <f t="shared" si="117"/>
        <v>0.29302414219346684</v>
      </c>
      <c r="J361" s="37">
        <f t="shared" si="118"/>
        <v>0.56715921018023641</v>
      </c>
      <c r="K361" s="37">
        <f t="shared" si="119"/>
        <v>-0.23580642178405248</v>
      </c>
      <c r="L361" s="90">
        <f t="shared" si="116"/>
        <v>0.16619134105018793</v>
      </c>
      <c r="Q361" s="123">
        <v>0.68016906722762149</v>
      </c>
      <c r="R361" s="90">
        <v>0.4192289739688993</v>
      </c>
    </row>
    <row r="362" spans="1:18" x14ac:dyDescent="0.25">
      <c r="A362" s="200">
        <v>7.9422039176186496E-2</v>
      </c>
      <c r="B362" s="201">
        <v>-0.91918440688153058</v>
      </c>
      <c r="C362" s="201">
        <v>-0.21913651062788261</v>
      </c>
      <c r="D362" s="202">
        <v>0.31744504335204404</v>
      </c>
      <c r="F362" s="91">
        <f>INDEX(A362:D370,,F353)</f>
        <v>7.9422039176186496E-2</v>
      </c>
      <c r="G362" s="93">
        <f>INDEX(A354:D362,,G353)</f>
        <v>0.31744504335204404</v>
      </c>
      <c r="I362" s="91">
        <f t="shared" si="117"/>
        <v>-9.4463495241877415E-2</v>
      </c>
      <c r="J362" s="92">
        <f t="shared" si="118"/>
        <v>5.0424265338784524E-2</v>
      </c>
      <c r="K362" s="92">
        <f t="shared" si="119"/>
        <v>6.3807453983560514E-3</v>
      </c>
      <c r="L362" s="93">
        <f t="shared" si="116"/>
        <v>-4.7632523489054366E-3</v>
      </c>
      <c r="Q362" s="91">
        <v>7.7705341511611667E-2</v>
      </c>
      <c r="R362" s="93">
        <v>0.31786962068786728</v>
      </c>
    </row>
    <row r="363" spans="1:18" x14ac:dyDescent="0.25">
      <c r="I363">
        <f>SUM(I354:I362)</f>
        <v>1.6853879644461944</v>
      </c>
      <c r="J363">
        <f>SUM(J354:J362)</f>
        <v>1.485799043682251</v>
      </c>
      <c r="K363">
        <f>SUM(K354:K362)</f>
        <v>2.6397897302860804</v>
      </c>
      <c r="L363">
        <f>SUM(L354:L362)</f>
        <v>0.50092474231063489</v>
      </c>
    </row>
    <row r="364" spans="1:18" x14ac:dyDescent="0.25">
      <c r="A364" s="47" t="s">
        <v>53</v>
      </c>
      <c r="B364">
        <f>COUNT(A354:A362)</f>
        <v>9</v>
      </c>
      <c r="I364" s="47" t="s">
        <v>462</v>
      </c>
      <c r="J364" s="47" t="s">
        <v>389</v>
      </c>
      <c r="K364" s="47" t="s">
        <v>469</v>
      </c>
      <c r="L364" s="47" t="s">
        <v>470</v>
      </c>
      <c r="N364" s="47"/>
    </row>
    <row r="366" spans="1:18" x14ac:dyDescent="0.25">
      <c r="A366">
        <v>1</v>
      </c>
      <c r="B366">
        <v>2</v>
      </c>
      <c r="C366">
        <v>3</v>
      </c>
      <c r="D366">
        <v>4</v>
      </c>
      <c r="F366">
        <v>2</v>
      </c>
      <c r="G366">
        <v>3</v>
      </c>
      <c r="I366" s="47" t="s">
        <v>207</v>
      </c>
      <c r="J366" s="47" t="s">
        <v>464</v>
      </c>
      <c r="K366" s="47" t="s">
        <v>465</v>
      </c>
      <c r="L366" s="47" t="s">
        <v>466</v>
      </c>
      <c r="Q366">
        <f>F366</f>
        <v>2</v>
      </c>
      <c r="R366">
        <f>G366</f>
        <v>3</v>
      </c>
    </row>
    <row r="367" spans="1:18" x14ac:dyDescent="0.25">
      <c r="A367" s="189">
        <f t="array" ref="A367:A375">IF(A366=$Q353,$Q354:$Q362,IF(A366=$R353,$R354:$R362,A354:A362))</f>
        <v>0.10465719368085187</v>
      </c>
      <c r="B367" s="190">
        <f t="array" ref="B367:B375">IF(B366=$Q353,$Q354:$Q362,IF(B366=$R353,$R354:$R362,B354:B362))</f>
        <v>0.89783229210259097</v>
      </c>
      <c r="C367" s="190">
        <f t="array" ref="C367:C375">IF(C366=$Q353,$Q354:$Q362,IF(C366=$R353,$R354:$R362,C354:C362))</f>
        <v>-0.33218296895574373</v>
      </c>
      <c r="D367" s="191">
        <f t="array" ref="D367:D375">IF(D366=$Q353,$Q354:$Q362,IF(D366=$R353,$R354:$R362,D354:D362))</f>
        <v>0.26944112938525916</v>
      </c>
      <c r="F367" s="156">
        <f>INDEX(A367:D375,,F366)</f>
        <v>0.89783229210259097</v>
      </c>
      <c r="G367" s="158">
        <f>INDEX(A367:D375,,G366)</f>
        <v>-0.33218296895574373</v>
      </c>
      <c r="I367" s="156">
        <f>F367^2-G367^2</f>
        <v>0.69575729987793955</v>
      </c>
      <c r="J367" s="157">
        <f>2*F367*G367</f>
        <v>-0.59648919282995838</v>
      </c>
      <c r="K367" s="157">
        <f>I367^2-J367^2</f>
        <v>0.12827886317050585</v>
      </c>
      <c r="L367" s="158">
        <f t="shared" ref="L367:L375" si="120">I367*J367</f>
        <v>-0.41501171020974348</v>
      </c>
      <c r="N367" t="s">
        <v>390</v>
      </c>
      <c r="O367" s="172">
        <f>L376*B377-2*I376*J376</f>
        <v>0.44684570659431205</v>
      </c>
      <c r="Q367" s="156">
        <f t="array" ref="Q367:R375">MMULT(F367:G375,N371:O372)</f>
        <v>0.89603304403985984</v>
      </c>
      <c r="R367" s="158">
        <v>-0.33700613287462228</v>
      </c>
    </row>
    <row r="368" spans="1:18" x14ac:dyDescent="0.25">
      <c r="A368" s="194">
        <v>0.798161367476248</v>
      </c>
      <c r="B368" s="195">
        <v>-0.59753740770943853</v>
      </c>
      <c r="C368" s="195">
        <v>7.4607205294116061E-2</v>
      </c>
      <c r="D368" s="196">
        <v>-1.7923246763123561E-2</v>
      </c>
      <c r="F368" s="123">
        <f>INDEX(A368:D376,,F366)</f>
        <v>-0.59753740770943853</v>
      </c>
      <c r="G368" s="90">
        <f>INDEX(A367:D375,,G366)</f>
        <v>7.4607205294116061E-2</v>
      </c>
      <c r="I368" s="123">
        <f t="shared" ref="I368:I375" si="121">F368^2-G368^2</f>
        <v>0.35148471853031737</v>
      </c>
      <c r="J368" s="37">
        <f t="shared" ref="J368:J375" si="122">2*F368*G368</f>
        <v>-8.916119209578402E-2</v>
      </c>
      <c r="K368" s="37">
        <f t="shared" ref="K368:K375" si="123">I368^2-J368^2</f>
        <v>0.11559178918439514</v>
      </c>
      <c r="L368" s="90">
        <f t="shared" si="120"/>
        <v>-3.1338796507614203E-2</v>
      </c>
      <c r="N368" t="s">
        <v>392</v>
      </c>
      <c r="O368" s="173">
        <f>K376*B377-(I376^2-J376^2)</f>
        <v>20.771099238214905</v>
      </c>
      <c r="Q368" s="123">
        <v>-0.59712757871892352</v>
      </c>
      <c r="R368" s="90">
        <v>7.7819299837444289E-2</v>
      </c>
    </row>
    <row r="369" spans="1:18" x14ac:dyDescent="0.25">
      <c r="A369" s="194">
        <v>0.98366318378168238</v>
      </c>
      <c r="B369" s="195">
        <v>0.12349948831773735</v>
      </c>
      <c r="C369" s="195">
        <v>0.11245956086690263</v>
      </c>
      <c r="D369" s="196">
        <v>6.7137652828830691E-2</v>
      </c>
      <c r="F369" s="123">
        <f>INDEX(A369:D377,,F366)</f>
        <v>0.12349948831773735</v>
      </c>
      <c r="G369" s="90">
        <f>INDEX(A367:D375,,G366)</f>
        <v>0.11245956086690263</v>
      </c>
      <c r="I369" s="123">
        <f t="shared" si="121"/>
        <v>2.6049707843663669E-3</v>
      </c>
      <c r="J369" s="37">
        <f t="shared" si="122"/>
        <v>2.7777396446999829E-2</v>
      </c>
      <c r="K369" s="37">
        <f t="shared" si="123"/>
        <v>-7.6479788058639645E-4</v>
      </c>
      <c r="L369" s="90">
        <f t="shared" si="120"/>
        <v>7.2359306210196674E-5</v>
      </c>
      <c r="N369" t="s">
        <v>467</v>
      </c>
      <c r="O369" s="174">
        <f>0.25*ATAN(O367/O368)</f>
        <v>5.3773850236930277E-3</v>
      </c>
      <c r="Q369" s="123">
        <v>0.12410243819370254</v>
      </c>
      <c r="R369" s="90">
        <v>0.11179383381697655</v>
      </c>
    </row>
    <row r="370" spans="1:18" x14ac:dyDescent="0.25">
      <c r="A370" s="194">
        <v>5.3971064924756389E-2</v>
      </c>
      <c r="B370" s="195">
        <v>9.5077091263767888E-3</v>
      </c>
      <c r="C370" s="195">
        <v>7.1142907982587086E-2</v>
      </c>
      <c r="D370" s="196">
        <v>0.9959595444905569</v>
      </c>
      <c r="F370" s="123">
        <f>INDEX(A370:D378,,F366)</f>
        <v>9.5077091263767888E-3</v>
      </c>
      <c r="G370" s="90">
        <f>INDEX(A367:D375,,G366)</f>
        <v>7.1142907982587086E-2</v>
      </c>
      <c r="I370" s="123">
        <f t="shared" si="121"/>
        <v>-4.9709168233870648E-3</v>
      </c>
      <c r="J370" s="37">
        <f t="shared" si="122"/>
        <v>1.3528121510060548E-3</v>
      </c>
      <c r="K370" s="37">
        <f t="shared" si="123"/>
        <v>2.2879913349122918E-5</v>
      </c>
      <c r="L370" s="90">
        <f t="shared" si="120"/>
        <v>-6.72471668031844E-6</v>
      </c>
      <c r="Q370" s="123">
        <v>9.8901326271827149E-3</v>
      </c>
      <c r="R370" s="90">
        <v>7.1090753025041017E-2</v>
      </c>
    </row>
    <row r="371" spans="1:18" x14ac:dyDescent="0.25">
      <c r="A371" s="194">
        <v>0.35819704875919306</v>
      </c>
      <c r="B371" s="195">
        <v>-0.1175565809737262</v>
      </c>
      <c r="C371" s="195">
        <v>0.88119712165147734</v>
      </c>
      <c r="D371" s="196">
        <v>0.28524893921472216</v>
      </c>
      <c r="F371" s="123">
        <f>INDEX(A371:D379,,F366)</f>
        <v>-0.1175565809737262</v>
      </c>
      <c r="G371" s="90">
        <f>INDEX(A367:D375,,G366)</f>
        <v>0.88119712165147734</v>
      </c>
      <c r="I371" s="123">
        <f t="shared" si="121"/>
        <v>-0.76268881747661632</v>
      </c>
      <c r="J371" s="37">
        <f t="shared" si="122"/>
        <v>-0.20718104157047271</v>
      </c>
      <c r="K371" s="37">
        <f t="shared" si="123"/>
        <v>0.53877024831765341</v>
      </c>
      <c r="L371" s="90">
        <f t="shared" si="120"/>
        <v>0.15801466359895752</v>
      </c>
      <c r="N371" s="156">
        <f>COS(O369)</f>
        <v>0.99998554189999311</v>
      </c>
      <c r="O371" s="158">
        <f>-N372</f>
        <v>-5.377359108077899E-3</v>
      </c>
      <c r="Q371" s="123">
        <v>-0.11281636796079741</v>
      </c>
      <c r="R371" s="90">
        <v>0.88181652516678022</v>
      </c>
    </row>
    <row r="372" spans="1:18" x14ac:dyDescent="0.25">
      <c r="A372" s="194">
        <v>-2.9107012068878866E-2</v>
      </c>
      <c r="B372" s="195">
        <v>8.0306238068491107E-3</v>
      </c>
      <c r="C372" s="195">
        <v>0.99835271384455293</v>
      </c>
      <c r="D372" s="196">
        <v>-4.8786777808250005E-2</v>
      </c>
      <c r="F372" s="123">
        <f>INDEX(A372:D380,,F366)</f>
        <v>8.0306238068491107E-3</v>
      </c>
      <c r="G372" s="90">
        <f>INDEX(A367:D375,,G366)</f>
        <v>0.99835271384455293</v>
      </c>
      <c r="I372" s="123">
        <f t="shared" si="121"/>
        <v>-0.9966436503220566</v>
      </c>
      <c r="J372" s="37">
        <f t="shared" si="122"/>
        <v>1.603479014286497E-2</v>
      </c>
      <c r="K372" s="37">
        <f t="shared" si="123"/>
        <v>0.9930414512323481</v>
      </c>
      <c r="L372" s="90">
        <f t="shared" si="120"/>
        <v>-1.5980971780133076E-2</v>
      </c>
      <c r="N372" s="91">
        <f>SIN(O369)</f>
        <v>5.377359108077899E-3</v>
      </c>
      <c r="O372" s="93">
        <f>N371</f>
        <v>0.99998554189999311</v>
      </c>
      <c r="Q372" s="123">
        <v>1.3399008758153289E-2</v>
      </c>
      <c r="R372" s="90">
        <v>0.99829509601310273</v>
      </c>
    </row>
    <row r="373" spans="1:18" x14ac:dyDescent="0.25">
      <c r="A373" s="194">
        <v>0.96333044153641711</v>
      </c>
      <c r="B373" s="195">
        <v>-1.5445202974351854E-2</v>
      </c>
      <c r="C373" s="195">
        <v>0.16292182366197971</v>
      </c>
      <c r="D373" s="196">
        <v>0.21263204247946205</v>
      </c>
      <c r="F373" s="123">
        <f>INDEX(A373:D381,,F366)</f>
        <v>-1.5445202974351854E-2</v>
      </c>
      <c r="G373" s="90">
        <f>INDEX(A367:D375,,G366)</f>
        <v>0.16292182366197971</v>
      </c>
      <c r="I373" s="123">
        <f t="shared" si="121"/>
        <v>-2.6304966330426286E-2</v>
      </c>
      <c r="J373" s="37">
        <f t="shared" si="122"/>
        <v>-5.0327212708216745E-3</v>
      </c>
      <c r="K373" s="37">
        <f t="shared" si="123"/>
        <v>6.6662297025507958E-4</v>
      </c>
      <c r="L373" s="90">
        <f t="shared" si="120"/>
        <v>1.3238556357938433E-4</v>
      </c>
      <c r="Q373" s="123">
        <v>-1.4568890513689217E-2</v>
      </c>
      <c r="R373" s="90">
        <v>0.16300252252485015</v>
      </c>
    </row>
    <row r="374" spans="1:18" x14ac:dyDescent="0.25">
      <c r="A374" s="194">
        <v>0.68016906722762149</v>
      </c>
      <c r="B374" s="195">
        <v>-0.21854955876982779</v>
      </c>
      <c r="C374" s="195">
        <v>0.56022602379147401</v>
      </c>
      <c r="D374" s="196">
        <v>0.4192289739688993</v>
      </c>
      <c r="F374" s="123">
        <f>INDEX(A374:D382,,F366)</f>
        <v>-0.21854955876982779</v>
      </c>
      <c r="G374" s="90">
        <f>INDEX(A367:D375,,G366)</f>
        <v>0.56022602379147401</v>
      </c>
      <c r="I374" s="123">
        <f t="shared" si="121"/>
        <v>-0.26608928809471877</v>
      </c>
      <c r="J374" s="37">
        <f t="shared" si="122"/>
        <v>-0.24487430062200338</v>
      </c>
      <c r="K374" s="37">
        <f t="shared" si="123"/>
        <v>1.0840086133638953E-2</v>
      </c>
      <c r="L374" s="90">
        <f t="shared" si="120"/>
        <v>6.5158428325201023E-2</v>
      </c>
      <c r="Q374" s="123">
        <v>-0.21553386244683329</v>
      </c>
      <c r="R374" s="90">
        <v>0.56139314344801294</v>
      </c>
    </row>
    <row r="375" spans="1:18" x14ac:dyDescent="0.25">
      <c r="A375" s="200">
        <v>7.7705341511611667E-2</v>
      </c>
      <c r="B375" s="201">
        <v>-0.91918440688153058</v>
      </c>
      <c r="C375" s="201">
        <v>-0.21913651062788261</v>
      </c>
      <c r="D375" s="202">
        <v>0.31786962068786728</v>
      </c>
      <c r="F375" s="91">
        <f>INDEX(A375:D383,,F366)</f>
        <v>-0.91918440688153058</v>
      </c>
      <c r="G375" s="93">
        <f>INDEX(A367:D375,,G366)</f>
        <v>-0.21913651062788261</v>
      </c>
      <c r="I375" s="91">
        <f t="shared" si="121"/>
        <v>0.79687916356398703</v>
      </c>
      <c r="J375" s="92">
        <f t="shared" si="122"/>
        <v>0.40285372709515699</v>
      </c>
      <c r="K375" s="92">
        <f t="shared" si="123"/>
        <v>0.47272527588798041</v>
      </c>
      <c r="L375" s="93">
        <f t="shared" si="120"/>
        <v>0.32102574108622339</v>
      </c>
      <c r="Q375" s="91">
        <v>-0.92034949293278834</v>
      </c>
      <c r="R375" s="93">
        <v>-0.21419055768794923</v>
      </c>
    </row>
    <row r="376" spans="1:18" x14ac:dyDescent="0.25">
      <c r="I376">
        <f>SUM(I367:I375)</f>
        <v>-0.20997148629059492</v>
      </c>
      <c r="J376">
        <f>SUM(J367:J375)</f>
        <v>-0.69471972255301229</v>
      </c>
      <c r="K376">
        <f>SUM(K367:K375)</f>
        <v>2.2591724189295395</v>
      </c>
      <c r="L376">
        <f>SUM(L367:L375)</f>
        <v>8.206537466600039E-2</v>
      </c>
    </row>
    <row r="377" spans="1:18" x14ac:dyDescent="0.25">
      <c r="A377" s="47" t="s">
        <v>53</v>
      </c>
      <c r="B377">
        <f>COUNT(A367:A375)</f>
        <v>9</v>
      </c>
      <c r="I377" s="47" t="s">
        <v>462</v>
      </c>
      <c r="J377" s="47" t="s">
        <v>389</v>
      </c>
      <c r="K377" s="47" t="s">
        <v>469</v>
      </c>
      <c r="L377" s="47" t="s">
        <v>470</v>
      </c>
      <c r="N377" s="47"/>
    </row>
    <row r="379" spans="1:18" x14ac:dyDescent="0.25">
      <c r="A379">
        <v>1</v>
      </c>
      <c r="B379">
        <v>2</v>
      </c>
      <c r="C379">
        <v>3</v>
      </c>
      <c r="D379">
        <v>4</v>
      </c>
      <c r="F379">
        <v>2</v>
      </c>
      <c r="G379">
        <v>4</v>
      </c>
      <c r="I379" s="47" t="s">
        <v>207</v>
      </c>
      <c r="J379" s="47" t="s">
        <v>464</v>
      </c>
      <c r="K379" s="47" t="s">
        <v>465</v>
      </c>
      <c r="L379" s="47" t="s">
        <v>466</v>
      </c>
      <c r="Q379">
        <f>F379</f>
        <v>2</v>
      </c>
      <c r="R379">
        <f>G379</f>
        <v>4</v>
      </c>
    </row>
    <row r="380" spans="1:18" x14ac:dyDescent="0.25">
      <c r="A380" s="189">
        <f t="array" ref="A380:A388">IF(A379=$Q366,$Q367:$Q375,IF(A379=$R366,$R367:$R375,A367:A375))</f>
        <v>0.10465719368085187</v>
      </c>
      <c r="B380" s="190">
        <f t="array" ref="B380:B388">IF(B379=$Q366,$Q367:$Q375,IF(B379=$R366,$R367:$R375,B367:B375))</f>
        <v>0.89603304403985984</v>
      </c>
      <c r="C380" s="190">
        <f t="array" ref="C380:C388">IF(C379=$Q366,$Q367:$Q375,IF(C379=$R366,$R367:$R375,C367:C375))</f>
        <v>-0.33700613287462228</v>
      </c>
      <c r="D380" s="191">
        <f t="array" ref="D380:D388">IF(D379=$Q366,$Q367:$Q375,IF(D379=$R366,$R367:$R375,D367:D375))</f>
        <v>0.26944112938525916</v>
      </c>
      <c r="F380" s="156">
        <f>INDEX(A380:D388,,F379)</f>
        <v>0.89603304403985984</v>
      </c>
      <c r="G380" s="158">
        <f>INDEX(A380:D388,,G379)</f>
        <v>0.26944112938525916</v>
      </c>
      <c r="I380" s="156">
        <f>F380^2-G380^2</f>
        <v>0.73027669380693339</v>
      </c>
      <c r="J380" s="157">
        <f>2*F380*G380</f>
        <v>0.482856310705223</v>
      </c>
      <c r="K380" s="157">
        <f>I380^2-J380^2</f>
        <v>0.30015383272972673</v>
      </c>
      <c r="L380" s="158">
        <f t="shared" ref="L380:L388" si="124">I380*J380</f>
        <v>0.35261871016562363</v>
      </c>
      <c r="N380" t="s">
        <v>390</v>
      </c>
      <c r="O380" s="172">
        <f>L389*B390-2*I389*J389</f>
        <v>-0.24752966642098806</v>
      </c>
      <c r="Q380" s="156">
        <f t="array" ref="Q380:R388">MMULT(F380:G388,N384:O385)</f>
        <v>0.89485178059742798</v>
      </c>
      <c r="R380" s="158">
        <v>0.27333867084141983</v>
      </c>
    </row>
    <row r="381" spans="1:18" x14ac:dyDescent="0.25">
      <c r="A381" s="194">
        <v>0.798161367476248</v>
      </c>
      <c r="B381" s="195">
        <v>-0.59712757871892352</v>
      </c>
      <c r="C381" s="195">
        <v>7.7819299837444289E-2</v>
      </c>
      <c r="D381" s="196">
        <v>-1.7923246763123561E-2</v>
      </c>
      <c r="F381" s="123">
        <f>INDEX(A381:D389,,F379)</f>
        <v>-0.59712757871892352</v>
      </c>
      <c r="G381" s="90">
        <f>INDEX(A380:D388,,G379)</f>
        <v>-1.7923246763123561E-2</v>
      </c>
      <c r="I381" s="123">
        <f t="shared" ref="I381:I388" si="125">F381^2-G381^2</f>
        <v>0.3562401024921924</v>
      </c>
      <c r="J381" s="37">
        <f t="shared" ref="J381:J388" si="126">2*F381*G381</f>
        <v>2.140492988489151E-2</v>
      </c>
      <c r="K381" s="37">
        <f t="shared" ref="K381:K388" si="127">I381^2-J381^2</f>
        <v>0.12644883960027065</v>
      </c>
      <c r="L381" s="90">
        <f t="shared" si="124"/>
        <v>7.6252944160319436E-3</v>
      </c>
      <c r="N381" t="s">
        <v>392</v>
      </c>
      <c r="O381" s="173">
        <f>K389*B390-(I389^2-J389^2)</f>
        <v>14.215789470491845</v>
      </c>
      <c r="Q381" s="123">
        <v>-0.59704390917299244</v>
      </c>
      <c r="R381" s="90">
        <v>-2.052214805247167E-2</v>
      </c>
    </row>
    <row r="382" spans="1:18" x14ac:dyDescent="0.25">
      <c r="A382" s="194">
        <v>0.98366318378168238</v>
      </c>
      <c r="B382" s="195">
        <v>0.12410243819370254</v>
      </c>
      <c r="C382" s="195">
        <v>0.11179383381697655</v>
      </c>
      <c r="D382" s="196">
        <v>6.7137652828830691E-2</v>
      </c>
      <c r="F382" s="123">
        <f>INDEX(A382:D390,,F379)</f>
        <v>0.12410243819370254</v>
      </c>
      <c r="G382" s="90">
        <f>INDEX(A380:D388,,G379)</f>
        <v>6.7137652828830691E-2</v>
      </c>
      <c r="I382" s="123">
        <f t="shared" si="125"/>
        <v>1.089395073825716E-2</v>
      </c>
      <c r="J382" s="37">
        <f t="shared" si="126"/>
        <v>1.6663892821320438E-2</v>
      </c>
      <c r="K382" s="37">
        <f t="shared" si="127"/>
        <v>-1.5900716127288111E-4</v>
      </c>
      <c r="L382" s="90">
        <f t="shared" si="124"/>
        <v>1.8153562750306197E-4</v>
      </c>
      <c r="N382" t="s">
        <v>467</v>
      </c>
      <c r="O382" s="174">
        <f>0.25*ATAN(O380/O381)</f>
        <v>-4.3526364723764236E-3</v>
      </c>
      <c r="Q382" s="123">
        <v>0.12380903773399704</v>
      </c>
      <c r="R382" s="90">
        <v>6.7677187946663803E-2</v>
      </c>
    </row>
    <row r="383" spans="1:18" x14ac:dyDescent="0.25">
      <c r="A383" s="194">
        <v>5.3971064924756389E-2</v>
      </c>
      <c r="B383" s="195">
        <v>9.8901326271827149E-3</v>
      </c>
      <c r="C383" s="195">
        <v>7.1090753025041017E-2</v>
      </c>
      <c r="D383" s="196">
        <v>0.9959595444905569</v>
      </c>
      <c r="F383" s="123">
        <f>INDEX(A383:D391,,F379)</f>
        <v>9.8901326271827149E-3</v>
      </c>
      <c r="G383" s="90">
        <f>INDEX(A380:D388,,G379)</f>
        <v>0.9959595444905569</v>
      </c>
      <c r="I383" s="123">
        <f t="shared" si="125"/>
        <v>-0.99183759953845441</v>
      </c>
      <c r="J383" s="37">
        <f t="shared" si="126"/>
        <v>1.9700343972640182E-2</v>
      </c>
      <c r="K383" s="37">
        <f t="shared" si="127"/>
        <v>0.98335372030556312</v>
      </c>
      <c r="L383" s="90">
        <f t="shared" si="124"/>
        <v>-1.9539541875905297E-2</v>
      </c>
      <c r="Q383" s="123">
        <v>5.5550027907192902E-3</v>
      </c>
      <c r="R383" s="90">
        <v>0.99599315807349609</v>
      </c>
    </row>
    <row r="384" spans="1:18" x14ac:dyDescent="0.25">
      <c r="A384" s="194">
        <v>0.35819704875919306</v>
      </c>
      <c r="B384" s="195">
        <v>-0.11281636796079741</v>
      </c>
      <c r="C384" s="195">
        <v>0.88181652516678022</v>
      </c>
      <c r="D384" s="196">
        <v>0.28524893921472216</v>
      </c>
      <c r="F384" s="123">
        <f>INDEX(A384:D392,,F379)</f>
        <v>-0.11281636796079741</v>
      </c>
      <c r="G384" s="90">
        <f>INDEX(A380:D388,,G379)</f>
        <v>0.28524893921472216</v>
      </c>
      <c r="I384" s="123">
        <f t="shared" si="125"/>
        <v>-6.8639424443258212E-2</v>
      </c>
      <c r="J384" s="37">
        <f t="shared" si="126"/>
        <v>-6.4361498573750467E-2</v>
      </c>
      <c r="K384" s="37">
        <f t="shared" si="127"/>
        <v>5.689680892428696E-4</v>
      </c>
      <c r="L384" s="90">
        <f t="shared" si="124"/>
        <v>4.4177362184078164E-3</v>
      </c>
      <c r="N384" s="156">
        <f>COS(O382)</f>
        <v>0.99999052729282512</v>
      </c>
      <c r="O384" s="158">
        <f>-N385</f>
        <v>4.3526227286174966E-3</v>
      </c>
      <c r="Q384" s="123">
        <v>-0.11405688030051922</v>
      </c>
      <c r="R384" s="90">
        <v>0.28475519004770278</v>
      </c>
    </row>
    <row r="385" spans="1:18" x14ac:dyDescent="0.25">
      <c r="A385" s="194">
        <v>-2.9107012068878866E-2</v>
      </c>
      <c r="B385" s="195">
        <v>1.3399008758153289E-2</v>
      </c>
      <c r="C385" s="195">
        <v>0.99829509601310273</v>
      </c>
      <c r="D385" s="196">
        <v>-4.8786777808250005E-2</v>
      </c>
      <c r="F385" s="123">
        <f>INDEX(A385:D393,,F379)</f>
        <v>1.3399008758153289E-2</v>
      </c>
      <c r="G385" s="90">
        <f>INDEX(A380:D388,,G379)</f>
        <v>-4.8786777808250005E-2</v>
      </c>
      <c r="I385" s="123">
        <f t="shared" si="125"/>
        <v>-2.2006162532104867E-3</v>
      </c>
      <c r="J385" s="37">
        <f t="shared" si="126"/>
        <v>-1.3073889262696407E-3</v>
      </c>
      <c r="K385" s="37">
        <f t="shared" si="127"/>
        <v>3.1334460893616773E-6</v>
      </c>
      <c r="L385" s="90">
        <f t="shared" si="124"/>
        <v>2.8770613204163779E-6</v>
      </c>
      <c r="N385" s="91">
        <f>SIN(O382)</f>
        <v>-4.3526227286174966E-3</v>
      </c>
      <c r="O385" s="93">
        <f>N384</f>
        <v>0.99999052729282512</v>
      </c>
      <c r="Q385" s="123">
        <v>1.3611232271211089E-2</v>
      </c>
      <c r="R385" s="90">
        <v>-4.8727994835328144E-2</v>
      </c>
    </row>
    <row r="386" spans="1:18" x14ac:dyDescent="0.25">
      <c r="A386" s="194">
        <v>0.96333044153641711</v>
      </c>
      <c r="B386" s="195">
        <v>-1.4568890513689217E-2</v>
      </c>
      <c r="C386" s="195">
        <v>0.16300252252485015</v>
      </c>
      <c r="D386" s="196">
        <v>0.21263204247946205</v>
      </c>
      <c r="F386" s="123">
        <f>INDEX(A386:D394,,F379)</f>
        <v>-1.4568890513689217E-2</v>
      </c>
      <c r="G386" s="90">
        <f>INDEX(A380:D388,,G379)</f>
        <v>0.21263204247946205</v>
      </c>
      <c r="I386" s="123">
        <f t="shared" si="125"/>
        <v>-4.5000132918187892E-2</v>
      </c>
      <c r="J386" s="37">
        <f t="shared" si="126"/>
        <v>-6.1956258931707949E-3</v>
      </c>
      <c r="K386" s="37">
        <f t="shared" si="127"/>
        <v>1.986626182446449E-3</v>
      </c>
      <c r="L386" s="90">
        <f t="shared" si="124"/>
        <v>2.7880398870405233E-4</v>
      </c>
      <c r="Q386" s="123">
        <v>-1.5494259567783986E-2</v>
      </c>
      <c r="R386" s="90">
        <v>0.21256661539440702</v>
      </c>
    </row>
    <row r="387" spans="1:18" x14ac:dyDescent="0.25">
      <c r="A387" s="194">
        <v>0.68016906722762149</v>
      </c>
      <c r="B387" s="195">
        <v>-0.21553386244683329</v>
      </c>
      <c r="C387" s="195">
        <v>0.56139314344801294</v>
      </c>
      <c r="D387" s="196">
        <v>0.4192289739688993</v>
      </c>
      <c r="F387" s="123">
        <f>INDEX(A387:D395,,F379)</f>
        <v>-0.21553386244683329</v>
      </c>
      <c r="G387" s="90">
        <f>INDEX(A380:D388,,G379)</f>
        <v>0.4192289739688993</v>
      </c>
      <c r="I387" s="123">
        <f t="shared" si="125"/>
        <v>-0.12929808675376558</v>
      </c>
      <c r="J387" s="37">
        <f t="shared" si="126"/>
        <v>-0.18071608001827957</v>
      </c>
      <c r="K387" s="37">
        <f t="shared" si="127"/>
        <v>-1.5940306338988935E-2</v>
      </c>
      <c r="L387" s="90">
        <f t="shared" si="124"/>
        <v>2.3366243392003955E-2</v>
      </c>
      <c r="Q387" s="123">
        <v>-0.21735656631826009</v>
      </c>
      <c r="R387" s="90">
        <v>0.41828686514711688</v>
      </c>
    </row>
    <row r="388" spans="1:18" x14ac:dyDescent="0.25">
      <c r="A388" s="200">
        <v>7.7705341511611667E-2</v>
      </c>
      <c r="B388" s="201">
        <v>-0.92034949293278834</v>
      </c>
      <c r="C388" s="201">
        <v>-0.21419055768794923</v>
      </c>
      <c r="D388" s="202">
        <v>0.31786962068786728</v>
      </c>
      <c r="F388" s="91">
        <f>INDEX(A388:D396,,F379)</f>
        <v>-0.92034949293278834</v>
      </c>
      <c r="G388" s="93">
        <f>INDEX(A380:D388,,G379)</f>
        <v>0.31786962068786728</v>
      </c>
      <c r="I388" s="91">
        <f t="shared" si="125"/>
        <v>0.74600209338539192</v>
      </c>
      <c r="J388" s="92">
        <f t="shared" si="126"/>
        <v>-0.58510228843763279</v>
      </c>
      <c r="K388" s="92">
        <f t="shared" si="127"/>
        <v>0.21417443540043218</v>
      </c>
      <c r="L388" s="93">
        <f t="shared" si="124"/>
        <v>-0.43648753201905743</v>
      </c>
      <c r="Q388" s="91">
        <v>-0.9217243412672862</v>
      </c>
      <c r="R388" s="93">
        <v>0.31386067548081986</v>
      </c>
    </row>
    <row r="389" spans="1:18" x14ac:dyDescent="0.25">
      <c r="I389">
        <f>SUM(I380:I388)</f>
        <v>0.60643698051589823</v>
      </c>
      <c r="J389">
        <f>SUM(J380:J388)</f>
        <v>-0.29705740446502804</v>
      </c>
      <c r="K389">
        <f>SUM(K380:K388)</f>
        <v>1.6105902422535094</v>
      </c>
      <c r="L389">
        <f>SUM(L380:L388)</f>
        <v>-6.7535873025367898E-2</v>
      </c>
    </row>
    <row r="390" spans="1:18" x14ac:dyDescent="0.25">
      <c r="A390" s="47" t="s">
        <v>53</v>
      </c>
      <c r="B390">
        <f>COUNT(A380:A388)</f>
        <v>9</v>
      </c>
      <c r="I390" s="47" t="s">
        <v>462</v>
      </c>
      <c r="J390" s="47" t="s">
        <v>389</v>
      </c>
      <c r="K390" s="47" t="s">
        <v>469</v>
      </c>
      <c r="L390" s="47" t="s">
        <v>470</v>
      </c>
      <c r="N390" s="47"/>
    </row>
    <row r="392" spans="1:18" x14ac:dyDescent="0.25">
      <c r="A392">
        <v>1</v>
      </c>
      <c r="B392">
        <v>2</v>
      </c>
      <c r="C392">
        <v>3</v>
      </c>
      <c r="D392">
        <v>4</v>
      </c>
      <c r="F392">
        <v>3</v>
      </c>
      <c r="G392">
        <v>4</v>
      </c>
      <c r="I392" s="47" t="s">
        <v>207</v>
      </c>
      <c r="J392" s="47" t="s">
        <v>464</v>
      </c>
      <c r="K392" s="47" t="s">
        <v>465</v>
      </c>
      <c r="L392" s="47" t="s">
        <v>466</v>
      </c>
      <c r="Q392">
        <f>F392</f>
        <v>3</v>
      </c>
      <c r="R392">
        <f>G392</f>
        <v>4</v>
      </c>
    </row>
    <row r="393" spans="1:18" x14ac:dyDescent="0.25">
      <c r="A393" s="189">
        <f t="array" ref="A393:A401">IF(A392=$Q379,$Q380:$Q388,IF(A392=$R379,$R380:$R388,A380:A388))</f>
        <v>0.10465719368085187</v>
      </c>
      <c r="B393" s="190">
        <f t="array" ref="B393:B401">IF(B392=$Q379,$Q380:$Q388,IF(B392=$R379,$R380:$R388,B380:B388))</f>
        <v>0.89485178059742798</v>
      </c>
      <c r="C393" s="190">
        <f t="array" ref="C393:C401">IF(C392=$Q379,$Q380:$Q388,IF(C392=$R379,$R380:$R388,C380:C388))</f>
        <v>-0.33700613287462228</v>
      </c>
      <c r="D393" s="191">
        <f t="array" ref="D393:D401">IF(D392=$Q379,$Q380:$Q388,IF(D392=$R379,$R380:$R388,D380:D388))</f>
        <v>0.27333867084141983</v>
      </c>
      <c r="F393" s="156">
        <f>INDEX(A393:D401,,F392)</f>
        <v>-0.33700613287462228</v>
      </c>
      <c r="G393" s="158">
        <f>INDEX(A393:D401,,G392)</f>
        <v>0.27333867084141983</v>
      </c>
      <c r="I393" s="156">
        <f>F393^2-G393^2</f>
        <v>3.8859104617753507E-2</v>
      </c>
      <c r="J393" s="157">
        <f>2*F393*G393</f>
        <v>-0.18423361685071235</v>
      </c>
      <c r="K393" s="157">
        <f>I393^2-J393^2</f>
        <v>-3.243199556620157E-2</v>
      </c>
      <c r="L393" s="158">
        <f t="shared" ref="L393:L401" si="128">I393*J393</f>
        <v>-7.1591533913089467E-3</v>
      </c>
      <c r="N393" t="s">
        <v>390</v>
      </c>
      <c r="O393" s="172">
        <f>L402*B403-2*I402*J402</f>
        <v>0.31574288510570758</v>
      </c>
      <c r="Q393" s="156">
        <f t="array" ref="Q393:R401">MMULT(F393:G401,N397:O398)</f>
        <v>-0.33574386812783796</v>
      </c>
      <c r="R393" s="158">
        <v>0.27488764538810867</v>
      </c>
    </row>
    <row r="394" spans="1:18" x14ac:dyDescent="0.25">
      <c r="A394" s="194">
        <v>0.798161367476248</v>
      </c>
      <c r="B394" s="195">
        <v>-0.59704390917299244</v>
      </c>
      <c r="C394" s="195">
        <v>7.7819299837444289E-2</v>
      </c>
      <c r="D394" s="196">
        <v>-2.052214805247167E-2</v>
      </c>
      <c r="F394" s="123">
        <f>INDEX(A394:D402,,F392)</f>
        <v>7.7819299837444289E-2</v>
      </c>
      <c r="G394" s="90">
        <f>INDEX(A393:D401,,G392)</f>
        <v>-2.052214805247167E-2</v>
      </c>
      <c r="I394" s="123">
        <f t="shared" ref="I394:I401" si="129">F394^2-G394^2</f>
        <v>5.6346848665024896E-3</v>
      </c>
      <c r="J394" s="37">
        <f t="shared" ref="J394:J401" si="130">2*F394*G394</f>
        <v>-3.1940383852074325E-3</v>
      </c>
      <c r="K394" s="37">
        <f t="shared" ref="K394:K401" si="131">I394^2-J394^2</f>
        <v>2.1547792338613674E-5</v>
      </c>
      <c r="L394" s="90">
        <f t="shared" si="128"/>
        <v>-1.7997399752156369E-5</v>
      </c>
      <c r="N394" t="s">
        <v>392</v>
      </c>
      <c r="O394" s="173">
        <f>K402*B403-(I402^2-J402^2)</f>
        <v>17.139756959563705</v>
      </c>
      <c r="Q394" s="123">
        <v>7.772397273893536E-2</v>
      </c>
      <c r="R394" s="90">
        <v>-2.0880278962572729E-2</v>
      </c>
    </row>
    <row r="395" spans="1:18" x14ac:dyDescent="0.25">
      <c r="A395" s="194">
        <v>0.98366318378168238</v>
      </c>
      <c r="B395" s="195">
        <v>0.12380903773399704</v>
      </c>
      <c r="C395" s="195">
        <v>0.11179383381697655</v>
      </c>
      <c r="D395" s="196">
        <v>6.7677187946663803E-2</v>
      </c>
      <c r="F395" s="123">
        <f>INDEX(A395:D403,,F392)</f>
        <v>0.11179383381697655</v>
      </c>
      <c r="G395" s="90">
        <f>INDEX(A393:D401,,G392)</f>
        <v>6.7677187946663803E-2</v>
      </c>
      <c r="I395" s="123">
        <f t="shared" si="129"/>
        <v>7.917659511129712E-3</v>
      </c>
      <c r="J395" s="37">
        <f t="shared" si="130"/>
        <v>1.5131784605019244E-2</v>
      </c>
      <c r="K395" s="37">
        <f t="shared" si="131"/>
        <v>-1.6628157319851459E-4</v>
      </c>
      <c r="L395" s="90">
        <f t="shared" si="128"/>
        <v>1.1980831829829677E-4</v>
      </c>
      <c r="N395" t="s">
        <v>467</v>
      </c>
      <c r="O395" s="174">
        <f>0.25*ATAN(O393/O394)</f>
        <v>4.6048957479132152E-3</v>
      </c>
      <c r="Q395" s="123">
        <v>0.11210429381491697</v>
      </c>
      <c r="R395" s="90">
        <v>6.7161673267754365E-2</v>
      </c>
    </row>
    <row r="396" spans="1:18" x14ac:dyDescent="0.25">
      <c r="A396" s="194">
        <v>5.3971064924756389E-2</v>
      </c>
      <c r="B396" s="195">
        <v>5.5550027907192902E-3</v>
      </c>
      <c r="C396" s="195">
        <v>7.1090753025041017E-2</v>
      </c>
      <c r="D396" s="196">
        <v>0.99599315807349609</v>
      </c>
      <c r="F396" s="123">
        <f>INDEX(A396:D404,,F392)</f>
        <v>7.1090753025041017E-2</v>
      </c>
      <c r="G396" s="90">
        <f>INDEX(A393:D401,,G392)</f>
        <v>0.99599315807349609</v>
      </c>
      <c r="I396" s="123">
        <f t="shared" si="129"/>
        <v>-0.98694847576354883</v>
      </c>
      <c r="J396" s="37">
        <f t="shared" si="130"/>
        <v>0.1416118072304671</v>
      </c>
      <c r="K396" s="37">
        <f t="shared" si="131"/>
        <v>0.95401338986491335</v>
      </c>
      <c r="L396" s="90">
        <f t="shared" si="128"/>
        <v>-0.13976355729623099</v>
      </c>
      <c r="Q396" s="123">
        <v>7.5676427733629995E-2</v>
      </c>
      <c r="R396" s="90">
        <v>0.99565523369304898</v>
      </c>
    </row>
    <row r="397" spans="1:18" x14ac:dyDescent="0.25">
      <c r="A397" s="194">
        <v>0.35819704875919306</v>
      </c>
      <c r="B397" s="195">
        <v>-0.11405688030051922</v>
      </c>
      <c r="C397" s="195">
        <v>0.88181652516678022</v>
      </c>
      <c r="D397" s="196">
        <v>0.28475519004770278</v>
      </c>
      <c r="F397" s="123">
        <f>INDEX(A397:D405,,F392)</f>
        <v>0.88181652516678022</v>
      </c>
      <c r="G397" s="90">
        <f>INDEX(A393:D401,,G392)</f>
        <v>0.28475519004770278</v>
      </c>
      <c r="I397" s="123">
        <f t="shared" si="129"/>
        <v>0.69651486579811139</v>
      </c>
      <c r="J397" s="37">
        <f t="shared" si="130"/>
        <v>0.50220366442214281</v>
      </c>
      <c r="K397" s="37">
        <f t="shared" si="131"/>
        <v>0.23292443771873289</v>
      </c>
      <c r="L397" s="90">
        <f t="shared" si="128"/>
        <v>0.34979231792830856</v>
      </c>
      <c r="N397" s="156">
        <f>COS(O395)</f>
        <v>0.99998939748631099</v>
      </c>
      <c r="O397" s="158">
        <f>-N398</f>
        <v>-4.6048794734116442E-3</v>
      </c>
      <c r="Q397" s="123">
        <v>0.88311843902459908</v>
      </c>
      <c r="R397" s="90">
        <v>0.28069151211084664</v>
      </c>
    </row>
    <row r="398" spans="1:18" x14ac:dyDescent="0.25">
      <c r="A398" s="194">
        <v>-2.9107012068878866E-2</v>
      </c>
      <c r="B398" s="195">
        <v>1.3611232271211089E-2</v>
      </c>
      <c r="C398" s="195">
        <v>0.99829509601310273</v>
      </c>
      <c r="D398" s="196">
        <v>-4.8727994835328144E-2</v>
      </c>
      <c r="F398" s="123">
        <f>INDEX(A398:D406,,F392)</f>
        <v>0.99829509601310273</v>
      </c>
      <c r="G398" s="90">
        <f>INDEX(A393:D401,,G392)</f>
        <v>-4.8727994835328144E-2</v>
      </c>
      <c r="I398" s="123">
        <f t="shared" si="129"/>
        <v>0.99421868124313817</v>
      </c>
      <c r="J398" s="37">
        <f t="shared" si="130"/>
        <v>-9.7289836565319768E-2</v>
      </c>
      <c r="K398" s="37">
        <f t="shared" si="131"/>
        <v>0.9790054738339381</v>
      </c>
      <c r="L398" s="90">
        <f t="shared" si="128"/>
        <v>-9.6727373008332659E-2</v>
      </c>
      <c r="N398" s="91">
        <f>SIN(O395)</f>
        <v>4.6048794734116442E-3</v>
      </c>
      <c r="O398" s="93">
        <f>N397</f>
        <v>0.99998939748631099</v>
      </c>
      <c r="Q398" s="123">
        <v>0.99806012503248387</v>
      </c>
      <c r="R398" s="90">
        <v>-5.3324506792134109E-2</v>
      </c>
    </row>
    <row r="399" spans="1:18" x14ac:dyDescent="0.25">
      <c r="A399" s="194">
        <v>0.96333044153641711</v>
      </c>
      <c r="B399" s="195">
        <v>-1.5494259567783986E-2</v>
      </c>
      <c r="C399" s="195">
        <v>0.16300252252485015</v>
      </c>
      <c r="D399" s="196">
        <v>0.21256661539440702</v>
      </c>
      <c r="F399" s="123">
        <f>INDEX(A399:D407,,F392)</f>
        <v>0.16300252252485015</v>
      </c>
      <c r="G399" s="90">
        <f>INDEX(A393:D401,,G392)</f>
        <v>0.21256661539440702</v>
      </c>
      <c r="I399" s="123">
        <f t="shared" si="129"/>
        <v>-1.8614743630769478E-2</v>
      </c>
      <c r="J399" s="37">
        <f t="shared" si="130"/>
        <v>6.9297789027715981E-2</v>
      </c>
      <c r="K399" s="37">
        <f t="shared" si="131"/>
        <v>-4.4556748836905606E-3</v>
      </c>
      <c r="L399" s="90">
        <f t="shared" si="128"/>
        <v>-1.2899605769300831E-3</v>
      </c>
      <c r="Q399" s="123">
        <v>0.16397963793233603</v>
      </c>
      <c r="R399" s="90">
        <v>0.21181375468386848</v>
      </c>
    </row>
    <row r="400" spans="1:18" x14ac:dyDescent="0.25">
      <c r="A400" s="194">
        <v>0.68016906722762149</v>
      </c>
      <c r="B400" s="195">
        <v>-0.21735656631826009</v>
      </c>
      <c r="C400" s="195">
        <v>0.56139314344801294</v>
      </c>
      <c r="D400" s="196">
        <v>0.41828686514711688</v>
      </c>
      <c r="F400" s="123">
        <f>INDEX(A400:D408,,F392)</f>
        <v>0.56139314344801294</v>
      </c>
      <c r="G400" s="90">
        <f>INDEX(A393:D401,,G392)</f>
        <v>0.41828686514711688</v>
      </c>
      <c r="I400" s="123">
        <f t="shared" si="129"/>
        <v>0.1401983599558389</v>
      </c>
      <c r="J400" s="37">
        <f t="shared" si="130"/>
        <v>0.46964675617591006</v>
      </c>
      <c r="K400" s="37">
        <f t="shared" si="131"/>
        <v>-0.20091249545224776</v>
      </c>
      <c r="L400" s="90">
        <f t="shared" si="128"/>
        <v>6.5843704974442349E-2</v>
      </c>
      <c r="Q400" s="123">
        <v>0.56331335186883824</v>
      </c>
      <c r="R400" s="90">
        <v>0.41569728249212545</v>
      </c>
    </row>
    <row r="401" spans="1:18" x14ac:dyDescent="0.25">
      <c r="A401" s="200">
        <v>7.7705341511611667E-2</v>
      </c>
      <c r="B401" s="201">
        <v>-0.9217243412672862</v>
      </c>
      <c r="C401" s="201">
        <v>-0.21419055768794923</v>
      </c>
      <c r="D401" s="202">
        <v>0.31386067548081986</v>
      </c>
      <c r="F401" s="91">
        <f>INDEX(A401:D409,,F392)</f>
        <v>-0.21419055768794923</v>
      </c>
      <c r="G401" s="93">
        <f>INDEX(A393:D401,,G392)</f>
        <v>0.31386067548081986</v>
      </c>
      <c r="I401" s="91">
        <f t="shared" si="129"/>
        <v>-5.2630928610601806E-2</v>
      </c>
      <c r="J401" s="92">
        <f t="shared" si="130"/>
        <v>-0.13445198623510651</v>
      </c>
      <c r="K401" s="92">
        <f t="shared" si="131"/>
        <v>-1.5307321956151008E-2</v>
      </c>
      <c r="L401" s="93">
        <f t="shared" si="128"/>
        <v>7.0763328890935074E-3</v>
      </c>
      <c r="Q401" s="91">
        <v>-0.21274299614759654</v>
      </c>
      <c r="R401" s="93">
        <v>0.31484366947120751</v>
      </c>
    </row>
    <row r="402" spans="1:18" x14ac:dyDescent="0.25">
      <c r="I402">
        <f>SUM(I393:I401)</f>
        <v>0.82514920798755409</v>
      </c>
      <c r="J402">
        <f>SUM(J393:J401)</f>
        <v>0.77872232342490921</v>
      </c>
      <c r="K402">
        <f>SUM(K393:K401)</f>
        <v>1.9126910797784338</v>
      </c>
      <c r="L402">
        <f>SUM(L393:L401)</f>
        <v>0.17787412243758791</v>
      </c>
    </row>
    <row r="403" spans="1:18" x14ac:dyDescent="0.25">
      <c r="A403" s="47" t="s">
        <v>53</v>
      </c>
      <c r="B403">
        <f>COUNT(A393:A401)</f>
        <v>9</v>
      </c>
      <c r="I403" s="47" t="s">
        <v>462</v>
      </c>
      <c r="J403" s="47" t="s">
        <v>389</v>
      </c>
      <c r="K403" s="47" t="s">
        <v>469</v>
      </c>
      <c r="L403" s="47" t="s">
        <v>470</v>
      </c>
      <c r="N403" s="47"/>
    </row>
    <row r="405" spans="1:18" x14ac:dyDescent="0.25">
      <c r="A405">
        <v>1</v>
      </c>
      <c r="B405">
        <v>2</v>
      </c>
      <c r="C405">
        <v>3</v>
      </c>
      <c r="D405">
        <v>4</v>
      </c>
      <c r="F405">
        <v>1</v>
      </c>
      <c r="G405">
        <v>2</v>
      </c>
      <c r="I405" s="47" t="s">
        <v>207</v>
      </c>
      <c r="J405" s="47" t="s">
        <v>464</v>
      </c>
      <c r="K405" s="47" t="s">
        <v>465</v>
      </c>
      <c r="L405" s="47" t="s">
        <v>466</v>
      </c>
      <c r="Q405">
        <f>F405</f>
        <v>1</v>
      </c>
      <c r="R405">
        <f>G405</f>
        <v>2</v>
      </c>
    </row>
    <row r="406" spans="1:18" x14ac:dyDescent="0.25">
      <c r="A406" s="189">
        <f t="array" ref="A406:A414">IF(A405=$Q392,$Q393:$Q401,IF(A405=$R392,$R393:$R401,A393:A401))</f>
        <v>0.10465719368085187</v>
      </c>
      <c r="B406" s="190">
        <f t="array" ref="B406:B414">IF(B405=$Q392,$Q393:$Q401,IF(B405=$R392,$R393:$R401,B393:B401))</f>
        <v>0.89485178059742798</v>
      </c>
      <c r="C406" s="190">
        <f t="array" ref="C406:C414">IF(C405=$Q392,$Q393:$Q401,IF(C405=$R392,$R393:$R401,C393:C401))</f>
        <v>-0.33574386812783796</v>
      </c>
      <c r="D406" s="191">
        <f t="array" ref="D406:D414">IF(D405=$Q392,$Q393:$Q401,IF(D405=$R392,$R393:$R401,D393:D401))</f>
        <v>0.27488764538810867</v>
      </c>
      <c r="F406" s="156">
        <f>INDEX(A406:D414,,F405)</f>
        <v>0.10465719368085187</v>
      </c>
      <c r="G406" s="158">
        <f>INDEX(A406:D414,,G405)</f>
        <v>0.89485178059742798</v>
      </c>
      <c r="I406" s="156">
        <f>F406^2-G406^2</f>
        <v>-0.78980658104923607</v>
      </c>
      <c r="J406" s="157">
        <f>2*F406*G406</f>
        <v>0.18730535223528036</v>
      </c>
      <c r="K406" s="157">
        <f>I406^2-J406^2</f>
        <v>0.58871114049270112</v>
      </c>
      <c r="L406" s="158">
        <f t="shared" ref="L406:L414" si="132">I406*J406</f>
        <v>-0.14793499986116967</v>
      </c>
      <c r="N406" t="s">
        <v>390</v>
      </c>
      <c r="O406" s="172">
        <f>L415*B416-2*I415*J415</f>
        <v>0.27501502166163272</v>
      </c>
      <c r="Q406" s="156">
        <f t="array" ref="Q406:R414">MMULT(F406:G414,N410:O411)</f>
        <v>0.10769206626755948</v>
      </c>
      <c r="R406" s="158">
        <v>0.8944916189045945</v>
      </c>
    </row>
    <row r="407" spans="1:18" x14ac:dyDescent="0.25">
      <c r="A407" s="194">
        <v>0.798161367476248</v>
      </c>
      <c r="B407" s="195">
        <v>-0.59704390917299244</v>
      </c>
      <c r="C407" s="195">
        <v>7.772397273893536E-2</v>
      </c>
      <c r="D407" s="196">
        <v>-2.0880278962572729E-2</v>
      </c>
      <c r="F407" s="123">
        <f>INDEX(A407:D415,,F405)</f>
        <v>0.798161367476248</v>
      </c>
      <c r="G407" s="90">
        <f>INDEX(A406:D414,,G405)</f>
        <v>-0.59704390917299244</v>
      </c>
      <c r="I407" s="123">
        <f t="shared" ref="I407:I414" si="133">F407^2-G407^2</f>
        <v>0.28060013905098569</v>
      </c>
      <c r="J407" s="37">
        <f t="shared" ref="J407:J414" si="134">2*F407*G407</f>
        <v>-0.95307476597776086</v>
      </c>
      <c r="K407" s="37">
        <f t="shared" ref="K407:K414" si="135">I407^2-J407^2</f>
        <v>-0.82961507150813107</v>
      </c>
      <c r="L407" s="90">
        <f t="shared" si="132"/>
        <v>-0.26743291185934531</v>
      </c>
      <c r="N407" t="s">
        <v>392</v>
      </c>
      <c r="O407" s="173">
        <f>K415*B416-(I415^2-J415^2)</f>
        <v>20.267184682464411</v>
      </c>
      <c r="Q407" s="123">
        <v>0.79613151069348298</v>
      </c>
      <c r="R407" s="90">
        <v>-0.59974796014078724</v>
      </c>
    </row>
    <row r="408" spans="1:18" x14ac:dyDescent="0.25">
      <c r="A408" s="194">
        <v>0.98366318378168238</v>
      </c>
      <c r="B408" s="195">
        <v>0.12380903773399704</v>
      </c>
      <c r="C408" s="195">
        <v>0.11210429381491697</v>
      </c>
      <c r="D408" s="196">
        <v>6.7161673267754365E-2</v>
      </c>
      <c r="F408" s="123">
        <f>INDEX(A408:D416,,F405)</f>
        <v>0.98366318378168238</v>
      </c>
      <c r="G408" s="90">
        <f>INDEX(A406:D414,,G405)</f>
        <v>0.12380903773399704</v>
      </c>
      <c r="I408" s="123">
        <f t="shared" si="133"/>
        <v>0.95226458130289748</v>
      </c>
      <c r="J408" s="37">
        <f t="shared" si="134"/>
        <v>0.24357278447673997</v>
      </c>
      <c r="K408" s="37">
        <f t="shared" si="135"/>
        <v>0.84748013146623025</v>
      </c>
      <c r="L408" s="90">
        <f t="shared" si="132"/>
        <v>0.23194573562652368</v>
      </c>
      <c r="N408" t="s">
        <v>467</v>
      </c>
      <c r="O408" s="174">
        <f>0.25*ATAN(O406/O407)</f>
        <v>3.3921601380985681E-3</v>
      </c>
      <c r="Q408" s="123">
        <v>0.9840775036808449</v>
      </c>
      <c r="R408" s="90">
        <v>0.12047158877266788</v>
      </c>
    </row>
    <row r="409" spans="1:18" x14ac:dyDescent="0.25">
      <c r="A409" s="194">
        <v>5.3971064924756389E-2</v>
      </c>
      <c r="B409" s="195">
        <v>5.5550027907192902E-3</v>
      </c>
      <c r="C409" s="195">
        <v>7.5676427733629995E-2</v>
      </c>
      <c r="D409" s="196">
        <v>0.99565523369304898</v>
      </c>
      <c r="F409" s="123">
        <f>INDEX(A409:D417,,F405)</f>
        <v>5.3971064924756389E-2</v>
      </c>
      <c r="G409" s="90">
        <f>INDEX(A406:D414,,G405)</f>
        <v>5.5550027907192902E-3</v>
      </c>
      <c r="I409" s="123">
        <f t="shared" si="133"/>
        <v>2.8820177931073703E-3</v>
      </c>
      <c r="J409" s="37">
        <f t="shared" si="134"/>
        <v>5.9961883255022744E-4</v>
      </c>
      <c r="K409" s="37">
        <f t="shared" si="135"/>
        <v>7.9464838154385804E-6</v>
      </c>
      <c r="L409" s="90">
        <f t="shared" si="132"/>
        <v>1.7281121444920243E-6</v>
      </c>
      <c r="Q409" s="123">
        <v>5.3989597832163519E-2</v>
      </c>
      <c r="R409" s="90">
        <v>5.3718926867923717E-3</v>
      </c>
    </row>
    <row r="410" spans="1:18" x14ac:dyDescent="0.25">
      <c r="A410" s="194">
        <v>0.35819704875919306</v>
      </c>
      <c r="B410" s="195">
        <v>-0.11405688030051922</v>
      </c>
      <c r="C410" s="195">
        <v>0.88311843902459908</v>
      </c>
      <c r="D410" s="196">
        <v>0.28069151211084664</v>
      </c>
      <c r="F410" s="123">
        <f>INDEX(A410:D418,,F405)</f>
        <v>0.35819704875919306</v>
      </c>
      <c r="G410" s="90">
        <f>INDEX(A406:D414,,G405)</f>
        <v>-0.11405688030051922</v>
      </c>
      <c r="I410" s="123">
        <f t="shared" si="133"/>
        <v>0.11529615379590874</v>
      </c>
      <c r="J410" s="37">
        <f t="shared" si="134"/>
        <v>-8.1709675828653058E-2</v>
      </c>
      <c r="K410" s="37">
        <f t="shared" si="135"/>
        <v>6.6167319561062721E-3</v>
      </c>
      <c r="L410" s="90">
        <f t="shared" si="132"/>
        <v>-9.4208113509542304E-3</v>
      </c>
      <c r="N410" s="156">
        <f>COS(O408)</f>
        <v>0.99999424663031566</v>
      </c>
      <c r="O410" s="158">
        <f>-N411</f>
        <v>-3.3921536326456387E-3</v>
      </c>
      <c r="Q410" s="123">
        <v>0.35780808945831211</v>
      </c>
      <c r="R410" s="90">
        <v>-0.11527128350927325</v>
      </c>
    </row>
    <row r="411" spans="1:18" x14ac:dyDescent="0.25">
      <c r="A411" s="194">
        <v>-2.9107012068878866E-2</v>
      </c>
      <c r="B411" s="195">
        <v>1.3611232271211089E-2</v>
      </c>
      <c r="C411" s="195">
        <v>0.99806012503248387</v>
      </c>
      <c r="D411" s="196">
        <v>-5.3324506792134109E-2</v>
      </c>
      <c r="F411" s="123">
        <f>INDEX(A411:D419,,F405)</f>
        <v>-2.9107012068878866E-2</v>
      </c>
      <c r="G411" s="90">
        <f>INDEX(A406:D414,,G405)</f>
        <v>1.3611232271211089E-2</v>
      </c>
      <c r="I411" s="123">
        <f t="shared" si="133"/>
        <v>6.6195250763700171E-4</v>
      </c>
      <c r="J411" s="37">
        <f t="shared" si="134"/>
        <v>-7.9236460398090939E-4</v>
      </c>
      <c r="K411" s="37">
        <f t="shared" si="135"/>
        <v>-1.8966054327490854E-7</v>
      </c>
      <c r="L411" s="90">
        <f t="shared" si="132"/>
        <v>-5.2450773656796272E-7</v>
      </c>
      <c r="N411" s="91">
        <f>SIN(O408)</f>
        <v>3.3921536326456387E-3</v>
      </c>
      <c r="O411" s="93">
        <f>N410</f>
        <v>0.99999424663031566</v>
      </c>
      <c r="Q411" s="123">
        <v>-2.9060673214484457E-2</v>
      </c>
      <c r="R411" s="90">
        <v>1.3709889417484883E-2</v>
      </c>
    </row>
    <row r="412" spans="1:18" x14ac:dyDescent="0.25">
      <c r="A412" s="194">
        <v>0.96333044153641711</v>
      </c>
      <c r="B412" s="195">
        <v>-1.5494259567783986E-2</v>
      </c>
      <c r="C412" s="195">
        <v>0.16397963793233603</v>
      </c>
      <c r="D412" s="196">
        <v>0.21181375468386848</v>
      </c>
      <c r="F412" s="123">
        <f>INDEX(A412:D420,,F405)</f>
        <v>0.96333044153641711</v>
      </c>
      <c r="G412" s="90">
        <f>INDEX(A406:D414,,G405)</f>
        <v>-1.5494259567783986E-2</v>
      </c>
      <c r="I412" s="123">
        <f t="shared" si="133"/>
        <v>0.92776546751119449</v>
      </c>
      <c r="J412" s="37">
        <f t="shared" si="134"/>
        <v>-2.9852183821426407E-2</v>
      </c>
      <c r="K412" s="37">
        <f t="shared" si="135"/>
        <v>0.85985760982735704</v>
      </c>
      <c r="L412" s="90">
        <f t="shared" si="132"/>
        <v>-2.7695825279315786E-2</v>
      </c>
      <c r="Q412" s="123">
        <v>0.96327234023138075</v>
      </c>
      <c r="R412" s="90">
        <v>-1.8761935280276594E-2</v>
      </c>
    </row>
    <row r="413" spans="1:18" x14ac:dyDescent="0.25">
      <c r="A413" s="194">
        <v>0.68016906722762149</v>
      </c>
      <c r="B413" s="195">
        <v>-0.21735656631826009</v>
      </c>
      <c r="C413" s="195">
        <v>0.56331335186883824</v>
      </c>
      <c r="D413" s="196">
        <v>0.41569728249212545</v>
      </c>
      <c r="F413" s="123">
        <f>INDEX(A413:D421,,F405)</f>
        <v>0.68016906722762149</v>
      </c>
      <c r="G413" s="90">
        <f>INDEX(A406:D414,,G405)</f>
        <v>-0.21735656631826009</v>
      </c>
      <c r="I413" s="123">
        <f t="shared" si="133"/>
        <v>0.4153860830916285</v>
      </c>
      <c r="J413" s="37">
        <f t="shared" si="134"/>
        <v>-0.29567842593697924</v>
      </c>
      <c r="K413" s="37">
        <f t="shared" si="135"/>
        <v>8.5119866461635565E-2</v>
      </c>
      <c r="L413" s="90">
        <f t="shared" si="132"/>
        <v>-0.12282070320465999</v>
      </c>
      <c r="Q413" s="123">
        <v>0.67942784709751392</v>
      </c>
      <c r="R413" s="90">
        <v>-0.21966255375779009</v>
      </c>
    </row>
    <row r="414" spans="1:18" x14ac:dyDescent="0.25">
      <c r="A414" s="200">
        <v>7.7705341511611667E-2</v>
      </c>
      <c r="B414" s="201">
        <v>-0.9217243412672862</v>
      </c>
      <c r="C414" s="201">
        <v>-0.21274299614759654</v>
      </c>
      <c r="D414" s="202">
        <v>0.31484366947120751</v>
      </c>
      <c r="F414" s="91">
        <f>INDEX(A414:D422,,F405)</f>
        <v>7.7705341511611667E-2</v>
      </c>
      <c r="G414" s="93">
        <f>INDEX(A406:D414,,G405)</f>
        <v>-0.9217243412672862</v>
      </c>
      <c r="I414" s="91">
        <f t="shared" si="133"/>
        <v>-0.84353764118517649</v>
      </c>
      <c r="J414" s="92">
        <f t="shared" si="134"/>
        <v>-0.14324580943547954</v>
      </c>
      <c r="K414" s="92">
        <f t="shared" si="135"/>
        <v>0.69103639017542584</v>
      </c>
      <c r="L414" s="93">
        <f t="shared" si="132"/>
        <v>0.12083323220086571</v>
      </c>
      <c r="Q414" s="91">
        <v>7.4578263871527758E-2</v>
      </c>
      <c r="R414" s="93">
        <v>-0.92198262670288844</v>
      </c>
    </row>
    <row r="415" spans="1:18" x14ac:dyDescent="0.25">
      <c r="I415">
        <f>SUM(I406:I414)</f>
        <v>1.0615121728189467</v>
      </c>
      <c r="J415">
        <f>SUM(J406:J414)</f>
        <v>-1.0728754700597094</v>
      </c>
      <c r="K415">
        <f>SUM(K406:K414)</f>
        <v>2.2492145556945968</v>
      </c>
      <c r="L415">
        <f>SUM(L406:L414)</f>
        <v>-0.22252508012364769</v>
      </c>
    </row>
    <row r="416" spans="1:18" x14ac:dyDescent="0.25">
      <c r="A416" s="47" t="s">
        <v>53</v>
      </c>
      <c r="B416">
        <f>COUNT(A406:A414)</f>
        <v>9</v>
      </c>
      <c r="I416" s="47" t="s">
        <v>462</v>
      </c>
      <c r="J416" s="47" t="s">
        <v>389</v>
      </c>
      <c r="K416" s="47" t="s">
        <v>469</v>
      </c>
      <c r="L416" s="47" t="s">
        <v>470</v>
      </c>
      <c r="N416" s="47"/>
    </row>
    <row r="418" spans="1:18" x14ac:dyDescent="0.25">
      <c r="A418">
        <v>1</v>
      </c>
      <c r="B418">
        <v>2</v>
      </c>
      <c r="C418">
        <v>3</v>
      </c>
      <c r="D418">
        <v>4</v>
      </c>
      <c r="F418">
        <v>1</v>
      </c>
      <c r="G418">
        <v>3</v>
      </c>
      <c r="I418" s="47" t="s">
        <v>207</v>
      </c>
      <c r="J418" s="47" t="s">
        <v>464</v>
      </c>
      <c r="K418" s="47" t="s">
        <v>465</v>
      </c>
      <c r="L418" s="47" t="s">
        <v>466</v>
      </c>
      <c r="Q418">
        <f>F418</f>
        <v>1</v>
      </c>
      <c r="R418">
        <f>G418</f>
        <v>3</v>
      </c>
    </row>
    <row r="419" spans="1:18" x14ac:dyDescent="0.25">
      <c r="A419" s="189">
        <f t="array" ref="A419:A427">IF(A418=$Q405,$Q406:$Q414,IF(A418=$R405,$R406:$R414,A406:A414))</f>
        <v>0.10769206626755948</v>
      </c>
      <c r="B419" s="190">
        <f t="array" ref="B419:B427">IF(B418=$Q405,$Q406:$Q414,IF(B418=$R405,$R406:$R414,B406:B414))</f>
        <v>0.8944916189045945</v>
      </c>
      <c r="C419" s="190">
        <f t="array" ref="C419:C427">IF(C418=$Q405,$Q406:$Q414,IF(C418=$R405,$R406:$R414,C406:C414))</f>
        <v>-0.33574386812783796</v>
      </c>
      <c r="D419" s="191">
        <f t="array" ref="D419:D427">IF(D418=$Q405,$Q406:$Q414,IF(D418=$R405,$R406:$R414,D406:D414))</f>
        <v>0.27488764538810867</v>
      </c>
      <c r="F419" s="156">
        <f>INDEX(A419:D427,,F418)</f>
        <v>0.10769206626755948</v>
      </c>
      <c r="G419" s="158">
        <f>INDEX(A419:D427,,G418)</f>
        <v>-0.33574386812783796</v>
      </c>
      <c r="I419" s="156">
        <f>F419^2-G419^2</f>
        <v>-0.10112636384846663</v>
      </c>
      <c r="J419" s="157">
        <f>2*F419*G419</f>
        <v>-7.2313901790699756E-2</v>
      </c>
      <c r="K419" s="157">
        <f>I419^2-J419^2</f>
        <v>4.9972410730174882E-3</v>
      </c>
      <c r="L419" s="158">
        <f t="shared" ref="L419:L427" si="136">I419*J419</f>
        <v>7.312841943788586E-3</v>
      </c>
      <c r="N419" t="s">
        <v>390</v>
      </c>
      <c r="O419" s="172">
        <f>L428*B429-2*I428*J428</f>
        <v>-0.14939016452538834</v>
      </c>
      <c r="Q419" s="156">
        <f t="array" ref="Q419:R427">MMULT(F419:G427,N423:O424)</f>
        <v>0.10820160889262641</v>
      </c>
      <c r="R419" s="158">
        <v>-0.3355800023175794</v>
      </c>
    </row>
    <row r="420" spans="1:18" x14ac:dyDescent="0.25">
      <c r="A420" s="194">
        <v>0.79613151069348298</v>
      </c>
      <c r="B420" s="195">
        <v>-0.59974796014078724</v>
      </c>
      <c r="C420" s="195">
        <v>7.772397273893536E-2</v>
      </c>
      <c r="D420" s="196">
        <v>-2.0880278962572729E-2</v>
      </c>
      <c r="F420" s="123">
        <f>INDEX(A420:D428,,F418)</f>
        <v>0.79613151069348298</v>
      </c>
      <c r="G420" s="90">
        <f>INDEX(A419:D427,,G418)</f>
        <v>7.772397273893536E-2</v>
      </c>
      <c r="I420" s="123">
        <f t="shared" ref="I420:I427" si="137">F420^2-G420^2</f>
        <v>0.62778436638076462</v>
      </c>
      <c r="J420" s="37">
        <f t="shared" ref="J420:J427" si="138">2*F420*G420</f>
        <v>0.12375700766749539</v>
      </c>
      <c r="K420" s="37">
        <f t="shared" ref="K420:K427" si="139">I420^2-J420^2</f>
        <v>0.37879741372528558</v>
      </c>
      <c r="L420" s="90">
        <f t="shared" si="136"/>
        <v>7.7692714643718019E-2</v>
      </c>
      <c r="N420" t="s">
        <v>392</v>
      </c>
      <c r="O420" s="173">
        <f>K428*B429-(I428^2-J428^2)</f>
        <v>24.602448650384176</v>
      </c>
      <c r="Q420" s="123">
        <v>0.79601260666294493</v>
      </c>
      <c r="R420" s="90">
        <v>7.8932428640413138E-2</v>
      </c>
    </row>
    <row r="421" spans="1:18" x14ac:dyDescent="0.25">
      <c r="A421" s="194">
        <v>0.9840775036808449</v>
      </c>
      <c r="B421" s="195">
        <v>0.12047158877266788</v>
      </c>
      <c r="C421" s="195">
        <v>0.11210429381491697</v>
      </c>
      <c r="D421" s="196">
        <v>6.7161673267754365E-2</v>
      </c>
      <c r="F421" s="123">
        <f>INDEX(A421:D429,,F418)</f>
        <v>0.9840775036808449</v>
      </c>
      <c r="G421" s="90">
        <f>INDEX(A419:D427,,G418)</f>
        <v>0.11210429381491697</v>
      </c>
      <c r="I421" s="123">
        <f t="shared" si="137"/>
        <v>0.95584116055898205</v>
      </c>
      <c r="J421" s="37">
        <f t="shared" si="138"/>
        <v>0.22063862721857497</v>
      </c>
      <c r="K421" s="37">
        <f t="shared" si="139"/>
        <v>0.86495092039784449</v>
      </c>
      <c r="L421" s="90">
        <f t="shared" si="136"/>
        <v>0.2108954815047433</v>
      </c>
      <c r="N421" t="s">
        <v>467</v>
      </c>
      <c r="O421" s="174">
        <f>0.25*ATAN(O419/O420)</f>
        <v>-1.518022968198492E-3</v>
      </c>
      <c r="Q421" s="123">
        <v>0.98390619300256132</v>
      </c>
      <c r="R421" s="90">
        <v>0.1135980163280635</v>
      </c>
    </row>
    <row r="422" spans="1:18" x14ac:dyDescent="0.25">
      <c r="A422" s="194">
        <v>5.3989597832163519E-2</v>
      </c>
      <c r="B422" s="195">
        <v>5.3718926867923717E-3</v>
      </c>
      <c r="C422" s="195">
        <v>7.5676427733629995E-2</v>
      </c>
      <c r="D422" s="196">
        <v>0.99565523369304898</v>
      </c>
      <c r="F422" s="123">
        <f>INDEX(A422:D430,,F418)</f>
        <v>5.3989597832163519E-2</v>
      </c>
      <c r="G422" s="90">
        <f>INDEX(A419:D427,,G418)</f>
        <v>7.5676427733629995E-2</v>
      </c>
      <c r="I422" s="123">
        <f t="shared" si="137"/>
        <v>-2.812045040444567E-3</v>
      </c>
      <c r="J422" s="37">
        <f t="shared" si="138"/>
        <v>8.1714797974269376E-3</v>
      </c>
      <c r="K422" s="37">
        <f t="shared" si="139"/>
        <v>-5.8865484770267697E-5</v>
      </c>
      <c r="L422" s="90">
        <f t="shared" si="136"/>
        <v>-2.2978569237447393E-5</v>
      </c>
      <c r="Q422" s="123">
        <v>5.3874657114200079E-2</v>
      </c>
      <c r="R422" s="90">
        <v>7.5758297957579851E-2</v>
      </c>
    </row>
    <row r="423" spans="1:18" x14ac:dyDescent="0.25">
      <c r="A423" s="194">
        <v>0.35780808945831211</v>
      </c>
      <c r="B423" s="195">
        <v>-0.11527128350927325</v>
      </c>
      <c r="C423" s="195">
        <v>0.88311843902459908</v>
      </c>
      <c r="D423" s="196">
        <v>0.28069151211084664</v>
      </c>
      <c r="F423" s="123">
        <f>INDEX(A423:D431,,F418)</f>
        <v>0.35780808945831211</v>
      </c>
      <c r="G423" s="90">
        <f>INDEX(A419:D427,,G418)</f>
        <v>0.88311843902459908</v>
      </c>
      <c r="I423" s="123">
        <f t="shared" si="137"/>
        <v>-0.65187154846343698</v>
      </c>
      <c r="J423" s="37">
        <f t="shared" si="138"/>
        <v>0.63197384286559743</v>
      </c>
      <c r="K423" s="37">
        <f t="shared" si="139"/>
        <v>2.5545577629808247E-2</v>
      </c>
      <c r="L423" s="90">
        <f t="shared" si="136"/>
        <v>-0.41196576753718578</v>
      </c>
      <c r="N423" s="156">
        <f>COS(O421)</f>
        <v>0.99999884780335524</v>
      </c>
      <c r="O423" s="158">
        <f>-N424</f>
        <v>1.5180223851781237E-3</v>
      </c>
      <c r="Q423" s="123">
        <v>0.35646708363382906</v>
      </c>
      <c r="R423" s="90">
        <v>0.88366058218789223</v>
      </c>
    </row>
    <row r="424" spans="1:18" x14ac:dyDescent="0.25">
      <c r="A424" s="194">
        <v>-2.9060673214484457E-2</v>
      </c>
      <c r="B424" s="195">
        <v>1.3709889417484883E-2</v>
      </c>
      <c r="C424" s="195">
        <v>0.99806012503248387</v>
      </c>
      <c r="D424" s="196">
        <v>-5.3324506792134109E-2</v>
      </c>
      <c r="F424" s="123">
        <f>INDEX(A424:D432,,F418)</f>
        <v>-2.9060673214484457E-2</v>
      </c>
      <c r="G424" s="90">
        <f>INDEX(A419:D427,,G418)</f>
        <v>0.99806012503248387</v>
      </c>
      <c r="I424" s="123">
        <f t="shared" si="137"/>
        <v>-0.99527949045217823</v>
      </c>
      <c r="J424" s="37">
        <f t="shared" si="138"/>
        <v>-5.8008598283953022E-2</v>
      </c>
      <c r="K424" s="37">
        <f t="shared" si="139"/>
        <v>0.98721626663987849</v>
      </c>
      <c r="L424" s="90">
        <f t="shared" si="136"/>
        <v>5.7734768141897867E-2</v>
      </c>
      <c r="N424" s="91">
        <f>SIN(O421)</f>
        <v>-1.5180223851781237E-3</v>
      </c>
      <c r="O424" s="93">
        <f>N423</f>
        <v>0.99999884780335524</v>
      </c>
      <c r="Q424" s="123">
        <v>-3.0575717342427273E-2</v>
      </c>
      <c r="R424" s="90">
        <v>0.99801486031848863</v>
      </c>
    </row>
    <row r="425" spans="1:18" x14ac:dyDescent="0.25">
      <c r="A425" s="194">
        <v>0.96327234023138075</v>
      </c>
      <c r="B425" s="195">
        <v>-1.8761935280276594E-2</v>
      </c>
      <c r="C425" s="195">
        <v>0.16397963793233603</v>
      </c>
      <c r="D425" s="196">
        <v>0.21181375468386848</v>
      </c>
      <c r="F425" s="123">
        <f>INDEX(A425:D433,,F418)</f>
        <v>0.96327234023138075</v>
      </c>
      <c r="G425" s="90">
        <f>INDEX(A419:D427,,G418)</f>
        <v>0.16397963793233603</v>
      </c>
      <c r="I425" s="123">
        <f t="shared" si="137"/>
        <v>0.90100427979842102</v>
      </c>
      <c r="J425" s="37">
        <f t="shared" si="138"/>
        <v>0.31591409916275165</v>
      </c>
      <c r="K425" s="37">
        <f t="shared" si="139"/>
        <v>0.71200699416525848</v>
      </c>
      <c r="L425" s="90">
        <f t="shared" si="136"/>
        <v>0.28463995539430204</v>
      </c>
      <c r="Q425" s="123">
        <v>0.96302230559112767</v>
      </c>
      <c r="R425" s="90">
        <v>0.16544171797104154</v>
      </c>
    </row>
    <row r="426" spans="1:18" x14ac:dyDescent="0.25">
      <c r="A426" s="194">
        <v>0.67942784709751392</v>
      </c>
      <c r="B426" s="195">
        <v>-0.21966255375779009</v>
      </c>
      <c r="C426" s="195">
        <v>0.56331335186883824</v>
      </c>
      <c r="D426" s="196">
        <v>0.41569728249212545</v>
      </c>
      <c r="F426" s="123">
        <f>INDEX(A426:D434,,F418)</f>
        <v>0.67942784709751392</v>
      </c>
      <c r="G426" s="90">
        <f>INDEX(A419:D427,,G418)</f>
        <v>0.56331335186883824</v>
      </c>
      <c r="I426" s="123">
        <f t="shared" si="137"/>
        <v>0.1443002670178572</v>
      </c>
      <c r="J426" s="37">
        <f t="shared" si="138"/>
        <v>0.76546155580305819</v>
      </c>
      <c r="K426" s="37">
        <f t="shared" si="139"/>
        <v>-0.56510882635101345</v>
      </c>
      <c r="L426" s="90">
        <f t="shared" si="136"/>
        <v>0.11045630689428569</v>
      </c>
      <c r="Q426" s="123">
        <v>0.67857194198502147</v>
      </c>
      <c r="R426" s="90">
        <v>0.56434408950209169</v>
      </c>
    </row>
    <row r="427" spans="1:18" x14ac:dyDescent="0.25">
      <c r="A427" s="200">
        <v>7.4578263871527758E-2</v>
      </c>
      <c r="B427" s="201">
        <v>-0.92198262670288844</v>
      </c>
      <c r="C427" s="201">
        <v>-0.21274299614759654</v>
      </c>
      <c r="D427" s="202">
        <v>0.31484366947120751</v>
      </c>
      <c r="F427" s="91">
        <f>INDEX(A427:D435,,F418)</f>
        <v>7.4578263871527758E-2</v>
      </c>
      <c r="G427" s="93">
        <f>INDEX(A419:D427,,G418)</f>
        <v>-0.21274299614759654</v>
      </c>
      <c r="I427" s="91">
        <f t="shared" si="137"/>
        <v>-3.9697664967765049E-2</v>
      </c>
      <c r="J427" s="92">
        <f t="shared" si="138"/>
        <v>-3.1732006607029739E-2</v>
      </c>
      <c r="K427" s="92">
        <f t="shared" si="139"/>
        <v>5.6898436058434149E-4</v>
      </c>
      <c r="L427" s="93">
        <f t="shared" si="136"/>
        <v>1.2596865670407736E-3</v>
      </c>
      <c r="Q427" s="91">
        <v>7.4901126573144267E-2</v>
      </c>
      <c r="R427" s="93">
        <v>-0.21262953955182548</v>
      </c>
    </row>
    <row r="428" spans="1:18" x14ac:dyDescent="0.25">
      <c r="I428">
        <f>SUM(I419:I427)</f>
        <v>0.83814296098373353</v>
      </c>
      <c r="J428">
        <f>SUM(J419:J427)</f>
        <v>1.9038621058332221</v>
      </c>
      <c r="K428">
        <f>SUM(K419:K427)</f>
        <v>2.4089157061558937</v>
      </c>
      <c r="L428">
        <f>SUM(L419:L427)</f>
        <v>0.33800300898335306</v>
      </c>
    </row>
    <row r="429" spans="1:18" x14ac:dyDescent="0.25">
      <c r="A429" s="47" t="s">
        <v>53</v>
      </c>
      <c r="B429">
        <f>COUNT(A419:A427)</f>
        <v>9</v>
      </c>
      <c r="I429" s="47" t="s">
        <v>462</v>
      </c>
      <c r="J429" s="47" t="s">
        <v>389</v>
      </c>
      <c r="K429" s="47" t="s">
        <v>469</v>
      </c>
      <c r="L429" s="47" t="s">
        <v>470</v>
      </c>
      <c r="N429" s="47"/>
    </row>
    <row r="431" spans="1:18" x14ac:dyDescent="0.25">
      <c r="A431">
        <v>1</v>
      </c>
      <c r="B431">
        <v>2</v>
      </c>
      <c r="C431">
        <v>3</v>
      </c>
      <c r="D431">
        <v>4</v>
      </c>
      <c r="F431">
        <v>1</v>
      </c>
      <c r="G431">
        <v>4</v>
      </c>
      <c r="I431" s="47" t="s">
        <v>207</v>
      </c>
      <c r="J431" s="47" t="s">
        <v>464</v>
      </c>
      <c r="K431" s="47" t="s">
        <v>465</v>
      </c>
      <c r="L431" s="47" t="s">
        <v>466</v>
      </c>
      <c r="Q431">
        <f>F431</f>
        <v>1</v>
      </c>
      <c r="R431">
        <f>G431</f>
        <v>4</v>
      </c>
    </row>
    <row r="432" spans="1:18" x14ac:dyDescent="0.25">
      <c r="A432" s="189">
        <f t="array" ref="A432:A440">IF(A431=$Q418,$Q419:$Q427,IF(A431=$R418,$R419:$R427,A419:A427))</f>
        <v>0.10820160889262641</v>
      </c>
      <c r="B432" s="190">
        <f t="array" ref="B432:B440">IF(B431=$Q418,$Q419:$Q427,IF(B431=$R418,$R419:$R427,B419:B427))</f>
        <v>0.8944916189045945</v>
      </c>
      <c r="C432" s="190">
        <f t="array" ref="C432:C440">IF(C431=$Q418,$Q419:$Q427,IF(C431=$R418,$R419:$R427,C419:C427))</f>
        <v>-0.3355800023175794</v>
      </c>
      <c r="D432" s="191">
        <f t="array" ref="D432:D440">IF(D431=$Q418,$Q419:$Q427,IF(D431=$R418,$R419:$R427,D419:D427))</f>
        <v>0.27488764538810867</v>
      </c>
      <c r="F432" s="156">
        <f>INDEX(A432:D440,,F431)</f>
        <v>0.10820160889262641</v>
      </c>
      <c r="G432" s="158">
        <f>INDEX(A432:D440,,G431)</f>
        <v>0.27488764538810867</v>
      </c>
      <c r="I432" s="156">
        <f>F432^2-G432^2</f>
        <v>-6.3855629420065702E-2</v>
      </c>
      <c r="J432" s="157">
        <f>2*F432*G432</f>
        <v>5.948657099139823E-2</v>
      </c>
      <c r="K432" s="157">
        <f>I432^2-J432^2</f>
        <v>5.3888928031809889E-4</v>
      </c>
      <c r="L432" s="158">
        <f t="shared" ref="L432:L440" si="140">I432*J432</f>
        <v>-3.7985524326971556E-3</v>
      </c>
      <c r="N432" t="s">
        <v>390</v>
      </c>
      <c r="O432" s="172">
        <f>L441*B442-2*I441*J441</f>
        <v>-0.24745399595999729</v>
      </c>
      <c r="Q432" s="156">
        <f t="array" ref="Q432:R440">MMULT(F432:G440,N436:O437)</f>
        <v>0.10746308304669717</v>
      </c>
      <c r="R432" s="158">
        <v>0.27517720024753162</v>
      </c>
    </row>
    <row r="433" spans="1:18" x14ac:dyDescent="0.25">
      <c r="A433" s="194">
        <v>0.79601260666294493</v>
      </c>
      <c r="B433" s="195">
        <v>-0.59974796014078724</v>
      </c>
      <c r="C433" s="195">
        <v>7.8932428640413138E-2</v>
      </c>
      <c r="D433" s="196">
        <v>-2.0880278962572729E-2</v>
      </c>
      <c r="F433" s="123">
        <f>INDEX(A433:D441,,F431)</f>
        <v>0.79601260666294493</v>
      </c>
      <c r="G433" s="90">
        <f>INDEX(A432:D440,,G431)</f>
        <v>-2.0880278962572729E-2</v>
      </c>
      <c r="I433" s="123">
        <f t="shared" ref="I433:I440" si="141">F433^2-G433^2</f>
        <v>0.6332000839167814</v>
      </c>
      <c r="J433" s="37">
        <f t="shared" ref="J433:J440" si="142">2*F433*G433</f>
        <v>-3.3241930569693941E-2</v>
      </c>
      <c r="K433" s="37">
        <f t="shared" ref="K433:K440" si="143">I433^2-J433^2</f>
        <v>0.3998373203242187</v>
      </c>
      <c r="L433" s="90">
        <f t="shared" si="140"/>
        <v>-2.1048793226286024E-2</v>
      </c>
      <c r="N433" t="s">
        <v>392</v>
      </c>
      <c r="O433" s="173">
        <f>K441*B442-(I441^2-J441^2)</f>
        <v>23.037547051548298</v>
      </c>
      <c r="Q433" s="123">
        <v>0.79606580514627301</v>
      </c>
      <c r="R433" s="90">
        <v>-1.874272906241805E-2</v>
      </c>
    </row>
    <row r="434" spans="1:18" x14ac:dyDescent="0.25">
      <c r="A434" s="194">
        <v>0.98390619300256132</v>
      </c>
      <c r="B434" s="195">
        <v>0.12047158877266788</v>
      </c>
      <c r="C434" s="195">
        <v>0.1135980163280635</v>
      </c>
      <c r="D434" s="196">
        <v>6.7161673267754365E-2</v>
      </c>
      <c r="F434" s="123">
        <f>INDEX(A434:D442,,F431)</f>
        <v>0.98390619300256132</v>
      </c>
      <c r="G434" s="90">
        <f>INDEX(A432:D440,,G431)</f>
        <v>6.7161673267754365E-2</v>
      </c>
      <c r="I434" s="123">
        <f t="shared" si="141"/>
        <v>0.96356070627266888</v>
      </c>
      <c r="J434" s="37">
        <f t="shared" si="142"/>
        <v>0.13216157252111618</v>
      </c>
      <c r="K434" s="37">
        <f t="shared" si="143"/>
        <v>0.9109825534214302</v>
      </c>
      <c r="L434" s="90">
        <f t="shared" si="140"/>
        <v>0.12734569816055324</v>
      </c>
      <c r="N434" t="s">
        <v>467</v>
      </c>
      <c r="O434" s="174">
        <f>0.25*ATAN(O432/O433)</f>
        <v>-2.6852303252224026E-3</v>
      </c>
      <c r="Q434" s="123">
        <v>0.98372230145061057</v>
      </c>
      <c r="R434" s="90">
        <v>6.9803442706158056E-2</v>
      </c>
    </row>
    <row r="435" spans="1:18" x14ac:dyDescent="0.25">
      <c r="A435" s="194">
        <v>5.3874657114200079E-2</v>
      </c>
      <c r="B435" s="195">
        <v>5.3718926867923717E-3</v>
      </c>
      <c r="C435" s="195">
        <v>7.5758297957579851E-2</v>
      </c>
      <c r="D435" s="196">
        <v>0.99565523369304898</v>
      </c>
      <c r="F435" s="123">
        <f>INDEX(A435:D443,,F431)</f>
        <v>5.3874657114200079E-2</v>
      </c>
      <c r="G435" s="90">
        <f>INDEX(A432:D440,,G431)</f>
        <v>0.99565523369304898</v>
      </c>
      <c r="I435" s="123">
        <f t="shared" si="141"/>
        <v>-0.98842686570118743</v>
      </c>
      <c r="J435" s="37">
        <f t="shared" si="142"/>
        <v>0.10728116863834353</v>
      </c>
      <c r="K435" s="37">
        <f t="shared" si="143"/>
        <v>0.96547841969546455</v>
      </c>
      <c r="L435" s="90">
        <f t="shared" si="140"/>
        <v>-0.10603958926595841</v>
      </c>
      <c r="Q435" s="123">
        <v>5.1200902469693527E-2</v>
      </c>
      <c r="R435" s="90">
        <v>0.9957963098173348</v>
      </c>
    </row>
    <row r="436" spans="1:18" x14ac:dyDescent="0.25">
      <c r="A436" s="194">
        <v>0.35646708363382906</v>
      </c>
      <c r="B436" s="195">
        <v>-0.11527128350927325</v>
      </c>
      <c r="C436" s="195">
        <v>0.88366058218789223</v>
      </c>
      <c r="D436" s="196">
        <v>0.28069151211084664</v>
      </c>
      <c r="F436" s="123">
        <f>INDEX(A436:D444,,F431)</f>
        <v>0.35646708363382906</v>
      </c>
      <c r="G436" s="90">
        <f>INDEX(A432:D440,,G431)</f>
        <v>0.28069151211084664</v>
      </c>
      <c r="I436" s="123">
        <f t="shared" si="141"/>
        <v>4.8281056743333703E-2</v>
      </c>
      <c r="J436" s="37">
        <f t="shared" si="142"/>
        <v>0.20011456944584621</v>
      </c>
      <c r="K436" s="37">
        <f t="shared" si="143"/>
        <v>-3.7714780464243397E-2</v>
      </c>
      <c r="L436" s="90">
        <f t="shared" si="140"/>
        <v>9.6617428825826936E-3</v>
      </c>
      <c r="N436" s="156">
        <f>COS(O434)</f>
        <v>0.99999639477121649</v>
      </c>
      <c r="O436" s="158">
        <f>-N437</f>
        <v>2.6852270982650741E-3</v>
      </c>
      <c r="Q436" s="123">
        <v>0.35571207803386573</v>
      </c>
      <c r="R436" s="90">
        <v>0.28164769522634098</v>
      </c>
    </row>
    <row r="437" spans="1:18" x14ac:dyDescent="0.25">
      <c r="A437" s="194">
        <v>-3.0575717342427273E-2</v>
      </c>
      <c r="B437" s="195">
        <v>1.3709889417484883E-2</v>
      </c>
      <c r="C437" s="195">
        <v>0.99801486031848863</v>
      </c>
      <c r="D437" s="196">
        <v>-5.3324506792134109E-2</v>
      </c>
      <c r="F437" s="123">
        <f>INDEX(A437:D445,,F431)</f>
        <v>-3.0575717342427273E-2</v>
      </c>
      <c r="G437" s="90">
        <f>INDEX(A432:D440,,G431)</f>
        <v>-5.3324506792134109E-2</v>
      </c>
      <c r="I437" s="123">
        <f t="shared" si="141"/>
        <v>-1.9086285336203488E-3</v>
      </c>
      <c r="J437" s="37">
        <f t="shared" si="142"/>
        <v>3.2608700942012717E-3</v>
      </c>
      <c r="K437" s="37">
        <f t="shared" si="143"/>
        <v>-6.9904108919064479E-6</v>
      </c>
      <c r="L437" s="90">
        <f t="shared" si="140"/>
        <v>-6.223789706221822E-6</v>
      </c>
      <c r="N437" s="91">
        <f>SIN(O434)</f>
        <v>-2.6852270982650741E-3</v>
      </c>
      <c r="O437" s="93">
        <f>N436</f>
        <v>0.99999639477121649</v>
      </c>
      <c r="Q437" s="123">
        <v>-3.0432418699331176E-2</v>
      </c>
      <c r="R437" s="90">
        <v>-5.3406417289844133E-2</v>
      </c>
    </row>
    <row r="438" spans="1:18" x14ac:dyDescent="0.25">
      <c r="A438" s="194">
        <v>0.96302230559112767</v>
      </c>
      <c r="B438" s="195">
        <v>-1.8761935280276594E-2</v>
      </c>
      <c r="C438" s="195">
        <v>0.16544171797104154</v>
      </c>
      <c r="D438" s="196">
        <v>0.21181375468386848</v>
      </c>
      <c r="F438" s="123">
        <f>INDEX(A438:D446,,F431)</f>
        <v>0.96302230559112767</v>
      </c>
      <c r="G438" s="90">
        <f>INDEX(A432:D440,,G431)</f>
        <v>0.21181375468386848</v>
      </c>
      <c r="I438" s="123">
        <f t="shared" si="141"/>
        <v>0.88254689439277323</v>
      </c>
      <c r="J438" s="37">
        <f t="shared" si="142"/>
        <v>0.40796274078314509</v>
      </c>
      <c r="K438" s="37">
        <f t="shared" si="143"/>
        <v>0.61245542293503319</v>
      </c>
      <c r="L438" s="90">
        <f t="shared" si="140"/>
        <v>0.36004624990612866</v>
      </c>
      <c r="Q438" s="123">
        <v>0.96245006564153002</v>
      </c>
      <c r="R438" s="90">
        <v>0.21439892463803037</v>
      </c>
    </row>
    <row r="439" spans="1:18" x14ac:dyDescent="0.25">
      <c r="A439" s="194">
        <v>0.67857194198502147</v>
      </c>
      <c r="B439" s="195">
        <v>-0.21966255375779009</v>
      </c>
      <c r="C439" s="195">
        <v>0.56434408950209169</v>
      </c>
      <c r="D439" s="196">
        <v>0.41569728249212545</v>
      </c>
      <c r="F439" s="123">
        <f>INDEX(A439:D447,,F431)</f>
        <v>0.67857194198502147</v>
      </c>
      <c r="G439" s="90">
        <f>INDEX(A432:D440,,G431)</f>
        <v>0.41569728249212545</v>
      </c>
      <c r="I439" s="123">
        <f t="shared" si="141"/>
        <v>0.28765564977798541</v>
      </c>
      <c r="J439" s="37">
        <f t="shared" si="142"/>
        <v>0.56416102451715522</v>
      </c>
      <c r="K439" s="37">
        <f t="shared" si="143"/>
        <v>-0.23553188873505121</v>
      </c>
      <c r="L439" s="90">
        <f t="shared" si="140"/>
        <v>0.16228410608689625</v>
      </c>
      <c r="Q439" s="123">
        <v>0.67745325397030154</v>
      </c>
      <c r="R439" s="90">
        <v>0.41751790357505791</v>
      </c>
    </row>
    <row r="440" spans="1:18" x14ac:dyDescent="0.25">
      <c r="A440" s="200">
        <v>7.4901126573144267E-2</v>
      </c>
      <c r="B440" s="201">
        <v>-0.92198262670288844</v>
      </c>
      <c r="C440" s="201">
        <v>-0.21262953955182548</v>
      </c>
      <c r="D440" s="202">
        <v>0.31484366947120751</v>
      </c>
      <c r="F440" s="91">
        <f>INDEX(A440:D448,,F431)</f>
        <v>7.4901126573144267E-2</v>
      </c>
      <c r="G440" s="93">
        <f>INDEX(A432:D440,,G431)</f>
        <v>0.31484366947120751</v>
      </c>
      <c r="I440" s="91">
        <f t="shared" si="141"/>
        <v>-9.3516357444168779E-2</v>
      </c>
      <c r="J440" s="92">
        <f t="shared" si="142"/>
        <v>4.716429107563222E-2</v>
      </c>
      <c r="K440" s="92">
        <f t="shared" si="143"/>
        <v>6.5208387569585802E-3</v>
      </c>
      <c r="L440" s="93">
        <f t="shared" si="140"/>
        <v>-4.410632702829642E-3</v>
      </c>
      <c r="Q440" s="91">
        <v>7.4055429784465526E-2</v>
      </c>
      <c r="R440" s="93">
        <v>0.31504366092251279</v>
      </c>
    </row>
    <row r="441" spans="1:18" x14ac:dyDescent="0.25">
      <c r="I441">
        <f>SUM(I432:I440)</f>
        <v>1.6675369100045001</v>
      </c>
      <c r="J441">
        <f>SUM(J432:J440)</f>
        <v>1.4883508774971441</v>
      </c>
      <c r="K441">
        <f>SUM(K432:K440)</f>
        <v>2.6225597848032374</v>
      </c>
      <c r="L441">
        <f>SUM(L432:L440)</f>
        <v>0.52403400561868341</v>
      </c>
    </row>
    <row r="442" spans="1:18" x14ac:dyDescent="0.25">
      <c r="A442" s="47" t="s">
        <v>53</v>
      </c>
      <c r="B442">
        <f>COUNT(A432:A440)</f>
        <v>9</v>
      </c>
      <c r="I442" s="47" t="s">
        <v>462</v>
      </c>
      <c r="J442" s="47" t="s">
        <v>389</v>
      </c>
      <c r="K442" s="47" t="s">
        <v>469</v>
      </c>
      <c r="L442" s="47" t="s">
        <v>470</v>
      </c>
      <c r="N442" s="47"/>
    </row>
    <row r="444" spans="1:18" x14ac:dyDescent="0.25">
      <c r="A444">
        <v>1</v>
      </c>
      <c r="B444">
        <v>2</v>
      </c>
      <c r="C444">
        <v>3</v>
      </c>
      <c r="D444">
        <v>4</v>
      </c>
      <c r="F444">
        <v>2</v>
      </c>
      <c r="G444">
        <v>3</v>
      </c>
      <c r="I444" s="47" t="s">
        <v>207</v>
      </c>
      <c r="J444" s="47" t="s">
        <v>464</v>
      </c>
      <c r="K444" s="47" t="s">
        <v>465</v>
      </c>
      <c r="L444" s="47" t="s">
        <v>466</v>
      </c>
      <c r="Q444">
        <f>F444</f>
        <v>2</v>
      </c>
      <c r="R444">
        <f>G444</f>
        <v>3</v>
      </c>
    </row>
    <row r="445" spans="1:18" x14ac:dyDescent="0.25">
      <c r="A445" s="189">
        <f t="array" ref="A445:A453">IF(A444=$Q431,$Q432:$Q440,IF(A444=$R431,$R432:$R440,A432:A440))</f>
        <v>0.10746308304669717</v>
      </c>
      <c r="B445" s="190">
        <f t="array" ref="B445:B453">IF(B444=$Q431,$Q432:$Q440,IF(B444=$R431,$R432:$R440,B432:B440))</f>
        <v>0.8944916189045945</v>
      </c>
      <c r="C445" s="190">
        <f t="array" ref="C445:C453">IF(C444=$Q431,$Q432:$Q440,IF(C444=$R431,$R432:$R440,C432:C440))</f>
        <v>-0.3355800023175794</v>
      </c>
      <c r="D445" s="191">
        <f t="array" ref="D445:D453">IF(D444=$Q431,$Q432:$Q440,IF(D444=$R431,$R432:$R440,D432:D440))</f>
        <v>0.27517720024753162</v>
      </c>
      <c r="F445" s="156">
        <f>INDEX(A445:D453,,F444)</f>
        <v>0.8944916189045945</v>
      </c>
      <c r="G445" s="158">
        <f>INDEX(A445:D453,,G444)</f>
        <v>-0.3355800023175794</v>
      </c>
      <c r="I445" s="156">
        <f>F445^2-G445^2</f>
        <v>0.68750131833509576</v>
      </c>
      <c r="J445" s="157">
        <f>2*F445*G445</f>
        <v>-0.60034699909011835</v>
      </c>
      <c r="K445" s="157">
        <f>I445^2-J445^2</f>
        <v>0.11224154339598408</v>
      </c>
      <c r="L445" s="158">
        <f t="shared" ref="L445:L453" si="144">I445*J445</f>
        <v>-0.4127393533329749</v>
      </c>
      <c r="N445" t="s">
        <v>390</v>
      </c>
      <c r="O445" s="172">
        <f>L454*B455-2*I454*J454</f>
        <v>0.2822980787024213</v>
      </c>
      <c r="Q445" s="156">
        <f t="array" ref="Q445:R453">MMULT(F445:G453,N449:O450)</f>
        <v>0.89335347529141396</v>
      </c>
      <c r="R445" s="158">
        <v>-0.33859823158247893</v>
      </c>
    </row>
    <row r="446" spans="1:18" x14ac:dyDescent="0.25">
      <c r="A446" s="194">
        <v>0.79606580514627301</v>
      </c>
      <c r="B446" s="195">
        <v>-0.59974796014078724</v>
      </c>
      <c r="C446" s="195">
        <v>7.8932428640413138E-2</v>
      </c>
      <c r="D446" s="196">
        <v>-1.874272906241805E-2</v>
      </c>
      <c r="F446" s="123">
        <f>INDEX(A446:D454,,F444)</f>
        <v>-0.59974796014078724</v>
      </c>
      <c r="G446" s="90">
        <f>INDEX(A445:D453,,G444)</f>
        <v>7.8932428640413138E-2</v>
      </c>
      <c r="I446" s="123">
        <f t="shared" ref="I446:I453" si="145">F446^2-G446^2</f>
        <v>0.35346728740196143</v>
      </c>
      <c r="J446" s="37">
        <f t="shared" ref="J446:J453" si="146">2*F446*G446</f>
        <v>-9.4679126132092062E-2</v>
      </c>
      <c r="K446" s="37">
        <f t="shared" ref="K446:K453" si="147">I446^2-J446^2</f>
        <v>0.11597498633816419</v>
      </c>
      <c r="L446" s="90">
        <f t="shared" si="144"/>
        <v>-3.3465973887498744E-2</v>
      </c>
      <c r="N446" t="s">
        <v>392</v>
      </c>
      <c r="O446" s="173">
        <f>K454*B455-(I454^2-J454^2)</f>
        <v>20.90112214296564</v>
      </c>
      <c r="Q446" s="123">
        <v>-0.5994780358517463</v>
      </c>
      <c r="R446" s="90">
        <v>8.0956954707063628E-2</v>
      </c>
    </row>
    <row r="447" spans="1:18" x14ac:dyDescent="0.25">
      <c r="A447" s="194">
        <v>0.98372230145061057</v>
      </c>
      <c r="B447" s="195">
        <v>0.12047158877266788</v>
      </c>
      <c r="C447" s="195">
        <v>0.1135980163280635</v>
      </c>
      <c r="D447" s="196">
        <v>6.9803442706158056E-2</v>
      </c>
      <c r="F447" s="123">
        <f>INDEX(A447:D455,,F444)</f>
        <v>0.12047158877266788</v>
      </c>
      <c r="G447" s="90">
        <f>INDEX(A445:D453,,G444)</f>
        <v>0.1135980163280635</v>
      </c>
      <c r="I447" s="123">
        <f t="shared" si="145"/>
        <v>1.6088943877398138E-3</v>
      </c>
      <c r="J447" s="37">
        <f t="shared" si="146"/>
        <v>2.7370667016930555E-2</v>
      </c>
      <c r="K447" s="37">
        <f t="shared" si="147"/>
        <v>-7.4656487180078956E-4</v>
      </c>
      <c r="L447" s="90">
        <f t="shared" si="144"/>
        <v>4.4036512552234803E-5</v>
      </c>
      <c r="N447" t="s">
        <v>467</v>
      </c>
      <c r="O447" s="174">
        <f>0.25*ATAN(O445/O446)</f>
        <v>3.3763846849888136E-3</v>
      </c>
      <c r="Q447" s="123">
        <v>0.12085445196068914</v>
      </c>
      <c r="R447" s="90">
        <v>0.11319061116701888</v>
      </c>
    </row>
    <row r="448" spans="1:18" x14ac:dyDescent="0.25">
      <c r="A448" s="194">
        <v>5.1200902469693527E-2</v>
      </c>
      <c r="B448" s="195">
        <v>5.3718926867923717E-3</v>
      </c>
      <c r="C448" s="195">
        <v>7.5758297957579851E-2</v>
      </c>
      <c r="D448" s="196">
        <v>0.9957963098173348</v>
      </c>
      <c r="F448" s="123">
        <f>INDEX(A448:D456,,F444)</f>
        <v>5.3718926867923717E-3</v>
      </c>
      <c r="G448" s="90">
        <f>INDEX(A445:D453,,G444)</f>
        <v>7.5758297957579851E-2</v>
      </c>
      <c r="I448" s="123">
        <f t="shared" si="145"/>
        <v>-5.7104624783910337E-3</v>
      </c>
      <c r="J448" s="37">
        <f t="shared" si="146"/>
        <v>8.139308935243213E-4</v>
      </c>
      <c r="K448" s="37">
        <f t="shared" si="147"/>
        <v>3.1946898217678569E-5</v>
      </c>
      <c r="L448" s="90">
        <f t="shared" si="144"/>
        <v>-4.6479218274739248E-6</v>
      </c>
      <c r="Q448" s="123">
        <v>5.6276507380910116E-3</v>
      </c>
      <c r="R448" s="90">
        <v>7.5739728594958172E-2</v>
      </c>
    </row>
    <row r="449" spans="1:18" x14ac:dyDescent="0.25">
      <c r="A449" s="194">
        <v>0.35571207803386573</v>
      </c>
      <c r="B449" s="195">
        <v>-0.11527128350927325</v>
      </c>
      <c r="C449" s="195">
        <v>0.88366058218789223</v>
      </c>
      <c r="D449" s="196">
        <v>0.28164769522634098</v>
      </c>
      <c r="F449" s="123">
        <f>INDEX(A449:D457,,F444)</f>
        <v>-0.11527128350927325</v>
      </c>
      <c r="G449" s="90">
        <f>INDEX(A445:D453,,G444)</f>
        <v>0.88366058218789223</v>
      </c>
      <c r="I449" s="123">
        <f t="shared" si="145"/>
        <v>-0.76756855571076943</v>
      </c>
      <c r="J449" s="37">
        <f t="shared" si="146"/>
        <v>-0.20372137899069998</v>
      </c>
      <c r="K449" s="37">
        <f t="shared" si="147"/>
        <v>0.54765908745804415</v>
      </c>
      <c r="L449" s="90">
        <f t="shared" si="144"/>
        <v>0.15637012463929786</v>
      </c>
      <c r="N449" s="156">
        <f>COS(O447)</f>
        <v>0.99999430001864442</v>
      </c>
      <c r="O449" s="158">
        <f>-N450</f>
        <v>-3.3763782698764582E-3</v>
      </c>
      <c r="Q449" s="123">
        <v>-0.11228705407746084</v>
      </c>
      <c r="R449" s="90">
        <v>0.88404474479583062</v>
      </c>
    </row>
    <row r="450" spans="1:18" x14ac:dyDescent="0.25">
      <c r="A450" s="194">
        <v>-3.0432418699331176E-2</v>
      </c>
      <c r="B450" s="195">
        <v>1.3709889417484883E-2</v>
      </c>
      <c r="C450" s="195">
        <v>0.99801486031848863</v>
      </c>
      <c r="D450" s="196">
        <v>-5.3406417289844133E-2</v>
      </c>
      <c r="F450" s="123">
        <f>INDEX(A450:D458,,F444)</f>
        <v>1.3709889417484883E-2</v>
      </c>
      <c r="G450" s="90">
        <f>INDEX(A445:D453,,G444)</f>
        <v>0.99801486031848863</v>
      </c>
      <c r="I450" s="123">
        <f t="shared" si="145"/>
        <v>-0.99584570034869269</v>
      </c>
      <c r="J450" s="37">
        <f t="shared" si="146"/>
        <v>2.7365346743946202E-2</v>
      </c>
      <c r="K450" s="37">
        <f t="shared" si="147"/>
        <v>0.99095979670056178</v>
      </c>
      <c r="L450" s="90">
        <f t="shared" si="144"/>
        <v>-2.7251662893509922E-2</v>
      </c>
      <c r="N450" s="91">
        <f>SIN(O447)</f>
        <v>3.3763782698764582E-3</v>
      </c>
      <c r="O450" s="93">
        <f>N449</f>
        <v>0.99999430001864442</v>
      </c>
      <c r="Q450" s="123">
        <v>1.7079486958763952E-2</v>
      </c>
      <c r="R450" s="90">
        <v>0.99796288187968063</v>
      </c>
    </row>
    <row r="451" spans="1:18" x14ac:dyDescent="0.25">
      <c r="A451" s="194">
        <v>0.96245006564153002</v>
      </c>
      <c r="B451" s="195">
        <v>-1.8761935280276594E-2</v>
      </c>
      <c r="C451" s="195">
        <v>0.16544171797104154</v>
      </c>
      <c r="D451" s="196">
        <v>0.21439892463803037</v>
      </c>
      <c r="F451" s="123">
        <f>INDEX(A451:D459,,F444)</f>
        <v>-1.8761935280276594E-2</v>
      </c>
      <c r="G451" s="90">
        <f>INDEX(A445:D453,,G444)</f>
        <v>0.16544171797104154</v>
      </c>
      <c r="I451" s="123">
        <f t="shared" si="145"/>
        <v>-2.7018951829748363E-2</v>
      </c>
      <c r="J451" s="37">
        <f t="shared" si="146"/>
        <v>-6.2080136104609093E-3</v>
      </c>
      <c r="K451" s="37">
        <f t="shared" si="147"/>
        <v>6.9148432499059446E-4</v>
      </c>
      <c r="L451" s="90">
        <f t="shared" si="144"/>
        <v>1.6773402069946553E-4</v>
      </c>
      <c r="Q451" s="123">
        <v>-1.8203234516106847E-2</v>
      </c>
      <c r="R451" s="90">
        <v>0.16550412234691481</v>
      </c>
    </row>
    <row r="452" spans="1:18" x14ac:dyDescent="0.25">
      <c r="A452" s="194">
        <v>0.67745325397030154</v>
      </c>
      <c r="B452" s="195">
        <v>-0.21966255375779009</v>
      </c>
      <c r="C452" s="195">
        <v>0.56434408950209169</v>
      </c>
      <c r="D452" s="196">
        <v>0.41751790357505791</v>
      </c>
      <c r="F452" s="123">
        <f>INDEX(A452:D460,,F444)</f>
        <v>-0.21966255375779009</v>
      </c>
      <c r="G452" s="90">
        <f>INDEX(A445:D453,,G444)</f>
        <v>0.56434408950209169</v>
      </c>
      <c r="I452" s="123">
        <f t="shared" si="145"/>
        <v>-0.27023261383255087</v>
      </c>
      <c r="J452" s="37">
        <f t="shared" si="146"/>
        <v>-0.24793052779628863</v>
      </c>
      <c r="K452" s="37">
        <f t="shared" si="147"/>
        <v>1.1556118965426312E-2</v>
      </c>
      <c r="L452" s="90">
        <f t="shared" si="144"/>
        <v>6.6998914575274987E-2</v>
      </c>
      <c r="Q452" s="123">
        <v>-0.21775586256480109</v>
      </c>
      <c r="R452" s="90">
        <v>0.5650825366245168</v>
      </c>
    </row>
    <row r="453" spans="1:18" x14ac:dyDescent="0.25">
      <c r="A453" s="200">
        <v>7.4055429784465526E-2</v>
      </c>
      <c r="B453" s="201">
        <v>-0.92198262670288844</v>
      </c>
      <c r="C453" s="201">
        <v>-0.21262953955182548</v>
      </c>
      <c r="D453" s="202">
        <v>0.31504366092251279</v>
      </c>
      <c r="F453" s="91">
        <f>INDEX(A453:D461,,F444)</f>
        <v>-0.92198262670288844</v>
      </c>
      <c r="G453" s="93">
        <f>INDEX(A445:D453,,G444)</f>
        <v>-0.21262953955182548</v>
      </c>
      <c r="I453" s="91">
        <f t="shared" si="145"/>
        <v>0.80484064285193635</v>
      </c>
      <c r="J453" s="92">
        <f t="shared" si="146"/>
        <v>0.39208148278123556</v>
      </c>
      <c r="K453" s="92">
        <f t="shared" si="147"/>
        <v>0.4940405712463859</v>
      </c>
      <c r="L453" s="93">
        <f t="shared" si="144"/>
        <v>0.31556311265199005</v>
      </c>
      <c r="Q453" s="91">
        <v>-0.92269528917598265</v>
      </c>
      <c r="R453" s="93">
        <v>-0.20951536546141114</v>
      </c>
    </row>
    <row r="454" spans="1:18" x14ac:dyDescent="0.25">
      <c r="I454">
        <f>SUM(I445:I453)</f>
        <v>-0.21895814122341872</v>
      </c>
      <c r="J454">
        <f>SUM(J445:J453)</f>
        <v>-0.70525461818402313</v>
      </c>
      <c r="K454">
        <f>SUM(K445:K453)</f>
        <v>2.2724089704559738</v>
      </c>
      <c r="L454">
        <f>SUM(L445:L453)</f>
        <v>6.5682284364003612E-2</v>
      </c>
    </row>
    <row r="455" spans="1:18" x14ac:dyDescent="0.25">
      <c r="A455" s="47" t="s">
        <v>53</v>
      </c>
      <c r="B455">
        <f>COUNT(A445:A453)</f>
        <v>9</v>
      </c>
      <c r="I455" s="47" t="s">
        <v>462</v>
      </c>
      <c r="J455" s="47" t="s">
        <v>389</v>
      </c>
      <c r="K455" s="47" t="s">
        <v>469</v>
      </c>
      <c r="L455" s="47" t="s">
        <v>470</v>
      </c>
      <c r="N455" s="47"/>
    </row>
    <row r="457" spans="1:18" x14ac:dyDescent="0.25">
      <c r="A457">
        <v>1</v>
      </c>
      <c r="B457">
        <v>2</v>
      </c>
      <c r="C457">
        <v>3</v>
      </c>
      <c r="D457">
        <v>4</v>
      </c>
      <c r="F457">
        <v>2</v>
      </c>
      <c r="G457">
        <v>4</v>
      </c>
      <c r="I457" s="47" t="s">
        <v>207</v>
      </c>
      <c r="J457" s="47" t="s">
        <v>464</v>
      </c>
      <c r="K457" s="47" t="s">
        <v>465</v>
      </c>
      <c r="L457" s="47" t="s">
        <v>466</v>
      </c>
      <c r="Q457">
        <f>F457</f>
        <v>2</v>
      </c>
      <c r="R457">
        <f>G457</f>
        <v>4</v>
      </c>
    </row>
    <row r="458" spans="1:18" x14ac:dyDescent="0.25">
      <c r="A458" s="189">
        <f t="array" ref="A458:A466">IF(A457=$Q444,$Q445:$Q453,IF(A457=$R444,$R445:$R453,A445:A453))</f>
        <v>0.10746308304669717</v>
      </c>
      <c r="B458" s="190">
        <f t="array" ref="B458:B466">IF(B457=$Q444,$Q445:$Q453,IF(B457=$R444,$R445:$R453,B445:B453))</f>
        <v>0.89335347529141396</v>
      </c>
      <c r="C458" s="190">
        <f t="array" ref="C458:C466">IF(C457=$Q444,$Q445:$Q453,IF(C457=$R444,$R445:$R453,C445:C453))</f>
        <v>-0.33859823158247893</v>
      </c>
      <c r="D458" s="191">
        <f t="array" ref="D458:D466">IF(D457=$Q444,$Q445:$Q453,IF(D457=$R444,$R445:$R453,D445:D453))</f>
        <v>0.27517720024753162</v>
      </c>
      <c r="F458" s="156">
        <f>INDEX(A458:D466,,F457)</f>
        <v>0.89335347529141396</v>
      </c>
      <c r="G458" s="158">
        <f>INDEX(A458:D466,,G457)</f>
        <v>0.27517720024753162</v>
      </c>
      <c r="I458" s="156">
        <f>F458^2-G458^2</f>
        <v>0.72235794027917688</v>
      </c>
      <c r="J458" s="157">
        <f>2*F458*G458</f>
        <v>0.49166101632418741</v>
      </c>
      <c r="K458" s="157">
        <f>I458^2-J458^2</f>
        <v>0.28007043891144195</v>
      </c>
      <c r="L458" s="158">
        <f t="shared" ref="L458:L466" si="148">I458*J458</f>
        <v>0.35515523906750679</v>
      </c>
      <c r="N458" t="s">
        <v>390</v>
      </c>
      <c r="O458" s="172">
        <f>L467*B468-2*I467*J467</f>
        <v>-0.15756287478029934</v>
      </c>
      <c r="Q458" s="156">
        <f t="array" ref="Q458:R466">MMULT(F458:G466,N462:O463)</f>
        <v>0.89258431326517351</v>
      </c>
      <c r="R458" s="158">
        <v>0.27766196546206284</v>
      </c>
    </row>
    <row r="459" spans="1:18" x14ac:dyDescent="0.25">
      <c r="A459" s="194">
        <v>0.79606580514627301</v>
      </c>
      <c r="B459" s="195">
        <v>-0.5994780358517463</v>
      </c>
      <c r="C459" s="195">
        <v>8.0956954707063628E-2</v>
      </c>
      <c r="D459" s="196">
        <v>-1.874272906241805E-2</v>
      </c>
      <c r="F459" s="123">
        <f>INDEX(A459:D467,,F457)</f>
        <v>-0.5994780358517463</v>
      </c>
      <c r="G459" s="90">
        <f>INDEX(A458:D466,,G457)</f>
        <v>-1.874272906241805E-2</v>
      </c>
      <c r="I459" s="123">
        <f t="shared" ref="I459:I466" si="149">F459^2-G459^2</f>
        <v>0.35902262557596043</v>
      </c>
      <c r="J459" s="37">
        <f t="shared" ref="J459:J466" si="150">2*F459*G459</f>
        <v>2.2471708809679629E-2</v>
      </c>
      <c r="K459" s="37">
        <f t="shared" ref="K459:K466" si="151">I459^2-J459^2</f>
        <v>0.12839226797862924</v>
      </c>
      <c r="L459" s="90">
        <f t="shared" si="148"/>
        <v>8.0678518980296203E-3</v>
      </c>
      <c r="N459" t="s">
        <v>392</v>
      </c>
      <c r="O459" s="173">
        <f>K467*B468-(I467^2-J467^2)</f>
        <v>14.155565467795425</v>
      </c>
      <c r="Q459" s="123">
        <v>-0.59942356183049716</v>
      </c>
      <c r="R459" s="90">
        <v>-2.0410754121664022E-2</v>
      </c>
    </row>
    <row r="460" spans="1:18" x14ac:dyDescent="0.25">
      <c r="A460" s="194">
        <v>0.98372230145061057</v>
      </c>
      <c r="B460" s="195">
        <v>0.12085445196068914</v>
      </c>
      <c r="C460" s="195">
        <v>0.11319061116701888</v>
      </c>
      <c r="D460" s="196">
        <v>6.9803442706158056E-2</v>
      </c>
      <c r="F460" s="123">
        <f>INDEX(A460:D468,,F457)</f>
        <v>0.12085445196068914</v>
      </c>
      <c r="G460" s="90">
        <f>INDEX(A458:D466,,G457)</f>
        <v>6.9803442706158056E-2</v>
      </c>
      <c r="I460" s="123">
        <f t="shared" si="149"/>
        <v>9.733277945086629E-3</v>
      </c>
      <c r="J460" s="37">
        <f t="shared" si="150"/>
        <v>1.6872113626444193E-2</v>
      </c>
      <c r="K460" s="37">
        <f t="shared" si="151"/>
        <v>-1.8993151866733402E-4</v>
      </c>
      <c r="L460" s="90">
        <f t="shared" si="148"/>
        <v>1.6422097144726486E-4</v>
      </c>
      <c r="N460" t="s">
        <v>467</v>
      </c>
      <c r="O460" s="174">
        <f>0.25*ATAN(O458/O459)</f>
        <v>-2.7825869716188484E-3</v>
      </c>
      <c r="Q460" s="123">
        <v>0.12065975018605858</v>
      </c>
      <c r="R460" s="90">
        <v>7.0139460059144634E-2</v>
      </c>
    </row>
    <row r="461" spans="1:18" x14ac:dyDescent="0.25">
      <c r="A461" s="194">
        <v>5.1200902469693527E-2</v>
      </c>
      <c r="B461" s="195">
        <v>5.6276507380910116E-3</v>
      </c>
      <c r="C461" s="195">
        <v>7.5739728594958172E-2</v>
      </c>
      <c r="D461" s="196">
        <v>0.9957963098173348</v>
      </c>
      <c r="F461" s="123">
        <f>INDEX(A461:D469,,F457)</f>
        <v>5.6276507380910116E-3</v>
      </c>
      <c r="G461" s="90">
        <f>INDEX(A458:D466,,G457)</f>
        <v>0.9957963098173348</v>
      </c>
      <c r="I461" s="123">
        <f t="shared" si="149"/>
        <v>-0.99157862019299148</v>
      </c>
      <c r="J461" s="37">
        <f t="shared" si="150"/>
        <v>1.1207987675863659E-2</v>
      </c>
      <c r="K461" s="37">
        <f t="shared" si="151"/>
        <v>0.98310254103609451</v>
      </c>
      <c r="L461" s="90">
        <f t="shared" si="148"/>
        <v>-1.1113600954772941E-2</v>
      </c>
      <c r="Q461" s="123">
        <v>2.85674268889667E-3</v>
      </c>
      <c r="R461" s="90">
        <v>0.99580811410625725</v>
      </c>
    </row>
    <row r="462" spans="1:18" x14ac:dyDescent="0.25">
      <c r="A462" s="194">
        <v>0.35571207803386573</v>
      </c>
      <c r="B462" s="195">
        <v>-0.11228705407746084</v>
      </c>
      <c r="C462" s="195">
        <v>0.88404474479583062</v>
      </c>
      <c r="D462" s="196">
        <v>0.28164769522634098</v>
      </c>
      <c r="F462" s="123">
        <f>INDEX(A462:D470,,F457)</f>
        <v>-0.11228705407746084</v>
      </c>
      <c r="G462" s="90">
        <f>INDEX(A458:D466,,G457)</f>
        <v>0.28164769522634098</v>
      </c>
      <c r="I462" s="123">
        <f t="shared" si="149"/>
        <v>-6.6717041712915232E-2</v>
      </c>
      <c r="J462" s="37">
        <f t="shared" si="150"/>
        <v>-6.3250779969344723E-2</v>
      </c>
      <c r="K462" s="37">
        <f t="shared" si="151"/>
        <v>4.5050248819241204E-4</v>
      </c>
      <c r="L462" s="90">
        <f t="shared" si="148"/>
        <v>4.2199049255891947E-3</v>
      </c>
      <c r="N462" s="156">
        <f>COS(O460)</f>
        <v>0.99999612860737064</v>
      </c>
      <c r="O462" s="158">
        <f>-N463</f>
        <v>2.7825833807890239E-3</v>
      </c>
      <c r="Q462" s="123">
        <v>-0.11307032756616166</v>
      </c>
      <c r="R462" s="90">
        <v>0.28133415676697593</v>
      </c>
    </row>
    <row r="463" spans="1:18" x14ac:dyDescent="0.25">
      <c r="A463" s="194">
        <v>-3.0432418699331176E-2</v>
      </c>
      <c r="B463" s="195">
        <v>1.7079486958763952E-2</v>
      </c>
      <c r="C463" s="195">
        <v>0.99796288187968063</v>
      </c>
      <c r="D463" s="196">
        <v>-5.3406417289844133E-2</v>
      </c>
      <c r="F463" s="123">
        <f>INDEX(A463:D471,,F457)</f>
        <v>1.7079486958763952E-2</v>
      </c>
      <c r="G463" s="90">
        <f>INDEX(A458:D466,,G457)</f>
        <v>-5.3406417289844133E-2</v>
      </c>
      <c r="I463" s="123">
        <f t="shared" si="149"/>
        <v>-2.5605365329623747E-3</v>
      </c>
      <c r="J463" s="37">
        <f t="shared" si="150"/>
        <v>-1.824308415232397E-3</v>
      </c>
      <c r="K463" s="37">
        <f t="shared" si="151"/>
        <v>3.2282461427472382E-6</v>
      </c>
      <c r="L463" s="90">
        <f t="shared" si="148"/>
        <v>4.6712083445932458E-6</v>
      </c>
      <c r="N463" s="91">
        <f>SIN(O460)</f>
        <v>-2.7825833807890239E-3</v>
      </c>
      <c r="O463" s="93">
        <f>N462</f>
        <v>0.99999612860737064</v>
      </c>
      <c r="Q463" s="123">
        <v>1.7228028646542229E-2</v>
      </c>
      <c r="R463" s="90">
        <v>-5.3358685436070016E-2</v>
      </c>
    </row>
    <row r="464" spans="1:18" x14ac:dyDescent="0.25">
      <c r="A464" s="194">
        <v>0.96245006564153002</v>
      </c>
      <c r="B464" s="195">
        <v>-1.8203234516106847E-2</v>
      </c>
      <c r="C464" s="195">
        <v>0.16550412234691481</v>
      </c>
      <c r="D464" s="196">
        <v>0.21439892463803037</v>
      </c>
      <c r="F464" s="123">
        <f>INDEX(A464:D472,,F457)</f>
        <v>-1.8203234516106847E-2</v>
      </c>
      <c r="G464" s="90">
        <f>INDEX(A458:D466,,G457)</f>
        <v>0.21439892463803037</v>
      </c>
      <c r="I464" s="123">
        <f t="shared" si="149"/>
        <v>-4.5635541139095438E-2</v>
      </c>
      <c r="J464" s="37">
        <f t="shared" si="150"/>
        <v>-7.8055078103743698E-3</v>
      </c>
      <c r="K464" s="37">
        <f t="shared" si="151"/>
        <v>2.0216766628802568E-3</v>
      </c>
      <c r="L464" s="90">
        <f t="shared" si="148"/>
        <v>3.5620857279187031E-4</v>
      </c>
      <c r="Q464" s="123">
        <v>-1.8799746928795734E-2</v>
      </c>
      <c r="R464" s="90">
        <v>0.21434744259777266</v>
      </c>
    </row>
    <row r="465" spans="1:18" x14ac:dyDescent="0.25">
      <c r="A465" s="194">
        <v>0.67745325397030154</v>
      </c>
      <c r="B465" s="195">
        <v>-0.21775586256480109</v>
      </c>
      <c r="C465" s="195">
        <v>0.5650825366245168</v>
      </c>
      <c r="D465" s="196">
        <v>0.41751790357505791</v>
      </c>
      <c r="F465" s="123">
        <f>INDEX(A465:D473,,F457)</f>
        <v>-0.21775586256480109</v>
      </c>
      <c r="G465" s="90">
        <f>INDEX(A458:D466,,G457)</f>
        <v>0.41751790357505791</v>
      </c>
      <c r="I465" s="123">
        <f t="shared" si="149"/>
        <v>-0.12690358412437083</v>
      </c>
      <c r="J465" s="37">
        <f t="shared" si="150"/>
        <v>-0.18183394245846837</v>
      </c>
      <c r="K465" s="37">
        <f t="shared" si="151"/>
        <v>-1.6959062966378325E-2</v>
      </c>
      <c r="L465" s="90">
        <f t="shared" si="148"/>
        <v>2.3075379013444246E-2</v>
      </c>
      <c r="Q465" s="123">
        <v>-0.21891679792602958</v>
      </c>
      <c r="R465" s="90">
        <v>0.41691036335508119</v>
      </c>
    </row>
    <row r="466" spans="1:18" x14ac:dyDescent="0.25">
      <c r="A466" s="200">
        <v>7.4055429784465526E-2</v>
      </c>
      <c r="B466" s="201">
        <v>-0.92269528917598265</v>
      </c>
      <c r="C466" s="201">
        <v>-0.20951536546141114</v>
      </c>
      <c r="D466" s="202">
        <v>0.31504366092251279</v>
      </c>
      <c r="F466" s="91">
        <f>INDEX(A466:D474,,F457)</f>
        <v>-0.92269528917598265</v>
      </c>
      <c r="G466" s="93">
        <f>INDEX(A458:D466,,G457)</f>
        <v>0.31504366092251279</v>
      </c>
      <c r="I466" s="91">
        <f t="shared" si="149"/>
        <v>0.75211408838009097</v>
      </c>
      <c r="J466" s="92">
        <f t="shared" si="150"/>
        <v>-0.58137860363591631</v>
      </c>
      <c r="K466" s="92">
        <f t="shared" si="151"/>
        <v>0.22767452117416737</v>
      </c>
      <c r="L466" s="93">
        <f t="shared" si="148"/>
        <v>-0.43726303847731746</v>
      </c>
      <c r="Q466" s="91">
        <v>-0.92356835231534695</v>
      </c>
      <c r="R466" s="93">
        <v>0.31247496468761254</v>
      </c>
    </row>
    <row r="467" spans="1:18" x14ac:dyDescent="0.25">
      <c r="I467">
        <f>SUM(I458:I466)</f>
        <v>0.60983260847797949</v>
      </c>
      <c r="J467">
        <f>SUM(J458:J466)</f>
        <v>-0.29388031585316143</v>
      </c>
      <c r="K467">
        <f>SUM(K458:K466)</f>
        <v>1.604566182012503</v>
      </c>
      <c r="L467">
        <f>SUM(L458:L466)</f>
        <v>-5.7333163774936802E-2</v>
      </c>
    </row>
    <row r="468" spans="1:18" x14ac:dyDescent="0.25">
      <c r="A468" s="47" t="s">
        <v>53</v>
      </c>
      <c r="B468">
        <f>COUNT(A458:A466)</f>
        <v>9</v>
      </c>
      <c r="I468" s="47" t="s">
        <v>462</v>
      </c>
      <c r="J468" s="47" t="s">
        <v>389</v>
      </c>
      <c r="K468" s="47" t="s">
        <v>469</v>
      </c>
      <c r="L468" s="47" t="s">
        <v>470</v>
      </c>
      <c r="N468" s="47"/>
    </row>
    <row r="470" spans="1:18" x14ac:dyDescent="0.25">
      <c r="A470">
        <v>1</v>
      </c>
      <c r="B470">
        <v>2</v>
      </c>
      <c r="C470">
        <v>3</v>
      </c>
      <c r="D470">
        <v>4</v>
      </c>
      <c r="F470">
        <v>3</v>
      </c>
      <c r="G470">
        <v>4</v>
      </c>
      <c r="I470" s="47" t="s">
        <v>207</v>
      </c>
      <c r="J470" s="47" t="s">
        <v>464</v>
      </c>
      <c r="K470" s="47" t="s">
        <v>465</v>
      </c>
      <c r="L470" s="47" t="s">
        <v>466</v>
      </c>
      <c r="Q470">
        <f>F470</f>
        <v>3</v>
      </c>
      <c r="R470">
        <f>G470</f>
        <v>4</v>
      </c>
    </row>
    <row r="471" spans="1:18" x14ac:dyDescent="0.25">
      <c r="A471" s="189">
        <f t="array" ref="A471:A479">IF(A470=$Q457,$Q458:$Q466,IF(A470=$R457,$R458:$R466,A458:A466))</f>
        <v>0.10746308304669717</v>
      </c>
      <c r="B471" s="190">
        <f t="array" ref="B471:B479">IF(B470=$Q457,$Q458:$Q466,IF(B470=$R457,$R458:$R466,B458:B466))</f>
        <v>0.89258431326517351</v>
      </c>
      <c r="C471" s="190">
        <f t="array" ref="C471:C479">IF(C470=$Q457,$Q458:$Q466,IF(C470=$R457,$R458:$R466,C458:C466))</f>
        <v>-0.33859823158247893</v>
      </c>
      <c r="D471" s="191">
        <f t="array" ref="D471:D479">IF(D470=$Q457,$Q458:$Q466,IF(D470=$R457,$R458:$R466,D458:D466))</f>
        <v>0.27766196546206284</v>
      </c>
      <c r="F471" s="156">
        <f>INDEX(A471:D479,,F470)</f>
        <v>-0.33859823158247893</v>
      </c>
      <c r="G471" s="158">
        <f>INDEX(A471:D479,,G470)</f>
        <v>0.27766196546206284</v>
      </c>
      <c r="I471" s="156">
        <f>F471^2-G471^2</f>
        <v>3.7552595366526248E-2</v>
      </c>
      <c r="J471" s="157">
        <f>2*F471*G471</f>
        <v>-0.18803170096633964</v>
      </c>
      <c r="K471" s="157">
        <f>I471^2-J471^2</f>
        <v>-3.3945723149532925E-2</v>
      </c>
      <c r="L471" s="158">
        <f t="shared" ref="L471:L479" si="152">I471*J471</f>
        <v>-7.0610783824686151E-3</v>
      </c>
      <c r="N471" t="s">
        <v>390</v>
      </c>
      <c r="O471" s="172">
        <f>L480*B481-2*I480*J480</f>
        <v>0.16260053135348684</v>
      </c>
      <c r="Q471" s="156">
        <f t="array" ref="Q471:R479">MMULT(F471:G479,N475:O476)</f>
        <v>-0.33793930411092926</v>
      </c>
      <c r="R471" s="158">
        <v>0.27846356356273733</v>
      </c>
    </row>
    <row r="472" spans="1:18" x14ac:dyDescent="0.25">
      <c r="A472" s="194">
        <v>0.79606580514627301</v>
      </c>
      <c r="B472" s="195">
        <v>-0.59942356183049716</v>
      </c>
      <c r="C472" s="195">
        <v>8.0956954707063628E-2</v>
      </c>
      <c r="D472" s="196">
        <v>-2.0410754121664022E-2</v>
      </c>
      <c r="F472" s="123">
        <f>INDEX(A472:D480,,F470)</f>
        <v>8.0956954707063628E-2</v>
      </c>
      <c r="G472" s="90">
        <f>INDEX(A471:D479,,G470)</f>
        <v>-2.0410754121664022E-2</v>
      </c>
      <c r="I472" s="123">
        <f t="shared" ref="I472:I479" si="153">F472^2-G472^2</f>
        <v>6.1374296316265269E-3</v>
      </c>
      <c r="J472" s="37">
        <f t="shared" ref="J472:J479" si="154">2*F472*G472</f>
        <v>-3.3047849939291329E-3</v>
      </c>
      <c r="K472" s="37">
        <f t="shared" ref="K472:K479" si="155">I472^2-J472^2</f>
        <v>2.674643862706815E-5</v>
      </c>
      <c r="L472" s="90">
        <f t="shared" si="152"/>
        <v>-2.0282885347895352E-5</v>
      </c>
      <c r="N472" t="s">
        <v>392</v>
      </c>
      <c r="O472" s="173">
        <f>K480*B481-(I480^2-J480^2)</f>
        <v>17.153564790729579</v>
      </c>
      <c r="Q472" s="123">
        <v>8.0908359946792519E-2</v>
      </c>
      <c r="R472" s="90">
        <v>-2.0602540862156734E-2</v>
      </c>
    </row>
    <row r="473" spans="1:18" x14ac:dyDescent="0.25">
      <c r="A473" s="194">
        <v>0.98372230145061057</v>
      </c>
      <c r="B473" s="195">
        <v>0.12065975018605858</v>
      </c>
      <c r="C473" s="195">
        <v>0.11319061116701888</v>
      </c>
      <c r="D473" s="196">
        <v>7.0139460059144634E-2</v>
      </c>
      <c r="F473" s="123">
        <f>INDEX(A473:D481,,F470)</f>
        <v>0.11319061116701888</v>
      </c>
      <c r="G473" s="90">
        <f>INDEX(A471:D479,,G470)</f>
        <v>7.0139460059144634E-2</v>
      </c>
      <c r="I473" s="123">
        <f t="shared" si="153"/>
        <v>7.8925705989749129E-3</v>
      </c>
      <c r="J473" s="37">
        <f t="shared" si="154"/>
        <v>1.5878256702038584E-2</v>
      </c>
      <c r="K473" s="37">
        <f t="shared" si="155"/>
        <v>-1.8982636523602999E-4</v>
      </c>
      <c r="L473" s="90">
        <f t="shared" si="152"/>
        <v>1.253202620094861E-4</v>
      </c>
      <c r="N473" t="s">
        <v>467</v>
      </c>
      <c r="O473" s="174">
        <f>0.25*ATAN(O471/O472)</f>
        <v>2.3697065817279207E-3</v>
      </c>
      <c r="Q473" s="123">
        <v>0.11335650314028584</v>
      </c>
      <c r="R473" s="90">
        <v>6.9871034839609852E-2</v>
      </c>
    </row>
    <row r="474" spans="1:18" x14ac:dyDescent="0.25">
      <c r="A474" s="194">
        <v>5.1200902469693527E-2</v>
      </c>
      <c r="B474" s="195">
        <v>2.85674268889667E-3</v>
      </c>
      <c r="C474" s="195">
        <v>7.5739728594958172E-2</v>
      </c>
      <c r="D474" s="196">
        <v>0.99580811410625725</v>
      </c>
      <c r="F474" s="123">
        <f>INDEX(A474:D482,,F470)</f>
        <v>7.5739728594958172E-2</v>
      </c>
      <c r="G474" s="90">
        <f>INDEX(A471:D479,,G470)</f>
        <v>0.99580811410625725</v>
      </c>
      <c r="I474" s="123">
        <f t="shared" si="153"/>
        <v>-0.98589729363222278</v>
      </c>
      <c r="J474" s="37">
        <f t="shared" si="154"/>
        <v>0.15084447259013012</v>
      </c>
      <c r="K474" s="37">
        <f t="shared" si="155"/>
        <v>0.94923941868034689</v>
      </c>
      <c r="L474" s="90">
        <f t="shared" si="152"/>
        <v>-0.1487171572859893</v>
      </c>
      <c r="Q474" s="123">
        <v>7.8099286770064877E-2</v>
      </c>
      <c r="R474" s="90">
        <v>0.99562583735734067</v>
      </c>
    </row>
    <row r="475" spans="1:18" x14ac:dyDescent="0.25">
      <c r="A475" s="194">
        <v>0.35571207803386573</v>
      </c>
      <c r="B475" s="195">
        <v>-0.11307032756616166</v>
      </c>
      <c r="C475" s="195">
        <v>0.88404474479583062</v>
      </c>
      <c r="D475" s="196">
        <v>0.28133415676697593</v>
      </c>
      <c r="F475" s="123">
        <f>INDEX(A475:D483,,F470)</f>
        <v>0.88404474479583062</v>
      </c>
      <c r="G475" s="90">
        <f>INDEX(A471:D479,,G470)</f>
        <v>0.28133415676697593</v>
      </c>
      <c r="I475" s="123">
        <f t="shared" si="153"/>
        <v>0.7023862030373399</v>
      </c>
      <c r="J475" s="37">
        <f t="shared" si="154"/>
        <v>0.49742396564282287</v>
      </c>
      <c r="K475" s="37">
        <f t="shared" si="155"/>
        <v>0.24591577662137903</v>
      </c>
      <c r="L475" s="90">
        <f t="shared" si="152"/>
        <v>0.34938373052763855</v>
      </c>
      <c r="N475" s="156">
        <f>COS(O473)</f>
        <v>0.99999719224667216</v>
      </c>
      <c r="O475" s="158">
        <f>-N476</f>
        <v>-2.3697043638769917E-3</v>
      </c>
      <c r="Q475" s="123">
        <v>0.88470894139525491</v>
      </c>
      <c r="R475" s="90">
        <v>0.27923844216045585</v>
      </c>
    </row>
    <row r="476" spans="1:18" x14ac:dyDescent="0.25">
      <c r="A476" s="194">
        <v>-3.0432418699331176E-2</v>
      </c>
      <c r="B476" s="195">
        <v>1.7228028646542229E-2</v>
      </c>
      <c r="C476" s="195">
        <v>0.99796288187968063</v>
      </c>
      <c r="D476" s="196">
        <v>-5.3358685436070016E-2</v>
      </c>
      <c r="F476" s="123">
        <f>INDEX(A476:D484,,F470)</f>
        <v>0.99796288187968063</v>
      </c>
      <c r="G476" s="90">
        <f>INDEX(A471:D479,,G470)</f>
        <v>-5.3358685436070016E-2</v>
      </c>
      <c r="I476" s="123">
        <f t="shared" si="153"/>
        <v>0.99308276429813191</v>
      </c>
      <c r="J476" s="37">
        <f t="shared" si="154"/>
        <v>-0.10649997498218355</v>
      </c>
      <c r="K476" s="37">
        <f t="shared" si="155"/>
        <v>0.97487113207481335</v>
      </c>
      <c r="L476" s="90">
        <f t="shared" si="152"/>
        <v>-0.10576328955298873</v>
      </c>
      <c r="N476" s="91">
        <f>SIN(O473)</f>
        <v>2.3697043638769917E-3</v>
      </c>
      <c r="O476" s="93">
        <f>N475</f>
        <v>0.99999719224667216</v>
      </c>
      <c r="Q476" s="123">
        <v>0.99783363553634929</v>
      </c>
      <c r="R476" s="90">
        <v>-5.5723412614220952E-2</v>
      </c>
    </row>
    <row r="477" spans="1:18" x14ac:dyDescent="0.25">
      <c r="A477" s="194">
        <v>0.96245006564153002</v>
      </c>
      <c r="B477" s="195">
        <v>-1.8799746928795734E-2</v>
      </c>
      <c r="C477" s="195">
        <v>0.16550412234691481</v>
      </c>
      <c r="D477" s="196">
        <v>0.21434744259777266</v>
      </c>
      <c r="F477" s="123">
        <f>INDEX(A477:D485,,F470)</f>
        <v>0.16550412234691481</v>
      </c>
      <c r="G477" s="90">
        <f>INDEX(A471:D479,,G470)</f>
        <v>0.21434744259777266</v>
      </c>
      <c r="I477" s="123">
        <f t="shared" si="153"/>
        <v>-1.8553211634382904E-2</v>
      </c>
      <c r="J477" s="37">
        <f t="shared" si="154"/>
        <v>7.0950770728900131E-2</v>
      </c>
      <c r="K477" s="37">
        <f t="shared" si="155"/>
        <v>-4.6897902050747507E-3</v>
      </c>
      <c r="L477" s="90">
        <f t="shared" si="152"/>
        <v>-1.3163646649558638E-3</v>
      </c>
      <c r="Q477" s="123">
        <v>0.16601159772227433</v>
      </c>
      <c r="R477" s="90">
        <v>0.21395464492206229</v>
      </c>
    </row>
    <row r="478" spans="1:18" x14ac:dyDescent="0.25">
      <c r="A478" s="194">
        <v>0.67745325397030154</v>
      </c>
      <c r="B478" s="195">
        <v>-0.21891679792602958</v>
      </c>
      <c r="C478" s="195">
        <v>0.5650825366245168</v>
      </c>
      <c r="D478" s="196">
        <v>0.41691036335508119</v>
      </c>
      <c r="F478" s="123">
        <f>INDEX(A478:D486,,F470)</f>
        <v>0.5650825366245168</v>
      </c>
      <c r="G478" s="90">
        <f>INDEX(A471:D479,,G470)</f>
        <v>0.41691036335508119</v>
      </c>
      <c r="I478" s="123">
        <f t="shared" si="153"/>
        <v>0.14550402212513255</v>
      </c>
      <c r="J478" s="37">
        <f t="shared" si="154"/>
        <v>0.47117753133947654</v>
      </c>
      <c r="K478" s="37">
        <f t="shared" si="155"/>
        <v>-0.20083684558457235</v>
      </c>
      <c r="L478" s="90">
        <f t="shared" si="152"/>
        <v>6.8558225944884532E-2</v>
      </c>
      <c r="Q478" s="123">
        <v>0.56606890431953216</v>
      </c>
      <c r="R478" s="90">
        <v>0.41557011422063128</v>
      </c>
    </row>
    <row r="479" spans="1:18" x14ac:dyDescent="0.25">
      <c r="A479" s="200">
        <v>7.4055429784465526E-2</v>
      </c>
      <c r="B479" s="201">
        <v>-0.92356835231534695</v>
      </c>
      <c r="C479" s="201">
        <v>-0.20951536546141114</v>
      </c>
      <c r="D479" s="202">
        <v>0.31247496468761254</v>
      </c>
      <c r="F479" s="91">
        <f>INDEX(A479:D487,,F470)</f>
        <v>-0.20951536546141114</v>
      </c>
      <c r="G479" s="93">
        <f>INDEX(A471:D479,,G470)</f>
        <v>0.31247496468761254</v>
      </c>
      <c r="I479" s="91">
        <f t="shared" si="153"/>
        <v>-5.3743915192096037E-2</v>
      </c>
      <c r="J479" s="92">
        <f t="shared" si="154"/>
        <v>-0.13093661284813338</v>
      </c>
      <c r="K479" s="92">
        <f t="shared" si="155"/>
        <v>-1.4255988163966756E-2</v>
      </c>
      <c r="L479" s="93">
        <f t="shared" si="152"/>
        <v>7.0370462164503923E-3</v>
      </c>
      <c r="Q479" s="91">
        <v>-0.20877430390652399</v>
      </c>
      <c r="R479" s="93">
        <v>0.3129705768108238</v>
      </c>
    </row>
    <row r="480" spans="1:18" x14ac:dyDescent="0.25">
      <c r="I480">
        <f>SUM(I471:I479)</f>
        <v>0.83436116459903031</v>
      </c>
      <c r="J480">
        <f>SUM(J471:J479)</f>
        <v>0.77750192321278255</v>
      </c>
      <c r="K480">
        <f>SUM(K471:K479)</f>
        <v>1.9161349003467836</v>
      </c>
      <c r="L480">
        <f>SUM(L471:L479)</f>
        <v>0.16222615017923256</v>
      </c>
    </row>
    <row r="481" spans="1:18" x14ac:dyDescent="0.25">
      <c r="A481" s="47" t="s">
        <v>53</v>
      </c>
      <c r="B481">
        <f>COUNT(A471:A479)</f>
        <v>9</v>
      </c>
      <c r="I481" s="47" t="s">
        <v>462</v>
      </c>
      <c r="J481" s="47" t="s">
        <v>389</v>
      </c>
      <c r="K481" s="47" t="s">
        <v>469</v>
      </c>
      <c r="L481" s="47" t="s">
        <v>470</v>
      </c>
      <c r="N481" s="47"/>
    </row>
    <row r="483" spans="1:18" x14ac:dyDescent="0.25">
      <c r="A483">
        <v>1</v>
      </c>
      <c r="B483">
        <v>2</v>
      </c>
      <c r="C483">
        <v>3</v>
      </c>
      <c r="D483">
        <v>4</v>
      </c>
      <c r="F483">
        <v>1</v>
      </c>
      <c r="G483">
        <v>2</v>
      </c>
      <c r="I483" s="47" t="s">
        <v>207</v>
      </c>
      <c r="J483" s="47" t="s">
        <v>464</v>
      </c>
      <c r="K483" s="47" t="s">
        <v>465</v>
      </c>
      <c r="L483" s="47" t="s">
        <v>466</v>
      </c>
      <c r="Q483">
        <f>F483</f>
        <v>1</v>
      </c>
      <c r="R483">
        <f>G483</f>
        <v>2</v>
      </c>
    </row>
    <row r="484" spans="1:18" x14ac:dyDescent="0.25">
      <c r="A484" s="189">
        <f t="array" ref="A484:A492">IF(A483=$Q470,$Q471:$Q479,IF(A483=$R470,$R471:$R479,A471:A479))</f>
        <v>0.10746308304669717</v>
      </c>
      <c r="B484" s="190">
        <f t="array" ref="B484:B492">IF(B483=$Q470,$Q471:$Q479,IF(B483=$R470,$R471:$R479,B471:B479))</f>
        <v>0.89258431326517351</v>
      </c>
      <c r="C484" s="190">
        <f t="array" ref="C484:C492">IF(C483=$Q470,$Q471:$Q479,IF(C483=$R470,$R471:$R479,C471:C479))</f>
        <v>-0.33793930411092926</v>
      </c>
      <c r="D484" s="191">
        <f t="array" ref="D484:D492">IF(D483=$Q470,$Q471:$Q479,IF(D483=$R470,$R471:$R479,D471:D479))</f>
        <v>0.27846356356273733</v>
      </c>
      <c r="F484" s="156">
        <f>INDEX(A484:D492,,F483)</f>
        <v>0.10746308304669717</v>
      </c>
      <c r="G484" s="158">
        <f>INDEX(A484:D492,,G483)</f>
        <v>0.89258431326517351</v>
      </c>
      <c r="I484" s="156">
        <f>F484^2-G484^2</f>
        <v>-0.78515844206916008</v>
      </c>
      <c r="J484" s="157">
        <f>2*F484*G484</f>
        <v>0.19183972436518901</v>
      </c>
      <c r="K484" s="157">
        <f>I484^2-J484^2</f>
        <v>0.57967129930795891</v>
      </c>
      <c r="L484" s="158">
        <f t="shared" ref="L484:L492" si="156">I484*J484</f>
        <v>-0.15062457910954888</v>
      </c>
      <c r="N484" t="s">
        <v>390</v>
      </c>
      <c r="O484" s="172">
        <f>L493*B494-2*I493*J493</f>
        <v>0.1430401868002189</v>
      </c>
      <c r="Q484" s="156">
        <f t="array" ref="Q484:R492">MMULT(F484:G492,N488:O489)</f>
        <v>0.10904211293507225</v>
      </c>
      <c r="R484" s="158">
        <v>0.89239278802084554</v>
      </c>
    </row>
    <row r="485" spans="1:18" x14ac:dyDescent="0.25">
      <c r="A485" s="194">
        <v>0.79606580514627301</v>
      </c>
      <c r="B485" s="195">
        <v>-0.59942356183049716</v>
      </c>
      <c r="C485" s="195">
        <v>8.0908359946792519E-2</v>
      </c>
      <c r="D485" s="196">
        <v>-2.0602540862156734E-2</v>
      </c>
      <c r="F485" s="123">
        <f>INDEX(A485:D493,,F483)</f>
        <v>0.79606580514627301</v>
      </c>
      <c r="G485" s="90">
        <f>INDEX(A484:D492,,G483)</f>
        <v>-0.59942356183049716</v>
      </c>
      <c r="I485" s="123">
        <f t="shared" ref="I485:I492" si="157">F485^2-G485^2</f>
        <v>0.2744121596456241</v>
      </c>
      <c r="J485" s="37">
        <f t="shared" ref="J485:J492" si="158">2*F485*G485</f>
        <v>-0.95436120074448294</v>
      </c>
      <c r="K485" s="37">
        <f t="shared" ref="K485:K492" si="159">I485^2-J485^2</f>
        <v>-0.83550326812507569</v>
      </c>
      <c r="L485" s="90">
        <f t="shared" si="156"/>
        <v>-0.26188831817828456</v>
      </c>
      <c r="N485" t="s">
        <v>392</v>
      </c>
      <c r="O485" s="173">
        <f>K493*B494-(I493^2-J493^2)</f>
        <v>20.21171859743141</v>
      </c>
      <c r="Q485" s="123">
        <v>0.79500403358876148</v>
      </c>
      <c r="R485" s="90">
        <v>-0.60083105710203011</v>
      </c>
    </row>
    <row r="486" spans="1:18" x14ac:dyDescent="0.25">
      <c r="A486" s="194">
        <v>0.98372230145061057</v>
      </c>
      <c r="B486" s="195">
        <v>0.12065975018605858</v>
      </c>
      <c r="C486" s="195">
        <v>0.11335650314028584</v>
      </c>
      <c r="D486" s="196">
        <v>6.9871034839609852E-2</v>
      </c>
      <c r="F486" s="123">
        <f>INDEX(A486:D494,,F483)</f>
        <v>0.98372230145061057</v>
      </c>
      <c r="G486" s="90">
        <f>INDEX(A484:D492,,G483)</f>
        <v>0.12065975018605858</v>
      </c>
      <c r="I486" s="123">
        <f t="shared" si="157"/>
        <v>0.95315079105632383</v>
      </c>
      <c r="J486" s="37">
        <f t="shared" si="158"/>
        <v>0.23739137429097057</v>
      </c>
      <c r="K486" s="37">
        <f t="shared" si="159"/>
        <v>0.85214176590354018</v>
      </c>
      <c r="L486" s="90">
        <f t="shared" si="156"/>
        <v>0.22626977619538646</v>
      </c>
      <c r="N486" t="s">
        <v>467</v>
      </c>
      <c r="O486" s="174">
        <f>0.25*ATAN(O484/O485)</f>
        <v>1.7692433985226587E-3</v>
      </c>
      <c r="Q486" s="123">
        <v>0.98393423817142989</v>
      </c>
      <c r="R486" s="90">
        <v>0.11891911806036833</v>
      </c>
    </row>
    <row r="487" spans="1:18" x14ac:dyDescent="0.25">
      <c r="A487" s="194">
        <v>5.1200902469693527E-2</v>
      </c>
      <c r="B487" s="195">
        <v>2.85674268889667E-3</v>
      </c>
      <c r="C487" s="195">
        <v>7.8099286770064877E-2</v>
      </c>
      <c r="D487" s="196">
        <v>0.99562583735734067</v>
      </c>
      <c r="F487" s="123">
        <f>INDEX(A487:D495,,F483)</f>
        <v>5.1200902469693527E-2</v>
      </c>
      <c r="G487" s="90">
        <f>INDEX(A484:D492,,G483)</f>
        <v>2.85674268889667E-3</v>
      </c>
      <c r="I487" s="123">
        <f t="shared" si="157"/>
        <v>2.6133714349205039E-3</v>
      </c>
      <c r="J487" s="37">
        <f t="shared" si="158"/>
        <v>2.9253560759041685E-4</v>
      </c>
      <c r="K487" s="37">
        <f t="shared" si="159"/>
        <v>6.7441331751501587E-6</v>
      </c>
      <c r="L487" s="90">
        <f t="shared" si="156"/>
        <v>7.6450420057390912E-7</v>
      </c>
      <c r="Q487" s="123">
        <v>5.1205876605120333E-2</v>
      </c>
      <c r="R487" s="90">
        <v>2.7661514063447236E-3</v>
      </c>
    </row>
    <row r="488" spans="1:18" x14ac:dyDescent="0.25">
      <c r="A488" s="194">
        <v>0.35571207803386573</v>
      </c>
      <c r="B488" s="195">
        <v>-0.11307032756616166</v>
      </c>
      <c r="C488" s="195">
        <v>0.88470894139525491</v>
      </c>
      <c r="D488" s="196">
        <v>0.27923844216045585</v>
      </c>
      <c r="F488" s="123">
        <f>INDEX(A488:D496,,F483)</f>
        <v>0.35571207803386573</v>
      </c>
      <c r="G488" s="90">
        <f>INDEX(A484:D492,,G483)</f>
        <v>-0.11307032756616166</v>
      </c>
      <c r="I488" s="123">
        <f t="shared" si="157"/>
        <v>0.1137461834832519</v>
      </c>
      <c r="J488" s="37">
        <f t="shared" si="158"/>
        <v>-8.0440962365058516E-2</v>
      </c>
      <c r="K488" s="37">
        <f t="shared" si="159"/>
        <v>6.4674458307888453E-3</v>
      </c>
      <c r="L488" s="90">
        <f t="shared" si="156"/>
        <v>-9.1498524647453065E-3</v>
      </c>
      <c r="N488" s="156">
        <f>COS(O486)</f>
        <v>0.99999843488930662</v>
      </c>
      <c r="O488" s="158">
        <f>-N489</f>
        <v>-1.7692424755019749E-3</v>
      </c>
      <c r="Q488" s="123">
        <v>0.35551147247883969</v>
      </c>
      <c r="R488" s="90">
        <v>-0.11369949151608948</v>
      </c>
    </row>
    <row r="489" spans="1:18" x14ac:dyDescent="0.25">
      <c r="A489" s="194">
        <v>-3.0432418699331176E-2</v>
      </c>
      <c r="B489" s="195">
        <v>1.7228028646542229E-2</v>
      </c>
      <c r="C489" s="195">
        <v>0.99783363553634929</v>
      </c>
      <c r="D489" s="196">
        <v>-5.5723412614220952E-2</v>
      </c>
      <c r="F489" s="123">
        <f>INDEX(A489:D497,,F483)</f>
        <v>-3.0432418699331176E-2</v>
      </c>
      <c r="G489" s="90">
        <f>INDEX(A484:D492,,G483)</f>
        <v>1.7228028646542229E-2</v>
      </c>
      <c r="I489" s="123">
        <f t="shared" si="157"/>
        <v>6.2932713684532224E-4</v>
      </c>
      <c r="J489" s="37">
        <f t="shared" si="158"/>
        <v>-1.0485811622712898E-3</v>
      </c>
      <c r="K489" s="37">
        <f t="shared" si="159"/>
        <v>-7.0346980870027801E-7</v>
      </c>
      <c r="L489" s="90">
        <f t="shared" si="156"/>
        <v>-6.5990058060213106E-7</v>
      </c>
      <c r="N489" s="91">
        <f>SIN(O486)</f>
        <v>1.7692424755019749E-3</v>
      </c>
      <c r="O489" s="93">
        <f>N488</f>
        <v>0.99999843488930662</v>
      </c>
      <c r="Q489" s="123">
        <v>-3.0401890509176618E-2</v>
      </c>
      <c r="R489" s="90">
        <v>1.7281844010565484E-2</v>
      </c>
    </row>
    <row r="490" spans="1:18" x14ac:dyDescent="0.25">
      <c r="A490" s="194">
        <v>0.96245006564153002</v>
      </c>
      <c r="B490" s="195">
        <v>-1.8799746928795734E-2</v>
      </c>
      <c r="C490" s="195">
        <v>0.16601159772227433</v>
      </c>
      <c r="D490" s="196">
        <v>0.21395464492206229</v>
      </c>
      <c r="F490" s="123">
        <f>INDEX(A490:D498,,F483)</f>
        <v>0.96245006564153002</v>
      </c>
      <c r="G490" s="90">
        <f>INDEX(A484:D492,,G483)</f>
        <v>-1.8799746928795734E-2</v>
      </c>
      <c r="I490" s="123">
        <f t="shared" si="157"/>
        <v>0.92595669836879868</v>
      </c>
      <c r="J490" s="37">
        <f t="shared" si="158"/>
        <v>-3.6187635331327211E-2</v>
      </c>
      <c r="K490" s="37">
        <f t="shared" si="159"/>
        <v>0.85608626230317331</v>
      </c>
      <c r="L490" s="90">
        <f t="shared" si="156"/>
        <v>-3.3508183333169836E-2</v>
      </c>
      <c r="Q490" s="123">
        <v>0.96241529798984538</v>
      </c>
      <c r="R490" s="90">
        <v>-2.0502525041793441E-2</v>
      </c>
    </row>
    <row r="491" spans="1:18" x14ac:dyDescent="0.25">
      <c r="A491" s="194">
        <v>0.67745325397030154</v>
      </c>
      <c r="B491" s="195">
        <v>-0.21891679792602958</v>
      </c>
      <c r="C491" s="195">
        <v>0.56606890431953216</v>
      </c>
      <c r="D491" s="196">
        <v>0.41557011422063128</v>
      </c>
      <c r="F491" s="123">
        <f>INDEX(A491:D499,,F483)</f>
        <v>0.67745325397030154</v>
      </c>
      <c r="G491" s="90">
        <f>INDEX(A484:D492,,G483)</f>
        <v>-0.21891679792602958</v>
      </c>
      <c r="I491" s="123">
        <f t="shared" si="157"/>
        <v>0.41101834690076378</v>
      </c>
      <c r="J491" s="37">
        <f t="shared" si="158"/>
        <v>-0.29661179420749539</v>
      </c>
      <c r="K491" s="37">
        <f t="shared" si="159"/>
        <v>8.0957525026047E-2</v>
      </c>
      <c r="L491" s="90">
        <f t="shared" si="156"/>
        <v>-0.12191288932643429</v>
      </c>
      <c r="Q491" s="123">
        <v>0.67706487678347793</v>
      </c>
      <c r="R491" s="90">
        <v>-0.22011503436909946</v>
      </c>
    </row>
    <row r="492" spans="1:18" x14ac:dyDescent="0.25">
      <c r="A492" s="200">
        <v>7.4055429784465526E-2</v>
      </c>
      <c r="B492" s="201">
        <v>-0.92356835231534695</v>
      </c>
      <c r="C492" s="201">
        <v>-0.20877430390652399</v>
      </c>
      <c r="D492" s="202">
        <v>0.3129705768108238</v>
      </c>
      <c r="F492" s="91">
        <f>INDEX(A492:D500,,F483)</f>
        <v>7.4055429784465526E-2</v>
      </c>
      <c r="G492" s="93">
        <f>INDEX(A484:D492,,G483)</f>
        <v>-0.92356835231534695</v>
      </c>
      <c r="I492" s="91">
        <f t="shared" si="157"/>
        <v>-0.84749429471792292</v>
      </c>
      <c r="J492" s="92">
        <f t="shared" si="158"/>
        <v>-0.13679050253208738</v>
      </c>
      <c r="K492" s="92">
        <f t="shared" si="159"/>
        <v>0.69953493799644861</v>
      </c>
      <c r="L492" s="93">
        <f t="shared" si="156"/>
        <v>0.11592917046754164</v>
      </c>
      <c r="Q492" s="91">
        <v>7.2421297521574779E-2</v>
      </c>
      <c r="R492" s="93">
        <v>-0.92369792884055901</v>
      </c>
    </row>
    <row r="493" spans="1:18" x14ac:dyDescent="0.25">
      <c r="I493">
        <f>SUM(I484:I492)</f>
        <v>1.0488741412394451</v>
      </c>
      <c r="J493">
        <f>SUM(J484:J492)</f>
        <v>-1.0759170420789725</v>
      </c>
      <c r="K493">
        <f>SUM(K484:K492)</f>
        <v>2.2393620089062476</v>
      </c>
      <c r="L493">
        <f>SUM(L484:L492)</f>
        <v>-0.23488477114563483</v>
      </c>
    </row>
    <row r="494" spans="1:18" x14ac:dyDescent="0.25">
      <c r="A494" s="47" t="s">
        <v>53</v>
      </c>
      <c r="B494">
        <f>COUNT(A484:A492)</f>
        <v>9</v>
      </c>
      <c r="I494" s="47" t="s">
        <v>462</v>
      </c>
      <c r="J494" s="47" t="s">
        <v>389</v>
      </c>
      <c r="K494" s="47" t="s">
        <v>469</v>
      </c>
      <c r="L494" s="47" t="s">
        <v>470</v>
      </c>
      <c r="N494" s="47"/>
    </row>
    <row r="496" spans="1:18" x14ac:dyDescent="0.25">
      <c r="A496">
        <v>1</v>
      </c>
      <c r="B496">
        <v>2</v>
      </c>
      <c r="C496">
        <v>3</v>
      </c>
      <c r="D496">
        <v>4</v>
      </c>
      <c r="F496">
        <v>1</v>
      </c>
      <c r="G496">
        <v>3</v>
      </c>
      <c r="I496" s="47" t="s">
        <v>207</v>
      </c>
      <c r="J496" s="47" t="s">
        <v>464</v>
      </c>
      <c r="K496" s="47" t="s">
        <v>465</v>
      </c>
      <c r="L496" s="47" t="s">
        <v>466</v>
      </c>
      <c r="Q496">
        <f>F496</f>
        <v>1</v>
      </c>
      <c r="R496">
        <f>G496</f>
        <v>3</v>
      </c>
    </row>
    <row r="497" spans="1:18" x14ac:dyDescent="0.25">
      <c r="A497" s="189">
        <f t="array" ref="A497:A505">IF(A496=$Q483,$Q484:$Q492,IF(A496=$R483,$R484:$R492,A484:A492))</f>
        <v>0.10904211293507225</v>
      </c>
      <c r="B497" s="190">
        <f t="array" ref="B497:B505">IF(B496=$Q483,$Q484:$Q492,IF(B496=$R483,$R484:$R492,B484:B492))</f>
        <v>0.89239278802084554</v>
      </c>
      <c r="C497" s="190">
        <f t="array" ref="C497:C505">IF(C496=$Q483,$Q484:$Q492,IF(C496=$R483,$R484:$R492,C484:C492))</f>
        <v>-0.33793930411092926</v>
      </c>
      <c r="D497" s="191">
        <f t="array" ref="D497:D505">IF(D496=$Q483,$Q484:$Q492,IF(D496=$R483,$R484:$R492,D484:D492))</f>
        <v>0.27846356356273733</v>
      </c>
      <c r="F497" s="156">
        <f>INDEX(A497:D505,,F496)</f>
        <v>0.10904211293507225</v>
      </c>
      <c r="G497" s="158">
        <f>INDEX(A497:D505,,G496)</f>
        <v>-0.33793930411092926</v>
      </c>
      <c r="I497" s="156">
        <f>F497^2-G497^2</f>
        <v>-0.10231279086963409</v>
      </c>
      <c r="J497" s="157">
        <f>2*F497*G497</f>
        <v>-7.3699231528127351E-2</v>
      </c>
      <c r="K497" s="157">
        <f>I497^2-J497^2</f>
        <v>5.0363304476969597E-3</v>
      </c>
      <c r="L497" s="158">
        <f t="shared" ref="L497:L505" si="160">I497*J497</f>
        <v>7.5403740625900372E-3</v>
      </c>
      <c r="N497" t="s">
        <v>390</v>
      </c>
      <c r="O497" s="172">
        <f>L506*B507-2*I506*J506</f>
        <v>-5.7300536198401808E-2</v>
      </c>
      <c r="Q497" s="156">
        <f t="array" ref="Q497:R505">MMULT(F497:G505,N501:O502)</f>
        <v>0.10923903526527066</v>
      </c>
      <c r="R497" s="158">
        <v>-0.33787570026658786</v>
      </c>
    </row>
    <row r="498" spans="1:18" x14ac:dyDescent="0.25">
      <c r="A498" s="194">
        <v>0.79500403358876148</v>
      </c>
      <c r="B498" s="195">
        <v>-0.60083105710203011</v>
      </c>
      <c r="C498" s="195">
        <v>8.0908359946792519E-2</v>
      </c>
      <c r="D498" s="196">
        <v>-2.0602540862156734E-2</v>
      </c>
      <c r="F498" s="123">
        <f>INDEX(A498:D506,,F496)</f>
        <v>0.79500403358876148</v>
      </c>
      <c r="G498" s="90">
        <f>INDEX(A497:D505,,G496)</f>
        <v>8.0908359946792519E-2</v>
      </c>
      <c r="I498" s="123">
        <f t="shared" ref="I498:I505" si="161">F498^2-G498^2</f>
        <v>0.62548525071312078</v>
      </c>
      <c r="J498" s="37">
        <f t="shared" ref="J498:J505" si="162">2*F498*G498</f>
        <v>0.1286449450175029</v>
      </c>
      <c r="K498" s="37">
        <f t="shared" ref="K498:K505" si="163">I498^2-J498^2</f>
        <v>0.37468227698109918</v>
      </c>
      <c r="L498" s="90">
        <f t="shared" si="160"/>
        <v>8.046551568724844E-2</v>
      </c>
      <c r="N498" t="s">
        <v>392</v>
      </c>
      <c r="O498" s="173">
        <f>K506*B507-(I506^2-J506^2)</f>
        <v>24.581070260333892</v>
      </c>
      <c r="Q498" s="123">
        <v>0.79495674763385282</v>
      </c>
      <c r="R498" s="90">
        <v>8.1371650610560523E-2</v>
      </c>
    </row>
    <row r="499" spans="1:18" x14ac:dyDescent="0.25">
      <c r="A499" s="194">
        <v>0.98393423817142989</v>
      </c>
      <c r="B499" s="195">
        <v>0.11891911806036833</v>
      </c>
      <c r="C499" s="195">
        <v>0.11335650314028584</v>
      </c>
      <c r="D499" s="196">
        <v>6.9871034839609852E-2</v>
      </c>
      <c r="F499" s="123">
        <f>INDEX(A499:D507,,F496)</f>
        <v>0.98393423817142989</v>
      </c>
      <c r="G499" s="90">
        <f>INDEX(A497:D505,,G496)</f>
        <v>0.11335650314028584</v>
      </c>
      <c r="I499" s="123">
        <f t="shared" si="161"/>
        <v>0.95527688824179846</v>
      </c>
      <c r="J499" s="37">
        <f t="shared" si="162"/>
        <v>0.22307068911822889</v>
      </c>
      <c r="K499" s="37">
        <f t="shared" si="163"/>
        <v>0.86279340086525202</v>
      </c>
      <c r="L499" s="90">
        <f t="shared" si="160"/>
        <v>0.21309427375881532</v>
      </c>
      <c r="N499" t="s">
        <v>467</v>
      </c>
      <c r="O499" s="174">
        <f>0.25*ATAN(O497/O498)</f>
        <v>-5.8276990995944516E-4</v>
      </c>
      <c r="Q499" s="123">
        <v>0.98386801033379467</v>
      </c>
      <c r="R499" s="90">
        <v>0.1139298911261034</v>
      </c>
    </row>
    <row r="500" spans="1:18" x14ac:dyDescent="0.25">
      <c r="A500" s="194">
        <v>5.1205876605120333E-2</v>
      </c>
      <c r="B500" s="195">
        <v>2.7661514063447236E-3</v>
      </c>
      <c r="C500" s="195">
        <v>7.8099286770064877E-2</v>
      </c>
      <c r="D500" s="196">
        <v>0.99562583735734067</v>
      </c>
      <c r="F500" s="123">
        <f>INDEX(A500:D508,,F496)</f>
        <v>5.1205876605120333E-2</v>
      </c>
      <c r="G500" s="90">
        <f>INDEX(A497:D505,,G496)</f>
        <v>7.8099286770064877E-2</v>
      </c>
      <c r="I500" s="123">
        <f t="shared" si="161"/>
        <v>-3.4774567950940209E-3</v>
      </c>
      <c r="J500" s="37">
        <f t="shared" si="162"/>
        <v>7.9982848825916972E-3</v>
      </c>
      <c r="K500" s="37">
        <f t="shared" si="163"/>
        <v>-5.1879855301349306E-5</v>
      </c>
      <c r="L500" s="90">
        <f t="shared" si="160"/>
        <v>-2.7813690114066282E-5</v>
      </c>
      <c r="Q500" s="123">
        <v>5.1160353998088368E-2</v>
      </c>
      <c r="R500" s="90">
        <v>7.8129114750404821E-2</v>
      </c>
    </row>
    <row r="501" spans="1:18" x14ac:dyDescent="0.25">
      <c r="A501" s="194">
        <v>0.35551147247883969</v>
      </c>
      <c r="B501" s="195">
        <v>-0.11369949151608948</v>
      </c>
      <c r="C501" s="195">
        <v>0.88470894139525491</v>
      </c>
      <c r="D501" s="196">
        <v>0.27923844216045585</v>
      </c>
      <c r="F501" s="123">
        <f>INDEX(A501:D509,,F496)</f>
        <v>0.35551147247883969</v>
      </c>
      <c r="G501" s="90">
        <f>INDEX(A497:D505,,G496)</f>
        <v>0.88470894139525491</v>
      </c>
      <c r="I501" s="123">
        <f t="shared" si="161"/>
        <v>-0.65632150392063981</v>
      </c>
      <c r="J501" s="37">
        <f t="shared" si="162"/>
        <v>0.62904835694124517</v>
      </c>
      <c r="K501" s="37">
        <f t="shared" si="163"/>
        <v>3.5056081138170214E-2</v>
      </c>
      <c r="L501" s="90">
        <f t="shared" si="160"/>
        <v>-0.41285796366648547</v>
      </c>
      <c r="N501" s="156">
        <f>COS(O499)</f>
        <v>0.9999998301896208</v>
      </c>
      <c r="O501" s="158">
        <f>-N502</f>
        <v>5.8276987697265163E-4</v>
      </c>
      <c r="Q501" s="123">
        <v>0.35499583038836818</v>
      </c>
      <c r="R501" s="90">
        <v>0.88491597253957299</v>
      </c>
    </row>
    <row r="502" spans="1:18" x14ac:dyDescent="0.25">
      <c r="A502" s="194">
        <v>-3.0401890509176618E-2</v>
      </c>
      <c r="B502" s="195">
        <v>1.7281844010565484E-2</v>
      </c>
      <c r="C502" s="195">
        <v>0.99783363553634929</v>
      </c>
      <c r="D502" s="196">
        <v>-5.5723412614220952E-2</v>
      </c>
      <c r="F502" s="123">
        <f>INDEX(A502:D510,,F496)</f>
        <v>-3.0401890509176618E-2</v>
      </c>
      <c r="G502" s="90">
        <f>INDEX(A497:D505,,G496)</f>
        <v>0.99783363553634929</v>
      </c>
      <c r="I502" s="123">
        <f t="shared" si="161"/>
        <v>-0.99474768926115609</v>
      </c>
      <c r="J502" s="37">
        <f t="shared" si="162"/>
        <v>-6.0672057867899476E-2</v>
      </c>
      <c r="K502" s="37">
        <f t="shared" si="163"/>
        <v>0.98584186668448381</v>
      </c>
      <c r="L502" s="90">
        <f t="shared" si="160"/>
        <v>6.035338936681215E-2</v>
      </c>
      <c r="N502" s="91">
        <f>SIN(O499)</f>
        <v>-5.8276987697265163E-4</v>
      </c>
      <c r="O502" s="93">
        <f>N501</f>
        <v>0.9999998301896208</v>
      </c>
      <c r="Q502" s="123">
        <v>-3.0983392731640753E-2</v>
      </c>
      <c r="R502" s="90">
        <v>0.99781574878784951</v>
      </c>
    </row>
    <row r="503" spans="1:18" x14ac:dyDescent="0.25">
      <c r="A503" s="194">
        <v>0.96241529798984538</v>
      </c>
      <c r="B503" s="195">
        <v>-2.0502525041793441E-2</v>
      </c>
      <c r="C503" s="195">
        <v>0.16601159772227433</v>
      </c>
      <c r="D503" s="196">
        <v>0.21395464492206229</v>
      </c>
      <c r="F503" s="123">
        <f>INDEX(A503:D511,,F496)</f>
        <v>0.96241529798984538</v>
      </c>
      <c r="G503" s="90">
        <f>INDEX(A497:D505,,G496)</f>
        <v>0.16601159772227433</v>
      </c>
      <c r="I503" s="123">
        <f t="shared" si="161"/>
        <v>0.8986833552265806</v>
      </c>
      <c r="J503" s="37">
        <f t="shared" si="162"/>
        <v>0.31954420258330596</v>
      </c>
      <c r="K503" s="37">
        <f t="shared" si="163"/>
        <v>0.70552327555670358</v>
      </c>
      <c r="L503" s="90">
        <f t="shared" si="160"/>
        <v>0.2871690561207676</v>
      </c>
      <c r="Q503" s="123">
        <v>0.96231838800335801</v>
      </c>
      <c r="R503" s="90">
        <v>0.16657243617658812</v>
      </c>
    </row>
    <row r="504" spans="1:18" x14ac:dyDescent="0.25">
      <c r="A504" s="194">
        <v>0.67706487678347793</v>
      </c>
      <c r="B504" s="195">
        <v>-0.22011503436909946</v>
      </c>
      <c r="C504" s="195">
        <v>0.56606890431953216</v>
      </c>
      <c r="D504" s="196">
        <v>0.41557011422063128</v>
      </c>
      <c r="F504" s="123">
        <f>INDEX(A504:D512,,F496)</f>
        <v>0.67706487678347793</v>
      </c>
      <c r="G504" s="90">
        <f>INDEX(A497:D505,,G496)</f>
        <v>0.56606890431953216</v>
      </c>
      <c r="I504" s="123">
        <f t="shared" si="161"/>
        <v>0.13798284293631047</v>
      </c>
      <c r="J504" s="37">
        <f t="shared" si="162"/>
        <v>0.76653074590812476</v>
      </c>
      <c r="K504" s="37">
        <f t="shared" si="163"/>
        <v>-0.56853011947767962</v>
      </c>
      <c r="L504" s="90">
        <f t="shared" si="160"/>
        <v>0.10576809151849369</v>
      </c>
      <c r="Q504" s="123">
        <v>0.67673487390510612</v>
      </c>
      <c r="R504" s="90">
        <v>0.56646338121010242</v>
      </c>
    </row>
    <row r="505" spans="1:18" x14ac:dyDescent="0.25">
      <c r="A505" s="200">
        <v>7.2421297521574779E-2</v>
      </c>
      <c r="B505" s="201">
        <v>-0.92369792884055901</v>
      </c>
      <c r="C505" s="201">
        <v>-0.20877430390652399</v>
      </c>
      <c r="D505" s="202">
        <v>0.3129705768108238</v>
      </c>
      <c r="F505" s="91">
        <f>INDEX(A505:D513,,F496)</f>
        <v>7.2421297521574779E-2</v>
      </c>
      <c r="G505" s="93">
        <f>INDEX(A497:D505,,G496)</f>
        <v>-0.20877430390652399</v>
      </c>
      <c r="I505" s="91">
        <f t="shared" si="161"/>
        <v>-3.8341865636945187E-2</v>
      </c>
      <c r="J505" s="92">
        <f t="shared" si="162"/>
        <v>-3.0239411956148092E-2</v>
      </c>
      <c r="K505" s="92">
        <f t="shared" si="163"/>
        <v>5.5567662506792609E-4</v>
      </c>
      <c r="L505" s="93">
        <f t="shared" si="160"/>
        <v>1.159435470162864E-3</v>
      </c>
      <c r="Q505" s="91">
        <v>7.2542952599089439E-2</v>
      </c>
      <c r="R505" s="93">
        <v>-0.20873206350383341</v>
      </c>
    </row>
    <row r="506" spans="1:18" x14ac:dyDescent="0.25">
      <c r="I506">
        <f>SUM(I497:I505)</f>
        <v>0.82222703063434122</v>
      </c>
      <c r="J506">
        <f>SUM(J497:J505)</f>
        <v>1.9102265230988245</v>
      </c>
      <c r="K506">
        <f>SUM(K497:K505)</f>
        <v>2.4009069089654926</v>
      </c>
      <c r="L506">
        <f>SUM(L497:L505)</f>
        <v>0.34266435862829048</v>
      </c>
    </row>
    <row r="507" spans="1:18" x14ac:dyDescent="0.25">
      <c r="A507" s="47" t="s">
        <v>53</v>
      </c>
      <c r="B507">
        <f>COUNT(A497:A505)</f>
        <v>9</v>
      </c>
      <c r="I507" s="47" t="s">
        <v>462</v>
      </c>
      <c r="J507" s="47" t="s">
        <v>389</v>
      </c>
      <c r="K507" s="47" t="s">
        <v>469</v>
      </c>
      <c r="L507" s="47" t="s">
        <v>470</v>
      </c>
      <c r="N507" s="47"/>
    </row>
    <row r="509" spans="1:18" x14ac:dyDescent="0.25">
      <c r="A509">
        <v>1</v>
      </c>
      <c r="B509">
        <v>2</v>
      </c>
      <c r="C509">
        <v>3</v>
      </c>
      <c r="D509">
        <v>4</v>
      </c>
      <c r="F509">
        <v>1</v>
      </c>
      <c r="G509">
        <v>4</v>
      </c>
      <c r="I509" s="47" t="s">
        <v>207</v>
      </c>
      <c r="J509" s="47" t="s">
        <v>464</v>
      </c>
      <c r="K509" s="47" t="s">
        <v>465</v>
      </c>
      <c r="L509" s="47" t="s">
        <v>466</v>
      </c>
      <c r="Q509">
        <f>F509</f>
        <v>1</v>
      </c>
      <c r="R509">
        <f>G509</f>
        <v>4</v>
      </c>
    </row>
    <row r="510" spans="1:18" x14ac:dyDescent="0.25">
      <c r="A510" s="189">
        <f t="array" ref="A510:A518">IF(A509=$Q496,$Q497:$Q505,IF(A509=$R496,$R497:$R505,A497:A505))</f>
        <v>0.10923903526527066</v>
      </c>
      <c r="B510" s="190">
        <f t="array" ref="B510:B518">IF(B509=$Q496,$Q497:$Q505,IF(B509=$R496,$R497:$R505,B497:B505))</f>
        <v>0.89239278802084554</v>
      </c>
      <c r="C510" s="190">
        <f t="array" ref="C510:C518">IF(C509=$Q496,$Q497:$Q505,IF(C509=$R496,$R497:$R505,C497:C505))</f>
        <v>-0.33787570026658786</v>
      </c>
      <c r="D510" s="191">
        <f t="array" ref="D510:D518">IF(D509=$Q496,$Q497:$Q505,IF(D509=$R496,$R497:$R505,D497:D505))</f>
        <v>0.27846356356273733</v>
      </c>
      <c r="F510" s="156">
        <f>INDEX(A510:D518,,F509)</f>
        <v>0.10923903526527066</v>
      </c>
      <c r="G510" s="158">
        <f>INDEX(A510:D518,,G509)</f>
        <v>0.27846356356273733</v>
      </c>
      <c r="I510" s="156">
        <f>F510^2-G510^2</f>
        <v>-6.5608789406371604E-2</v>
      </c>
      <c r="J510" s="157">
        <f>2*F510*G510</f>
        <v>6.0838182080245606E-2</v>
      </c>
      <c r="K510" s="157">
        <f>I510^2-J510^2</f>
        <v>6.0322884854050124E-4</v>
      </c>
      <c r="L510" s="158">
        <f t="shared" ref="L510:L518" si="164">I510*J510</f>
        <v>-3.9915194759693245E-3</v>
      </c>
      <c r="N510" t="s">
        <v>390</v>
      </c>
      <c r="O510" s="172">
        <f>L519*B520-2*I519*J519</f>
        <v>-0.12286838842388459</v>
      </c>
      <c r="Q510" s="156">
        <f t="array" ref="Q510:R518">MMULT(F510:G518,N514:O515)</f>
        <v>0.10886687677522761</v>
      </c>
      <c r="R510" s="158">
        <v>0.27860927155956805</v>
      </c>
    </row>
    <row r="511" spans="1:18" x14ac:dyDescent="0.25">
      <c r="A511" s="194">
        <v>0.79495674763385282</v>
      </c>
      <c r="B511" s="195">
        <v>-0.60083105710203011</v>
      </c>
      <c r="C511" s="195">
        <v>8.1371650610560523E-2</v>
      </c>
      <c r="D511" s="196">
        <v>-2.0602540862156734E-2</v>
      </c>
      <c r="F511" s="123">
        <f>INDEX(A511:D519,,F509)</f>
        <v>0.79495674763385282</v>
      </c>
      <c r="G511" s="90">
        <f>INDEX(A510:D518,,G509)</f>
        <v>-2.0602540862156734E-2</v>
      </c>
      <c r="I511" s="123">
        <f t="shared" ref="I511:I518" si="165">F511^2-G511^2</f>
        <v>0.63153176591861637</v>
      </c>
      <c r="J511" s="37">
        <f t="shared" ref="J511:J518" si="166">2*F511*G511</f>
        <v>-3.275625775354734E-2</v>
      </c>
      <c r="K511" s="37">
        <f t="shared" ref="K511:K518" si="167">I511^2-J511^2</f>
        <v>0.39775939894226925</v>
      </c>
      <c r="L511" s="90">
        <f t="shared" si="164"/>
        <v>-2.0686617303983121E-2</v>
      </c>
      <c r="N511" t="s">
        <v>392</v>
      </c>
      <c r="O511" s="173">
        <f>K519*B520-(I519^2-J519^2)</f>
        <v>22.989533292412922</v>
      </c>
      <c r="Q511" s="123">
        <v>0.79498356553265803</v>
      </c>
      <c r="R511" s="90">
        <v>-1.9540364161193126E-2</v>
      </c>
    </row>
    <row r="512" spans="1:18" x14ac:dyDescent="0.25">
      <c r="A512" s="194">
        <v>0.98386801033379467</v>
      </c>
      <c r="B512" s="195">
        <v>0.11891911806036833</v>
      </c>
      <c r="C512" s="195">
        <v>0.1139298911261034</v>
      </c>
      <c r="D512" s="196">
        <v>6.9871034839609852E-2</v>
      </c>
      <c r="F512" s="123">
        <f>INDEX(A512:D520,,F509)</f>
        <v>0.98386801033379467</v>
      </c>
      <c r="G512" s="90">
        <f>INDEX(A510:D518,,G509)</f>
        <v>6.9871034839609852E-2</v>
      </c>
      <c r="I512" s="123">
        <f t="shared" si="165"/>
        <v>0.96311430024862188</v>
      </c>
      <c r="J512" s="37">
        <f t="shared" si="166"/>
        <v>0.13748775205522037</v>
      </c>
      <c r="K512" s="37">
        <f t="shared" si="167"/>
        <v>0.90868627337819485</v>
      </c>
      <c r="L512" s="90">
        <f t="shared" si="164"/>
        <v>0.13241642011341959</v>
      </c>
      <c r="N512" t="s">
        <v>467</v>
      </c>
      <c r="O512" s="174">
        <f>0.25*ATAN(O510/O511)</f>
        <v>-1.3361212797100802E-3</v>
      </c>
      <c r="Q512" s="123">
        <v>0.98377377597475657</v>
      </c>
      <c r="R512" s="90">
        <v>7.1185539065933279E-2</v>
      </c>
    </row>
    <row r="513" spans="1:18" x14ac:dyDescent="0.25">
      <c r="A513" s="194">
        <v>5.1160353998088368E-2</v>
      </c>
      <c r="B513" s="195">
        <v>2.7661514063447236E-3</v>
      </c>
      <c r="C513" s="195">
        <v>7.8129114750404821E-2</v>
      </c>
      <c r="D513" s="196">
        <v>0.99562583735734067</v>
      </c>
      <c r="F513" s="123">
        <f>INDEX(A513:D521,,F509)</f>
        <v>5.1160353998088368E-2</v>
      </c>
      <c r="G513" s="90">
        <f>INDEX(A510:D518,,G509)</f>
        <v>0.99562583735734067</v>
      </c>
      <c r="I513" s="123">
        <f t="shared" si="165"/>
        <v>-0.98865342619229601</v>
      </c>
      <c r="J513" s="37">
        <f t="shared" si="166"/>
        <v>0.10187314057768941</v>
      </c>
      <c r="K513" s="37">
        <f t="shared" si="167"/>
        <v>0.96705746035060414</v>
      </c>
      <c r="L513" s="90">
        <f t="shared" si="164"/>
        <v>-0.10071722946910205</v>
      </c>
      <c r="Q513" s="123">
        <v>4.9830031859733503E-2</v>
      </c>
      <c r="R513" s="90">
        <v>0.9956933050691732</v>
      </c>
    </row>
    <row r="514" spans="1:18" x14ac:dyDescent="0.25">
      <c r="A514" s="194">
        <v>0.35499583038836818</v>
      </c>
      <c r="B514" s="195">
        <v>-0.11369949151608948</v>
      </c>
      <c r="C514" s="195">
        <v>0.88491597253957299</v>
      </c>
      <c r="D514" s="196">
        <v>0.27923844216045585</v>
      </c>
      <c r="F514" s="123">
        <f>INDEX(A514:D522,,F509)</f>
        <v>0.35499583038836818</v>
      </c>
      <c r="G514" s="90">
        <f>INDEX(A510:D518,,G509)</f>
        <v>0.27923844216045585</v>
      </c>
      <c r="I514" s="123">
        <f t="shared" si="165"/>
        <v>4.8047932012928826E-2</v>
      </c>
      <c r="J514" s="37">
        <f t="shared" si="166"/>
        <v>0.19825696530221068</v>
      </c>
      <c r="K514" s="37">
        <f t="shared" si="167"/>
        <v>-3.6997220520122942E-2</v>
      </c>
      <c r="L514" s="90">
        <f t="shared" si="164"/>
        <v>9.5258371899302075E-3</v>
      </c>
      <c r="N514" s="156">
        <f>COS(O512)</f>
        <v>0.99999910739009579</v>
      </c>
      <c r="O514" s="158">
        <f>-N515</f>
        <v>1.3361208821650273E-3</v>
      </c>
      <c r="Q514" s="123">
        <v>0.35462241720190019</v>
      </c>
      <c r="R514" s="90">
        <v>0.27971251025152016</v>
      </c>
    </row>
    <row r="515" spans="1:18" x14ac:dyDescent="0.25">
      <c r="A515" s="194">
        <v>-3.0983392731640753E-2</v>
      </c>
      <c r="B515" s="195">
        <v>1.7281844010565484E-2</v>
      </c>
      <c r="C515" s="195">
        <v>0.99781574878784951</v>
      </c>
      <c r="D515" s="196">
        <v>-5.5723412614220952E-2</v>
      </c>
      <c r="F515" s="123">
        <f>INDEX(A515:D523,,F509)</f>
        <v>-3.0983392731640753E-2</v>
      </c>
      <c r="G515" s="90">
        <f>INDEX(A510:D518,,G509)</f>
        <v>-5.5723412614220952E-2</v>
      </c>
      <c r="I515" s="123">
        <f t="shared" si="165"/>
        <v>-2.1451280882116299E-3</v>
      </c>
      <c r="J515" s="37">
        <f t="shared" si="166"/>
        <v>3.4530007547473444E-3</v>
      </c>
      <c r="K515" s="37">
        <f t="shared" si="167"/>
        <v>-7.3216396974512473E-6</v>
      </c>
      <c r="L515" s="90">
        <f t="shared" si="164"/>
        <v>-7.4071289076244858E-6</v>
      </c>
      <c r="N515" s="91">
        <f>SIN(O512)</f>
        <v>-1.3361208821650273E-3</v>
      </c>
      <c r="O515" s="93">
        <f>N514</f>
        <v>0.99999910739009579</v>
      </c>
      <c r="Q515" s="123">
        <v>-3.0908911860338176E-2</v>
      </c>
      <c r="R515" s="90">
        <v>-5.5764760432980023E-2</v>
      </c>
    </row>
    <row r="516" spans="1:18" x14ac:dyDescent="0.25">
      <c r="A516" s="194">
        <v>0.96231838800335801</v>
      </c>
      <c r="B516" s="195">
        <v>-2.0502525041793441E-2</v>
      </c>
      <c r="C516" s="195">
        <v>0.16657243617658812</v>
      </c>
      <c r="D516" s="196">
        <v>0.21395464492206229</v>
      </c>
      <c r="F516" s="123">
        <f>INDEX(A516:D524,,F509)</f>
        <v>0.96231838800335801</v>
      </c>
      <c r="G516" s="90">
        <f>INDEX(A510:D518,,G509)</f>
        <v>0.21395464492206229</v>
      </c>
      <c r="I516" s="123">
        <f t="shared" si="165"/>
        <v>0.88028008980565575</v>
      </c>
      <c r="J516" s="37">
        <f t="shared" si="166"/>
        <v>0.41178497801445968</v>
      </c>
      <c r="K516" s="37">
        <f t="shared" si="167"/>
        <v>0.60532616838988429</v>
      </c>
      <c r="L516" s="90">
        <f t="shared" si="164"/>
        <v>0.36248611742718856</v>
      </c>
      <c r="Q516" s="123">
        <v>0.96203165975951721</v>
      </c>
      <c r="R516" s="90">
        <v>0.21524022763752984</v>
      </c>
    </row>
    <row r="517" spans="1:18" x14ac:dyDescent="0.25">
      <c r="A517" s="194">
        <v>0.67673487390510612</v>
      </c>
      <c r="B517" s="195">
        <v>-0.22011503436909946</v>
      </c>
      <c r="C517" s="195">
        <v>0.56646338121010242</v>
      </c>
      <c r="D517" s="196">
        <v>0.41557011422063128</v>
      </c>
      <c r="F517" s="123">
        <f>INDEX(A517:D525,,F509)</f>
        <v>0.67673487390510612</v>
      </c>
      <c r="G517" s="90">
        <f>INDEX(A510:D518,,G509)</f>
        <v>0.41557011422063128</v>
      </c>
      <c r="I517" s="123">
        <f t="shared" si="165"/>
        <v>0.28527156972601131</v>
      </c>
      <c r="J517" s="37">
        <f t="shared" si="166"/>
        <v>0.56246157769165894</v>
      </c>
      <c r="K517" s="37">
        <f t="shared" si="167"/>
        <v>-0.23498315788544755</v>
      </c>
      <c r="L517" s="90">
        <f t="shared" si="164"/>
        <v>0.16045429717866841</v>
      </c>
      <c r="Q517" s="123">
        <v>0.67617901793724133</v>
      </c>
      <c r="R517" s="90">
        <v>0.41647394287534539</v>
      </c>
    </row>
    <row r="518" spans="1:18" x14ac:dyDescent="0.25">
      <c r="A518" s="200">
        <v>7.2542952599089439E-2</v>
      </c>
      <c r="B518" s="201">
        <v>-0.92369792884055901</v>
      </c>
      <c r="C518" s="201">
        <v>-0.20873206350383341</v>
      </c>
      <c r="D518" s="202">
        <v>0.3129705768108238</v>
      </c>
      <c r="F518" s="91">
        <f>INDEX(A518:D526,,F509)</f>
        <v>7.2542952599089439E-2</v>
      </c>
      <c r="G518" s="93">
        <f>INDEX(A510:D518,,G509)</f>
        <v>0.3129705768108238</v>
      </c>
      <c r="I518" s="91">
        <f t="shared" si="165"/>
        <v>-9.2688101977506016E-2</v>
      </c>
      <c r="J518" s="92">
        <f t="shared" si="166"/>
        <v>4.5407619436994541E-2</v>
      </c>
      <c r="K518" s="92">
        <f t="shared" si="167"/>
        <v>6.5292323452576292E-3</v>
      </c>
      <c r="L518" s="93">
        <f t="shared" si="164"/>
        <v>-4.2087460609319342E-3</v>
      </c>
      <c r="Q518" s="91">
        <v>7.2124721323351293E-2</v>
      </c>
      <c r="R518" s="93">
        <v>0.31306722360400879</v>
      </c>
    </row>
    <row r="519" spans="1:18" x14ac:dyDescent="0.25">
      <c r="I519">
        <f>SUM(I510:I518)</f>
        <v>1.6591502120474488</v>
      </c>
      <c r="J519">
        <f>SUM(J510:J518)</f>
        <v>1.4888069581596794</v>
      </c>
      <c r="K519">
        <f>SUM(K510:K518)</f>
        <v>2.6139740622094823</v>
      </c>
      <c r="L519">
        <f>SUM(L510:L518)</f>
        <v>0.53527115247031276</v>
      </c>
    </row>
    <row r="520" spans="1:18" x14ac:dyDescent="0.25">
      <c r="A520" s="47" t="s">
        <v>53</v>
      </c>
      <c r="B520">
        <f>COUNT(A510:A518)</f>
        <v>9</v>
      </c>
      <c r="I520" s="47" t="s">
        <v>462</v>
      </c>
      <c r="J520" s="47" t="s">
        <v>389</v>
      </c>
      <c r="K520" s="47" t="s">
        <v>469</v>
      </c>
      <c r="L520" s="47" t="s">
        <v>470</v>
      </c>
      <c r="N520" s="47"/>
    </row>
    <row r="522" spans="1:18" x14ac:dyDescent="0.25">
      <c r="A522">
        <v>1</v>
      </c>
      <c r="B522">
        <v>2</v>
      </c>
      <c r="C522">
        <v>3</v>
      </c>
      <c r="D522">
        <v>4</v>
      </c>
      <c r="F522">
        <v>2</v>
      </c>
      <c r="G522">
        <v>3</v>
      </c>
      <c r="I522" s="47" t="s">
        <v>207</v>
      </c>
      <c r="J522" s="47" t="s">
        <v>464</v>
      </c>
      <c r="K522" s="47" t="s">
        <v>465</v>
      </c>
      <c r="L522" s="47" t="s">
        <v>466</v>
      </c>
      <c r="Q522">
        <f>F522</f>
        <v>2</v>
      </c>
      <c r="R522">
        <f>G522</f>
        <v>3</v>
      </c>
    </row>
    <row r="523" spans="1:18" x14ac:dyDescent="0.25">
      <c r="A523" s="189">
        <f t="array" ref="A523:A531">IF(A522=$Q509,$Q510:$Q518,IF(A522=$R509,$R510:$R518,A510:A518))</f>
        <v>0.10886687677522761</v>
      </c>
      <c r="B523" s="190">
        <f t="array" ref="B523:B531">IF(B522=$Q509,$Q510:$Q518,IF(B522=$R509,$R510:$R518,B510:B518))</f>
        <v>0.89239278802084554</v>
      </c>
      <c r="C523" s="190">
        <f t="array" ref="C523:C531">IF(C522=$Q509,$Q510:$Q518,IF(C522=$R509,$R510:$R518,C510:C518))</f>
        <v>-0.33787570026658786</v>
      </c>
      <c r="D523" s="191">
        <f t="array" ref="D523:D531">IF(D522=$Q509,$Q510:$Q518,IF(D522=$R509,$R510:$R518,D510:D518))</f>
        <v>0.27860927155956805</v>
      </c>
      <c r="F523" s="156">
        <f>INDEX(A523:D531,,F522)</f>
        <v>0.89239278802084554</v>
      </c>
      <c r="G523" s="158">
        <f>INDEX(A523:D531,,G522)</f>
        <v>-0.33787570026658786</v>
      </c>
      <c r="I523" s="156">
        <f>F523^2-G523^2</f>
        <v>0.6822048992809806</v>
      </c>
      <c r="J523" s="157">
        <f>2*F523*G523</f>
        <v>-0.6030356763307918</v>
      </c>
      <c r="K523" s="157">
        <f>I523^2-J523^2</f>
        <v>0.10175149767523739</v>
      </c>
      <c r="L523" s="158">
        <f t="shared" ref="L523:L531" si="168">I523*J523</f>
        <v>-0.41139389283408584</v>
      </c>
      <c r="N523" t="s">
        <v>390</v>
      </c>
      <c r="O523" s="172">
        <f>L532*B533-2*I532*J532</f>
        <v>0.17640515736590912</v>
      </c>
      <c r="Q523" s="156">
        <f t="array" ref="Q523:R531">MMULT(F523:G531,N527:O528)</f>
        <v>0.89168004968122438</v>
      </c>
      <c r="R523" s="158">
        <v>-0.33975221256489857</v>
      </c>
    </row>
    <row r="524" spans="1:18" x14ac:dyDescent="0.25">
      <c r="A524" s="194">
        <v>0.79498356553265803</v>
      </c>
      <c r="B524" s="195">
        <v>-0.60083105710203011</v>
      </c>
      <c r="C524" s="195">
        <v>8.1371650610560523E-2</v>
      </c>
      <c r="D524" s="196">
        <v>-1.9540364161193126E-2</v>
      </c>
      <c r="F524" s="123">
        <f>INDEX(A524:D532,,F522)</f>
        <v>-0.60083105710203011</v>
      </c>
      <c r="G524" s="90">
        <f>INDEX(A523:D531,,G522)</f>
        <v>8.1371650610560523E-2</v>
      </c>
      <c r="I524" s="123">
        <f t="shared" ref="I524:I531" si="169">F524^2-G524^2</f>
        <v>0.35437661365525586</v>
      </c>
      <c r="J524" s="37">
        <f t="shared" ref="J524:J531" si="170">2*F524*G524</f>
        <v>-9.7781229708960263E-2</v>
      </c>
      <c r="K524" s="37">
        <f t="shared" ref="K524:K531" si="171">I524^2-J524^2</f>
        <v>0.11602161542237002</v>
      </c>
      <c r="L524" s="90">
        <f t="shared" si="168"/>
        <v>-3.4651381063308034E-2</v>
      </c>
      <c r="N524" t="s">
        <v>392</v>
      </c>
      <c r="O524" s="173">
        <f>K532*B533-(I532^2-J532^2)</f>
        <v>20.963913892054794</v>
      </c>
      <c r="Q524" s="123">
        <v>-0.60065855224153386</v>
      </c>
      <c r="R524" s="90">
        <v>8.2635393872931881E-2</v>
      </c>
    </row>
    <row r="525" spans="1:18" x14ac:dyDescent="0.25">
      <c r="A525" s="194">
        <v>0.98377377597475657</v>
      </c>
      <c r="B525" s="195">
        <v>0.11891911806036833</v>
      </c>
      <c r="C525" s="195">
        <v>0.1139298911261034</v>
      </c>
      <c r="D525" s="196">
        <v>7.1185539065933279E-2</v>
      </c>
      <c r="F525" s="123">
        <f>INDEX(A525:D533,,F522)</f>
        <v>0.11891911806036833</v>
      </c>
      <c r="G525" s="90">
        <f>INDEX(A523:D531,,G522)</f>
        <v>0.1139298911261034</v>
      </c>
      <c r="I525" s="123">
        <f t="shared" si="169"/>
        <v>1.1617365482500478E-3</v>
      </c>
      <c r="J525" s="37">
        <f t="shared" si="170"/>
        <v>2.7096884346860001E-2</v>
      </c>
      <c r="K525" s="37">
        <f t="shared" si="171"/>
        <v>-7.3289150949956651E-4</v>
      </c>
      <c r="L525" s="90">
        <f t="shared" si="168"/>
        <v>3.1479440889451888E-5</v>
      </c>
      <c r="N525" t="s">
        <v>467</v>
      </c>
      <c r="O525" s="174">
        <f>0.25*ATAN(O523/O524)</f>
        <v>2.1036266756075069E-3</v>
      </c>
      <c r="Q525" s="123">
        <v>0.11915852071869627</v>
      </c>
      <c r="R525" s="90">
        <v>0.11367947779785771</v>
      </c>
    </row>
    <row r="526" spans="1:18" x14ac:dyDescent="0.25">
      <c r="A526" s="194">
        <v>4.9830031859733503E-2</v>
      </c>
      <c r="B526" s="195">
        <v>2.7661514063447236E-3</v>
      </c>
      <c r="C526" s="195">
        <v>7.8129114750404821E-2</v>
      </c>
      <c r="D526" s="196">
        <v>0.9956933050691732</v>
      </c>
      <c r="F526" s="123">
        <f>INDEX(A526:D534,,F522)</f>
        <v>2.7661514063447236E-3</v>
      </c>
      <c r="G526" s="90">
        <f>INDEX(A523:D531,,G522)</f>
        <v>7.8129114750404821E-2</v>
      </c>
      <c r="I526" s="123">
        <f t="shared" si="169"/>
        <v>-6.096506978079101E-3</v>
      </c>
      <c r="J526" s="37">
        <f t="shared" si="170"/>
        <v>4.3223392128660117E-4</v>
      </c>
      <c r="K526" s="37">
        <f t="shared" si="171"/>
        <v>3.6980571171056376E-5</v>
      </c>
      <c r="L526" s="90">
        <f t="shared" si="168"/>
        <v>-2.635117117286257E-6</v>
      </c>
      <c r="Q526" s="123">
        <v>2.9304996546103031E-3</v>
      </c>
      <c r="R526" s="90">
        <v>7.8123122934628489E-2</v>
      </c>
    </row>
    <row r="527" spans="1:18" x14ac:dyDescent="0.25">
      <c r="A527" s="194">
        <v>0.35462241720190019</v>
      </c>
      <c r="B527" s="195">
        <v>-0.11369949151608948</v>
      </c>
      <c r="C527" s="195">
        <v>0.88491597253957299</v>
      </c>
      <c r="D527" s="196">
        <v>0.27971251025152016</v>
      </c>
      <c r="F527" s="123">
        <f>INDEX(A527:D535,,F522)</f>
        <v>-0.11369949151608948</v>
      </c>
      <c r="G527" s="90">
        <f>INDEX(A523:D531,,G522)</f>
        <v>0.88491597253957299</v>
      </c>
      <c r="I527" s="123">
        <f t="shared" si="169"/>
        <v>-0.77014870408464098</v>
      </c>
      <c r="J527" s="37">
        <f t="shared" si="170"/>
        <v>-0.2012289922244305</v>
      </c>
      <c r="K527" s="37">
        <f t="shared" si="171"/>
        <v>0.55263591909159204</v>
      </c>
      <c r="L527" s="90">
        <f t="shared" si="168"/>
        <v>0.15497624758590345</v>
      </c>
      <c r="N527" s="156">
        <f>COS(O525)</f>
        <v>0.99999778737822076</v>
      </c>
      <c r="O527" s="158">
        <f>-N528</f>
        <v>-2.1036251240972121E-3</v>
      </c>
      <c r="Q527" s="123">
        <v>-0.1118377084695691</v>
      </c>
      <c r="R527" s="90">
        <v>0.88515319566216966</v>
      </c>
    </row>
    <row r="528" spans="1:18" x14ac:dyDescent="0.25">
      <c r="A528" s="194">
        <v>-3.0908911860338176E-2</v>
      </c>
      <c r="B528" s="195">
        <v>1.7281844010565484E-2</v>
      </c>
      <c r="C528" s="195">
        <v>0.99781574878784951</v>
      </c>
      <c r="D528" s="196">
        <v>-5.5764760432980023E-2</v>
      </c>
      <c r="F528" s="123">
        <f>INDEX(A528:D536,,F522)</f>
        <v>1.7281844010565484E-2</v>
      </c>
      <c r="G528" s="90">
        <f>INDEX(A523:D531,,G522)</f>
        <v>0.99781574878784951</v>
      </c>
      <c r="I528" s="123">
        <f t="shared" si="169"/>
        <v>-0.99533760639665136</v>
      </c>
      <c r="J528" s="37">
        <f t="shared" si="170"/>
        <v>3.4488192243674422E-2</v>
      </c>
      <c r="K528" s="37">
        <f t="shared" si="171"/>
        <v>0.9895075153031786</v>
      </c>
      <c r="L528" s="90">
        <f t="shared" si="168"/>
        <v>-3.4327394716766456E-2</v>
      </c>
      <c r="N528" s="91">
        <f>SIN(O525)</f>
        <v>2.1036251240972121E-3</v>
      </c>
      <c r="O528" s="93">
        <f>N527</f>
        <v>0.99999778737822076</v>
      </c>
      <c r="Q528" s="123">
        <v>1.9380836050751034E-2</v>
      </c>
      <c r="R528" s="90">
        <v>0.99777718647774072</v>
      </c>
    </row>
    <row r="529" spans="1:18" x14ac:dyDescent="0.25">
      <c r="A529" s="194">
        <v>0.96203165975951721</v>
      </c>
      <c r="B529" s="195">
        <v>-2.0502525041793441E-2</v>
      </c>
      <c r="C529" s="195">
        <v>0.16657243617658812</v>
      </c>
      <c r="D529" s="196">
        <v>0.21524022763752984</v>
      </c>
      <c r="F529" s="123">
        <f>INDEX(A529:D537,,F522)</f>
        <v>-2.0502525041793441E-2</v>
      </c>
      <c r="G529" s="90">
        <f>INDEX(A523:D531,,G522)</f>
        <v>0.16657243617658812</v>
      </c>
      <c r="I529" s="123">
        <f t="shared" si="169"/>
        <v>-2.7326022960714159E-2</v>
      </c>
      <c r="J529" s="37">
        <f t="shared" si="170"/>
        <v>-6.8303110879660758E-3</v>
      </c>
      <c r="K529" s="37">
        <f t="shared" si="171"/>
        <v>7.0005838129108512E-4</v>
      </c>
      <c r="L529" s="90">
        <f t="shared" si="168"/>
        <v>1.8664523761858151E-4</v>
      </c>
      <c r="Q529" s="123">
        <v>-2.0152073715736855E-2</v>
      </c>
      <c r="R529" s="90">
        <v>0.16661519724157337</v>
      </c>
    </row>
    <row r="530" spans="1:18" x14ac:dyDescent="0.25">
      <c r="A530" s="194">
        <v>0.67617901793724133</v>
      </c>
      <c r="B530" s="195">
        <v>-0.22011503436909946</v>
      </c>
      <c r="C530" s="195">
        <v>0.56646338121010242</v>
      </c>
      <c r="D530" s="196">
        <v>0.41647394287534539</v>
      </c>
      <c r="F530" s="123">
        <f>INDEX(A530:D538,,F522)</f>
        <v>-0.22011503436909946</v>
      </c>
      <c r="G530" s="90">
        <f>INDEX(A523:D531,,G522)</f>
        <v>0.56646338121010242</v>
      </c>
      <c r="I530" s="123">
        <f t="shared" si="169"/>
        <v>-0.27243013389667198</v>
      </c>
      <c r="J530" s="37">
        <f t="shared" si="170"/>
        <v>-0.24937421324779596</v>
      </c>
      <c r="K530" s="37">
        <f t="shared" si="171"/>
        <v>1.2030679622001411E-2</v>
      </c>
      <c r="L530" s="90">
        <f t="shared" si="168"/>
        <v>6.7937050305474284E-2</v>
      </c>
      <c r="Q530" s="123">
        <v>-0.21892292073718583</v>
      </c>
      <c r="R530" s="90">
        <v>0.56692516735737841</v>
      </c>
    </row>
    <row r="531" spans="1:18" x14ac:dyDescent="0.25">
      <c r="A531" s="200">
        <v>7.2124721323351293E-2</v>
      </c>
      <c r="B531" s="201">
        <v>-0.92369792884055901</v>
      </c>
      <c r="C531" s="201">
        <v>-0.20873206350383341</v>
      </c>
      <c r="D531" s="202">
        <v>0.31306722360400879</v>
      </c>
      <c r="F531" s="91">
        <f>INDEX(A531:D539,,F522)</f>
        <v>-0.92369792884055901</v>
      </c>
      <c r="G531" s="93">
        <f>INDEX(A523:D531,,G522)</f>
        <v>-0.20873206350383341</v>
      </c>
      <c r="I531" s="91">
        <f t="shared" si="169"/>
        <v>0.80964878940977003</v>
      </c>
      <c r="J531" s="92">
        <f t="shared" si="170"/>
        <v>0.38561074948221391</v>
      </c>
      <c r="K531" s="92">
        <f t="shared" si="171"/>
        <v>0.50683551207647137</v>
      </c>
      <c r="L531" s="93">
        <f t="shared" si="168"/>
        <v>0.31220927650166858</v>
      </c>
      <c r="Q531" s="91">
        <v>-0.92413497905939557</v>
      </c>
      <c r="R531" s="93">
        <v>-0.20678848748853812</v>
      </c>
    </row>
    <row r="532" spans="1:18" x14ac:dyDescent="0.25">
      <c r="I532">
        <f>SUM(I523:I531)</f>
        <v>-0.22394693542250088</v>
      </c>
      <c r="J532">
        <f>SUM(J523:J531)</f>
        <v>-0.71062236260590983</v>
      </c>
      <c r="K532">
        <f>SUM(K523:K531)</f>
        <v>2.2787868866338132</v>
      </c>
      <c r="L532">
        <f>SUM(L523:L531)</f>
        <v>5.4965395340276724E-2</v>
      </c>
    </row>
    <row r="533" spans="1:18" x14ac:dyDescent="0.25">
      <c r="A533" s="47" t="s">
        <v>53</v>
      </c>
      <c r="B533">
        <f>COUNT(A523:A531)</f>
        <v>9</v>
      </c>
      <c r="I533" s="47" t="s">
        <v>462</v>
      </c>
      <c r="J533" s="47" t="s">
        <v>389</v>
      </c>
      <c r="K533" s="47" t="s">
        <v>469</v>
      </c>
      <c r="L533" s="47" t="s">
        <v>470</v>
      </c>
      <c r="N533" s="47"/>
    </row>
    <row r="535" spans="1:18" x14ac:dyDescent="0.25">
      <c r="A535">
        <v>1</v>
      </c>
      <c r="B535">
        <v>2</v>
      </c>
      <c r="C535">
        <v>3</v>
      </c>
      <c r="D535">
        <v>4</v>
      </c>
      <c r="F535">
        <v>2</v>
      </c>
      <c r="G535">
        <v>4</v>
      </c>
      <c r="I535" s="47" t="s">
        <v>207</v>
      </c>
      <c r="J535" s="47" t="s">
        <v>464</v>
      </c>
      <c r="K535" s="47" t="s">
        <v>465</v>
      </c>
      <c r="L535" s="47" t="s">
        <v>466</v>
      </c>
      <c r="Q535">
        <f>F535</f>
        <v>2</v>
      </c>
      <c r="R535">
        <f>G535</f>
        <v>4</v>
      </c>
    </row>
    <row r="536" spans="1:18" x14ac:dyDescent="0.25">
      <c r="A536" s="189">
        <f t="array" ref="A536:A544">IF(A535=$Q522,$Q523:$Q531,IF(A535=$R522,$R523:$R531,A523:A531))</f>
        <v>0.10886687677522761</v>
      </c>
      <c r="B536" s="190">
        <f t="array" ref="B536:B544">IF(B535=$Q522,$Q523:$Q531,IF(B535=$R522,$R523:$R531,B523:B531))</f>
        <v>0.89168004968122438</v>
      </c>
      <c r="C536" s="190">
        <f t="array" ref="C536:C544">IF(C535=$Q522,$Q523:$Q531,IF(C535=$R522,$R523:$R531,C523:C531))</f>
        <v>-0.33975221256489857</v>
      </c>
      <c r="D536" s="191">
        <f t="array" ref="D536:D544">IF(D535=$Q522,$Q523:$Q531,IF(D535=$R522,$R523:$R531,D523:D531))</f>
        <v>0.27860927155956805</v>
      </c>
      <c r="F536" s="156">
        <f>INDEX(A536:D544,,F535)</f>
        <v>0.89168004968122438</v>
      </c>
      <c r="G536" s="158">
        <f>INDEX(A536:D544,,G535)</f>
        <v>0.27860927155956805</v>
      </c>
      <c r="I536" s="156">
        <f>F536^2-G536^2</f>
        <v>0.71747018480055758</v>
      </c>
      <c r="J536" s="157">
        <f>2*F536*G536</f>
        <v>0.49686065821177072</v>
      </c>
      <c r="K536" s="157">
        <f>I536^2-J536^2</f>
        <v>0.26789295239911221</v>
      </c>
      <c r="L536" s="158">
        <f t="shared" ref="L536:L544" si="172">I536*J536</f>
        <v>0.35648270826732581</v>
      </c>
      <c r="N536" t="s">
        <v>390</v>
      </c>
      <c r="O536" s="172">
        <f>L545*B546-2*I545*J545</f>
        <v>-0.10030018723954431</v>
      </c>
      <c r="Q536" s="156">
        <f t="array" ref="Q536:R544">MMULT(F536:G544,N540:O541)</f>
        <v>0.89118404561295417</v>
      </c>
      <c r="R536" s="158">
        <v>0.28019178082768942</v>
      </c>
    </row>
    <row r="537" spans="1:18" x14ac:dyDescent="0.25">
      <c r="A537" s="194">
        <v>0.79498356553265803</v>
      </c>
      <c r="B537" s="195">
        <v>-0.60065855224153386</v>
      </c>
      <c r="C537" s="195">
        <v>8.2635393872931881E-2</v>
      </c>
      <c r="D537" s="196">
        <v>-1.9540364161193126E-2</v>
      </c>
      <c r="F537" s="123">
        <f>INDEX(A537:D545,,F535)</f>
        <v>-0.60065855224153386</v>
      </c>
      <c r="G537" s="90">
        <f>INDEX(A536:D544,,G535)</f>
        <v>-1.9540364161193126E-2</v>
      </c>
      <c r="I537" s="123">
        <f t="shared" ref="I537:I544" si="173">F537^2-G537^2</f>
        <v>0.3604088705493434</v>
      </c>
      <c r="J537" s="37">
        <f t="shared" ref="J537:J544" si="174">2*F537*G537</f>
        <v>2.3474173694669233E-2</v>
      </c>
      <c r="K537" s="37">
        <f t="shared" ref="K537:K544" si="175">I537^2-J537^2</f>
        <v>0.12934351714000586</v>
      </c>
      <c r="L537" s="90">
        <f t="shared" si="172"/>
        <v>8.4603004283748447E-3</v>
      </c>
      <c r="N537" t="s">
        <v>392</v>
      </c>
      <c r="O537" s="173">
        <f>K545*B546-(I545^2-J545^2)</f>
        <v>14.124612688826595</v>
      </c>
      <c r="Q537" s="123">
        <v>-0.60062291687319613</v>
      </c>
      <c r="R537" s="90">
        <v>-2.060664793656013E-2</v>
      </c>
    </row>
    <row r="538" spans="1:18" x14ac:dyDescent="0.25">
      <c r="A538" s="194">
        <v>0.98377377597475657</v>
      </c>
      <c r="B538" s="195">
        <v>0.11915852071869627</v>
      </c>
      <c r="C538" s="195">
        <v>0.11367947779785771</v>
      </c>
      <c r="D538" s="196">
        <v>7.1185539065933279E-2</v>
      </c>
      <c r="F538" s="123">
        <f>INDEX(A538:D546,,F535)</f>
        <v>0.11915852071869627</v>
      </c>
      <c r="G538" s="90">
        <f>INDEX(A536:D544,,G535)</f>
        <v>7.1185539065933279E-2</v>
      </c>
      <c r="I538" s="123">
        <f t="shared" si="173"/>
        <v>9.1313720877604573E-3</v>
      </c>
      <c r="J538" s="37">
        <f t="shared" si="174"/>
        <v>1.6964727063319147E-2</v>
      </c>
      <c r="K538" s="37">
        <f t="shared" si="175"/>
        <v>-2.0442000812778235E-4</v>
      </c>
      <c r="L538" s="90">
        <f t="shared" si="172"/>
        <v>1.5491123518246691E-4</v>
      </c>
      <c r="N538" t="s">
        <v>467</v>
      </c>
      <c r="O538" s="174">
        <f>0.25*ATAN(O536/O537)</f>
        <v>-1.7752433925763741E-3</v>
      </c>
      <c r="Q538" s="123">
        <v>0.11903196136385849</v>
      </c>
      <c r="R538" s="90">
        <v>7.1396962161203892E-2</v>
      </c>
    </row>
    <row r="539" spans="1:18" x14ac:dyDescent="0.25">
      <c r="A539" s="194">
        <v>4.9830031859733503E-2</v>
      </c>
      <c r="B539" s="195">
        <v>2.9304996546103031E-3</v>
      </c>
      <c r="C539" s="195">
        <v>7.8123122934628489E-2</v>
      </c>
      <c r="D539" s="196">
        <v>0.9956933050691732</v>
      </c>
      <c r="F539" s="123">
        <f>INDEX(A539:D547,,F535)</f>
        <v>2.9304996546103031E-3</v>
      </c>
      <c r="G539" s="90">
        <f>INDEX(A536:D544,,G535)</f>
        <v>0.9956933050691732</v>
      </c>
      <c r="I539" s="123">
        <f t="shared" si="173"/>
        <v>-0.99139656993134795</v>
      </c>
      <c r="J539" s="37">
        <f t="shared" si="174"/>
        <v>5.8357577732060066E-3</v>
      </c>
      <c r="K539" s="37">
        <f t="shared" si="175"/>
        <v>0.98283310280285463</v>
      </c>
      <c r="L539" s="90">
        <f t="shared" si="172"/>
        <v>-5.7855502393066357E-3</v>
      </c>
      <c r="Q539" s="123">
        <v>1.1628980044635429E-3</v>
      </c>
      <c r="R539" s="90">
        <v>0.99569693845870122</v>
      </c>
    </row>
    <row r="540" spans="1:18" x14ac:dyDescent="0.25">
      <c r="A540" s="194">
        <v>0.35462241720190019</v>
      </c>
      <c r="B540" s="195">
        <v>-0.1118377084695691</v>
      </c>
      <c r="C540" s="195">
        <v>0.88515319566216966</v>
      </c>
      <c r="D540" s="196">
        <v>0.27971251025152016</v>
      </c>
      <c r="F540" s="123">
        <f>INDEX(A540:D548,,F535)</f>
        <v>-0.1118377084695691</v>
      </c>
      <c r="G540" s="90">
        <f>INDEX(A536:D544,,G535)</f>
        <v>0.27971251025152016</v>
      </c>
      <c r="I540" s="123">
        <f t="shared" si="173"/>
        <v>-6.573141535548245E-2</v>
      </c>
      <c r="J540" s="37">
        <f t="shared" si="174"/>
        <v>-6.2564812353601743E-2</v>
      </c>
      <c r="K540" s="37">
        <f t="shared" si="175"/>
        <v>4.0626321979355708E-4</v>
      </c>
      <c r="L540" s="90">
        <f t="shared" si="172"/>
        <v>4.1124736674524156E-3</v>
      </c>
      <c r="N540" s="156">
        <f>COS(O538)</f>
        <v>0.99999842425586238</v>
      </c>
      <c r="O540" s="158">
        <f>-N541</f>
        <v>1.7752424601331532E-3</v>
      </c>
      <c r="Q540" s="123">
        <v>-0.11233408976678454</v>
      </c>
      <c r="R540" s="90">
        <v>0.2795135304474527</v>
      </c>
    </row>
    <row r="541" spans="1:18" x14ac:dyDescent="0.25">
      <c r="A541" s="194">
        <v>-3.0908911860338176E-2</v>
      </c>
      <c r="B541" s="195">
        <v>1.9380836050751034E-2</v>
      </c>
      <c r="C541" s="195">
        <v>0.99777718647774072</v>
      </c>
      <c r="D541" s="196">
        <v>-5.5764760432980023E-2</v>
      </c>
      <c r="F541" s="123">
        <f>INDEX(A541:D549,,F535)</f>
        <v>1.9380836050751034E-2</v>
      </c>
      <c r="G541" s="90">
        <f>INDEX(A536:D544,,G535)</f>
        <v>-5.5764760432980023E-2</v>
      </c>
      <c r="I541" s="123">
        <f t="shared" si="173"/>
        <v>-2.7340917001215633E-3</v>
      </c>
      <c r="J541" s="37">
        <f t="shared" si="174"/>
        <v>-2.1615353587219883E-3</v>
      </c>
      <c r="K541" s="37">
        <f t="shared" si="175"/>
        <v>2.8030223176682256E-6</v>
      </c>
      <c r="L541" s="90">
        <f t="shared" si="172"/>
        <v>5.9098358838010742E-6</v>
      </c>
      <c r="N541" s="91">
        <f>SIN(O538)</f>
        <v>-1.7752424601331532E-3</v>
      </c>
      <c r="O541" s="93">
        <f>N540</f>
        <v>0.99999842425586238</v>
      </c>
      <c r="Q541" s="123">
        <v>1.9479801482012022E-2</v>
      </c>
      <c r="R541" s="90">
        <v>-5.5730266878915517E-2</v>
      </c>
    </row>
    <row r="542" spans="1:18" x14ac:dyDescent="0.25">
      <c r="A542" s="194">
        <v>0.96203165975951721</v>
      </c>
      <c r="B542" s="195">
        <v>-2.0152073715736855E-2</v>
      </c>
      <c r="C542" s="195">
        <v>0.16661519724157337</v>
      </c>
      <c r="D542" s="196">
        <v>0.21524022763752984</v>
      </c>
      <c r="F542" s="123">
        <f>INDEX(A542:D550,,F535)</f>
        <v>-2.0152073715736855E-2</v>
      </c>
      <c r="G542" s="90">
        <f>INDEX(A536:D544,,G535)</f>
        <v>0.21524022763752984</v>
      </c>
      <c r="I542" s="123">
        <f t="shared" si="173"/>
        <v>-4.5922249518411166E-2</v>
      </c>
      <c r="J542" s="37">
        <f t="shared" si="174"/>
        <v>-8.6750738678869656E-3</v>
      </c>
      <c r="K542" s="37">
        <f t="shared" si="175"/>
        <v>2.0335960942179194E-3</v>
      </c>
      <c r="L542" s="90">
        <f t="shared" si="172"/>
        <v>3.983789067517535E-4</v>
      </c>
      <c r="Q542" s="123">
        <v>-2.0534145552455703E-2</v>
      </c>
      <c r="R542" s="90">
        <v>0.21520411365708306</v>
      </c>
    </row>
    <row r="543" spans="1:18" x14ac:dyDescent="0.25">
      <c r="A543" s="194">
        <v>0.67617901793724133</v>
      </c>
      <c r="B543" s="195">
        <v>-0.21892292073718583</v>
      </c>
      <c r="C543" s="195">
        <v>0.56692516735737841</v>
      </c>
      <c r="D543" s="196">
        <v>0.41647394287534539</v>
      </c>
      <c r="F543" s="123">
        <f>INDEX(A543:D551,,F535)</f>
        <v>-0.21892292073718583</v>
      </c>
      <c r="G543" s="90">
        <f>INDEX(A536:D544,,G535)</f>
        <v>0.41647394287534539</v>
      </c>
      <c r="I543" s="123">
        <f t="shared" si="173"/>
        <v>-0.1255232998700363</v>
      </c>
      <c r="J543" s="37">
        <f t="shared" si="174"/>
        <v>-0.18235138397040501</v>
      </c>
      <c r="K543" s="37">
        <f t="shared" si="175"/>
        <v>-1.749592842565903E-2</v>
      </c>
      <c r="L543" s="90">
        <f t="shared" si="172"/>
        <v>2.288934745183328E-2</v>
      </c>
      <c r="Q543" s="123">
        <v>-0.21966191799760829</v>
      </c>
      <c r="R543" s="90">
        <v>0.41608464535458239</v>
      </c>
    </row>
    <row r="544" spans="1:18" x14ac:dyDescent="0.25">
      <c r="A544" s="200">
        <v>7.2124721323351293E-2</v>
      </c>
      <c r="B544" s="201">
        <v>-0.92413497905939557</v>
      </c>
      <c r="C544" s="201">
        <v>-0.20678848748853812</v>
      </c>
      <c r="D544" s="202">
        <v>0.31306722360400879</v>
      </c>
      <c r="F544" s="91">
        <f>INDEX(A544:D552,,F535)</f>
        <v>-0.92413497905939557</v>
      </c>
      <c r="G544" s="93">
        <f>INDEX(A536:D544,,G535)</f>
        <v>0.31306722360400879</v>
      </c>
      <c r="I544" s="91">
        <f t="shared" si="173"/>
        <v>0.75601437302598706</v>
      </c>
      <c r="J544" s="92">
        <f t="shared" si="174"/>
        <v>-0.57863274425894751</v>
      </c>
      <c r="K544" s="92">
        <f t="shared" si="175"/>
        <v>0.23674187949323577</v>
      </c>
      <c r="L544" s="93">
        <f t="shared" si="172"/>
        <v>-0.43745467136323452</v>
      </c>
      <c r="Q544" s="91">
        <v>-0.92468929308733783</v>
      </c>
      <c r="R544" s="93">
        <v>0.31142616663644601</v>
      </c>
    </row>
    <row r="545" spans="1:18" x14ac:dyDescent="0.25">
      <c r="I545">
        <f>SUM(I536:I544)</f>
        <v>0.61171717408824899</v>
      </c>
      <c r="J545">
        <f>SUM(J536:J544)</f>
        <v>-0.29125023306659809</v>
      </c>
      <c r="K545">
        <f>SUM(K536:K544)</f>
        <v>1.601553765737751</v>
      </c>
      <c r="L545">
        <f>SUM(L536:L544)</f>
        <v>-5.0736191809736764E-2</v>
      </c>
    </row>
    <row r="546" spans="1:18" x14ac:dyDescent="0.25">
      <c r="A546" s="47" t="s">
        <v>53</v>
      </c>
      <c r="B546">
        <f>COUNT(A536:A544)</f>
        <v>9</v>
      </c>
      <c r="I546" s="47" t="s">
        <v>462</v>
      </c>
      <c r="J546" s="47" t="s">
        <v>389</v>
      </c>
      <c r="K546" s="47" t="s">
        <v>469</v>
      </c>
      <c r="L546" s="47" t="s">
        <v>470</v>
      </c>
      <c r="N546" s="47"/>
    </row>
    <row r="548" spans="1:18" x14ac:dyDescent="0.25">
      <c r="A548">
        <v>1</v>
      </c>
      <c r="B548">
        <v>2</v>
      </c>
      <c r="C548">
        <v>3</v>
      </c>
      <c r="D548">
        <v>4</v>
      </c>
      <c r="F548">
        <v>3</v>
      </c>
      <c r="G548">
        <v>4</v>
      </c>
      <c r="I548" s="47" t="s">
        <v>207</v>
      </c>
      <c r="J548" s="47" t="s">
        <v>464</v>
      </c>
      <c r="K548" s="47" t="s">
        <v>465</v>
      </c>
      <c r="L548" s="47" t="s">
        <v>466</v>
      </c>
      <c r="Q548">
        <f>F548</f>
        <v>3</v>
      </c>
      <c r="R548">
        <f>G548</f>
        <v>4</v>
      </c>
    </row>
    <row r="549" spans="1:18" x14ac:dyDescent="0.25">
      <c r="A549" s="189">
        <f t="array" ref="A549:A557">IF(A548=$Q535,$Q536:$Q544,IF(A548=$R535,$R536:$R544,A536:A544))</f>
        <v>0.10886687677522761</v>
      </c>
      <c r="B549" s="190">
        <f t="array" ref="B549:B557">IF(B548=$Q535,$Q536:$Q544,IF(B548=$R535,$R536:$R544,B536:B544))</f>
        <v>0.89118404561295417</v>
      </c>
      <c r="C549" s="190">
        <f t="array" ref="C549:C557">IF(C548=$Q535,$Q536:$Q544,IF(C548=$R535,$R536:$R544,C536:C544))</f>
        <v>-0.33975221256489857</v>
      </c>
      <c r="D549" s="191">
        <f t="array" ref="D549:D557">IF(D548=$Q535,$Q536:$Q544,IF(D548=$R535,$R536:$R544,D536:D544))</f>
        <v>0.28019178082768942</v>
      </c>
      <c r="F549" s="156">
        <f>INDEX(A549:D557,,F548)</f>
        <v>-0.33975221256489857</v>
      </c>
      <c r="G549" s="158">
        <f>INDEX(A549:D557,,G548)</f>
        <v>0.28019178082768942</v>
      </c>
      <c r="I549" s="156">
        <f>F549^2-G549^2</f>
        <v>3.6924131899352078E-2</v>
      </c>
      <c r="J549" s="157">
        <f>2*F549*G549</f>
        <v>-0.19039155495741322</v>
      </c>
      <c r="K549" s="157">
        <f>I549^2-J549^2</f>
        <v>-3.488555268258095E-2</v>
      </c>
      <c r="L549" s="158">
        <f t="shared" ref="L549:L557" si="176">I549*J549</f>
        <v>-7.0300428877702655E-3</v>
      </c>
      <c r="N549" t="s">
        <v>390</v>
      </c>
      <c r="O549" s="172">
        <f>L558*B559-2*I558*J558</f>
        <v>8.3579784225838116E-2</v>
      </c>
      <c r="Q549" s="156">
        <f t="array" ref="Q549:R557">MMULT(F549:G557,N553:O554)</f>
        <v>-0.33941076476936966</v>
      </c>
      <c r="R549" s="158">
        <v>0.28060529707189696</v>
      </c>
    </row>
    <row r="550" spans="1:18" x14ac:dyDescent="0.25">
      <c r="A550" s="194">
        <v>0.79498356553265803</v>
      </c>
      <c r="B550" s="195">
        <v>-0.60062291687319613</v>
      </c>
      <c r="C550" s="195">
        <v>8.2635393872931881E-2</v>
      </c>
      <c r="D550" s="196">
        <v>-2.060664793656013E-2</v>
      </c>
      <c r="F550" s="123">
        <f>INDEX(A550:D558,,F548)</f>
        <v>8.2635393872931881E-2</v>
      </c>
      <c r="G550" s="90">
        <f>INDEX(A549:D557,,G548)</f>
        <v>-2.060664793656013E-2</v>
      </c>
      <c r="I550" s="123">
        <f t="shared" ref="I550:I557" si="177">F550^2-G550^2</f>
        <v>6.40397438135325E-3</v>
      </c>
      <c r="J550" s="37">
        <f t="shared" ref="J550:J557" si="178">2*F550*G550</f>
        <v>-3.4056769372769707E-3</v>
      </c>
      <c r="K550" s="37">
        <f t="shared" ref="K550:K557" si="179">I550^2-J550^2</f>
        <v>2.9412252475928496E-5</v>
      </c>
      <c r="L550" s="90">
        <f t="shared" si="176"/>
        <v>-2.1809867857487318E-5</v>
      </c>
      <c r="N550" t="s">
        <v>392</v>
      </c>
      <c r="O550" s="173">
        <f>K558*B559-(I558^2-J558^2)</f>
        <v>17.158894597986539</v>
      </c>
      <c r="Q550" s="123">
        <v>8.2610239421834611E-2</v>
      </c>
      <c r="R550" s="90">
        <v>-2.0707259654118636E-2</v>
      </c>
    </row>
    <row r="551" spans="1:18" x14ac:dyDescent="0.25">
      <c r="A551" s="194">
        <v>0.98377377597475657</v>
      </c>
      <c r="B551" s="195">
        <v>0.11903196136385849</v>
      </c>
      <c r="C551" s="195">
        <v>0.11367947779785771</v>
      </c>
      <c r="D551" s="196">
        <v>7.1396962161203892E-2</v>
      </c>
      <c r="F551" s="123">
        <f>INDEX(A551:D559,,F548)</f>
        <v>0.11367947779785771</v>
      </c>
      <c r="G551" s="90">
        <f>INDEX(A549:D557,,G548)</f>
        <v>7.1396962161203892E-2</v>
      </c>
      <c r="I551" s="123">
        <f t="shared" si="177"/>
        <v>7.8254974665452441E-3</v>
      </c>
      <c r="J551" s="37">
        <f t="shared" si="178"/>
        <v>1.6232738749678129E-2</v>
      </c>
      <c r="K551" s="37">
        <f t="shared" si="179"/>
        <v>-2.0226339671639584E-4</v>
      </c>
      <c r="L551" s="90">
        <f t="shared" si="176"/>
        <v>1.2702925596069702E-4</v>
      </c>
      <c r="N551" t="s">
        <v>467</v>
      </c>
      <c r="O551" s="174">
        <f>0.25*ATAN(O549/O550)</f>
        <v>1.2177230117345031E-3</v>
      </c>
      <c r="Q551" s="123">
        <v>0.11376633521540391</v>
      </c>
      <c r="R551" s="90">
        <v>7.1258479143876979E-2</v>
      </c>
    </row>
    <row r="552" spans="1:18" x14ac:dyDescent="0.25">
      <c r="A552" s="194">
        <v>4.9830031859733503E-2</v>
      </c>
      <c r="B552" s="195">
        <v>1.1628980044635429E-3</v>
      </c>
      <c r="C552" s="195">
        <v>7.8123122934628489E-2</v>
      </c>
      <c r="D552" s="196">
        <v>0.99569693845870122</v>
      </c>
      <c r="F552" s="123">
        <f>INDEX(A552:D560,,F548)</f>
        <v>7.8123122934628489E-2</v>
      </c>
      <c r="G552" s="90">
        <f>INDEX(A549:D557,,G548)</f>
        <v>0.99569693845870122</v>
      </c>
      <c r="I552" s="123">
        <f t="shared" si="177"/>
        <v>-0.98530917091897152</v>
      </c>
      <c r="J552" s="37">
        <f t="shared" si="178"/>
        <v>0.15557390865768467</v>
      </c>
      <c r="K552" s="37">
        <f t="shared" si="179"/>
        <v>0.94663092124200143</v>
      </c>
      <c r="L552" s="90">
        <f t="shared" si="176"/>
        <v>-0.15328839895612709</v>
      </c>
      <c r="Q552" s="123">
        <v>7.9335547787245095E-2</v>
      </c>
      <c r="R552" s="90">
        <v>0.9956010679234869</v>
      </c>
    </row>
    <row r="553" spans="1:18" x14ac:dyDescent="0.25">
      <c r="A553" s="194">
        <v>0.35462241720190019</v>
      </c>
      <c r="B553" s="195">
        <v>-0.11233408976678454</v>
      </c>
      <c r="C553" s="195">
        <v>0.88515319566216966</v>
      </c>
      <c r="D553" s="196">
        <v>0.2795135304474527</v>
      </c>
      <c r="F553" s="123">
        <f>INDEX(A553:D561,,F548)</f>
        <v>0.88515319566216966</v>
      </c>
      <c r="G553" s="90">
        <f>INDEX(A549:D557,,G548)</f>
        <v>0.2795135304474527</v>
      </c>
      <c r="I553" s="123">
        <f t="shared" si="177"/>
        <v>0.70536836608775211</v>
      </c>
      <c r="J553" s="37">
        <f t="shared" si="178"/>
        <v>0.49482458941275581</v>
      </c>
      <c r="K553" s="37">
        <f t="shared" si="179"/>
        <v>0.25269315758980271</v>
      </c>
      <c r="L553" s="90">
        <f t="shared" si="176"/>
        <v>0.34903361213411838</v>
      </c>
      <c r="N553" s="156">
        <f>COS(O551)</f>
        <v>0.99999925857542493</v>
      </c>
      <c r="O553" s="158">
        <f>-N554</f>
        <v>-1.217722710784566E-3</v>
      </c>
      <c r="Q553" s="123">
        <v>0.88549290936183511</v>
      </c>
      <c r="R553" s="90">
        <v>0.27843545206037079</v>
      </c>
    </row>
    <row r="554" spans="1:18" x14ac:dyDescent="0.25">
      <c r="A554" s="194">
        <v>-3.0908911860338176E-2</v>
      </c>
      <c r="B554" s="195">
        <v>1.9479801482012022E-2</v>
      </c>
      <c r="C554" s="195">
        <v>0.99777718647774072</v>
      </c>
      <c r="D554" s="196">
        <v>-5.5730266878915517E-2</v>
      </c>
      <c r="F554" s="123">
        <f>INDEX(A554:D562,,F548)</f>
        <v>0.99777718647774072</v>
      </c>
      <c r="G554" s="90">
        <f>INDEX(A549:D557,,G548)</f>
        <v>-5.5730266878915517E-2</v>
      </c>
      <c r="I554" s="123">
        <f t="shared" si="177"/>
        <v>0.99245345120904105</v>
      </c>
      <c r="J554" s="37">
        <f t="shared" si="178"/>
        <v>-0.11121277777619588</v>
      </c>
      <c r="K554" s="37">
        <f t="shared" si="179"/>
        <v>0.97259557087603887</v>
      </c>
      <c r="L554" s="90">
        <f t="shared" si="176"/>
        <v>-0.11037350512252975</v>
      </c>
      <c r="N554" s="91">
        <f>SIN(O551)</f>
        <v>1.217722710784566E-3</v>
      </c>
      <c r="O554" s="93">
        <f>N553</f>
        <v>0.99999925857542493</v>
      </c>
      <c r="Q554" s="123">
        <v>0.99770858268955764</v>
      </c>
      <c r="R554" s="90">
        <v>-5.6945241499402749E-2</v>
      </c>
    </row>
    <row r="555" spans="1:18" x14ac:dyDescent="0.25">
      <c r="A555" s="194">
        <v>0.96203165975951721</v>
      </c>
      <c r="B555" s="195">
        <v>-2.0534145552455703E-2</v>
      </c>
      <c r="C555" s="195">
        <v>0.16661519724157337</v>
      </c>
      <c r="D555" s="196">
        <v>0.21520411365708306</v>
      </c>
      <c r="F555" s="123">
        <f>INDEX(A555:D563,,F548)</f>
        <v>0.16661519724157337</v>
      </c>
      <c r="G555" s="90">
        <f>INDEX(A549:D557,,G548)</f>
        <v>0.21520411365708306</v>
      </c>
      <c r="I555" s="123">
        <f t="shared" si="177"/>
        <v>-1.8552186583082324E-2</v>
      </c>
      <c r="J555" s="37">
        <f t="shared" si="178"/>
        <v>7.1712551688345727E-2</v>
      </c>
      <c r="K555" s="37">
        <f t="shared" si="179"/>
        <v>-4.7985064426401582E-3</v>
      </c>
      <c r="L555" s="90">
        <f t="shared" si="176"/>
        <v>-1.3304246392711252E-3</v>
      </c>
      <c r="Q555" s="123">
        <v>0.16687713264562604</v>
      </c>
      <c r="R555" s="90">
        <v>0.21500106298982161</v>
      </c>
    </row>
    <row r="556" spans="1:18" x14ac:dyDescent="0.25">
      <c r="A556" s="194">
        <v>0.67617901793724133</v>
      </c>
      <c r="B556" s="195">
        <v>-0.21966191799760829</v>
      </c>
      <c r="C556" s="195">
        <v>0.56692516735737841</v>
      </c>
      <c r="D556" s="196">
        <v>0.41608464535458239</v>
      </c>
      <c r="F556" s="123">
        <f>INDEX(A556:D564,,F548)</f>
        <v>0.56692516735737841</v>
      </c>
      <c r="G556" s="90">
        <f>INDEX(A549:D557,,G548)</f>
        <v>0.41608464535458239</v>
      </c>
      <c r="I556" s="123">
        <f t="shared" si="177"/>
        <v>0.14827771328334291</v>
      </c>
      <c r="J556" s="37">
        <f t="shared" si="178"/>
        <v>0.47177771440496413</v>
      </c>
      <c r="K556" s="37">
        <f t="shared" si="179"/>
        <v>-0.20058793155263466</v>
      </c>
      <c r="L556" s="90">
        <f t="shared" si="176"/>
        <v>6.9954120670010111E-2</v>
      </c>
      <c r="Q556" s="123">
        <v>0.56743142274738412</v>
      </c>
      <c r="R556" s="90">
        <v>0.41539397920759463</v>
      </c>
    </row>
    <row r="557" spans="1:18" x14ac:dyDescent="0.25">
      <c r="A557" s="200">
        <v>7.2124721323351293E-2</v>
      </c>
      <c r="B557" s="201">
        <v>-0.92468929308733783</v>
      </c>
      <c r="C557" s="201">
        <v>-0.20678848748853812</v>
      </c>
      <c r="D557" s="202">
        <v>0.31142616663644601</v>
      </c>
      <c r="F557" s="91">
        <f>INDEX(A557:D565,,F548)</f>
        <v>-0.20678848748853812</v>
      </c>
      <c r="G557" s="93">
        <f>INDEX(A549:D557,,G548)</f>
        <v>0.31142616663644601</v>
      </c>
      <c r="I557" s="91">
        <f t="shared" si="177"/>
        <v>-5.4224778708074156E-2</v>
      </c>
      <c r="J557" s="92">
        <f t="shared" si="178"/>
        <v>-0.12879869192620821</v>
      </c>
      <c r="K557" s="92">
        <f t="shared" si="179"/>
        <v>-1.3648776415962679E-2</v>
      </c>
      <c r="L557" s="93">
        <f t="shared" si="176"/>
        <v>6.9840805675880583E-3</v>
      </c>
      <c r="Q557" s="91">
        <v>-0.20640910345462588</v>
      </c>
      <c r="R557" s="93">
        <v>0.31167774677497634</v>
      </c>
    </row>
    <row r="558" spans="1:18" x14ac:dyDescent="0.25">
      <c r="I558">
        <f>SUM(I549:I557)</f>
        <v>0.83916699811725859</v>
      </c>
      <c r="J558">
        <f>SUM(J549:J557)</f>
        <v>0.77631280131633418</v>
      </c>
      <c r="K558">
        <f>SUM(K549:K557)</f>
        <v>1.9178260314697837</v>
      </c>
      <c r="L558">
        <f>SUM(L549:L557)</f>
        <v>0.15405466115412156</v>
      </c>
    </row>
    <row r="559" spans="1:18" x14ac:dyDescent="0.25">
      <c r="A559" s="47" t="s">
        <v>53</v>
      </c>
      <c r="B559">
        <f>COUNT(A549:A557)</f>
        <v>9</v>
      </c>
      <c r="I559" s="47" t="s">
        <v>462</v>
      </c>
      <c r="J559" s="47" t="s">
        <v>389</v>
      </c>
      <c r="K559" s="47" t="s">
        <v>469</v>
      </c>
      <c r="L559" s="47" t="s">
        <v>470</v>
      </c>
      <c r="N559" s="47"/>
    </row>
    <row r="561" spans="1:18" x14ac:dyDescent="0.25">
      <c r="A561">
        <v>1</v>
      </c>
      <c r="B561">
        <v>2</v>
      </c>
      <c r="C561">
        <v>3</v>
      </c>
      <c r="D561">
        <v>4</v>
      </c>
      <c r="F561">
        <v>1</v>
      </c>
      <c r="G561">
        <v>2</v>
      </c>
      <c r="I561" s="47" t="s">
        <v>207</v>
      </c>
      <c r="J561" s="47" t="s">
        <v>464</v>
      </c>
      <c r="K561" s="47" t="s">
        <v>465</v>
      </c>
      <c r="L561" s="47" t="s">
        <v>466</v>
      </c>
      <c r="Q561">
        <f>F561</f>
        <v>1</v>
      </c>
      <c r="R561">
        <f>G561</f>
        <v>2</v>
      </c>
    </row>
    <row r="562" spans="1:18" x14ac:dyDescent="0.25">
      <c r="A562" s="189">
        <f t="array" ref="A562:A570">IF(A561=$Q548,$Q549:$Q557,IF(A561=$R548,$R549:$R557,A549:A557))</f>
        <v>0.10886687677522761</v>
      </c>
      <c r="B562" s="190">
        <f t="array" ref="B562:B570">IF(B561=$Q548,$Q549:$Q557,IF(B561=$R548,$R549:$R557,B549:B557))</f>
        <v>0.89118404561295417</v>
      </c>
      <c r="C562" s="190">
        <f t="array" ref="C562:C570">IF(C561=$Q548,$Q549:$Q557,IF(C561=$R548,$R549:$R557,C549:C557))</f>
        <v>-0.33941076476936966</v>
      </c>
      <c r="D562" s="191">
        <f t="array" ref="D562:D570">IF(D561=$Q548,$Q549:$Q557,IF(D561=$R548,$R549:$R557,D549:D557))</f>
        <v>0.28060529707189696</v>
      </c>
      <c r="F562" s="156">
        <f>INDEX(A562:D570,,F561)</f>
        <v>0.10886687677522761</v>
      </c>
      <c r="G562" s="158">
        <f>INDEX(A562:D570,,G561)</f>
        <v>0.89118404561295417</v>
      </c>
      <c r="I562" s="156">
        <f>F562^2-G562^2</f>
        <v>-0.78235700629627936</v>
      </c>
      <c r="J562" s="157">
        <f>2*F562*G562</f>
        <v>0.1940408473555886</v>
      </c>
      <c r="K562" s="157">
        <f>I562^2-J562^2</f>
        <v>0.57443063485840162</v>
      </c>
      <c r="L562" s="158">
        <f t="shared" ref="L562:L570" si="180">I562*J562</f>
        <v>-0.15180921643631162</v>
      </c>
      <c r="N562" t="s">
        <v>390</v>
      </c>
      <c r="O562" s="172">
        <f>L571*B572-2*I571*J571</f>
        <v>7.6645622663426227E-2</v>
      </c>
      <c r="Q562" s="156">
        <f t="array" ref="Q562:R570">MMULT(F562:G570,N566:O567)</f>
        <v>0.10971277374333309</v>
      </c>
      <c r="R562" s="158">
        <v>0.89108030350323009</v>
      </c>
    </row>
    <row r="563" spans="1:18" x14ac:dyDescent="0.25">
      <c r="A563" s="194">
        <v>0.79498356553265803</v>
      </c>
      <c r="B563" s="195">
        <v>-0.60062291687319613</v>
      </c>
      <c r="C563" s="195">
        <v>8.2610239421834611E-2</v>
      </c>
      <c r="D563" s="196">
        <v>-2.0707259654118636E-2</v>
      </c>
      <c r="F563" s="123">
        <f>INDEX(A563:D571,,F561)</f>
        <v>0.79498356553265803</v>
      </c>
      <c r="G563" s="90">
        <f>INDEX(A562:D570,,G561)</f>
        <v>-0.60062291687319613</v>
      </c>
      <c r="I563" s="123">
        <f t="shared" ref="I563:I570" si="181">F563^2-G563^2</f>
        <v>0.27125098119375174</v>
      </c>
      <c r="J563" s="37">
        <f t="shared" ref="J563:J570" si="182">2*F563*G563</f>
        <v>-0.95497069599295747</v>
      </c>
      <c r="K563" s="37">
        <f t="shared" ref="K563:K570" si="183">I563^2-J563^2</f>
        <v>-0.83839193540670054</v>
      </c>
      <c r="L563" s="90">
        <f t="shared" si="180"/>
        <v>-0.25903673829936974</v>
      </c>
      <c r="N563" t="s">
        <v>392</v>
      </c>
      <c r="O563" s="173">
        <f>K571*B572-(I571^2-J571^2)</f>
        <v>20.18598596151331</v>
      </c>
      <c r="Q563" s="123">
        <v>0.79441307310342446</v>
      </c>
      <c r="R563" s="90">
        <v>-0.60137727511326633</v>
      </c>
    </row>
    <row r="564" spans="1:18" x14ac:dyDescent="0.25">
      <c r="A564" s="194">
        <v>0.98377377597475657</v>
      </c>
      <c r="B564" s="195">
        <v>0.11903196136385849</v>
      </c>
      <c r="C564" s="195">
        <v>0.11376633521540391</v>
      </c>
      <c r="D564" s="196">
        <v>7.1258479143876979E-2</v>
      </c>
      <c r="F564" s="123">
        <f>INDEX(A564:D572,,F561)</f>
        <v>0.98377377597475657</v>
      </c>
      <c r="G564" s="90">
        <f>INDEX(A562:D570,,G561)</f>
        <v>0.11903196136385849</v>
      </c>
      <c r="I564" s="123">
        <f t="shared" si="181"/>
        <v>0.95364223446950347</v>
      </c>
      <c r="J564" s="37">
        <f t="shared" si="182"/>
        <v>0.23420104418520882</v>
      </c>
      <c r="K564" s="37">
        <f t="shared" si="183"/>
        <v>0.85458338226654529</v>
      </c>
      <c r="L564" s="90">
        <f t="shared" si="180"/>
        <v>0.22334400709187344</v>
      </c>
      <c r="N564" t="s">
        <v>467</v>
      </c>
      <c r="O564" s="174">
        <f>0.25*ATAN(O562/O563)</f>
        <v>9.4923842807989719E-4</v>
      </c>
      <c r="Q564" s="123">
        <v>0.9838863224532699</v>
      </c>
      <c r="R564" s="90">
        <v>0.11809807200432111</v>
      </c>
    </row>
    <row r="565" spans="1:18" x14ac:dyDescent="0.25">
      <c r="A565" s="194">
        <v>4.9830031859733503E-2</v>
      </c>
      <c r="B565" s="195">
        <v>1.1628980044635429E-3</v>
      </c>
      <c r="C565" s="195">
        <v>7.9335547787245095E-2</v>
      </c>
      <c r="D565" s="196">
        <v>0.9956010679234869</v>
      </c>
      <c r="F565" s="123">
        <f>INDEX(A565:D573,,F561)</f>
        <v>4.9830031859733503E-2</v>
      </c>
      <c r="G565" s="90">
        <f>INDEX(A562:D570,,G561)</f>
        <v>1.1628980044635429E-3</v>
      </c>
      <c r="I565" s="123">
        <f t="shared" si="181"/>
        <v>2.4816797433732706E-3</v>
      </c>
      <c r="J565" s="37">
        <f t="shared" si="182"/>
        <v>1.1589448922407771E-4</v>
      </c>
      <c r="K565" s="37">
        <f t="shared" si="183"/>
        <v>6.1453028160367116E-6</v>
      </c>
      <c r="L565" s="90">
        <f t="shared" si="180"/>
        <v>2.8761300627598543E-7</v>
      </c>
      <c r="Q565" s="123">
        <v>4.9831113277278551E-2</v>
      </c>
      <c r="R565" s="90">
        <v>1.1155969065365576E-3</v>
      </c>
    </row>
    <row r="566" spans="1:18" x14ac:dyDescent="0.25">
      <c r="A566" s="194">
        <v>0.35462241720190019</v>
      </c>
      <c r="B566" s="195">
        <v>-0.11233408976678454</v>
      </c>
      <c r="C566" s="195">
        <v>0.88549290936183511</v>
      </c>
      <c r="D566" s="196">
        <v>0.27843545206037079</v>
      </c>
      <c r="F566" s="123">
        <f>INDEX(A566:D574,,F561)</f>
        <v>0.35462241720190019</v>
      </c>
      <c r="G566" s="90">
        <f>INDEX(A562:D570,,G561)</f>
        <v>-0.11233408976678454</v>
      </c>
      <c r="I566" s="123">
        <f t="shared" si="181"/>
        <v>0.11313811105838653</v>
      </c>
      <c r="J566" s="37">
        <f t="shared" si="182"/>
        <v>-7.9672372894544749E-2</v>
      </c>
      <c r="K566" s="37">
        <f t="shared" si="183"/>
        <v>6.4525451712124163E-3</v>
      </c>
      <c r="L566" s="90">
        <f t="shared" si="180"/>
        <v>-9.0139817728281894E-3</v>
      </c>
      <c r="N566" s="156">
        <f>COS(O564)</f>
        <v>0.9999995494732371</v>
      </c>
      <c r="O566" s="158">
        <f>-N567</f>
        <v>-9.4923828552745415E-4</v>
      </c>
      <c r="Q566" s="123">
        <v>0.35451562561623401</v>
      </c>
      <c r="R566" s="90">
        <v>-0.11267066033258503</v>
      </c>
    </row>
    <row r="567" spans="1:18" x14ac:dyDescent="0.25">
      <c r="A567" s="194">
        <v>-3.0908911860338176E-2</v>
      </c>
      <c r="B567" s="195">
        <v>1.9479801482012022E-2</v>
      </c>
      <c r="C567" s="195">
        <v>0.99770858268955764</v>
      </c>
      <c r="D567" s="196">
        <v>-5.6945241499402749E-2</v>
      </c>
      <c r="F567" s="123">
        <f>INDEX(A567:D575,,F561)</f>
        <v>-3.0908911860338176E-2</v>
      </c>
      <c r="G567" s="90">
        <f>INDEX(A562:D570,,G561)</f>
        <v>1.9479801482012022E-2</v>
      </c>
      <c r="I567" s="123">
        <f t="shared" si="181"/>
        <v>5.7589816661155618E-4</v>
      </c>
      <c r="J567" s="37">
        <f t="shared" si="182"/>
        <v>-1.2041989341287892E-3</v>
      </c>
      <c r="K567" s="37">
        <f t="shared" si="183"/>
        <v>-1.1184363746503601E-6</v>
      </c>
      <c r="L567" s="90">
        <f t="shared" si="180"/>
        <v>-6.9349595840035982E-7</v>
      </c>
      <c r="N567" s="91">
        <f>SIN(O564)</f>
        <v>9.4923828552745415E-4</v>
      </c>
      <c r="O567" s="93">
        <f>N566</f>
        <v>0.9999995494732371</v>
      </c>
      <c r="Q567" s="123">
        <v>-3.089040696168497E-2</v>
      </c>
      <c r="R567" s="90">
        <v>1.9509132628341946E-2</v>
      </c>
    </row>
    <row r="568" spans="1:18" x14ac:dyDescent="0.25">
      <c r="A568" s="194">
        <v>0.96203165975951721</v>
      </c>
      <c r="B568" s="195">
        <v>-2.0534145552455703E-2</v>
      </c>
      <c r="C568" s="195">
        <v>0.16687713264562604</v>
      </c>
      <c r="D568" s="196">
        <v>0.21500106298982161</v>
      </c>
      <c r="F568" s="123">
        <f>INDEX(A568:D576,,F561)</f>
        <v>0.96203165975951721</v>
      </c>
      <c r="G568" s="90">
        <f>INDEX(A562:D570,,G561)</f>
        <v>-2.0534145552455703E-2</v>
      </c>
      <c r="I568" s="123">
        <f t="shared" si="181"/>
        <v>0.92508326324608203</v>
      </c>
      <c r="J568" s="37">
        <f t="shared" si="182"/>
        <v>-3.9508996255144938E-2</v>
      </c>
      <c r="K568" s="37">
        <f t="shared" si="183"/>
        <v>0.85421808315293091</v>
      </c>
      <c r="L568" s="90">
        <f t="shared" si="180"/>
        <v>-3.6549111183286714E-2</v>
      </c>
      <c r="Q568" s="123">
        <v>0.96201173454138866</v>
      </c>
      <c r="R568" s="90">
        <v>-2.1447333584606831E-2</v>
      </c>
    </row>
    <row r="569" spans="1:18" x14ac:dyDescent="0.25">
      <c r="A569" s="194">
        <v>0.67617901793724133</v>
      </c>
      <c r="B569" s="195">
        <v>-0.21966191799760829</v>
      </c>
      <c r="C569" s="195">
        <v>0.56743142274738412</v>
      </c>
      <c r="D569" s="196">
        <v>0.41539397920759463</v>
      </c>
      <c r="F569" s="123">
        <f>INDEX(A569:D577,,F561)</f>
        <v>0.67617901793724133</v>
      </c>
      <c r="G569" s="90">
        <f>INDEX(A562:D570,,G561)</f>
        <v>-0.21966191799760829</v>
      </c>
      <c r="I569" s="123">
        <f t="shared" si="181"/>
        <v>0.40896670608018415</v>
      </c>
      <c r="J569" s="37">
        <f t="shared" si="182"/>
        <v>-0.29706155997966721</v>
      </c>
      <c r="K569" s="37">
        <f t="shared" si="183"/>
        <v>7.900819626452231E-2</v>
      </c>
      <c r="L569" s="90">
        <f t="shared" si="180"/>
        <v>-0.12148828768792555</v>
      </c>
      <c r="Q569" s="123">
        <v>0.67597020179806155</v>
      </c>
      <c r="R569" s="90">
        <v>-0.22030367404573184</v>
      </c>
    </row>
    <row r="570" spans="1:18" x14ac:dyDescent="0.25">
      <c r="A570" s="200">
        <v>7.2124721323351293E-2</v>
      </c>
      <c r="B570" s="201">
        <v>-0.92468929308733783</v>
      </c>
      <c r="C570" s="201">
        <v>-0.20640910345462588</v>
      </c>
      <c r="D570" s="202">
        <v>0.31167774677497634</v>
      </c>
      <c r="F570" s="91">
        <f>INDEX(A570:D578,,F561)</f>
        <v>7.2124721323351293E-2</v>
      </c>
      <c r="G570" s="93">
        <f>INDEX(A562:D570,,G561)</f>
        <v>-0.92468929308733783</v>
      </c>
      <c r="I570" s="91">
        <f t="shared" si="181"/>
        <v>-0.84984831332438948</v>
      </c>
      <c r="J570" s="92">
        <f t="shared" si="182"/>
        <v>-0.13338591514922191</v>
      </c>
      <c r="K570" s="92">
        <f t="shared" si="183"/>
        <v>0.7044503533001143</v>
      </c>
      <c r="L570" s="93">
        <f t="shared" si="180"/>
        <v>0.11335779501079637</v>
      </c>
      <c r="Q570" s="91">
        <v>7.124693835001826E-2</v>
      </c>
      <c r="R570" s="93">
        <v>-0.92475734003687704</v>
      </c>
    </row>
    <row r="571" spans="1:18" x14ac:dyDescent="0.25">
      <c r="I571">
        <f>SUM(I562:I570)</f>
        <v>1.0429335543372236</v>
      </c>
      <c r="J571">
        <f>SUM(J562:J570)</f>
        <v>-1.0774459531756435</v>
      </c>
      <c r="K571">
        <f>SUM(K562:K570)</f>
        <v>2.234756286473468</v>
      </c>
      <c r="L571">
        <f>SUM(L562:L570)</f>
        <v>-0.24119593916000412</v>
      </c>
    </row>
    <row r="572" spans="1:18" x14ac:dyDescent="0.25">
      <c r="A572" s="47" t="s">
        <v>53</v>
      </c>
      <c r="B572">
        <f>COUNT(A562:A570)</f>
        <v>9</v>
      </c>
      <c r="I572" s="47" t="s">
        <v>462</v>
      </c>
      <c r="J572" s="47" t="s">
        <v>389</v>
      </c>
      <c r="K572" s="47" t="s">
        <v>469</v>
      </c>
      <c r="L572" s="47" t="s">
        <v>470</v>
      </c>
      <c r="N572" s="47"/>
    </row>
    <row r="574" spans="1:18" x14ac:dyDescent="0.25">
      <c r="A574">
        <v>1</v>
      </c>
      <c r="B574">
        <v>2</v>
      </c>
      <c r="C574">
        <v>3</v>
      </c>
      <c r="D574">
        <v>4</v>
      </c>
      <c r="F574">
        <v>1</v>
      </c>
      <c r="G574">
        <v>3</v>
      </c>
      <c r="I574" s="47" t="s">
        <v>207</v>
      </c>
      <c r="J574" s="47" t="s">
        <v>464</v>
      </c>
      <c r="K574" s="47" t="s">
        <v>465</v>
      </c>
      <c r="L574" s="47" t="s">
        <v>466</v>
      </c>
      <c r="Q574">
        <f>F574</f>
        <v>1</v>
      </c>
      <c r="R574">
        <f>G574</f>
        <v>3</v>
      </c>
    </row>
    <row r="575" spans="1:18" x14ac:dyDescent="0.25">
      <c r="A575" s="189">
        <f t="array" ref="A575:A583">IF(A574=$Q561,$Q562:$Q570,IF(A574=$R561,$R562:$R570,A562:A570))</f>
        <v>0.10971277374333309</v>
      </c>
      <c r="B575" s="190">
        <f t="array" ref="B575:B583">IF(B574=$Q561,$Q562:$Q570,IF(B574=$R561,$R562:$R570,B562:B570))</f>
        <v>0.89108030350323009</v>
      </c>
      <c r="C575" s="190">
        <f t="array" ref="C575:C583">IF(C574=$Q561,$Q562:$Q570,IF(C574=$R561,$R562:$R570,C562:C570))</f>
        <v>-0.33941076476936966</v>
      </c>
      <c r="D575" s="191">
        <f t="array" ref="D575:D583">IF(D574=$Q561,$Q562:$Q570,IF(D574=$R561,$R562:$R570,D562:D570))</f>
        <v>0.28060529707189696</v>
      </c>
      <c r="F575" s="156">
        <f>INDEX(A575:D583,,F574)</f>
        <v>0.10971277374333309</v>
      </c>
      <c r="G575" s="158">
        <f>INDEX(A575:D583,,G574)</f>
        <v>-0.33941076476936966</v>
      </c>
      <c r="I575" s="156">
        <f>F575^2-G575^2</f>
        <v>-0.10316277451887258</v>
      </c>
      <c r="J575" s="157">
        <f>2*F575*G575</f>
        <v>-7.4475392882386998E-2</v>
      </c>
      <c r="K575" s="157">
        <f>I575^2-J575^2</f>
        <v>5.0959739014458452E-3</v>
      </c>
      <c r="L575" s="158">
        <f t="shared" ref="L575:L583" si="184">I575*J575</f>
        <v>7.6830881631301381E-3</v>
      </c>
      <c r="N575" t="s">
        <v>390</v>
      </c>
      <c r="O575" s="172">
        <f>L584*B585-2*I584*J584</f>
        <v>-1.994129096457975E-2</v>
      </c>
      <c r="Q575" s="156">
        <f t="array" ref="Q575:R583">MMULT(F575:G583,N579:O580)</f>
        <v>0.10978163560874449</v>
      </c>
      <c r="R575" s="158">
        <v>-0.33938849781165692</v>
      </c>
    </row>
    <row r="576" spans="1:18" x14ac:dyDescent="0.25">
      <c r="A576" s="194">
        <v>0.79441307310342446</v>
      </c>
      <c r="B576" s="195">
        <v>-0.60137727511326633</v>
      </c>
      <c r="C576" s="195">
        <v>8.2610239421834611E-2</v>
      </c>
      <c r="D576" s="196">
        <v>-2.0707259654118636E-2</v>
      </c>
      <c r="F576" s="123">
        <f>INDEX(A576:D584,,F574)</f>
        <v>0.79441307310342446</v>
      </c>
      <c r="G576" s="90">
        <f>INDEX(A575:D583,,G574)</f>
        <v>8.2610239421834611E-2</v>
      </c>
      <c r="I576" s="123">
        <f t="shared" ref="I576:I583" si="185">F576^2-G576^2</f>
        <v>0.62426767906029401</v>
      </c>
      <c r="J576" s="37">
        <f t="shared" ref="J576:J583" si="186">2*F576*G576</f>
        <v>0.13125330833781859</v>
      </c>
      <c r="K576" s="37">
        <f t="shared" ref="K576:K583" si="187">I576^2-J576^2</f>
        <v>0.37248270416970375</v>
      </c>
      <c r="L576" s="90">
        <f t="shared" si="184"/>
        <v>8.1937198165035155E-2</v>
      </c>
      <c r="N576" t="s">
        <v>392</v>
      </c>
      <c r="O576" s="173">
        <f>K584*B585-(I584^2-J584^2)</f>
        <v>24.571166122527472</v>
      </c>
      <c r="Q576" s="123">
        <v>0.79439629569939496</v>
      </c>
      <c r="R576" s="90">
        <v>8.2771418702588209E-2</v>
      </c>
    </row>
    <row r="577" spans="1:18" x14ac:dyDescent="0.25">
      <c r="A577" s="194">
        <v>0.9838863224532699</v>
      </c>
      <c r="B577" s="195">
        <v>0.11809807200432111</v>
      </c>
      <c r="C577" s="195">
        <v>0.11376633521540391</v>
      </c>
      <c r="D577" s="196">
        <v>7.1258479143876979E-2</v>
      </c>
      <c r="F577" s="123">
        <f>INDEX(A577:D585,,F574)</f>
        <v>0.9838863224532699</v>
      </c>
      <c r="G577" s="90">
        <f>INDEX(A575:D583,,G574)</f>
        <v>0.11376633521540391</v>
      </c>
      <c r="I577" s="123">
        <f t="shared" si="185"/>
        <v>0.95508951648227614</v>
      </c>
      <c r="J577" s="37">
        <f t="shared" si="186"/>
        <v>0.22386628234813938</v>
      </c>
      <c r="K577" s="37">
        <f t="shared" si="187"/>
        <v>0.86207987212197112</v>
      </c>
      <c r="L577" s="90">
        <f t="shared" si="184"/>
        <v>0.21381233936456914</v>
      </c>
      <c r="N577" t="s">
        <v>467</v>
      </c>
      <c r="O577" s="174">
        <f>0.25*ATAN(O575/O576)</f>
        <v>-2.0289316436008771E-4</v>
      </c>
      <c r="Q577" s="123">
        <v>0.98386321979052571</v>
      </c>
      <c r="R577" s="90">
        <v>0.11396595668173569</v>
      </c>
    </row>
    <row r="578" spans="1:18" x14ac:dyDescent="0.25">
      <c r="A578" s="194">
        <v>4.9831113277278551E-2</v>
      </c>
      <c r="B578" s="195">
        <v>1.1155969065365576E-3</v>
      </c>
      <c r="C578" s="195">
        <v>7.9335547787245095E-2</v>
      </c>
      <c r="D578" s="196">
        <v>0.9956010679234869</v>
      </c>
      <c r="F578" s="123">
        <f>INDEX(A578:D586,,F574)</f>
        <v>4.9831113277278551E-2</v>
      </c>
      <c r="G578" s="90">
        <f>INDEX(A575:D583,,G574)</f>
        <v>7.9335547787245095E-2</v>
      </c>
      <c r="I578" s="123">
        <f t="shared" si="185"/>
        <v>-3.8109892922492832E-3</v>
      </c>
      <c r="J578" s="37">
        <f t="shared" si="186"/>
        <v>7.9067573374023113E-3</v>
      </c>
      <c r="K578" s="37">
        <f t="shared" si="187"/>
        <v>-4.7993172206926588E-5</v>
      </c>
      <c r="L578" s="90">
        <f t="shared" si="184"/>
        <v>-3.0132567549253663E-5</v>
      </c>
      <c r="Q578" s="123">
        <v>4.9815015611387459E-2</v>
      </c>
      <c r="R578" s="90">
        <v>7.9345656546482998E-2</v>
      </c>
    </row>
    <row r="579" spans="1:18" x14ac:dyDescent="0.25">
      <c r="A579" s="194">
        <v>0.35451562561623401</v>
      </c>
      <c r="B579" s="195">
        <v>-0.11267066033258503</v>
      </c>
      <c r="C579" s="195">
        <v>0.88549290936183511</v>
      </c>
      <c r="D579" s="196">
        <v>0.27843545206037079</v>
      </c>
      <c r="F579" s="123">
        <f>INDEX(A579:D587,,F574)</f>
        <v>0.35451562561623401</v>
      </c>
      <c r="G579" s="90">
        <f>INDEX(A575:D583,,G574)</f>
        <v>0.88549290936183511</v>
      </c>
      <c r="I579" s="123">
        <f t="shared" si="185"/>
        <v>-0.65841636372401724</v>
      </c>
      <c r="J579" s="37">
        <f t="shared" si="186"/>
        <v>0.62784214548230033</v>
      </c>
      <c r="K579" s="37">
        <f t="shared" si="187"/>
        <v>3.9326348375739395E-2</v>
      </c>
      <c r="L579" s="90">
        <f t="shared" si="184"/>
        <v>-0.41338154242114161</v>
      </c>
      <c r="N579" s="156">
        <f>COS(O577)</f>
        <v>0.99999997941718199</v>
      </c>
      <c r="O579" s="158">
        <f>-N580</f>
        <v>2.0289316296805002E-4</v>
      </c>
      <c r="Q579" s="123">
        <v>0.35433595786213717</v>
      </c>
      <c r="R579" s="90">
        <v>0.88556481993249858</v>
      </c>
    </row>
    <row r="580" spans="1:18" x14ac:dyDescent="0.25">
      <c r="A580" s="194">
        <v>-3.089040696168497E-2</v>
      </c>
      <c r="B580" s="195">
        <v>1.9509132628341946E-2</v>
      </c>
      <c r="C580" s="195">
        <v>0.99770858268955764</v>
      </c>
      <c r="D580" s="196">
        <v>-5.6945241499402749E-2</v>
      </c>
      <c r="F580" s="123">
        <f>INDEX(A580:D588,,F574)</f>
        <v>-3.089040696168497E-2</v>
      </c>
      <c r="G580" s="90">
        <f>INDEX(A575:D583,,G574)</f>
        <v>0.99770858268955764</v>
      </c>
      <c r="I580" s="123">
        <f t="shared" si="185"/>
        <v>-0.99446819873014736</v>
      </c>
      <c r="J580" s="37">
        <f t="shared" si="186"/>
        <v>-6.1639248296892712E-2</v>
      </c>
      <c r="K580" s="37">
        <f t="shared" si="187"/>
        <v>0.98516760135497794</v>
      </c>
      <c r="L580" s="90">
        <f t="shared" si="184"/>
        <v>6.1298272224891197E-2</v>
      </c>
      <c r="N580" s="91">
        <f>SIN(O577)</f>
        <v>-2.0289316296805002E-4</v>
      </c>
      <c r="O580" s="93">
        <f>N579</f>
        <v>0.99999997941718199</v>
      </c>
      <c r="Q580" s="123">
        <v>-3.1092834575935598E-2</v>
      </c>
      <c r="R580" s="90">
        <v>0.9977022947015296</v>
      </c>
    </row>
    <row r="581" spans="1:18" x14ac:dyDescent="0.25">
      <c r="A581" s="194">
        <v>0.96201173454138866</v>
      </c>
      <c r="B581" s="195">
        <v>-2.1447333584606831E-2</v>
      </c>
      <c r="C581" s="195">
        <v>0.16687713264562604</v>
      </c>
      <c r="D581" s="196">
        <v>0.21500106298982161</v>
      </c>
      <c r="F581" s="123">
        <f>INDEX(A581:D589,,F574)</f>
        <v>0.96201173454138866</v>
      </c>
      <c r="G581" s="90">
        <f>INDEX(A575:D583,,G574)</f>
        <v>0.16687713264562604</v>
      </c>
      <c r="I581" s="123">
        <f t="shared" si="185"/>
        <v>0.89761859999530536</v>
      </c>
      <c r="J581" s="37">
        <f t="shared" si="186"/>
        <v>0.32107551966342418</v>
      </c>
      <c r="K581" s="37">
        <f t="shared" si="187"/>
        <v>0.7026296617303941</v>
      </c>
      <c r="L581" s="90">
        <f t="shared" si="184"/>
        <v>0.28820335845304795</v>
      </c>
      <c r="Q581" s="123">
        <v>0.96197785651120671</v>
      </c>
      <c r="R581" s="90">
        <v>0.16707231481445789</v>
      </c>
    </row>
    <row r="582" spans="1:18" x14ac:dyDescent="0.25">
      <c r="A582" s="194">
        <v>0.67597020179806155</v>
      </c>
      <c r="B582" s="195">
        <v>-0.22030367404573184</v>
      </c>
      <c r="C582" s="195">
        <v>0.56743142274738412</v>
      </c>
      <c r="D582" s="196">
        <v>0.41539397920759463</v>
      </c>
      <c r="F582" s="123">
        <f>INDEX(A582:D590,,F574)</f>
        <v>0.67597020179806155</v>
      </c>
      <c r="G582" s="90">
        <f>INDEX(A575:D583,,G574)</f>
        <v>0.56743142274738412</v>
      </c>
      <c r="I582" s="123">
        <f t="shared" si="185"/>
        <v>0.13495729419779151</v>
      </c>
      <c r="J582" s="37">
        <f t="shared" si="186"/>
        <v>0.76713346668222082</v>
      </c>
      <c r="K582" s="37">
        <f t="shared" si="187"/>
        <v>-0.57028028444669276</v>
      </c>
      <c r="L582" s="90">
        <f t="shared" si="184"/>
        <v>0.10353025695200417</v>
      </c>
      <c r="Q582" s="123">
        <v>0.67585505992856121</v>
      </c>
      <c r="R582" s="90">
        <v>0.56756856080036133</v>
      </c>
    </row>
    <row r="583" spans="1:18" x14ac:dyDescent="0.25">
      <c r="A583" s="200">
        <v>7.124693835001826E-2</v>
      </c>
      <c r="B583" s="201">
        <v>-0.92475734003687704</v>
      </c>
      <c r="C583" s="201">
        <v>-0.20640910345462588</v>
      </c>
      <c r="D583" s="202">
        <v>0.31167774677497634</v>
      </c>
      <c r="F583" s="91">
        <f>INDEX(A583:D591,,F574)</f>
        <v>7.124693835001826E-2</v>
      </c>
      <c r="G583" s="93">
        <f>INDEX(A575:D583,,G574)</f>
        <v>-0.20640910345462588</v>
      </c>
      <c r="I583" s="91">
        <f t="shared" si="185"/>
        <v>-3.7528591764691144E-2</v>
      </c>
      <c r="J583" s="92">
        <f t="shared" si="186"/>
        <v>-2.9412033337428541E-2</v>
      </c>
      <c r="K583" s="92">
        <f t="shared" si="187"/>
        <v>5.4332749479883615E-4</v>
      </c>
      <c r="L583" s="93">
        <f t="shared" si="184"/>
        <v>1.103792192089842E-3</v>
      </c>
      <c r="Q583" s="91">
        <v>7.1288815879420792E-2</v>
      </c>
      <c r="R583" s="93">
        <v>-0.20639464368947125</v>
      </c>
    </row>
    <row r="584" spans="1:18" x14ac:dyDescent="0.25">
      <c r="I584">
        <f>SUM(I575:I583)</f>
        <v>0.81454617170568955</v>
      </c>
      <c r="J584">
        <f>SUM(J575:J583)</f>
        <v>1.9135508053345971</v>
      </c>
      <c r="K584">
        <f>SUM(K575:K583)</f>
        <v>2.3969972115301315</v>
      </c>
      <c r="L584">
        <f>SUM(L575:L583)</f>
        <v>0.34415663052607676</v>
      </c>
    </row>
    <row r="585" spans="1:18" x14ac:dyDescent="0.25">
      <c r="A585" s="47" t="s">
        <v>53</v>
      </c>
      <c r="B585">
        <f>COUNT(A575:A583)</f>
        <v>9</v>
      </c>
      <c r="I585" s="47" t="s">
        <v>462</v>
      </c>
      <c r="J585" s="47" t="s">
        <v>389</v>
      </c>
      <c r="K585" s="47" t="s">
        <v>469</v>
      </c>
      <c r="L585" s="47" t="s">
        <v>470</v>
      </c>
      <c r="N585" s="47"/>
    </row>
    <row r="587" spans="1:18" x14ac:dyDescent="0.25">
      <c r="A587">
        <v>1</v>
      </c>
      <c r="B587">
        <v>2</v>
      </c>
      <c r="C587">
        <v>3</v>
      </c>
      <c r="D587">
        <v>4</v>
      </c>
      <c r="F587">
        <v>1</v>
      </c>
      <c r="G587">
        <v>4</v>
      </c>
      <c r="I587" s="47" t="s">
        <v>207</v>
      </c>
      <c r="J587" s="47" t="s">
        <v>464</v>
      </c>
      <c r="K587" s="47" t="s">
        <v>465</v>
      </c>
      <c r="L587" s="47" t="s">
        <v>466</v>
      </c>
      <c r="Q587">
        <f>F587</f>
        <v>1</v>
      </c>
      <c r="R587">
        <f>G587</f>
        <v>4</v>
      </c>
    </row>
    <row r="588" spans="1:18" x14ac:dyDescent="0.25">
      <c r="A588" s="189">
        <f t="array" ref="A588:A596">IF(A587=$Q574,$Q575:$Q583,IF(A587=$R574,$R575:$R583,A575:A583))</f>
        <v>0.10978163560874449</v>
      </c>
      <c r="B588" s="190">
        <f t="array" ref="B588:B596">IF(B587=$Q574,$Q575:$Q583,IF(B587=$R574,$R575:$R583,B575:B583))</f>
        <v>0.89108030350323009</v>
      </c>
      <c r="C588" s="190">
        <f t="array" ref="C588:C596">IF(C587=$Q574,$Q575:$Q583,IF(C587=$R574,$R575:$R583,C575:C583))</f>
        <v>-0.33938849781165692</v>
      </c>
      <c r="D588" s="191">
        <f t="array" ref="D588:D596">IF(D587=$Q574,$Q575:$Q583,IF(D587=$R574,$R575:$R583,D575:D583))</f>
        <v>0.28060529707189696</v>
      </c>
      <c r="F588" s="156">
        <f>INDEX(A588:D596,,F587)</f>
        <v>0.10978163560874449</v>
      </c>
      <c r="G588" s="158">
        <f>INDEX(A588:D596,,G587)</f>
        <v>0.28060529707189696</v>
      </c>
      <c r="I588" s="156">
        <f>F588^2-G588^2</f>
        <v>-6.668732522787639E-2</v>
      </c>
      <c r="J588" s="157">
        <f>2*F588*G588</f>
        <v>6.161061694606098E-2</v>
      </c>
      <c r="K588" s="157">
        <f>I588^2-J588^2</f>
        <v>6.5133122557430208E-4</v>
      </c>
      <c r="L588" s="158">
        <f t="shared" ref="L588:L596" si="188">I588*J588</f>
        <v>-4.1086472497720806E-3</v>
      </c>
      <c r="N588" t="s">
        <v>390</v>
      </c>
      <c r="O588" s="172">
        <f>L597*B598-2*I597*J597</f>
        <v>-6.1227509843951644E-2</v>
      </c>
      <c r="Q588" s="156">
        <f t="array" ref="Q588:R596">MMULT(F588:G596,N592:O593)</f>
        <v>0.10959457320029248</v>
      </c>
      <c r="R588" s="158">
        <v>0.28067840990497367</v>
      </c>
    </row>
    <row r="589" spans="1:18" x14ac:dyDescent="0.25">
      <c r="A589" s="194">
        <v>0.79439629569939496</v>
      </c>
      <c r="B589" s="195">
        <v>-0.60137727511326633</v>
      </c>
      <c r="C589" s="195">
        <v>8.2771418702588209E-2</v>
      </c>
      <c r="D589" s="196">
        <v>-2.0707259654118636E-2</v>
      </c>
      <c r="F589" s="123">
        <f>INDEX(A589:D597,,F587)</f>
        <v>0.79439629569939496</v>
      </c>
      <c r="G589" s="90">
        <f>INDEX(A588:D596,,G587)</f>
        <v>-2.0707259654118636E-2</v>
      </c>
      <c r="I589" s="123">
        <f t="shared" ref="I589:I596" si="189">F589^2-G589^2</f>
        <v>0.63063668401853745</v>
      </c>
      <c r="J589" s="37">
        <f t="shared" ref="J589:J596" si="190">2*F589*G589</f>
        <v>-3.2899540726634757E-2</v>
      </c>
      <c r="K589" s="37">
        <f t="shared" ref="K589:K596" si="191">I589^2-J589^2</f>
        <v>0.39662024744987312</v>
      </c>
      <c r="L589" s="90">
        <f t="shared" si="188"/>
        <v>-2.0747657269577769E-2</v>
      </c>
      <c r="N589" t="s">
        <v>392</v>
      </c>
      <c r="O589" s="173">
        <f>K597*B598-(I597^2-J597^2)</f>
        <v>22.964210058791441</v>
      </c>
      <c r="Q589" s="123">
        <v>0.79440992169284852</v>
      </c>
      <c r="R589" s="90">
        <v>-2.0177748617374484E-2</v>
      </c>
    </row>
    <row r="590" spans="1:18" x14ac:dyDescent="0.25">
      <c r="A590" s="194">
        <v>0.98386321979052571</v>
      </c>
      <c r="B590" s="195">
        <v>0.11809807200432111</v>
      </c>
      <c r="C590" s="195">
        <v>0.11396595668173569</v>
      </c>
      <c r="D590" s="196">
        <v>7.1258479143876979E-2</v>
      </c>
      <c r="F590" s="123">
        <f>INDEX(A590:D598,,F587)</f>
        <v>0.98386321979052571</v>
      </c>
      <c r="G590" s="90">
        <f>INDEX(A588:D596,,G587)</f>
        <v>7.1258479143876979E-2</v>
      </c>
      <c r="I590" s="123">
        <f t="shared" si="189"/>
        <v>0.962909064406682</v>
      </c>
      <c r="J590" s="37">
        <f t="shared" si="190"/>
        <v>0.14021719345574166</v>
      </c>
      <c r="K590" s="37">
        <f t="shared" si="191"/>
        <v>0.9075330049759468</v>
      </c>
      <c r="L590" s="90">
        <f t="shared" si="188"/>
        <v>0.13501640656419894</v>
      </c>
      <c r="N590" t="s">
        <v>467</v>
      </c>
      <c r="O590" s="174">
        <f>0.25*ATAN(O588/O589)</f>
        <v>-6.6655204560878319E-4</v>
      </c>
      <c r="Q590" s="123">
        <v>0.98381550374791404</v>
      </c>
      <c r="R590" s="90">
        <v>7.191425930729449E-2</v>
      </c>
    </row>
    <row r="591" spans="1:18" x14ac:dyDescent="0.25">
      <c r="A591" s="194">
        <v>4.9815015611387459E-2</v>
      </c>
      <c r="B591" s="195">
        <v>1.1155969065365576E-3</v>
      </c>
      <c r="C591" s="195">
        <v>7.9345656546482998E-2</v>
      </c>
      <c r="D591" s="196">
        <v>0.9956010679234869</v>
      </c>
      <c r="F591" s="123">
        <f>INDEX(A591:D599,,F587)</f>
        <v>4.9815015611387459E-2</v>
      </c>
      <c r="G591" s="90">
        <f>INDEX(A588:D596,,G587)</f>
        <v>0.9956010679234869</v>
      </c>
      <c r="I591" s="123">
        <f t="shared" si="189"/>
        <v>-0.98873995067002474</v>
      </c>
      <c r="J591" s="37">
        <f t="shared" si="190"/>
        <v>9.919176548264505E-2</v>
      </c>
      <c r="K591" s="37">
        <f t="shared" si="191"/>
        <v>0.96776768371139887</v>
      </c>
      <c r="L591" s="90">
        <f t="shared" si="188"/>
        <v>-9.8074861310183128E-2</v>
      </c>
      <c r="Q591" s="123">
        <v>4.9151384665896081E-2</v>
      </c>
      <c r="R591" s="90">
        <v>0.99563405105298375</v>
      </c>
    </row>
    <row r="592" spans="1:18" x14ac:dyDescent="0.25">
      <c r="A592" s="194">
        <v>0.35433595786213717</v>
      </c>
      <c r="B592" s="195">
        <v>-0.11267066033258503</v>
      </c>
      <c r="C592" s="195">
        <v>0.88556481993249858</v>
      </c>
      <c r="D592" s="196">
        <v>0.27843545206037079</v>
      </c>
      <c r="F592" s="123">
        <f>INDEX(A592:D600,,F587)</f>
        <v>0.35433595786213717</v>
      </c>
      <c r="G592" s="90">
        <f>INDEX(A588:D596,,G587)</f>
        <v>0.27843545206037079</v>
      </c>
      <c r="I592" s="123">
        <f t="shared" si="189"/>
        <v>4.802767007001521E-2</v>
      </c>
      <c r="J592" s="37">
        <f t="shared" si="190"/>
        <v>0.19731938521717732</v>
      </c>
      <c r="K592" s="37">
        <f t="shared" si="191"/>
        <v>-3.6628282690130583E-2</v>
      </c>
      <c r="L592" s="90">
        <f t="shared" si="188"/>
        <v>9.4767903316288291E-3</v>
      </c>
      <c r="N592" s="156">
        <f>COS(O590)</f>
        <v>0.99999977785419347</v>
      </c>
      <c r="O592" s="158">
        <f>-N593</f>
        <v>6.6655199625153519E-4</v>
      </c>
      <c r="Q592" s="123">
        <v>0.35415028744149202</v>
      </c>
      <c r="R592" s="90">
        <v>0.27867157354715943</v>
      </c>
    </row>
    <row r="593" spans="1:18" x14ac:dyDescent="0.25">
      <c r="A593" s="194">
        <v>-3.1092834575935598E-2</v>
      </c>
      <c r="B593" s="195">
        <v>1.9509132628341946E-2</v>
      </c>
      <c r="C593" s="195">
        <v>0.9977022947015296</v>
      </c>
      <c r="D593" s="196">
        <v>-5.6945241499402749E-2</v>
      </c>
      <c r="F593" s="123">
        <f>INDEX(A593:D601,,F587)</f>
        <v>-3.1092834575935598E-2</v>
      </c>
      <c r="G593" s="90">
        <f>INDEX(A588:D596,,G587)</f>
        <v>-5.6945241499402749E-2</v>
      </c>
      <c r="I593" s="123">
        <f t="shared" si="189"/>
        <v>-2.2759961674588044E-3</v>
      </c>
      <c r="J593" s="37">
        <f t="shared" si="190"/>
        <v>3.541177947655265E-3</v>
      </c>
      <c r="K593" s="37">
        <f t="shared" si="191"/>
        <v>-7.3597827026727885E-6</v>
      </c>
      <c r="L593" s="90">
        <f t="shared" si="188"/>
        <v>-8.0597074371530172E-6</v>
      </c>
      <c r="N593" s="91">
        <f>SIN(O590)</f>
        <v>-6.6655199625153519E-4</v>
      </c>
      <c r="O593" s="93">
        <f>N592</f>
        <v>0.99999977785419347</v>
      </c>
      <c r="Q593" s="123">
        <v>-3.1054870704394333E-2</v>
      </c>
      <c r="R593" s="90">
        <v>-5.6965953840211851E-2</v>
      </c>
    </row>
    <row r="594" spans="1:18" x14ac:dyDescent="0.25">
      <c r="A594" s="194">
        <v>0.96197785651120671</v>
      </c>
      <c r="B594" s="195">
        <v>-2.1447333584606831E-2</v>
      </c>
      <c r="C594" s="195">
        <v>0.16707231481445789</v>
      </c>
      <c r="D594" s="196">
        <v>0.21500106298982161</v>
      </c>
      <c r="F594" s="123">
        <f>INDEX(A594:D602,,F587)</f>
        <v>0.96197785651120671</v>
      </c>
      <c r="G594" s="90">
        <f>INDEX(A588:D596,,G587)</f>
        <v>0.21500106298982161</v>
      </c>
      <c r="I594" s="123">
        <f t="shared" si="189"/>
        <v>0.87917593933114246</v>
      </c>
      <c r="J594" s="37">
        <f t="shared" si="190"/>
        <v>0.41365252344515907</v>
      </c>
      <c r="K594" s="37">
        <f t="shared" si="191"/>
        <v>0.60184192214624888</v>
      </c>
      <c r="L594" s="90">
        <f t="shared" si="188"/>
        <v>0.36367334585659516</v>
      </c>
      <c r="Q594" s="123">
        <v>0.96183433342412783</v>
      </c>
      <c r="R594" s="90">
        <v>0.21564222348884438</v>
      </c>
    </row>
    <row r="595" spans="1:18" x14ac:dyDescent="0.25">
      <c r="A595" s="194">
        <v>0.67585505992856121</v>
      </c>
      <c r="B595" s="195">
        <v>-0.22030367404573184</v>
      </c>
      <c r="C595" s="195">
        <v>0.56756856080036133</v>
      </c>
      <c r="D595" s="196">
        <v>0.41539397920759463</v>
      </c>
      <c r="F595" s="123">
        <f>INDEX(A595:D603,,F587)</f>
        <v>0.67585505992856121</v>
      </c>
      <c r="G595" s="90">
        <f>INDEX(A588:D596,,G587)</f>
        <v>0.41539397920759463</v>
      </c>
      <c r="I595" s="123">
        <f t="shared" si="189"/>
        <v>0.28422790406911946</v>
      </c>
      <c r="J595" s="37">
        <f t="shared" si="190"/>
        <v>0.56149224542262477</v>
      </c>
      <c r="K595" s="37">
        <f t="shared" si="191"/>
        <v>-0.23448804021821651</v>
      </c>
      <c r="L595" s="90">
        <f t="shared" si="188"/>
        <v>0.15959176406753628</v>
      </c>
      <c r="Q595" s="123">
        <v>0.67557802810412215</v>
      </c>
      <c r="R595" s="90">
        <v>0.41584437946893615</v>
      </c>
    </row>
    <row r="596" spans="1:18" x14ac:dyDescent="0.25">
      <c r="A596" s="200">
        <v>7.1288815879420792E-2</v>
      </c>
      <c r="B596" s="201">
        <v>-0.92475734003687704</v>
      </c>
      <c r="C596" s="201">
        <v>-0.20639464368947125</v>
      </c>
      <c r="D596" s="202">
        <v>0.31167774677497634</v>
      </c>
      <c r="F596" s="91">
        <f>INDEX(A596:D604,,F587)</f>
        <v>7.1288815879420792E-2</v>
      </c>
      <c r="G596" s="93">
        <f>INDEX(A588:D596,,G587)</f>
        <v>0.31167774677497634</v>
      </c>
      <c r="I596" s="91">
        <f t="shared" si="189"/>
        <v>-9.2060922565236319E-2</v>
      </c>
      <c r="J596" s="92">
        <f t="shared" si="190"/>
        <v>4.443827500710805E-2</v>
      </c>
      <c r="K596" s="92">
        <f t="shared" si="191"/>
        <v>6.5004531779550732E-3</v>
      </c>
      <c r="L596" s="93">
        <f t="shared" si="188"/>
        <v>-4.0910285943620509E-3</v>
      </c>
      <c r="Q596" s="91">
        <v>7.108105061860924E-2</v>
      </c>
      <c r="R596" s="93">
        <v>0.31172519523960679</v>
      </c>
    </row>
    <row r="597" spans="1:18" x14ac:dyDescent="0.25">
      <c r="I597">
        <f>SUM(I588:I596)</f>
        <v>1.6552130672649006</v>
      </c>
      <c r="J597">
        <f>SUM(J588:J596)</f>
        <v>1.4885636421975372</v>
      </c>
      <c r="K597">
        <f>SUM(K588:K596)</f>
        <v>2.609790959995947</v>
      </c>
      <c r="L597">
        <f>SUM(L588:L596)</f>
        <v>0.540728052688627</v>
      </c>
    </row>
    <row r="598" spans="1:18" x14ac:dyDescent="0.25">
      <c r="A598" s="47" t="s">
        <v>53</v>
      </c>
      <c r="B598">
        <f>COUNT(A588:A596)</f>
        <v>9</v>
      </c>
      <c r="I598" s="47" t="s">
        <v>462</v>
      </c>
      <c r="J598" s="47" t="s">
        <v>389</v>
      </c>
      <c r="K598" s="47" t="s">
        <v>469</v>
      </c>
      <c r="L598" s="47" t="s">
        <v>470</v>
      </c>
      <c r="N598" s="47"/>
    </row>
    <row r="600" spans="1:18" x14ac:dyDescent="0.25">
      <c r="A600">
        <v>1</v>
      </c>
      <c r="B600">
        <v>2</v>
      </c>
      <c r="C600">
        <v>3</v>
      </c>
      <c r="D600">
        <v>4</v>
      </c>
      <c r="F600">
        <v>2</v>
      </c>
      <c r="G600">
        <v>3</v>
      </c>
      <c r="I600" s="47" t="s">
        <v>207</v>
      </c>
      <c r="J600" s="47" t="s">
        <v>464</v>
      </c>
      <c r="K600" s="47" t="s">
        <v>465</v>
      </c>
      <c r="L600" s="47" t="s">
        <v>466</v>
      </c>
      <c r="Q600">
        <f>F600</f>
        <v>2</v>
      </c>
      <c r="R600">
        <f>G600</f>
        <v>3</v>
      </c>
    </row>
    <row r="601" spans="1:18" x14ac:dyDescent="0.25">
      <c r="A601" s="189">
        <f t="array" ref="A601:A609">IF(A600=$Q587,$Q588:$Q596,IF(A600=$R587,$R588:$R596,A588:A596))</f>
        <v>0.10959457320029248</v>
      </c>
      <c r="B601" s="190">
        <f t="array" ref="B601:B609">IF(B600=$Q587,$Q588:$Q596,IF(B600=$R587,$R588:$R596,B588:B596))</f>
        <v>0.89108030350323009</v>
      </c>
      <c r="C601" s="190">
        <f t="array" ref="C601:C609">IF(C600=$Q587,$Q588:$Q596,IF(C600=$R587,$R588:$R596,C588:C596))</f>
        <v>-0.33938849781165692</v>
      </c>
      <c r="D601" s="191">
        <f t="array" ref="D601:D609">IF(D600=$Q587,$Q588:$Q596,IF(D600=$R587,$R588:$R596,D588:D596))</f>
        <v>0.28067840990497367</v>
      </c>
      <c r="F601" s="156">
        <f>INDEX(A601:D609,,F600)</f>
        <v>0.89108030350323009</v>
      </c>
      <c r="G601" s="158">
        <f>INDEX(A601:D609,,G600)</f>
        <v>-0.33938849781165692</v>
      </c>
      <c r="I601" s="156">
        <f>F601^2-G601^2</f>
        <v>0.6788395548445556</v>
      </c>
      <c r="J601" s="157">
        <f>2*F601*G601</f>
        <v>-0.60484481127103318</v>
      </c>
      <c r="K601" s="157">
        <f>I601^2-J601^2</f>
        <v>9.49858955000627E-2</v>
      </c>
      <c r="L601" s="158">
        <f t="shared" ref="L601:L609" si="192">I601*J601</f>
        <v>-0.41059258243326741</v>
      </c>
      <c r="N601" t="s">
        <v>390</v>
      </c>
      <c r="O601" s="172">
        <f>L610*B611-2*I610*J610</f>
        <v>0.10974280232777867</v>
      </c>
      <c r="Q601" s="156">
        <f t="array" ref="Q601:R609">MMULT(F601:G609,N605:O606)</f>
        <v>0.89063603040029271</v>
      </c>
      <c r="R601" s="158">
        <v>-0.34055267006892009</v>
      </c>
    </row>
    <row r="602" spans="1:18" x14ac:dyDescent="0.25">
      <c r="A602" s="194">
        <v>0.79440992169284852</v>
      </c>
      <c r="B602" s="195">
        <v>-0.60137727511326633</v>
      </c>
      <c r="C602" s="195">
        <v>8.2771418702588209E-2</v>
      </c>
      <c r="D602" s="196">
        <v>-2.0177748617374484E-2</v>
      </c>
      <c r="F602" s="123">
        <f>INDEX(A602:D610,,F600)</f>
        <v>-0.60137727511326633</v>
      </c>
      <c r="G602" s="90">
        <f>INDEX(A601:D609,,G600)</f>
        <v>8.2771418702588209E-2</v>
      </c>
      <c r="I602" s="123">
        <f t="shared" ref="I602:I609" si="193">F602^2-G602^2</f>
        <v>0.35480351926861803</v>
      </c>
      <c r="J602" s="37">
        <f t="shared" ref="J602:J609" si="194">2*F602*G602</f>
        <v>-9.9553700473243495E-2</v>
      </c>
      <c r="K602" s="37">
        <f t="shared" ref="K602:K609" si="195">I602^2-J602^2</f>
        <v>0.11597459800748033</v>
      </c>
      <c r="L602" s="90">
        <f t="shared" si="192"/>
        <v>-3.5322003284120676E-2</v>
      </c>
      <c r="N602" t="s">
        <v>392</v>
      </c>
      <c r="O602" s="173">
        <f>K610*B611-(I610^2-J610^2)</f>
        <v>20.994400654103565</v>
      </c>
      <c r="Q602" s="123">
        <v>-0.60126859608794081</v>
      </c>
      <c r="R602" s="90">
        <v>8.3557226708005708E-2</v>
      </c>
    </row>
    <row r="603" spans="1:18" x14ac:dyDescent="0.25">
      <c r="A603" s="194">
        <v>0.98381550374791404</v>
      </c>
      <c r="B603" s="195">
        <v>0.11809807200432111</v>
      </c>
      <c r="C603" s="195">
        <v>0.11396595668173569</v>
      </c>
      <c r="D603" s="196">
        <v>7.191425930729449E-2</v>
      </c>
      <c r="F603" s="123">
        <f>INDEX(A603:D611,,F600)</f>
        <v>0.11809807200432111</v>
      </c>
      <c r="G603" s="90">
        <f>INDEX(A601:D609,,G600)</f>
        <v>0.11396595668173569</v>
      </c>
      <c r="I603" s="123">
        <f t="shared" si="193"/>
        <v>9.5891532875455772E-4</v>
      </c>
      <c r="J603" s="37">
        <f t="shared" si="194"/>
        <v>2.6918319516481923E-2</v>
      </c>
      <c r="K603" s="37">
        <f t="shared" si="195"/>
        <v>-7.2367640698369103E-4</v>
      </c>
      <c r="L603" s="90">
        <f t="shared" si="192"/>
        <v>2.5812389208667492E-5</v>
      </c>
      <c r="N603" t="s">
        <v>467</v>
      </c>
      <c r="O603" s="174">
        <f>0.25*ATAN(O601/O602)</f>
        <v>1.3067984722787006E-3</v>
      </c>
      <c r="Q603" s="123">
        <v>0.11824690166067782</v>
      </c>
      <c r="R603" s="90">
        <v>0.11381152903450098</v>
      </c>
    </row>
    <row r="604" spans="1:18" x14ac:dyDescent="0.25">
      <c r="A604" s="194">
        <v>4.9151384665896081E-2</v>
      </c>
      <c r="B604" s="195">
        <v>1.1155969065365576E-3</v>
      </c>
      <c r="C604" s="195">
        <v>7.9345656546482998E-2</v>
      </c>
      <c r="D604" s="196">
        <v>0.99563405105298375</v>
      </c>
      <c r="F604" s="123">
        <f>INDEX(A604:D612,,F600)</f>
        <v>1.1155969065365576E-3</v>
      </c>
      <c r="G604" s="90">
        <f>INDEX(A601:D609,,G600)</f>
        <v>7.9345656546482998E-2</v>
      </c>
      <c r="I604" s="123">
        <f t="shared" si="193"/>
        <v>-6.2944886563345665E-3</v>
      </c>
      <c r="J604" s="37">
        <f t="shared" si="194"/>
        <v>1.7703553798073719E-4</v>
      </c>
      <c r="K604" s="37">
        <f t="shared" si="195"/>
        <v>3.9589245863016405E-5</v>
      </c>
      <c r="L604" s="90">
        <f t="shared" si="192"/>
        <v>-1.1143481855878375E-6</v>
      </c>
      <c r="Q604" s="123">
        <v>1.2192847072168219E-3</v>
      </c>
      <c r="R604" s="90">
        <v>7.9344130936402996E-2</v>
      </c>
    </row>
    <row r="605" spans="1:18" x14ac:dyDescent="0.25">
      <c r="A605" s="194">
        <v>0.35415028744149202</v>
      </c>
      <c r="B605" s="195">
        <v>-0.11267066033258503</v>
      </c>
      <c r="C605" s="195">
        <v>0.88556481993249858</v>
      </c>
      <c r="D605" s="196">
        <v>0.27867157354715943</v>
      </c>
      <c r="F605" s="123">
        <f>INDEX(A605:D613,,F600)</f>
        <v>-0.11267066033258503</v>
      </c>
      <c r="G605" s="90">
        <f>INDEX(A601:D609,,G600)</f>
        <v>0.88556481993249858</v>
      </c>
      <c r="I605" s="123">
        <f t="shared" si="193"/>
        <v>-0.77153037260229795</v>
      </c>
      <c r="J605" s="37">
        <f t="shared" si="194"/>
        <v>-0.19955434605820274</v>
      </c>
      <c r="K605" s="37">
        <f t="shared" si="195"/>
        <v>0.55543717881712384</v>
      </c>
      <c r="L605" s="90">
        <f t="shared" si="192"/>
        <v>0.15396223896869307</v>
      </c>
      <c r="N605" s="156">
        <f>COS(O603)</f>
        <v>0.99999914613899799</v>
      </c>
      <c r="O605" s="158">
        <f>-N606</f>
        <v>-1.3067981003372618E-3</v>
      </c>
      <c r="Q605" s="123">
        <v>-0.11151330970308881</v>
      </c>
      <c r="R605" s="90">
        <v>0.88571130158812039</v>
      </c>
    </row>
    <row r="606" spans="1:18" x14ac:dyDescent="0.25">
      <c r="A606" s="194">
        <v>-3.1054870704394333E-2</v>
      </c>
      <c r="B606" s="195">
        <v>1.9509132628341946E-2</v>
      </c>
      <c r="C606" s="195">
        <v>0.9977022947015296</v>
      </c>
      <c r="D606" s="196">
        <v>-5.6965953840211851E-2</v>
      </c>
      <c r="F606" s="123">
        <f>INDEX(A606:D614,,F600)</f>
        <v>1.9509132628341946E-2</v>
      </c>
      <c r="G606" s="90">
        <f>INDEX(A601:D609,,G600)</f>
        <v>0.9977022947015296</v>
      </c>
      <c r="I606" s="123">
        <f t="shared" si="193"/>
        <v>-0.99502926259678759</v>
      </c>
      <c r="J606" s="37">
        <f t="shared" si="194"/>
        <v>3.892861278186649E-2</v>
      </c>
      <c r="K606" s="37">
        <f t="shared" si="195"/>
        <v>0.98856779653078641</v>
      </c>
      <c r="L606" s="90">
        <f t="shared" si="192"/>
        <v>-3.8735108870256496E-2</v>
      </c>
      <c r="N606" s="91">
        <f>SIN(O603)</f>
        <v>1.3067981003372618E-3</v>
      </c>
      <c r="O606" s="93">
        <f>N605</f>
        <v>0.99999914613899799</v>
      </c>
      <c r="Q606" s="123">
        <v>2.0812911433672497E-2</v>
      </c>
      <c r="R606" s="90">
        <v>0.99767594830499062</v>
      </c>
    </row>
    <row r="607" spans="1:18" x14ac:dyDescent="0.25">
      <c r="A607" s="194">
        <v>0.96183433342412783</v>
      </c>
      <c r="B607" s="195">
        <v>-2.1447333584606831E-2</v>
      </c>
      <c r="C607" s="195">
        <v>0.16707231481445789</v>
      </c>
      <c r="D607" s="196">
        <v>0.21564222348884438</v>
      </c>
      <c r="F607" s="123">
        <f>INDEX(A607:D615,,F600)</f>
        <v>-2.1447333584606831E-2</v>
      </c>
      <c r="G607" s="90">
        <f>INDEX(A601:D609,,G600)</f>
        <v>0.16707231481445789</v>
      </c>
      <c r="I607" s="123">
        <f t="shared" si="193"/>
        <v>-2.7453170259571922E-2</v>
      </c>
      <c r="J607" s="37">
        <f t="shared" si="194"/>
        <v>-7.1665113371562564E-3</v>
      </c>
      <c r="K607" s="37">
        <f t="shared" si="195"/>
        <v>7.0231767255545517E-4</v>
      </c>
      <c r="L607" s="90">
        <f t="shared" si="192"/>
        <v>1.9674345590610314E-4</v>
      </c>
      <c r="Q607" s="123">
        <v>-2.1228985487946602E-2</v>
      </c>
      <c r="R607" s="90">
        <v>0.16710019949270941</v>
      </c>
    </row>
    <row r="608" spans="1:18" x14ac:dyDescent="0.25">
      <c r="A608" s="194">
        <v>0.67557802810412215</v>
      </c>
      <c r="B608" s="195">
        <v>-0.22030367404573184</v>
      </c>
      <c r="C608" s="195">
        <v>0.56756856080036133</v>
      </c>
      <c r="D608" s="196">
        <v>0.41584437946893615</v>
      </c>
      <c r="F608" s="123">
        <f>INDEX(A608:D616,,F600)</f>
        <v>-0.22030367404573184</v>
      </c>
      <c r="G608" s="90">
        <f>INDEX(A601:D609,,G600)</f>
        <v>0.56756856080036133</v>
      </c>
      <c r="I608" s="123">
        <f t="shared" si="193"/>
        <v>-0.27360036241094537</v>
      </c>
      <c r="J608" s="37">
        <f t="shared" si="194"/>
        <v>-0.25007487843433585</v>
      </c>
      <c r="K608" s="37">
        <f t="shared" si="195"/>
        <v>1.2319713487452796E-2</v>
      </c>
      <c r="L608" s="90">
        <f t="shared" si="192"/>
        <v>6.8420577369507393E-2</v>
      </c>
      <c r="Q608" s="123">
        <v>-0.21956178841995089</v>
      </c>
      <c r="R608" s="90">
        <v>0.56785596859844156</v>
      </c>
    </row>
    <row r="609" spans="1:18" x14ac:dyDescent="0.25">
      <c r="A609" s="200">
        <v>7.108105061860924E-2</v>
      </c>
      <c r="B609" s="201">
        <v>-0.92475734003687704</v>
      </c>
      <c r="C609" s="201">
        <v>-0.20639464368947125</v>
      </c>
      <c r="D609" s="202">
        <v>0.31172519523960679</v>
      </c>
      <c r="F609" s="91">
        <f>INDEX(A609:D617,,F600)</f>
        <v>-0.92475734003687704</v>
      </c>
      <c r="G609" s="93">
        <f>INDEX(A601:D609,,G600)</f>
        <v>-0.20639464368947125</v>
      </c>
      <c r="I609" s="91">
        <f t="shared" si="193"/>
        <v>0.8125773890083765</v>
      </c>
      <c r="J609" s="92">
        <f t="shared" si="194"/>
        <v>0.38172992339226886</v>
      </c>
      <c r="K609" s="92">
        <f t="shared" si="195"/>
        <v>0.51456427871460297</v>
      </c>
      <c r="L609" s="93">
        <f t="shared" si="192"/>
        <v>0.31018510445645742</v>
      </c>
      <c r="Q609" s="91">
        <v>-0.92502626655094122</v>
      </c>
      <c r="R609" s="93">
        <v>-0.20518599632190085</v>
      </c>
    </row>
    <row r="610" spans="1:18" x14ac:dyDescent="0.25">
      <c r="I610">
        <f>SUM(I601:I609)</f>
        <v>-0.22672827807563256</v>
      </c>
      <c r="J610">
        <f>SUM(J601:J609)</f>
        <v>-0.71344035634537351</v>
      </c>
      <c r="K610">
        <f>SUM(K601:K609)</f>
        <v>2.2818676915689435</v>
      </c>
      <c r="L610">
        <f>SUM(L601:L609)</f>
        <v>4.8139667703942568E-2</v>
      </c>
    </row>
    <row r="611" spans="1:18" x14ac:dyDescent="0.25">
      <c r="A611" s="47" t="s">
        <v>53</v>
      </c>
      <c r="B611">
        <f>COUNT(A601:A609)</f>
        <v>9</v>
      </c>
      <c r="I611" s="47" t="s">
        <v>462</v>
      </c>
      <c r="J611" s="47" t="s">
        <v>389</v>
      </c>
      <c r="K611" s="47" t="s">
        <v>469</v>
      </c>
      <c r="L611" s="47" t="s">
        <v>470</v>
      </c>
      <c r="N611" s="47"/>
    </row>
    <row r="613" spans="1:18" x14ac:dyDescent="0.25">
      <c r="A613">
        <v>1</v>
      </c>
      <c r="B613">
        <v>2</v>
      </c>
      <c r="C613">
        <v>3</v>
      </c>
      <c r="D613">
        <v>4</v>
      </c>
      <c r="F613">
        <v>2</v>
      </c>
      <c r="G613">
        <v>4</v>
      </c>
      <c r="I613" s="47" t="s">
        <v>207</v>
      </c>
      <c r="J613" s="47" t="s">
        <v>464</v>
      </c>
      <c r="K613" s="47" t="s">
        <v>465</v>
      </c>
      <c r="L613" s="47" t="s">
        <v>466</v>
      </c>
      <c r="Q613">
        <f>F613</f>
        <v>2</v>
      </c>
      <c r="R613">
        <f>G613</f>
        <v>4</v>
      </c>
    </row>
    <row r="614" spans="1:18" x14ac:dyDescent="0.25">
      <c r="A614" s="189">
        <f t="array" ref="A614:A622">IF(A613=$Q600,$Q601:$Q609,IF(A613=$R600,$R601:$R609,A601:A609))</f>
        <v>0.10959457320029248</v>
      </c>
      <c r="B614" s="190">
        <f t="array" ref="B614:B622">IF(B613=$Q600,$Q601:$Q609,IF(B613=$R600,$R601:$R609,B601:B609))</f>
        <v>0.89063603040029271</v>
      </c>
      <c r="C614" s="190">
        <f t="array" ref="C614:C622">IF(C613=$Q600,$Q601:$Q609,IF(C613=$R600,$R601:$R609,C601:C609))</f>
        <v>-0.34055267006892009</v>
      </c>
      <c r="D614" s="191">
        <f t="array" ref="D614:D622">IF(D613=$Q600,$Q601:$Q609,IF(D613=$R600,$R601:$R609,D601:D609))</f>
        <v>0.28067840990497367</v>
      </c>
      <c r="F614" s="156">
        <f>INDEX(A614:D622,,F613)</f>
        <v>0.89063603040029271</v>
      </c>
      <c r="G614" s="158">
        <f>INDEX(A614:D622,,G613)</f>
        <v>0.28067840990497367</v>
      </c>
      <c r="I614" s="156">
        <f>F614^2-G614^2</f>
        <v>0.71445216886040674</v>
      </c>
      <c r="J614" s="157">
        <f>2*F614*G614</f>
        <v>0.4999646096336639</v>
      </c>
      <c r="K614" s="157">
        <f>I614^2-J614^2</f>
        <v>0.26047729070319714</v>
      </c>
      <c r="L614" s="158">
        <f t="shared" ref="L614:L622" si="196">I614*J614</f>
        <v>0.35720079970621776</v>
      </c>
      <c r="N614" t="s">
        <v>390</v>
      </c>
      <c r="O614" s="172">
        <f>L623*B624-2*I623*J623</f>
        <v>-6.3641502938841299E-2</v>
      </c>
      <c r="Q614" s="156">
        <f t="array" ref="Q614:R622">MMULT(F614:G622,N618:O619)</f>
        <v>0.89031895338361389</v>
      </c>
      <c r="R614" s="158">
        <v>0.28168256900256006</v>
      </c>
    </row>
    <row r="615" spans="1:18" x14ac:dyDescent="0.25">
      <c r="A615" s="194">
        <v>0.79440992169284852</v>
      </c>
      <c r="B615" s="195">
        <v>-0.60126859608794081</v>
      </c>
      <c r="C615" s="195">
        <v>8.3557226708005708E-2</v>
      </c>
      <c r="D615" s="196">
        <v>-2.0177748617374484E-2</v>
      </c>
      <c r="F615" s="123">
        <f>INDEX(A615:D623,,F613)</f>
        <v>-0.60126859608794081</v>
      </c>
      <c r="G615" s="90">
        <f>INDEX(A614:D622,,G613)</f>
        <v>-2.0177748617374484E-2</v>
      </c>
      <c r="I615" s="123">
        <f t="shared" ref="I615:I622" si="197">F615^2-G615^2</f>
        <v>0.36111678310229733</v>
      </c>
      <c r="J615" s="37">
        <f t="shared" ref="J615:J622" si="198">2*F615*G615</f>
        <v>2.4264493166768288E-2</v>
      </c>
      <c r="K615" s="37">
        <f t="shared" ref="K615:K622" si="199">I615^2-J615^2</f>
        <v>0.12981656540951153</v>
      </c>
      <c r="L615" s="90">
        <f t="shared" si="196"/>
        <v>8.7623157159910404E-3</v>
      </c>
      <c r="N615" t="s">
        <v>392</v>
      </c>
      <c r="O615" s="173">
        <f>K623*B624-(I623^2-J623^2)</f>
        <v>14.109055953711575</v>
      </c>
      <c r="Q615" s="123">
        <v>-0.6012454600874868</v>
      </c>
      <c r="R615" s="90">
        <v>-2.0855764311470532E-2</v>
      </c>
    </row>
    <row r="616" spans="1:18" x14ac:dyDescent="0.25">
      <c r="A616" s="194">
        <v>0.98381550374791404</v>
      </c>
      <c r="B616" s="195">
        <v>0.11824690166067782</v>
      </c>
      <c r="C616" s="195">
        <v>0.11381152903450098</v>
      </c>
      <c r="D616" s="196">
        <v>7.191425930729449E-2</v>
      </c>
      <c r="F616" s="123">
        <f>INDEX(A616:D624,,F613)</f>
        <v>0.11824690166067782</v>
      </c>
      <c r="G616" s="90">
        <f>INDEX(A614:D622,,G613)</f>
        <v>7.191425930729449E-2</v>
      </c>
      <c r="I616" s="123">
        <f t="shared" si="197"/>
        <v>8.8106690606332173E-3</v>
      </c>
      <c r="J616" s="37">
        <f t="shared" si="198"/>
        <v>1.7007276696620274E-2</v>
      </c>
      <c r="K616" s="37">
        <f t="shared" si="199"/>
        <v>-2.1161957133940357E-4</v>
      </c>
      <c r="L616" s="90">
        <f t="shared" si="196"/>
        <v>1.4984548659654055E-4</v>
      </c>
      <c r="N616" t="s">
        <v>467</v>
      </c>
      <c r="O616" s="174">
        <f>0.25*ATAN(O614/O615)</f>
        <v>-1.1276635291964624E-3</v>
      </c>
      <c r="Q616" s="123">
        <v>0.11816573140756263</v>
      </c>
      <c r="R616" s="90">
        <v>7.2047556273495988E-2</v>
      </c>
    </row>
    <row r="617" spans="1:18" x14ac:dyDescent="0.25">
      <c r="A617" s="194">
        <v>4.9151384665896081E-2</v>
      </c>
      <c r="B617" s="195">
        <v>1.2192847072168219E-3</v>
      </c>
      <c r="C617" s="195">
        <v>7.9344130936402996E-2</v>
      </c>
      <c r="D617" s="196">
        <v>0.99563405105298375</v>
      </c>
      <c r="F617" s="123">
        <f>INDEX(A617:D625,,F613)</f>
        <v>1.2192847072168219E-3</v>
      </c>
      <c r="G617" s="90">
        <f>INDEX(A614:D622,,G613)</f>
        <v>0.99563405105298375</v>
      </c>
      <c r="I617" s="123">
        <f t="shared" si="197"/>
        <v>-0.99128567696097813</v>
      </c>
      <c r="J617" s="37">
        <f t="shared" si="198"/>
        <v>2.4279227448664713E-3</v>
      </c>
      <c r="K617" s="37">
        <f t="shared" si="199"/>
        <v>0.98264139853912968</v>
      </c>
      <c r="L617" s="90">
        <f t="shared" si="196"/>
        <v>-2.4067650417539162E-3</v>
      </c>
      <c r="Q617" s="123">
        <v>9.6543962132590545E-5</v>
      </c>
      <c r="R617" s="90">
        <v>0.99563479295906299</v>
      </c>
    </row>
    <row r="618" spans="1:18" x14ac:dyDescent="0.25">
      <c r="A618" s="194">
        <v>0.35415028744149202</v>
      </c>
      <c r="B618" s="195">
        <v>-0.11151330970308881</v>
      </c>
      <c r="C618" s="195">
        <v>0.88571130158812039</v>
      </c>
      <c r="D618" s="196">
        <v>0.27867157354715943</v>
      </c>
      <c r="F618" s="123">
        <f>INDEX(A618:D626,,F613)</f>
        <v>-0.11151330970308881</v>
      </c>
      <c r="G618" s="90">
        <f>INDEX(A614:D622,,G613)</f>
        <v>0.27867157354715943</v>
      </c>
      <c r="I618" s="123">
        <f t="shared" si="197"/>
        <v>-6.522262766231289E-2</v>
      </c>
      <c r="J618" s="37">
        <f t="shared" si="198"/>
        <v>-6.2151178972822962E-2</v>
      </c>
      <c r="K618" s="37">
        <f t="shared" si="199"/>
        <v>3.9122211146483139E-4</v>
      </c>
      <c r="L618" s="90">
        <f t="shared" si="196"/>
        <v>4.0536632049182021E-3</v>
      </c>
      <c r="N618" s="156">
        <f>COS(O616)</f>
        <v>0.99999936418754987</v>
      </c>
      <c r="O618" s="158">
        <f>-N619</f>
        <v>1.1276632902022818E-3</v>
      </c>
      <c r="Q618" s="123">
        <v>-0.1118274865050502</v>
      </c>
      <c r="R618" s="90">
        <v>0.27854564689858236</v>
      </c>
    </row>
    <row r="619" spans="1:18" x14ac:dyDescent="0.25">
      <c r="A619" s="194">
        <v>-3.1054870704394333E-2</v>
      </c>
      <c r="B619" s="195">
        <v>2.0812911433672497E-2</v>
      </c>
      <c r="C619" s="195">
        <v>0.99767594830499062</v>
      </c>
      <c r="D619" s="196">
        <v>-5.6965953840211851E-2</v>
      </c>
      <c r="F619" s="123">
        <f>INDEX(A619:D627,,F613)</f>
        <v>2.0812911433672497E-2</v>
      </c>
      <c r="G619" s="90">
        <f>INDEX(A614:D622,,G613)</f>
        <v>-5.6965953840211851E-2</v>
      </c>
      <c r="I619" s="123">
        <f t="shared" si="197"/>
        <v>-2.8119426145792521E-3</v>
      </c>
      <c r="J619" s="37">
        <f t="shared" si="198"/>
        <v>-2.3712547040220097E-3</v>
      </c>
      <c r="K619" s="37">
        <f t="shared" si="199"/>
        <v>2.2841723963402916E-6</v>
      </c>
      <c r="L619" s="90">
        <f t="shared" si="196"/>
        <v>6.6678321522610002E-6</v>
      </c>
      <c r="N619" s="91">
        <f>SIN(O616)</f>
        <v>-1.1276632902022818E-3</v>
      </c>
      <c r="O619" s="93">
        <f>N618</f>
        <v>0.99999936418754987</v>
      </c>
      <c r="Q619" s="123">
        <v>2.0877136615501248E-2</v>
      </c>
      <c r="R619" s="90">
        <v>-5.6942447664363183E-2</v>
      </c>
    </row>
    <row r="620" spans="1:18" x14ac:dyDescent="0.25">
      <c r="A620" s="194">
        <v>0.96183433342412783</v>
      </c>
      <c r="B620" s="195">
        <v>-2.1228985487946602E-2</v>
      </c>
      <c r="C620" s="195">
        <v>0.16710019949270941</v>
      </c>
      <c r="D620" s="196">
        <v>0.21564222348884438</v>
      </c>
      <c r="F620" s="123">
        <f>INDEX(A620:D628,,F613)</f>
        <v>-2.1228985487946602E-2</v>
      </c>
      <c r="G620" s="90">
        <f>INDEX(A614:D622,,G613)</f>
        <v>0.21564222348884438</v>
      </c>
      <c r="I620" s="123">
        <f t="shared" si="197"/>
        <v>-4.6050898726365259E-2</v>
      </c>
      <c r="J620" s="37">
        <f t="shared" si="198"/>
        <v>-9.1557312660664296E-3</v>
      </c>
      <c r="K620" s="37">
        <f t="shared" si="199"/>
        <v>2.036857858489523E-3</v>
      </c>
      <c r="L620" s="90">
        <f t="shared" si="196"/>
        <v>4.2162965329944115E-4</v>
      </c>
      <c r="Q620" s="123">
        <v>-2.1472143809539292E-2</v>
      </c>
      <c r="R620" s="90">
        <v>0.21561814723321091</v>
      </c>
    </row>
    <row r="621" spans="1:18" x14ac:dyDescent="0.25">
      <c r="A621" s="194">
        <v>0.67557802810412215</v>
      </c>
      <c r="B621" s="195">
        <v>-0.21956178841995089</v>
      </c>
      <c r="C621" s="195">
        <v>0.56785596859844156</v>
      </c>
      <c r="D621" s="196">
        <v>0.41584437946893615</v>
      </c>
      <c r="F621" s="123">
        <f>INDEX(A621:D629,,F613)</f>
        <v>-0.21956178841995089</v>
      </c>
      <c r="G621" s="90">
        <f>INDEX(A614:D622,,G613)</f>
        <v>0.41584437946893615</v>
      </c>
      <c r="I621" s="123">
        <f t="shared" si="197"/>
        <v>-0.12471916900173728</v>
      </c>
      <c r="J621" s="37">
        <f t="shared" si="198"/>
        <v>-0.18260707132116866</v>
      </c>
      <c r="K621" s="37">
        <f t="shared" si="199"/>
        <v>-1.779047138001047E-2</v>
      </c>
      <c r="L621" s="90">
        <f t="shared" si="196"/>
        <v>2.2774602189017126E-2</v>
      </c>
      <c r="Q621" s="123">
        <v>-0.22003058126099628</v>
      </c>
      <c r="R621" s="90">
        <v>0.41559652330117003</v>
      </c>
    </row>
    <row r="622" spans="1:18" x14ac:dyDescent="0.25">
      <c r="A622" s="200">
        <v>7.108105061860924E-2</v>
      </c>
      <c r="B622" s="201">
        <v>-0.92502626655094122</v>
      </c>
      <c r="C622" s="201">
        <v>-0.20518599632190085</v>
      </c>
      <c r="D622" s="202">
        <v>0.31172519523960679</v>
      </c>
      <c r="F622" s="91">
        <f>INDEX(A622:D630,,F613)</f>
        <v>-0.92502626655094122</v>
      </c>
      <c r="G622" s="93">
        <f>INDEX(A614:D622,,G613)</f>
        <v>0.31172519523960679</v>
      </c>
      <c r="I622" s="91">
        <f t="shared" si="197"/>
        <v>0.75850099646200198</v>
      </c>
      <c r="J622" s="92">
        <f t="shared" si="198"/>
        <v>-0.57670798708471338</v>
      </c>
      <c r="K622" s="92">
        <f t="shared" si="199"/>
        <v>0.24273165926654799</v>
      </c>
      <c r="L622" s="93">
        <f t="shared" si="196"/>
        <v>-0.43743358287135048</v>
      </c>
      <c r="Q622" s="91">
        <v>-0.92537719946702701</v>
      </c>
      <c r="R622" s="93">
        <v>0.31068187887758431</v>
      </c>
    </row>
    <row r="623" spans="1:18" x14ac:dyDescent="0.25">
      <c r="I623">
        <f>SUM(I614:I622)</f>
        <v>0.61279030251936661</v>
      </c>
      <c r="J623">
        <f>SUM(J614:J622)</f>
        <v>-0.28932892110687447</v>
      </c>
      <c r="K623">
        <f>SUM(K614:K622)</f>
        <v>1.6000951871093871</v>
      </c>
      <c r="L623">
        <f>SUM(L614:L622)</f>
        <v>-4.6470824124912047E-2</v>
      </c>
    </row>
    <row r="624" spans="1:18" x14ac:dyDescent="0.25">
      <c r="A624" s="47" t="s">
        <v>53</v>
      </c>
      <c r="B624">
        <f>COUNT(A614:A622)</f>
        <v>9</v>
      </c>
      <c r="I624" s="47" t="s">
        <v>462</v>
      </c>
      <c r="J624" s="47" t="s">
        <v>389</v>
      </c>
      <c r="K624" s="47" t="s">
        <v>469</v>
      </c>
      <c r="L624" s="47" t="s">
        <v>470</v>
      </c>
      <c r="N624" s="47"/>
    </row>
    <row r="626" spans="1:18" x14ac:dyDescent="0.25">
      <c r="A626">
        <v>1</v>
      </c>
      <c r="B626">
        <v>2</v>
      </c>
      <c r="C626">
        <v>3</v>
      </c>
      <c r="D626">
        <v>4</v>
      </c>
      <c r="F626">
        <v>3</v>
      </c>
      <c r="G626">
        <v>4</v>
      </c>
      <c r="I626" s="47" t="s">
        <v>207</v>
      </c>
      <c r="J626" s="47" t="s">
        <v>464</v>
      </c>
      <c r="K626" s="47" t="s">
        <v>465</v>
      </c>
      <c r="L626" s="47" t="s">
        <v>466</v>
      </c>
      <c r="Q626">
        <f>F626</f>
        <v>3</v>
      </c>
      <c r="R626">
        <f>G626</f>
        <v>4</v>
      </c>
    </row>
    <row r="627" spans="1:18" x14ac:dyDescent="0.25">
      <c r="A627" s="189">
        <f t="array" ref="A627:A635">IF(A626=$Q613,$Q614:$Q622,IF(A626=$R613,$R614:$R622,A614:A622))</f>
        <v>0.10959457320029248</v>
      </c>
      <c r="B627" s="190">
        <f t="array" ref="B627:B635">IF(B626=$Q613,$Q614:$Q622,IF(B626=$R613,$R614:$R622,B614:B622))</f>
        <v>0.89031895338361389</v>
      </c>
      <c r="C627" s="190">
        <f t="array" ref="C627:C635">IF(C626=$Q613,$Q614:$Q622,IF(C626=$R613,$R614:$R622,C614:C622))</f>
        <v>-0.34055267006892009</v>
      </c>
      <c r="D627" s="191">
        <f t="array" ref="D627:D635">IF(D626=$Q613,$Q614:$Q622,IF(D626=$R613,$R614:$R622,D614:D622))</f>
        <v>0.28168256900256006</v>
      </c>
      <c r="F627" s="156">
        <f>INDEX(A627:D635,,F626)</f>
        <v>-0.34055267006892009</v>
      </c>
      <c r="G627" s="158">
        <f>INDEX(A627:D635,,G626)</f>
        <v>0.28168256900256006</v>
      </c>
      <c r="I627" s="156">
        <f>F627^2-G627^2</f>
        <v>3.6631051411188748E-2</v>
      </c>
      <c r="J627" s="157">
        <f>2*F627*G627</f>
        <v>-0.19185550197138931</v>
      </c>
      <c r="K627" s="157">
        <f>I627^2-J627^2</f>
        <v>-3.5466699709204616E-2</v>
      </c>
      <c r="L627" s="158">
        <f t="shared" ref="L627:L635" si="200">I627*J627</f>
        <v>-7.0278687562333863E-3</v>
      </c>
      <c r="N627" t="s">
        <v>390</v>
      </c>
      <c r="O627" s="172">
        <f>L636*B637-2*I636*J636</f>
        <v>4.2880791260994089E-2</v>
      </c>
      <c r="Q627" s="156">
        <f t="array" ref="Q627:R635">MMULT(F627:G635,N631:O632)</f>
        <v>-0.3403766446748544</v>
      </c>
      <c r="R627" s="158">
        <v>0.2818952474428057</v>
      </c>
    </row>
    <row r="628" spans="1:18" x14ac:dyDescent="0.25">
      <c r="A628" s="194">
        <v>0.79440992169284852</v>
      </c>
      <c r="B628" s="195">
        <v>-0.6012454600874868</v>
      </c>
      <c r="C628" s="195">
        <v>8.3557226708005708E-2</v>
      </c>
      <c r="D628" s="196">
        <v>-2.0855764311470532E-2</v>
      </c>
      <c r="F628" s="123">
        <f>INDEX(A628:D636,,F626)</f>
        <v>8.3557226708005708E-2</v>
      </c>
      <c r="G628" s="90">
        <f>INDEX(A627:D635,,G626)</f>
        <v>-2.0855764311470532E-2</v>
      </c>
      <c r="I628" s="123">
        <f t="shared" ref="I628:I635" si="201">F628^2-G628^2</f>
        <v>6.5468472301174543E-3</v>
      </c>
      <c r="J628" s="37">
        <f t="shared" ref="J628:J635" si="202">2*F628*G628</f>
        <v>-3.4852996534845558E-3</v>
      </c>
      <c r="K628" s="37">
        <f t="shared" ref="K628:K635" si="203">I628^2-J628^2</f>
        <v>3.0713894979917015E-5</v>
      </c>
      <c r="L628" s="90">
        <f t="shared" si="200"/>
        <v>-2.2817724382544689E-5</v>
      </c>
      <c r="N628" t="s">
        <v>392</v>
      </c>
      <c r="O628" s="173">
        <f>K636*B637-(I636^2-J636^2)</f>
        <v>17.161311671946446</v>
      </c>
      <c r="Q628" s="123">
        <v>8.3544182412940884E-2</v>
      </c>
      <c r="R628" s="90">
        <v>-2.0907956024009834E-2</v>
      </c>
    </row>
    <row r="629" spans="1:18" x14ac:dyDescent="0.25">
      <c r="A629" s="194">
        <v>0.98381550374791404</v>
      </c>
      <c r="B629" s="195">
        <v>0.11816573140756263</v>
      </c>
      <c r="C629" s="195">
        <v>0.11381152903450098</v>
      </c>
      <c r="D629" s="196">
        <v>7.2047556273495988E-2</v>
      </c>
      <c r="F629" s="123">
        <f>INDEX(A629:D637,,F626)</f>
        <v>0.11381152903450098</v>
      </c>
      <c r="G629" s="90">
        <f>INDEX(A627:D635,,G626)</f>
        <v>7.2047556273495988E-2</v>
      </c>
      <c r="I629" s="123">
        <f t="shared" si="201"/>
        <v>7.7622137761884881E-3</v>
      </c>
      <c r="J629" s="37">
        <f t="shared" si="202"/>
        <v>1.6399685085371665E-2</v>
      </c>
      <c r="K629" s="37">
        <f t="shared" si="203"/>
        <v>-2.0869770819211149E-4</v>
      </c>
      <c r="L629" s="90">
        <f t="shared" si="200"/>
        <v>1.2729786149482482E-4</v>
      </c>
      <c r="N629" t="s">
        <v>467</v>
      </c>
      <c r="O629" s="174">
        <f>0.25*ATAN(O627/O628)</f>
        <v>6.2467110381296748E-4</v>
      </c>
      <c r="Q629" s="123">
        <v>0.11385651285265377</v>
      </c>
      <c r="R629" s="90">
        <v>7.1976447447669387E-2</v>
      </c>
    </row>
    <row r="630" spans="1:18" x14ac:dyDescent="0.25">
      <c r="A630" s="194">
        <v>4.9151384665896081E-2</v>
      </c>
      <c r="B630" s="195">
        <v>9.6543962132590545E-5</v>
      </c>
      <c r="C630" s="195">
        <v>7.9344130936402996E-2</v>
      </c>
      <c r="D630" s="196">
        <v>0.99563479295906299</v>
      </c>
      <c r="F630" s="123">
        <f>INDEX(A630:D638,,F626)</f>
        <v>7.9344130936402996E-2</v>
      </c>
      <c r="G630" s="90">
        <f>INDEX(A627:D635,,G626)</f>
        <v>0.99563479295906299</v>
      </c>
      <c r="I630" s="123">
        <f t="shared" si="201"/>
        <v>-0.98499314983658315</v>
      </c>
      <c r="J630" s="37">
        <f t="shared" si="202"/>
        <v>0.15799555475476476</v>
      </c>
      <c r="K630" s="37">
        <f t="shared" si="203"/>
        <v>0.9452489099027277</v>
      </c>
      <c r="L630" s="90">
        <f t="shared" si="200"/>
        <v>-0.15562453913807409</v>
      </c>
      <c r="Q630" s="123">
        <v>7.9966059700472394E-2</v>
      </c>
      <c r="R630" s="90">
        <v>0.99558503472112803</v>
      </c>
    </row>
    <row r="631" spans="1:18" x14ac:dyDescent="0.25">
      <c r="A631" s="194">
        <v>0.35415028744149202</v>
      </c>
      <c r="B631" s="195">
        <v>-0.1118274865050502</v>
      </c>
      <c r="C631" s="195">
        <v>0.88571130158812039</v>
      </c>
      <c r="D631" s="196">
        <v>0.27854564689858236</v>
      </c>
      <c r="F631" s="123">
        <f>INDEX(A631:D639,,F626)</f>
        <v>0.88571130158812039</v>
      </c>
      <c r="G631" s="90">
        <f>INDEX(A627:D635,,G626)</f>
        <v>0.27854564689858236</v>
      </c>
      <c r="I631" s="123">
        <f t="shared" si="201"/>
        <v>0.70689683235477263</v>
      </c>
      <c r="J631" s="37">
        <f t="shared" si="202"/>
        <v>0.49342205493249675</v>
      </c>
      <c r="K631" s="37">
        <f t="shared" si="203"/>
        <v>0.25623780729940371</v>
      </c>
      <c r="L631" s="90">
        <f t="shared" si="200"/>
        <v>0.34879848764576454</v>
      </c>
      <c r="N631" s="156">
        <f>COS(O629)</f>
        <v>0.99999980489301232</v>
      </c>
      <c r="O631" s="158">
        <f>-N632</f>
        <v>-6.2467106318706781E-4</v>
      </c>
      <c r="Q631" s="123">
        <v>0.88588512818505072</v>
      </c>
      <c r="R631" s="90">
        <v>0.27799231433194038</v>
      </c>
    </row>
    <row r="632" spans="1:18" x14ac:dyDescent="0.25">
      <c r="A632" s="194">
        <v>-3.1054870704394333E-2</v>
      </c>
      <c r="B632" s="195">
        <v>2.0877136615501248E-2</v>
      </c>
      <c r="C632" s="195">
        <v>0.99767594830499062</v>
      </c>
      <c r="D632" s="196">
        <v>-5.6942447664363183E-2</v>
      </c>
      <c r="F632" s="123">
        <f>INDEX(A632:D640,,F626)</f>
        <v>0.99767594830499062</v>
      </c>
      <c r="G632" s="90">
        <f>INDEX(A627:D635,,G626)</f>
        <v>-5.6942447664363183E-2</v>
      </c>
      <c r="I632" s="123">
        <f t="shared" si="201"/>
        <v>0.99211485548025358</v>
      </c>
      <c r="J632" s="37">
        <f t="shared" si="202"/>
        <v>-0.11362022094470167</v>
      </c>
      <c r="K632" s="37">
        <f t="shared" si="203"/>
        <v>0.97138233185708156</v>
      </c>
      <c r="L632" s="90">
        <f t="shared" si="200"/>
        <v>-0.11272430908218718</v>
      </c>
      <c r="N632" s="91">
        <f>SIN(O629)</f>
        <v>6.2467106318706781E-4</v>
      </c>
      <c r="O632" s="93">
        <f>N631</f>
        <v>0.99999980489301232</v>
      </c>
      <c r="Q632" s="123">
        <v>0.99764018335211868</v>
      </c>
      <c r="R632" s="90">
        <v>-5.7565655849837596E-2</v>
      </c>
    </row>
    <row r="633" spans="1:18" x14ac:dyDescent="0.25">
      <c r="A633" s="194">
        <v>0.96183433342412783</v>
      </c>
      <c r="B633" s="195">
        <v>-2.1472143809539292E-2</v>
      </c>
      <c r="C633" s="195">
        <v>0.16710019949270941</v>
      </c>
      <c r="D633" s="196">
        <v>0.21561814723321091</v>
      </c>
      <c r="F633" s="123">
        <f>INDEX(A633:D641,,F626)</f>
        <v>0.16710019949270941</v>
      </c>
      <c r="G633" s="90">
        <f>INDEX(A627:D635,,G626)</f>
        <v>0.21561814723321091</v>
      </c>
      <c r="I633" s="123">
        <f t="shared" si="201"/>
        <v>-1.8568708745779337E-2</v>
      </c>
      <c r="J633" s="37">
        <f t="shared" si="202"/>
        <v>7.2059670833835868E-2</v>
      </c>
      <c r="K633" s="37">
        <f t="shared" si="203"/>
        <v>-4.8477992161951936E-3</v>
      </c>
      <c r="L633" s="90">
        <f t="shared" si="200"/>
        <v>-1.3380550400302284E-3</v>
      </c>
      <c r="Q633" s="123">
        <v>0.16723485730756743</v>
      </c>
      <c r="R633" s="90">
        <v>0.21551372250532783</v>
      </c>
    </row>
    <row r="634" spans="1:18" x14ac:dyDescent="0.25">
      <c r="A634" s="194">
        <v>0.67557802810412215</v>
      </c>
      <c r="B634" s="195">
        <v>-0.22003058126099628</v>
      </c>
      <c r="C634" s="195">
        <v>0.56785596859844156</v>
      </c>
      <c r="D634" s="196">
        <v>0.41559652330117003</v>
      </c>
      <c r="F634" s="123">
        <f>INDEX(A634:D642,,F626)</f>
        <v>0.56785596859844156</v>
      </c>
      <c r="G634" s="90">
        <f>INDEX(A627:D635,,G626)</f>
        <v>0.41559652330117003</v>
      </c>
      <c r="I634" s="123">
        <f t="shared" si="201"/>
        <v>0.14973993089285431</v>
      </c>
      <c r="J634" s="37">
        <f t="shared" si="202"/>
        <v>0.47199793257066142</v>
      </c>
      <c r="K634" s="37">
        <f t="shared" si="203"/>
        <v>-0.20036000144718186</v>
      </c>
      <c r="L634" s="90">
        <f t="shared" si="200"/>
        <v>7.0676937804700954E-2</v>
      </c>
      <c r="Q634" s="123">
        <v>0.56811546892784148</v>
      </c>
      <c r="R634" s="90">
        <v>0.41524171902374274</v>
      </c>
    </row>
    <row r="635" spans="1:18" x14ac:dyDescent="0.25">
      <c r="A635" s="200">
        <v>7.108105061860924E-2</v>
      </c>
      <c r="B635" s="201">
        <v>-0.92537719946702701</v>
      </c>
      <c r="C635" s="201">
        <v>-0.20518599632190085</v>
      </c>
      <c r="D635" s="202">
        <v>0.31068187887758431</v>
      </c>
      <c r="F635" s="91">
        <f>INDEX(A635:D643,,F626)</f>
        <v>-0.20518599632190085</v>
      </c>
      <c r="G635" s="93">
        <f>INDEX(A627:D635,,G626)</f>
        <v>0.31068187887758431</v>
      </c>
      <c r="I635" s="91">
        <f t="shared" si="201"/>
        <v>-5.4421936776294866E-2</v>
      </c>
      <c r="J635" s="92">
        <f t="shared" si="202"/>
        <v>-0.12749514171331452</v>
      </c>
      <c r="K635" s="92">
        <f t="shared" si="203"/>
        <v>-1.3293263958015116E-2</v>
      </c>
      <c r="L635" s="93">
        <f t="shared" si="200"/>
        <v>6.9385325416067576E-3</v>
      </c>
      <c r="Q635" s="91">
        <v>-0.20499188230908777</v>
      </c>
      <c r="R635" s="93">
        <v>0.3108099920158523</v>
      </c>
    </row>
    <row r="636" spans="1:18" x14ac:dyDescent="0.25">
      <c r="I636">
        <f>SUM(I627:I635)</f>
        <v>0.84170793578671788</v>
      </c>
      <c r="J636">
        <f>SUM(J627:J635)</f>
        <v>0.77541873389424032</v>
      </c>
      <c r="K636">
        <f>SUM(K627:K635)</f>
        <v>1.9187233009154039</v>
      </c>
      <c r="L636">
        <f>SUM(L627:L635)</f>
        <v>0.14980366611265963</v>
      </c>
    </row>
    <row r="637" spans="1:18" x14ac:dyDescent="0.25">
      <c r="A637" s="47" t="s">
        <v>53</v>
      </c>
      <c r="B637">
        <f>COUNT(A627:A635)</f>
        <v>9</v>
      </c>
      <c r="I637" s="47" t="s">
        <v>462</v>
      </c>
      <c r="J637" s="47" t="s">
        <v>389</v>
      </c>
      <c r="K637" s="47" t="s">
        <v>469</v>
      </c>
      <c r="L637" s="47" t="s">
        <v>470</v>
      </c>
      <c r="N637" s="47"/>
    </row>
    <row r="639" spans="1:18" x14ac:dyDescent="0.25">
      <c r="A639">
        <v>1</v>
      </c>
      <c r="B639">
        <v>2</v>
      </c>
      <c r="C639">
        <v>3</v>
      </c>
      <c r="D639">
        <v>4</v>
      </c>
      <c r="F639">
        <v>1</v>
      </c>
      <c r="G639">
        <v>2</v>
      </c>
      <c r="I639" s="47" t="s">
        <v>207</v>
      </c>
      <c r="J639" s="47" t="s">
        <v>464</v>
      </c>
      <c r="K639" s="47" t="s">
        <v>465</v>
      </c>
      <c r="L639" s="47" t="s">
        <v>466</v>
      </c>
      <c r="Q639">
        <f>F639</f>
        <v>1</v>
      </c>
      <c r="R639">
        <f>G639</f>
        <v>2</v>
      </c>
    </row>
    <row r="640" spans="1:18" x14ac:dyDescent="0.25">
      <c r="A640" s="189">
        <f t="array" ref="A640:A648">IF(A639=$Q626,$Q627:$Q635,IF(A639=$R626,$R627:$R635,A627:A635))</f>
        <v>0.10959457320029248</v>
      </c>
      <c r="B640" s="190">
        <f t="array" ref="B640:B648">IF(B639=$Q626,$Q627:$Q635,IF(B639=$R626,$R627:$R635,B627:B635))</f>
        <v>0.89031895338361389</v>
      </c>
      <c r="C640" s="190">
        <f t="array" ref="C640:C648">IF(C639=$Q626,$Q627:$Q635,IF(C639=$R626,$R627:$R635,C627:C635))</f>
        <v>-0.3403766446748544</v>
      </c>
      <c r="D640" s="191">
        <f t="array" ref="D640:D648">IF(D639=$Q626,$Q627:$Q635,IF(D639=$R626,$R627:$R635,D627:D635))</f>
        <v>0.2818952474428057</v>
      </c>
      <c r="F640" s="156">
        <f>INDEX(A640:D648,,F639)</f>
        <v>0.10959457320029248</v>
      </c>
      <c r="G640" s="158">
        <f>INDEX(A640:D648,,G639)</f>
        <v>0.89031895338361389</v>
      </c>
      <c r="I640" s="156">
        <f>F640^2-G640^2</f>
        <v>-0.78065686827913938</v>
      </c>
      <c r="J640" s="157">
        <f>2*F640*G640</f>
        <v>0.19514825141641651</v>
      </c>
      <c r="K640" s="157">
        <f>I640^2-J640^2</f>
        <v>0.57134230596050861</v>
      </c>
      <c r="L640" s="158">
        <f t="shared" ref="L640:L648" si="204">I640*J640</f>
        <v>-0.15234382280088984</v>
      </c>
      <c r="N640" t="s">
        <v>390</v>
      </c>
      <c r="O640" s="172">
        <f>L649*B650-2*I649*J649</f>
        <v>4.2297553330289173E-2</v>
      </c>
      <c r="Q640" s="156">
        <f t="array" ref="Q640:R648">MMULT(F640:G648,N644:O645)</f>
        <v>0.11006121930548211</v>
      </c>
      <c r="R640" s="158">
        <v>0.89026138702857294</v>
      </c>
    </row>
    <row r="641" spans="1:18" x14ac:dyDescent="0.25">
      <c r="A641" s="194">
        <v>0.79440992169284852</v>
      </c>
      <c r="B641" s="195">
        <v>-0.6012454600874868</v>
      </c>
      <c r="C641" s="195">
        <v>8.3544182412940884E-2</v>
      </c>
      <c r="D641" s="196">
        <v>-2.0907956024009834E-2</v>
      </c>
      <c r="F641" s="123">
        <f>INDEX(A641:D649,,F639)</f>
        <v>0.79440992169284852</v>
      </c>
      <c r="G641" s="90">
        <f>INDEX(A640:D648,,G639)</f>
        <v>-0.6012454600874868</v>
      </c>
      <c r="I641" s="123">
        <f t="shared" ref="I641:I648" si="205">F641^2-G641^2</f>
        <v>0.26959102040822408</v>
      </c>
      <c r="J641" s="37">
        <f t="shared" ref="J641:J648" si="206">2*F641*G641</f>
        <v>-0.95527071773256211</v>
      </c>
      <c r="K641" s="37">
        <f t="shared" ref="K641:K648" si="207">I641^2-J641^2</f>
        <v>-0.83986282587253691</v>
      </c>
      <c r="L641" s="90">
        <f t="shared" si="204"/>
        <v>-0.25753240755961804</v>
      </c>
      <c r="N641" t="s">
        <v>392</v>
      </c>
      <c r="O641" s="173">
        <f>K649*B650-(I649^2-J649^2)</f>
        <v>20.174304049744624</v>
      </c>
      <c r="Q641" s="123">
        <v>0.79409466943486384</v>
      </c>
      <c r="R641" s="90">
        <v>-0.6016617678854006</v>
      </c>
    </row>
    <row r="642" spans="1:18" x14ac:dyDescent="0.25">
      <c r="A642" s="194">
        <v>0.98381550374791404</v>
      </c>
      <c r="B642" s="195">
        <v>0.11816573140756263</v>
      </c>
      <c r="C642" s="195">
        <v>0.11385651285265377</v>
      </c>
      <c r="D642" s="196">
        <v>7.1976447447669387E-2</v>
      </c>
      <c r="F642" s="123">
        <f>INDEX(A642:D650,,F639)</f>
        <v>0.98381550374791404</v>
      </c>
      <c r="G642" s="90">
        <f>INDEX(A640:D648,,G639)</f>
        <v>0.11816573140756263</v>
      </c>
      <c r="I642" s="123">
        <f t="shared" si="205"/>
        <v>0.95392980533567762</v>
      </c>
      <c r="J642" s="37">
        <f t="shared" si="206"/>
        <v>0.23250655714094387</v>
      </c>
      <c r="K642" s="37">
        <f t="shared" si="207"/>
        <v>0.85592277439422881</v>
      </c>
      <c r="L642" s="90">
        <f t="shared" si="204"/>
        <v>0.22179493479272919</v>
      </c>
      <c r="N642" t="s">
        <v>467</v>
      </c>
      <c r="O642" s="174">
        <f>0.25*ATAN(O640/O641)</f>
        <v>5.2415056362803154E-4</v>
      </c>
      <c r="Q642" s="123">
        <v>0.9838773052361075</v>
      </c>
      <c r="R642" s="90">
        <v>0.11765004774831843</v>
      </c>
    </row>
    <row r="643" spans="1:18" x14ac:dyDescent="0.25">
      <c r="A643" s="194">
        <v>4.9151384665896081E-2</v>
      </c>
      <c r="B643" s="195">
        <v>9.6543962132590545E-5</v>
      </c>
      <c r="C643" s="195">
        <v>7.9966059700472394E-2</v>
      </c>
      <c r="D643" s="196">
        <v>0.99558503472112803</v>
      </c>
      <c r="F643" s="123">
        <f>INDEX(A643:D651,,F639)</f>
        <v>4.9151384665896081E-2</v>
      </c>
      <c r="G643" s="90">
        <f>INDEX(A640:D648,,G639)</f>
        <v>9.6543962132590545E-5</v>
      </c>
      <c r="I643" s="123">
        <f t="shared" si="205"/>
        <v>2.41584929383826E-3</v>
      </c>
      <c r="J643" s="37">
        <f t="shared" si="206"/>
        <v>9.4905388398973255E-6</v>
      </c>
      <c r="K643" s="37">
        <f t="shared" si="207"/>
        <v>5.8362377402113485E-6</v>
      </c>
      <c r="L643" s="90">
        <f t="shared" si="204"/>
        <v>2.2927711554510532E-8</v>
      </c>
      <c r="Q643" s="123">
        <v>4.9151428517692414E-2</v>
      </c>
      <c r="R643" s="90">
        <v>7.0781224074566436E-5</v>
      </c>
    </row>
    <row r="644" spans="1:18" x14ac:dyDescent="0.25">
      <c r="A644" s="194">
        <v>0.35415028744149202</v>
      </c>
      <c r="B644" s="195">
        <v>-0.1118274865050502</v>
      </c>
      <c r="C644" s="195">
        <v>0.88588512818505072</v>
      </c>
      <c r="D644" s="196">
        <v>0.27799231433194038</v>
      </c>
      <c r="F644" s="123">
        <f>INDEX(A644:D652,,F639)</f>
        <v>0.35415028744149202</v>
      </c>
      <c r="G644" s="90">
        <f>INDEX(A640:D648,,G639)</f>
        <v>-0.1118274865050502</v>
      </c>
      <c r="I644" s="123">
        <f t="shared" si="205"/>
        <v>0.11291703935685425</v>
      </c>
      <c r="J644" s="37">
        <f t="shared" si="206"/>
        <v>-7.9207472979246199E-2</v>
      </c>
      <c r="K644" s="37">
        <f t="shared" si="207"/>
        <v>6.476434001359355E-3</v>
      </c>
      <c r="L644" s="90">
        <f t="shared" si="204"/>
        <v>-8.9438733437545125E-3</v>
      </c>
      <c r="N644" s="156">
        <f>COS(O642)</f>
        <v>0.99999986263309648</v>
      </c>
      <c r="O644" s="158">
        <f>-N645</f>
        <v>-5.2415053962771797E-4</v>
      </c>
      <c r="Q644" s="123">
        <v>0.35409162435556679</v>
      </c>
      <c r="R644" s="90">
        <v>-0.11201309920792643</v>
      </c>
    </row>
    <row r="645" spans="1:18" x14ac:dyDescent="0.25">
      <c r="A645" s="194">
        <v>-3.1054870704394333E-2</v>
      </c>
      <c r="B645" s="195">
        <v>2.0877136615501248E-2</v>
      </c>
      <c r="C645" s="195">
        <v>0.99764018335211868</v>
      </c>
      <c r="D645" s="196">
        <v>-5.7565655849837596E-2</v>
      </c>
      <c r="F645" s="123">
        <f>INDEX(A645:D653,,F639)</f>
        <v>-3.1054870704394333E-2</v>
      </c>
      <c r="G645" s="90">
        <f>INDEX(A640:D648,,G639)</f>
        <v>2.0877136615501248E-2</v>
      </c>
      <c r="I645" s="123">
        <f t="shared" si="205"/>
        <v>5.2855016120434656E-4</v>
      </c>
      <c r="J645" s="37">
        <f t="shared" si="206"/>
        <v>-1.296673556544736E-3</v>
      </c>
      <c r="K645" s="37">
        <f t="shared" si="207"/>
        <v>-1.401997039333234E-6</v>
      </c>
      <c r="L645" s="90">
        <f t="shared" si="204"/>
        <v>-6.853570173411336E-7</v>
      </c>
      <c r="N645" s="91">
        <f>SIN(O642)</f>
        <v>5.2415053962771797E-4</v>
      </c>
      <c r="O645" s="93">
        <f>N644</f>
        <v>0.99999986263309648</v>
      </c>
      <c r="Q645" s="123">
        <v>-3.1043923676060011E-2</v>
      </c>
      <c r="R645" s="90">
        <v>2.0893411174911416E-2</v>
      </c>
    </row>
    <row r="646" spans="1:18" x14ac:dyDescent="0.25">
      <c r="A646" s="194">
        <v>0.96183433342412783</v>
      </c>
      <c r="B646" s="195">
        <v>-2.1472143809539292E-2</v>
      </c>
      <c r="C646" s="195">
        <v>0.16723485730756743</v>
      </c>
      <c r="D646" s="196">
        <v>0.21551372250532783</v>
      </c>
      <c r="F646" s="123">
        <f>INDEX(A646:D654,,F639)</f>
        <v>0.96183433342412783</v>
      </c>
      <c r="G646" s="90">
        <f>INDEX(A640:D648,,G639)</f>
        <v>-2.1472143809539292E-2</v>
      </c>
      <c r="I646" s="123">
        <f t="shared" si="205"/>
        <v>0.92466423199365877</v>
      </c>
      <c r="J646" s="37">
        <f t="shared" si="206"/>
        <v>-4.1305290256470478E-2</v>
      </c>
      <c r="K646" s="37">
        <f t="shared" si="207"/>
        <v>0.85329781492525147</v>
      </c>
      <c r="L646" s="90">
        <f t="shared" si="204"/>
        <v>-3.8193524492274429E-2</v>
      </c>
      <c r="Q646" s="123">
        <v>0.96182294666415902</v>
      </c>
      <c r="R646" s="90">
        <v>-2.1976286844874109E-2</v>
      </c>
    </row>
    <row r="647" spans="1:18" x14ac:dyDescent="0.25">
      <c r="A647" s="194">
        <v>0.67557802810412215</v>
      </c>
      <c r="B647" s="195">
        <v>-0.22003058126099628</v>
      </c>
      <c r="C647" s="195">
        <v>0.56811546892784148</v>
      </c>
      <c r="D647" s="196">
        <v>0.41524171902374274</v>
      </c>
      <c r="F647" s="123">
        <f>INDEX(A647:D655,,F639)</f>
        <v>0.67557802810412215</v>
      </c>
      <c r="G647" s="90">
        <f>INDEX(A640:D648,,G639)</f>
        <v>-0.22003058126099628</v>
      </c>
      <c r="I647" s="123">
        <f t="shared" si="205"/>
        <v>0.4079922153670022</v>
      </c>
      <c r="J647" s="37">
        <f t="shared" si="206"/>
        <v>-0.29729565242181538</v>
      </c>
      <c r="K647" s="37">
        <f t="shared" si="207"/>
        <v>7.8072942851161439E-2</v>
      </c>
      <c r="L647" s="90">
        <f t="shared" si="204"/>
        <v>-0.12129431185055473</v>
      </c>
      <c r="Q647" s="123">
        <v>0.67546260615415776</v>
      </c>
      <c r="R647" s="90">
        <v>-0.22038465562406806</v>
      </c>
    </row>
    <row r="648" spans="1:18" x14ac:dyDescent="0.25">
      <c r="A648" s="200">
        <v>7.108105061860924E-2</v>
      </c>
      <c r="B648" s="201">
        <v>-0.92537719946702701</v>
      </c>
      <c r="C648" s="201">
        <v>-0.20499188230908777</v>
      </c>
      <c r="D648" s="202">
        <v>0.3108099920158523</v>
      </c>
      <c r="F648" s="91">
        <f>INDEX(A648:D656,,F639)</f>
        <v>7.108105061860924E-2</v>
      </c>
      <c r="G648" s="93">
        <f>INDEX(A640:D648,,G639)</f>
        <v>-0.92537719946702701</v>
      </c>
      <c r="I648" s="91">
        <f t="shared" si="205"/>
        <v>-0.85127044553639264</v>
      </c>
      <c r="J648" s="92">
        <f t="shared" si="206"/>
        <v>-0.1315535671132452</v>
      </c>
      <c r="K648" s="92">
        <f t="shared" si="207"/>
        <v>0.70735503042350933</v>
      </c>
      <c r="L648" s="93">
        <f t="shared" si="204"/>
        <v>0.11198766368839397</v>
      </c>
      <c r="Q648" s="91">
        <v>7.0596003895965584E-2</v>
      </c>
      <c r="R648" s="93">
        <v>-0.92541432952186564</v>
      </c>
    </row>
    <row r="649" spans="1:18" x14ac:dyDescent="0.25">
      <c r="I649">
        <f>SUM(I640:I648)</f>
        <v>1.0401113981009273</v>
      </c>
      <c r="J649">
        <f>SUM(J640:J648)</f>
        <v>-1.078265074963684</v>
      </c>
      <c r="K649">
        <f>SUM(K640:K648)</f>
        <v>2.2326089109241831</v>
      </c>
      <c r="L649">
        <f>SUM(L640:L648)</f>
        <v>-0.24452600399527419</v>
      </c>
    </row>
    <row r="650" spans="1:18" x14ac:dyDescent="0.25">
      <c r="A650" s="47" t="s">
        <v>53</v>
      </c>
      <c r="B650">
        <f>COUNT(A640:A648)</f>
        <v>9</v>
      </c>
      <c r="I650" s="47" t="s">
        <v>462</v>
      </c>
      <c r="J650" s="47" t="s">
        <v>389</v>
      </c>
      <c r="K650" s="47" t="s">
        <v>469</v>
      </c>
      <c r="L650" s="47" t="s">
        <v>470</v>
      </c>
      <c r="N650" s="47"/>
    </row>
    <row r="652" spans="1:18" x14ac:dyDescent="0.25">
      <c r="A652">
        <v>1</v>
      </c>
      <c r="B652">
        <v>2</v>
      </c>
      <c r="C652">
        <v>3</v>
      </c>
      <c r="D652">
        <v>4</v>
      </c>
      <c r="F652">
        <v>1</v>
      </c>
      <c r="G652">
        <v>3</v>
      </c>
      <c r="I652" s="47" t="s">
        <v>207</v>
      </c>
      <c r="J652" s="47" t="s">
        <v>464</v>
      </c>
      <c r="K652" s="47" t="s">
        <v>465</v>
      </c>
      <c r="L652" s="47" t="s">
        <v>466</v>
      </c>
      <c r="Q652">
        <f>F652</f>
        <v>1</v>
      </c>
      <c r="R652">
        <f>G652</f>
        <v>3</v>
      </c>
    </row>
    <row r="653" spans="1:18" x14ac:dyDescent="0.25">
      <c r="A653" s="189">
        <f t="array" ref="A653:A661">IF(A652=$Q639,$Q640:$Q648,IF(A652=$R639,$R640:$R648,A640:A648))</f>
        <v>0.11006121930548211</v>
      </c>
      <c r="B653" s="190">
        <f t="array" ref="B653:B661">IF(B652=$Q639,$Q640:$Q648,IF(B652=$R639,$R640:$R648,B640:B648))</f>
        <v>0.89026138702857294</v>
      </c>
      <c r="C653" s="190">
        <f t="array" ref="C653:C661">IF(C652=$Q639,$Q640:$Q648,IF(C652=$R639,$R640:$R648,C640:C648))</f>
        <v>-0.3403766446748544</v>
      </c>
      <c r="D653" s="191">
        <f t="array" ref="D653:D661">IF(D652=$Q639,$Q640:$Q648,IF(D652=$R639,$R640:$R648,D640:D648))</f>
        <v>0.2818952474428057</v>
      </c>
      <c r="F653" s="156">
        <f>INDEX(A653:D661,,F652)</f>
        <v>0.11006121930548211</v>
      </c>
      <c r="G653" s="158">
        <f>INDEX(A653:D661,,G652)</f>
        <v>-0.3403766446748544</v>
      </c>
      <c r="I653" s="156">
        <f>F653^2-G653^2</f>
        <v>-0.10374278824510266</v>
      </c>
      <c r="J653" s="157">
        <f>2*F653*G653</f>
        <v>-7.4924537072046618E-2</v>
      </c>
      <c r="K653" s="157">
        <f>I653^2-J653^2</f>
        <v>5.1488798574077224E-3</v>
      </c>
      <c r="L653" s="158">
        <f t="shared" ref="L653:L661" si="208">I653*J653</f>
        <v>7.7728803838276765E-3</v>
      </c>
      <c r="N653" t="s">
        <v>390</v>
      </c>
      <c r="O653" s="172">
        <f>L662*B663-2*I662*J662</f>
        <v>-5.4997119275337347E-3</v>
      </c>
      <c r="Q653" s="156">
        <f t="array" ref="Q653:R661">MMULT(F653:G661,N657:O658)</f>
        <v>0.11008026901013279</v>
      </c>
      <c r="R653" s="158">
        <v>-0.34037048433990025</v>
      </c>
    </row>
    <row r="654" spans="1:18" x14ac:dyDescent="0.25">
      <c r="A654" s="194">
        <v>0.79409466943486384</v>
      </c>
      <c r="B654" s="195">
        <v>-0.6016617678854006</v>
      </c>
      <c r="C654" s="195">
        <v>8.3544182412940884E-2</v>
      </c>
      <c r="D654" s="196">
        <v>-2.0907956024009834E-2</v>
      </c>
      <c r="F654" s="123">
        <f>INDEX(A654:D662,,F652)</f>
        <v>0.79409466943486384</v>
      </c>
      <c r="G654" s="90">
        <f>INDEX(A653:D661,,G652)</f>
        <v>8.3544182412940884E-2</v>
      </c>
      <c r="I654" s="123">
        <f t="shared" ref="I654:I661" si="209">F654^2-G654^2</f>
        <v>0.6236067136098189</v>
      </c>
      <c r="J654" s="37">
        <f t="shared" ref="J654:J661" si="210">2*F654*G654</f>
        <v>0.13268397983282051</v>
      </c>
      <c r="K654" s="37">
        <f t="shared" ref="K654:K661" si="211">I654^2-J654^2</f>
        <v>0.37128029475496238</v>
      </c>
      <c r="L654" s="90">
        <f t="shared" si="208"/>
        <v>8.2742620612216683E-2</v>
      </c>
      <c r="N654" t="s">
        <v>392</v>
      </c>
      <c r="O654" s="173">
        <f>K662*B663-(I662^2-J662^2)</f>
        <v>24.566739433518258</v>
      </c>
      <c r="Q654" s="123">
        <v>0.79408999246967227</v>
      </c>
      <c r="R654" s="90">
        <v>8.3588625418941964E-2</v>
      </c>
    </row>
    <row r="655" spans="1:18" x14ac:dyDescent="0.25">
      <c r="A655" s="194">
        <v>0.9838773052361075</v>
      </c>
      <c r="B655" s="195">
        <v>0.11765004774831843</v>
      </c>
      <c r="C655" s="195">
        <v>0.11385651285265377</v>
      </c>
      <c r="D655" s="196">
        <v>7.1976447447669387E-2</v>
      </c>
      <c r="F655" s="123">
        <f>INDEX(A655:D663,,F652)</f>
        <v>0.9838773052361075</v>
      </c>
      <c r="G655" s="90">
        <f>INDEX(A653:D661,,G652)</f>
        <v>0.11385651285265377</v>
      </c>
      <c r="I655" s="123">
        <f t="shared" si="209"/>
        <v>0.95505124623969817</v>
      </c>
      <c r="J655" s="37">
        <f t="shared" si="210"/>
        <v>0.22404167809809847</v>
      </c>
      <c r="K655" s="37">
        <f t="shared" si="211"/>
        <v>0.86192820941898862</v>
      </c>
      <c r="L655" s="90">
        <f t="shared" si="208"/>
        <v>0.21397128387722222</v>
      </c>
      <c r="N655" t="s">
        <v>467</v>
      </c>
      <c r="O655" s="174">
        <f>0.25*ATAN(O653/O654)</f>
        <v>-5.5967051005492386E-5</v>
      </c>
      <c r="Q655" s="123">
        <v>0.98387093148194393</v>
      </c>
      <c r="R655" s="90">
        <v>0.11391157738563332</v>
      </c>
    </row>
    <row r="656" spans="1:18" x14ac:dyDescent="0.25">
      <c r="A656" s="194">
        <v>4.9151428517692414E-2</v>
      </c>
      <c r="B656" s="195">
        <v>7.0781224074566436E-5</v>
      </c>
      <c r="C656" s="195">
        <v>7.9966059700472394E-2</v>
      </c>
      <c r="D656" s="196">
        <v>0.99558503472112803</v>
      </c>
      <c r="F656" s="123">
        <f>INDEX(A656:D664,,F652)</f>
        <v>4.9151428517692414E-2</v>
      </c>
      <c r="G656" s="90">
        <f>INDEX(A653:D661,,G652)</f>
        <v>7.9966059700472394E-2</v>
      </c>
      <c r="I656" s="123">
        <f t="shared" si="209"/>
        <v>-3.978707778689688E-3</v>
      </c>
      <c r="J656" s="37">
        <f t="shared" si="210"/>
        <v>7.8608921344185852E-3</v>
      </c>
      <c r="K656" s="37">
        <f t="shared" si="211"/>
        <v>-4.5963509560758145E-5</v>
      </c>
      <c r="L656" s="90">
        <f t="shared" si="208"/>
        <v>-3.1276192682651806E-5</v>
      </c>
      <c r="Q656" s="123">
        <v>4.914695297617401E-2</v>
      </c>
      <c r="R656" s="90">
        <v>7.996881043573853E-2</v>
      </c>
    </row>
    <row r="657" spans="1:18" x14ac:dyDescent="0.25">
      <c r="A657" s="194">
        <v>0.35409162435556679</v>
      </c>
      <c r="B657" s="195">
        <v>-0.11201309920792643</v>
      </c>
      <c r="C657" s="195">
        <v>0.88588512818505072</v>
      </c>
      <c r="D657" s="196">
        <v>0.27799231433194038</v>
      </c>
      <c r="F657" s="123">
        <f>INDEX(A657:D665,,F652)</f>
        <v>0.35409162435556679</v>
      </c>
      <c r="G657" s="90">
        <f>INDEX(A653:D661,,G652)</f>
        <v>0.88588512818505072</v>
      </c>
      <c r="I657" s="123">
        <f t="shared" si="209"/>
        <v>-0.65941158190067983</v>
      </c>
      <c r="J657" s="37">
        <f t="shared" si="210"/>
        <v>0.62736900806296825</v>
      </c>
      <c r="K657" s="37">
        <f t="shared" si="211"/>
        <v>4.1231762066844257E-2</v>
      </c>
      <c r="L657" s="90">
        <f t="shared" si="208"/>
        <v>-0.41369439004226227</v>
      </c>
      <c r="N657" s="156">
        <f>COS(O655)</f>
        <v>0.99999999843384457</v>
      </c>
      <c r="O657" s="158">
        <f>-N658</f>
        <v>5.5967050976274689E-5</v>
      </c>
      <c r="Q657" s="123">
        <v>0.35404204342287604</v>
      </c>
      <c r="R657" s="90">
        <v>0.88590494426160749</v>
      </c>
    </row>
    <row r="658" spans="1:18" x14ac:dyDescent="0.25">
      <c r="A658" s="194">
        <v>-3.1043923676060011E-2</v>
      </c>
      <c r="B658" s="195">
        <v>2.0893411174911416E-2</v>
      </c>
      <c r="C658" s="195">
        <v>0.99764018335211868</v>
      </c>
      <c r="D658" s="196">
        <v>-5.7565655849837596E-2</v>
      </c>
      <c r="F658" s="123">
        <f>INDEX(A658:D666,,F652)</f>
        <v>-3.1043923676060011E-2</v>
      </c>
      <c r="G658" s="90">
        <f>INDEX(A653:D661,,G652)</f>
        <v>0.99764018335211868</v>
      </c>
      <c r="I658" s="123">
        <f t="shared" si="209"/>
        <v>-0.99432221024164402</v>
      </c>
      <c r="J658" s="37">
        <f t="shared" si="210"/>
        <v>-6.1941331416307373E-2</v>
      </c>
      <c r="K658" s="37">
        <f t="shared" si="211"/>
        <v>0.98483992924220332</v>
      </c>
      <c r="L658" s="90">
        <f t="shared" si="208"/>
        <v>6.1589641559172931E-2</v>
      </c>
      <c r="N658" s="91">
        <f>SIN(O655)</f>
        <v>-5.5967050976274689E-5</v>
      </c>
      <c r="O658" s="93">
        <f>N657</f>
        <v>0.99999999843384457</v>
      </c>
      <c r="Q658" s="123">
        <v>-3.1099758606438051E-2</v>
      </c>
      <c r="R658" s="90">
        <v>0.99763844435280025</v>
      </c>
    </row>
    <row r="659" spans="1:18" x14ac:dyDescent="0.25">
      <c r="A659" s="194">
        <v>0.96182294666415902</v>
      </c>
      <c r="B659" s="195">
        <v>-2.1976286844874109E-2</v>
      </c>
      <c r="C659" s="195">
        <v>0.16723485730756743</v>
      </c>
      <c r="D659" s="196">
        <v>0.21551372250532783</v>
      </c>
      <c r="F659" s="123">
        <f>INDEX(A659:D667,,F652)</f>
        <v>0.96182294666415902</v>
      </c>
      <c r="G659" s="90">
        <f>INDEX(A653:D661,,G652)</f>
        <v>0.16723485730756743</v>
      </c>
      <c r="I659" s="123">
        <f t="shared" si="209"/>
        <v>0.89713588323104321</v>
      </c>
      <c r="J659" s="37">
        <f t="shared" si="210"/>
        <v>0.32170064648104935</v>
      </c>
      <c r="K659" s="37">
        <f t="shared" si="211"/>
        <v>0.70136148703441892</v>
      </c>
      <c r="L659" s="90">
        <f t="shared" si="208"/>
        <v>0.28860919361677378</v>
      </c>
      <c r="Q659" s="123">
        <v>0.96181358551601082</v>
      </c>
      <c r="R659" s="90">
        <v>0.16728868743953776</v>
      </c>
    </row>
    <row r="660" spans="1:18" x14ac:dyDescent="0.25">
      <c r="A660" s="194">
        <v>0.67546260615415776</v>
      </c>
      <c r="B660" s="195">
        <v>-0.22038465562406806</v>
      </c>
      <c r="C660" s="195">
        <v>0.56811546892784148</v>
      </c>
      <c r="D660" s="196">
        <v>0.41524171902374274</v>
      </c>
      <c r="F660" s="123">
        <f>INDEX(A660:D668,,F652)</f>
        <v>0.67546260615415776</v>
      </c>
      <c r="G660" s="90">
        <f>INDEX(A653:D661,,G652)</f>
        <v>0.56811546892784148</v>
      </c>
      <c r="I660" s="123">
        <f t="shared" si="209"/>
        <v>0.1334945462774656</v>
      </c>
      <c r="J660" s="37">
        <f t="shared" si="210"/>
        <v>0.76748151047698254</v>
      </c>
      <c r="K660" s="37">
        <f t="shared" si="211"/>
        <v>-0.57120707503820434</v>
      </c>
      <c r="L660" s="90">
        <f t="shared" si="208"/>
        <v>0.10245459601746874</v>
      </c>
      <c r="Q660" s="123">
        <v>0.67543080934886846</v>
      </c>
      <c r="R660" s="90">
        <v>0.56815327168819552</v>
      </c>
    </row>
    <row r="661" spans="1:18" x14ac:dyDescent="0.25">
      <c r="A661" s="200">
        <v>7.0596003895965584E-2</v>
      </c>
      <c r="B661" s="201">
        <v>-0.92541432952186564</v>
      </c>
      <c r="C661" s="201">
        <v>-0.20499188230908777</v>
      </c>
      <c r="D661" s="202">
        <v>0.3108099920158523</v>
      </c>
      <c r="F661" s="91">
        <f>INDEX(A661:D669,,F652)</f>
        <v>7.0596003895965584E-2</v>
      </c>
      <c r="G661" s="93">
        <f>INDEX(A653:D661,,G652)</f>
        <v>-0.20499188230908777</v>
      </c>
      <c r="I661" s="91">
        <f t="shared" si="209"/>
        <v>-3.7037876046543704E-2</v>
      </c>
      <c r="J661" s="92">
        <f t="shared" si="210"/>
        <v>-2.8943215444267357E-2</v>
      </c>
      <c r="K661" s="92">
        <f t="shared" si="211"/>
        <v>5.3409454178585949E-4</v>
      </c>
      <c r="L661" s="93">
        <f t="shared" si="208"/>
        <v>1.0719952260131837E-3</v>
      </c>
      <c r="Q661" s="91">
        <v>7.0607476576528175E-2</v>
      </c>
      <c r="R661" s="93">
        <v>-0.20498793093788983</v>
      </c>
    </row>
    <row r="662" spans="1:18" x14ac:dyDescent="0.25">
      <c r="I662">
        <f>SUM(I653:I661)</f>
        <v>0.81079522514536595</v>
      </c>
      <c r="J662">
        <f>SUM(J653:J661)</f>
        <v>1.9153286311537165</v>
      </c>
      <c r="K662">
        <f>SUM(K653:K661)</f>
        <v>2.3950716183688461</v>
      </c>
      <c r="L662">
        <f>SUM(L653:L661)</f>
        <v>0.34448654505775028</v>
      </c>
    </row>
    <row r="663" spans="1:18" x14ac:dyDescent="0.25">
      <c r="A663" s="47" t="s">
        <v>53</v>
      </c>
      <c r="B663">
        <f>COUNT(A653:A661)</f>
        <v>9</v>
      </c>
      <c r="I663" s="47" t="s">
        <v>462</v>
      </c>
      <c r="J663" s="47" t="s">
        <v>389</v>
      </c>
      <c r="K663" s="47" t="s">
        <v>469</v>
      </c>
      <c r="L663" s="47" t="s">
        <v>470</v>
      </c>
      <c r="N663" s="47"/>
    </row>
    <row r="665" spans="1:18" x14ac:dyDescent="0.25">
      <c r="A665">
        <v>1</v>
      </c>
      <c r="B665">
        <v>2</v>
      </c>
      <c r="C665">
        <v>3</v>
      </c>
      <c r="D665">
        <v>4</v>
      </c>
      <c r="F665">
        <v>1</v>
      </c>
      <c r="G665">
        <v>4</v>
      </c>
      <c r="I665" s="47" t="s">
        <v>207</v>
      </c>
      <c r="J665" s="47" t="s">
        <v>464</v>
      </c>
      <c r="K665" s="47" t="s">
        <v>465</v>
      </c>
      <c r="L665" s="47" t="s">
        <v>466</v>
      </c>
      <c r="Q665">
        <f>F665</f>
        <v>1</v>
      </c>
      <c r="R665">
        <f>G665</f>
        <v>4</v>
      </c>
    </row>
    <row r="666" spans="1:18" x14ac:dyDescent="0.25">
      <c r="A666" s="189">
        <f t="array" ref="A666:A674">IF(A665=$Q652,$Q653:$Q661,IF(A665=$R652,$R653:$R661,A653:A661))</f>
        <v>0.11008026901013279</v>
      </c>
      <c r="B666" s="190">
        <f t="array" ref="B666:B674">IF(B665=$Q652,$Q653:$Q661,IF(B665=$R652,$R653:$R661,B653:B661))</f>
        <v>0.89026138702857294</v>
      </c>
      <c r="C666" s="190">
        <f t="array" ref="C666:C674">IF(C665=$Q652,$Q653:$Q661,IF(C665=$R652,$R653:$R661,C653:C661))</f>
        <v>-0.34037048433990025</v>
      </c>
      <c r="D666" s="191">
        <f t="array" ref="D666:D674">IF(D665=$Q652,$Q653:$Q661,IF(D665=$R652,$R653:$R661,D653:D661))</f>
        <v>0.2818952474428057</v>
      </c>
      <c r="F666" s="156">
        <f>INDEX(A666:D674,,F665)</f>
        <v>0.11008026901013279</v>
      </c>
      <c r="G666" s="158">
        <f>INDEX(A666:D674,,G665)</f>
        <v>0.2818952474428057</v>
      </c>
      <c r="I666" s="156">
        <f>F666^2-G666^2</f>
        <v>-6.7347264905497445E-2</v>
      </c>
      <c r="J666" s="157">
        <f>2*F666*G666</f>
        <v>6.2062209342363998E-2</v>
      </c>
      <c r="K666" s="157">
        <f>I666^2-J666^2</f>
        <v>6.8393626179583415E-4</v>
      </c>
      <c r="L666" s="158">
        <f t="shared" ref="L666:L674" si="212">I666*J666</f>
        <v>-4.1797200532006267E-3</v>
      </c>
      <c r="N666" t="s">
        <v>390</v>
      </c>
      <c r="O666" s="172">
        <f>L675*B676-2*I675*J675</f>
        <v>-3.0620002796841739E-2</v>
      </c>
      <c r="Q666" s="156">
        <f t="array" ref="Q666:R674">MMULT(F666:G674,N670:O671)</f>
        <v>0.1099862403871516</v>
      </c>
      <c r="R666" s="158">
        <v>0.28193194760736773</v>
      </c>
    </row>
    <row r="667" spans="1:18" x14ac:dyDescent="0.25">
      <c r="A667" s="194">
        <v>0.79408999246967227</v>
      </c>
      <c r="B667" s="195">
        <v>-0.6016617678854006</v>
      </c>
      <c r="C667" s="195">
        <v>8.3588625418941964E-2</v>
      </c>
      <c r="D667" s="196">
        <v>-2.0907956024009834E-2</v>
      </c>
      <c r="F667" s="123">
        <f>INDEX(A667:D675,,F665)</f>
        <v>0.79408999246967227</v>
      </c>
      <c r="G667" s="90">
        <f>INDEX(A666:D674,,G665)</f>
        <v>-2.0907956024009834E-2</v>
      </c>
      <c r="I667" s="123">
        <f t="shared" ref="I667:I674" si="213">F667^2-G667^2</f>
        <v>0.63014177351538214</v>
      </c>
      <c r="J667" s="37">
        <f t="shared" ref="J667:J674" si="214">2*F667*G667</f>
        <v>-3.3205597283324416E-2</v>
      </c>
      <c r="K667" s="37">
        <f t="shared" ref="K667:K674" si="215">I667^2-J667^2</f>
        <v>0.3959760430381688</v>
      </c>
      <c r="L667" s="90">
        <f t="shared" si="212"/>
        <v>-2.0924233962751601E-2</v>
      </c>
      <c r="N667" t="s">
        <v>392</v>
      </c>
      <c r="O667" s="173">
        <f>K675*B676-(I675^2-J675^2)</f>
        <v>22.950963837919559</v>
      </c>
      <c r="Q667" s="123">
        <v>0.79409692187691305</v>
      </c>
      <c r="R667" s="90">
        <v>-2.0643096453730581E-2</v>
      </c>
    </row>
    <row r="668" spans="1:18" x14ac:dyDescent="0.25">
      <c r="A668" s="194">
        <v>0.98387093148194393</v>
      </c>
      <c r="B668" s="195">
        <v>0.11765004774831843</v>
      </c>
      <c r="C668" s="195">
        <v>0.11391157738563332</v>
      </c>
      <c r="D668" s="196">
        <v>7.1976447447669387E-2</v>
      </c>
      <c r="F668" s="123">
        <f>INDEX(A668:D676,,F665)</f>
        <v>0.98387093148194393</v>
      </c>
      <c r="G668" s="90">
        <f>INDEX(A666:D674,,G665)</f>
        <v>7.1976447447669387E-2</v>
      </c>
      <c r="I668" s="123">
        <f t="shared" si="213"/>
        <v>0.96282140082796097</v>
      </c>
      <c r="J668" s="37">
        <f t="shared" si="214"/>
        <v>0.14163106879019932</v>
      </c>
      <c r="K668" s="37">
        <f t="shared" si="215"/>
        <v>0.90696569024566287</v>
      </c>
      <c r="L668" s="90">
        <f t="shared" si="212"/>
        <v>0.13636542405334101</v>
      </c>
      <c r="N668" t="s">
        <v>467</v>
      </c>
      <c r="O668" s="174">
        <f>0.25*ATAN(O666/O667)</f>
        <v>-3.3353702316936813E-4</v>
      </c>
      <c r="Q668" s="123">
        <v>0.98384686994605142</v>
      </c>
      <c r="R668" s="90">
        <v>7.2304600819674394E-2</v>
      </c>
    </row>
    <row r="669" spans="1:18" x14ac:dyDescent="0.25">
      <c r="A669" s="194">
        <v>4.914695297617401E-2</v>
      </c>
      <c r="B669" s="195">
        <v>7.0781224074566436E-5</v>
      </c>
      <c r="C669" s="195">
        <v>7.996881043573853E-2</v>
      </c>
      <c r="D669" s="196">
        <v>0.99558503472112803</v>
      </c>
      <c r="F669" s="123">
        <f>INDEX(A669:D677,,F665)</f>
        <v>4.914695297617401E-2</v>
      </c>
      <c r="G669" s="90">
        <f>INDEX(A666:D674,,G665)</f>
        <v>0.99558503472112803</v>
      </c>
      <c r="I669" s="123">
        <f t="shared" si="213"/>
        <v>-0.98877413837382744</v>
      </c>
      <c r="J669" s="37">
        <f t="shared" si="214"/>
        <v>9.7859941770443701E-2</v>
      </c>
      <c r="K669" s="37">
        <f t="shared" si="215"/>
        <v>0.96809772851359022</v>
      </c>
      <c r="L669" s="90">
        <f t="shared" si="212"/>
        <v>-9.6761379605383391E-2</v>
      </c>
      <c r="Q669" s="123">
        <v>4.8814885779813827E-2</v>
      </c>
      <c r="R669" s="90">
        <v>0.9956013716713209</v>
      </c>
    </row>
    <row r="670" spans="1:18" x14ac:dyDescent="0.25">
      <c r="A670" s="194">
        <v>0.35404204342287604</v>
      </c>
      <c r="B670" s="195">
        <v>-0.11201309920792643</v>
      </c>
      <c r="C670" s="195">
        <v>0.88590494426160749</v>
      </c>
      <c r="D670" s="196">
        <v>0.27799231433194038</v>
      </c>
      <c r="F670" s="123">
        <f>INDEX(A670:D678,,F665)</f>
        <v>0.35404204342287604</v>
      </c>
      <c r="G670" s="90">
        <f>INDEX(A666:D674,,G665)</f>
        <v>0.27799231433194038</v>
      </c>
      <c r="I670" s="123">
        <f t="shared" si="213"/>
        <v>4.8066041683417299E-2</v>
      </c>
      <c r="J670" s="37">
        <f t="shared" si="214"/>
        <v>0.19684193404386929</v>
      </c>
      <c r="K670" s="37">
        <f t="shared" si="215"/>
        <v>-3.6436402635018975E-2</v>
      </c>
      <c r="L670" s="90">
        <f t="shared" si="212"/>
        <v>9.4614126067970993E-3</v>
      </c>
      <c r="N670" s="156">
        <f>COS(O668)</f>
        <v>0.99999994437652762</v>
      </c>
      <c r="O670" s="158">
        <f>-N671</f>
        <v>3.3353701698520563E-4</v>
      </c>
      <c r="Q670" s="123">
        <v>0.35394930300256117</v>
      </c>
      <c r="R670" s="90">
        <v>0.2781103849960932</v>
      </c>
    </row>
    <row r="671" spans="1:18" x14ac:dyDescent="0.25">
      <c r="A671" s="194">
        <v>-3.1099758606438051E-2</v>
      </c>
      <c r="B671" s="195">
        <v>2.0893411174911416E-2</v>
      </c>
      <c r="C671" s="195">
        <v>0.99763844435280025</v>
      </c>
      <c r="D671" s="196">
        <v>-5.7565655849837596E-2</v>
      </c>
      <c r="F671" s="123">
        <f>INDEX(A671:D679,,F665)</f>
        <v>-3.1099758606438051E-2</v>
      </c>
      <c r="G671" s="90">
        <f>INDEX(A666:D674,,G665)</f>
        <v>-5.7565655849837596E-2</v>
      </c>
      <c r="I671" s="123">
        <f t="shared" si="213"/>
        <v>-2.3466097480432237E-3</v>
      </c>
      <c r="J671" s="37">
        <f t="shared" si="214"/>
        <v>3.5805560019024755E-3</v>
      </c>
      <c r="K671" s="37">
        <f t="shared" si="215"/>
        <v>-7.3138039731483588E-6</v>
      </c>
      <c r="L671" s="90">
        <f t="shared" si="212"/>
        <v>-8.4021676174790195E-6</v>
      </c>
      <c r="N671" s="91">
        <f>SIN(O668)</f>
        <v>-3.3353701698520563E-4</v>
      </c>
      <c r="O671" s="93">
        <f>N670</f>
        <v>0.99999994437652762</v>
      </c>
      <c r="Q671" s="123">
        <v>-3.1080556599428533E-2</v>
      </c>
      <c r="R671" s="90">
        <v>-5.757602556855048E-2</v>
      </c>
    </row>
    <row r="672" spans="1:18" x14ac:dyDescent="0.25">
      <c r="A672" s="194">
        <v>0.96181358551601082</v>
      </c>
      <c r="B672" s="195">
        <v>-2.1976286844874109E-2</v>
      </c>
      <c r="C672" s="195">
        <v>0.16728868743953776</v>
      </c>
      <c r="D672" s="196">
        <v>0.21551372250532783</v>
      </c>
      <c r="F672" s="123">
        <f>INDEX(A672:D680,,F665)</f>
        <v>0.96181358551601082</v>
      </c>
      <c r="G672" s="90">
        <f>INDEX(A666:D674,,G665)</f>
        <v>0.21551372250532783</v>
      </c>
      <c r="I672" s="123">
        <f t="shared" si="213"/>
        <v>0.87863920869506118</v>
      </c>
      <c r="J672" s="37">
        <f t="shared" si="214"/>
        <v>0.4145680523415039</v>
      </c>
      <c r="K672" s="37">
        <f t="shared" si="215"/>
        <v>0.60014018903405542</v>
      </c>
      <c r="L672" s="90">
        <f t="shared" si="212"/>
        <v>0.36425574545959172</v>
      </c>
      <c r="Q672" s="123">
        <v>0.9617416502124756</v>
      </c>
      <c r="R672" s="90">
        <v>0.21583451095191508</v>
      </c>
    </row>
    <row r="673" spans="1:18" x14ac:dyDescent="0.25">
      <c r="A673" s="194">
        <v>0.67543080934886846</v>
      </c>
      <c r="B673" s="195">
        <v>-0.22038465562406806</v>
      </c>
      <c r="C673" s="195">
        <v>0.56815327168819552</v>
      </c>
      <c r="D673" s="196">
        <v>0.41524171902374274</v>
      </c>
      <c r="F673" s="123">
        <f>INDEX(A673:D681,,F665)</f>
        <v>0.67543080934886846</v>
      </c>
      <c r="G673" s="90">
        <f>INDEX(A666:D674,,G665)</f>
        <v>0.41524171902374274</v>
      </c>
      <c r="I673" s="123">
        <f t="shared" si="213"/>
        <v>0.28378109299987453</v>
      </c>
      <c r="J673" s="37">
        <f t="shared" si="214"/>
        <v>0.56093410071124394</v>
      </c>
      <c r="K673" s="37">
        <f t="shared" si="215"/>
        <v>-0.23411535659652849</v>
      </c>
      <c r="L673" s="90">
        <f t="shared" si="212"/>
        <v>0.15918249220073849</v>
      </c>
      <c r="Q673" s="123">
        <v>0.67529227329477048</v>
      </c>
      <c r="R673" s="90">
        <v>0.41546697710388658</v>
      </c>
    </row>
    <row r="674" spans="1:18" x14ac:dyDescent="0.25">
      <c r="A674" s="200">
        <v>7.0607476576528175E-2</v>
      </c>
      <c r="B674" s="201">
        <v>-0.92541432952186564</v>
      </c>
      <c r="C674" s="201">
        <v>-0.20498793093788983</v>
      </c>
      <c r="D674" s="202">
        <v>0.3108099920158523</v>
      </c>
      <c r="F674" s="91">
        <f>INDEX(A674:D682,,F665)</f>
        <v>7.0607476576528175E-2</v>
      </c>
      <c r="G674" s="93">
        <f>INDEX(A666:D674,,G665)</f>
        <v>0.3108099920158523</v>
      </c>
      <c r="I674" s="91">
        <f t="shared" si="213"/>
        <v>-9.1617435388389193E-2</v>
      </c>
      <c r="J674" s="92">
        <f t="shared" si="214"/>
        <v>4.3891018462020398E-2</v>
      </c>
      <c r="K674" s="92">
        <f t="shared" si="215"/>
        <v>6.4673329655122536E-3</v>
      </c>
      <c r="L674" s="93">
        <f t="shared" si="212"/>
        <v>-4.0211825480747513E-3</v>
      </c>
      <c r="Q674" s="91">
        <v>7.050380601150899E-2</v>
      </c>
      <c r="R674" s="93">
        <v>0.31083352493463551</v>
      </c>
    </row>
    <row r="675" spans="1:18" x14ac:dyDescent="0.25">
      <c r="I675">
        <f>SUM(I666:I674)</f>
        <v>1.6533640693059388</v>
      </c>
      <c r="J675">
        <f>SUM(J666:J674)</f>
        <v>1.4881632841802228</v>
      </c>
      <c r="K675">
        <f>SUM(K666:K674)</f>
        <v>2.6077718470232649</v>
      </c>
      <c r="L675">
        <f>SUM(L666:L674)</f>
        <v>0.54337015598344052</v>
      </c>
    </row>
    <row r="676" spans="1:18" x14ac:dyDescent="0.25">
      <c r="A676" s="47" t="s">
        <v>53</v>
      </c>
      <c r="B676">
        <f>COUNT(A666:A674)</f>
        <v>9</v>
      </c>
      <c r="I676" s="47" t="s">
        <v>462</v>
      </c>
      <c r="J676" s="47" t="s">
        <v>389</v>
      </c>
      <c r="K676" s="47" t="s">
        <v>469</v>
      </c>
      <c r="L676" s="47" t="s">
        <v>470</v>
      </c>
      <c r="N676" s="47"/>
    </row>
    <row r="678" spans="1:18" x14ac:dyDescent="0.25">
      <c r="A678">
        <v>1</v>
      </c>
      <c r="B678">
        <v>2</v>
      </c>
      <c r="C678">
        <v>3</v>
      </c>
      <c r="D678">
        <v>4</v>
      </c>
      <c r="F678">
        <v>2</v>
      </c>
      <c r="G678">
        <v>3</v>
      </c>
      <c r="I678" s="47" t="s">
        <v>207</v>
      </c>
      <c r="J678" s="47" t="s">
        <v>464</v>
      </c>
      <c r="K678" s="47" t="s">
        <v>465</v>
      </c>
      <c r="L678" s="47" t="s">
        <v>466</v>
      </c>
      <c r="Q678">
        <f>F678</f>
        <v>2</v>
      </c>
      <c r="R678">
        <f>G678</f>
        <v>3</v>
      </c>
    </row>
    <row r="679" spans="1:18" x14ac:dyDescent="0.25">
      <c r="A679" s="189">
        <f t="array" ref="A679:A687">IF(A678=$Q665,$Q666:$Q674,IF(A678=$R665,$R666:$R674,A666:A674))</f>
        <v>0.1099862403871516</v>
      </c>
      <c r="B679" s="190">
        <f t="array" ref="B679:B687">IF(B678=$Q665,$Q666:$Q674,IF(B678=$R665,$R666:$R674,B666:B674))</f>
        <v>0.89026138702857294</v>
      </c>
      <c r="C679" s="190">
        <f t="array" ref="C679:C687">IF(C678=$Q665,$Q666:$Q674,IF(C678=$R665,$R666:$R674,C666:C674))</f>
        <v>-0.34037048433990025</v>
      </c>
      <c r="D679" s="191">
        <f t="array" ref="D679:D687">IF(D678=$Q665,$Q666:$Q674,IF(D678=$R665,$R666:$R674,D666:D674))</f>
        <v>0.28193194760736773</v>
      </c>
      <c r="F679" s="156">
        <f>INDEX(A679:D687,,F678)</f>
        <v>0.89026138702857294</v>
      </c>
      <c r="G679" s="158">
        <f>INDEX(A679:D687,,G678)</f>
        <v>-0.34037048433990025</v>
      </c>
      <c r="I679" s="156">
        <f>F679^2-G679^2</f>
        <v>0.67671327062426023</v>
      </c>
      <c r="J679" s="157">
        <f>2*F679*G679</f>
        <v>-0.60603739898405351</v>
      </c>
      <c r="K679" s="157">
        <f>I679^2-J679^2</f>
        <v>9.0659521671626386E-2</v>
      </c>
      <c r="L679" s="158">
        <f t="shared" ref="L679:L687" si="216">I679*J679</f>
        <v>-0.41011355038711855</v>
      </c>
      <c r="N679" t="s">
        <v>390</v>
      </c>
      <c r="O679" s="172">
        <f>L688*B689-2*I688*J688</f>
        <v>6.8169692588459785E-2</v>
      </c>
      <c r="Q679" s="156">
        <f t="array" ref="Q679:R687">MMULT(F679:G687,N683:O684)</f>
        <v>0.88998499135021203</v>
      </c>
      <c r="R679" s="158">
        <v>-0.34109253731968381</v>
      </c>
    </row>
    <row r="680" spans="1:18" x14ac:dyDescent="0.25">
      <c r="A680" s="194">
        <v>0.79409692187691305</v>
      </c>
      <c r="B680" s="195">
        <v>-0.6016617678854006</v>
      </c>
      <c r="C680" s="195">
        <v>8.3588625418941964E-2</v>
      </c>
      <c r="D680" s="196">
        <v>-2.0643096453730581E-2</v>
      </c>
      <c r="F680" s="123">
        <f>INDEX(A680:D688,,F678)</f>
        <v>-0.6016617678854006</v>
      </c>
      <c r="G680" s="90">
        <f>INDEX(A679:D687,,G678)</f>
        <v>8.3588625418941964E-2</v>
      </c>
      <c r="I680" s="123">
        <f t="shared" ref="I680:I687" si="217">F680^2-G680^2</f>
        <v>0.35500982463555747</v>
      </c>
      <c r="J680" s="37">
        <f t="shared" ref="J680:J687" si="218">2*F680*G680</f>
        <v>-0.10058416028934232</v>
      </c>
      <c r="K680" s="37">
        <f t="shared" ref="K680:K687" si="219">I680^2-J680^2</f>
        <v>0.11591480228665715</v>
      </c>
      <c r="L680" s="90">
        <f t="shared" si="216"/>
        <v>-3.5708365105434223E-2</v>
      </c>
      <c r="N680" t="s">
        <v>392</v>
      </c>
      <c r="O680" s="173">
        <f>K688*B689-(I688^2-J688^2)</f>
        <v>21.009266718935489</v>
      </c>
      <c r="Q680" s="123">
        <v>-0.60159376425548183</v>
      </c>
      <c r="R680" s="90">
        <v>8.4076655757312616E-2</v>
      </c>
    </row>
    <row r="681" spans="1:18" x14ac:dyDescent="0.25">
      <c r="A681" s="194">
        <v>0.98384686994605142</v>
      </c>
      <c r="B681" s="195">
        <v>0.11765004774831843</v>
      </c>
      <c r="C681" s="195">
        <v>0.11391157738563332</v>
      </c>
      <c r="D681" s="196">
        <v>7.2304600819674394E-2</v>
      </c>
      <c r="F681" s="123">
        <f>INDEX(A681:D689,,F678)</f>
        <v>0.11765004774831843</v>
      </c>
      <c r="G681" s="90">
        <f>INDEX(A679:D687,,G678)</f>
        <v>0.11391157738563332</v>
      </c>
      <c r="I681" s="123">
        <f t="shared" si="217"/>
        <v>8.6568627269847931E-4</v>
      </c>
      <c r="J681" s="37">
        <f t="shared" si="218"/>
        <v>2.6803405037012059E-2</v>
      </c>
      <c r="K681" s="37">
        <f t="shared" si="219"/>
        <v>-7.1767310885538483E-4</v>
      </c>
      <c r="L681" s="90">
        <f t="shared" si="216"/>
        <v>2.3203339802118614E-5</v>
      </c>
      <c r="N681" t="s">
        <v>467</v>
      </c>
      <c r="O681" s="174">
        <f>0.25*ATAN(O679/O680)</f>
        <v>8.1118315864506067E-4</v>
      </c>
      <c r="Q681" s="123">
        <v>0.11774241218340521</v>
      </c>
      <c r="R681" s="90">
        <v>0.11381610418081374</v>
      </c>
    </row>
    <row r="682" spans="1:18" x14ac:dyDescent="0.25">
      <c r="A682" s="194">
        <v>4.8814885779813827E-2</v>
      </c>
      <c r="B682" s="195">
        <v>7.0781224074566436E-5</v>
      </c>
      <c r="C682" s="195">
        <v>7.996881043573853E-2</v>
      </c>
      <c r="D682" s="196">
        <v>0.9956013716713209</v>
      </c>
      <c r="F682" s="123">
        <f>INDEX(A682:D690,,F678)</f>
        <v>7.0781224074566436E-5</v>
      </c>
      <c r="G682" s="90">
        <f>INDEX(A679:D687,,G678)</f>
        <v>7.996881043573853E-2</v>
      </c>
      <c r="I682" s="123">
        <f t="shared" si="217"/>
        <v>-6.3950056325254023E-3</v>
      </c>
      <c r="J682" s="37">
        <f t="shared" si="218"/>
        <v>1.1320580580857072E-5</v>
      </c>
      <c r="K682" s="37">
        <f t="shared" si="219"/>
        <v>4.089596888448693E-5</v>
      </c>
      <c r="L682" s="90">
        <f t="shared" si="216"/>
        <v>-7.2395176578038667E-8</v>
      </c>
      <c r="Q682" s="123">
        <v>1.3565054591505304E-4</v>
      </c>
      <c r="R682" s="90">
        <v>7.9968726708746329E-2</v>
      </c>
    </row>
    <row r="683" spans="1:18" x14ac:dyDescent="0.25">
      <c r="A683" s="194">
        <v>0.35394930300256117</v>
      </c>
      <c r="B683" s="195">
        <v>-0.11201309920792643</v>
      </c>
      <c r="C683" s="195">
        <v>0.88590494426160749</v>
      </c>
      <c r="D683" s="196">
        <v>0.2781103849960932</v>
      </c>
      <c r="F683" s="123">
        <f>INDEX(A683:D691,,F678)</f>
        <v>-0.11201309920792643</v>
      </c>
      <c r="G683" s="90">
        <f>INDEX(A679:D687,,G678)</f>
        <v>0.88590494426160749</v>
      </c>
      <c r="I683" s="123">
        <f t="shared" si="217"/>
        <v>-0.77228063587299711</v>
      </c>
      <c r="J683" s="37">
        <f t="shared" si="218"/>
        <v>-0.19846591682073594</v>
      </c>
      <c r="K683" s="37">
        <f t="shared" si="219"/>
        <v>0.55702866040490551</v>
      </c>
      <c r="L683" s="90">
        <f t="shared" si="216"/>
        <v>0.15327138444143532</v>
      </c>
      <c r="N683" s="156">
        <f>COS(O681)</f>
        <v>0.99999967099095965</v>
      </c>
      <c r="O683" s="158">
        <f>-N684</f>
        <v>-8.111830696828612E-4</v>
      </c>
      <c r="Q683" s="123">
        <v>-0.11129443126247079</v>
      </c>
      <c r="R683" s="90">
        <v>0.88599551592053216</v>
      </c>
    </row>
    <row r="684" spans="1:18" x14ac:dyDescent="0.25">
      <c r="A684" s="194">
        <v>-3.1080556599428533E-2</v>
      </c>
      <c r="B684" s="195">
        <v>2.0893411174911416E-2</v>
      </c>
      <c r="C684" s="195">
        <v>0.99763844435280025</v>
      </c>
      <c r="D684" s="196">
        <v>-5.757602556855048E-2</v>
      </c>
      <c r="F684" s="123">
        <f>INDEX(A684:D692,,F678)</f>
        <v>2.0893411174911416E-2</v>
      </c>
      <c r="G684" s="90">
        <f>INDEX(A679:D687,,G678)</f>
        <v>0.99763844435280025</v>
      </c>
      <c r="I684" s="123">
        <f t="shared" si="217"/>
        <v>-0.9948459310201514</v>
      </c>
      <c r="J684" s="37">
        <f t="shared" si="218"/>
        <v>4.1688140443524077E-2</v>
      </c>
      <c r="K684" s="37">
        <f t="shared" si="219"/>
        <v>0.98798052541371284</v>
      </c>
      <c r="L684" s="90">
        <f t="shared" si="216"/>
        <v>-4.1473276892036538E-2</v>
      </c>
      <c r="N684" s="91">
        <f>SIN(O681)</f>
        <v>8.111830696828612E-4</v>
      </c>
      <c r="O684" s="93">
        <f>N683</f>
        <v>0.99999967099095965</v>
      </c>
      <c r="Q684" s="123">
        <v>2.1702671716513994E-2</v>
      </c>
      <c r="R684" s="90">
        <v>0.99762116773932008</v>
      </c>
    </row>
    <row r="685" spans="1:18" x14ac:dyDescent="0.25">
      <c r="A685" s="194">
        <v>0.9617416502124756</v>
      </c>
      <c r="B685" s="195">
        <v>-2.1976286844874109E-2</v>
      </c>
      <c r="C685" s="195">
        <v>0.16728868743953776</v>
      </c>
      <c r="D685" s="196">
        <v>0.21583451095191508</v>
      </c>
      <c r="F685" s="123">
        <f>INDEX(A685:D693,,F678)</f>
        <v>-2.1976286844874109E-2</v>
      </c>
      <c r="G685" s="90">
        <f>INDEX(A679:D687,,G678)</f>
        <v>0.16728868743953776</v>
      </c>
      <c r="I685" s="123">
        <f t="shared" si="217"/>
        <v>-2.7502547761755172E-2</v>
      </c>
      <c r="J685" s="37">
        <f t="shared" si="218"/>
        <v>-7.3527683621475402E-3</v>
      </c>
      <c r="K685" s="37">
        <f t="shared" si="219"/>
        <v>7.0232693080022658E-4</v>
      </c>
      <c r="L685" s="90">
        <f t="shared" si="216"/>
        <v>2.0221986306108507E-4</v>
      </c>
      <c r="Q685" s="123">
        <v>-2.1840577863476644E-2</v>
      </c>
      <c r="R685" s="90">
        <v>0.16730645919187029</v>
      </c>
    </row>
    <row r="686" spans="1:18" x14ac:dyDescent="0.25">
      <c r="A686" s="194">
        <v>0.67529227329477048</v>
      </c>
      <c r="B686" s="195">
        <v>-0.22038465562406806</v>
      </c>
      <c r="C686" s="195">
        <v>0.56815327168819552</v>
      </c>
      <c r="D686" s="196">
        <v>0.41546697710388658</v>
      </c>
      <c r="F686" s="123">
        <f>INDEX(A686:D694,,F678)</f>
        <v>-0.22038465562406806</v>
      </c>
      <c r="G686" s="90">
        <f>INDEX(A679:D687,,G678)</f>
        <v>0.56815327168819552</v>
      </c>
      <c r="I686" s="123">
        <f t="shared" si="217"/>
        <v>-0.27422874369546146</v>
      </c>
      <c r="J686" s="37">
        <f t="shared" si="218"/>
        <v>-0.25042452624538108</v>
      </c>
      <c r="K686" s="37">
        <f t="shared" si="219"/>
        <v>1.248896052356753E-2</v>
      </c>
      <c r="L686" s="90">
        <f t="shared" si="216"/>
        <v>6.8673603222801971E-2</v>
      </c>
      <c r="Q686" s="123">
        <v>-0.2199237068005456</v>
      </c>
      <c r="R686" s="90">
        <v>0.56833185706209299</v>
      </c>
    </row>
    <row r="687" spans="1:18" x14ac:dyDescent="0.25">
      <c r="A687" s="200">
        <v>7.050380601150899E-2</v>
      </c>
      <c r="B687" s="201">
        <v>-0.92541432952186564</v>
      </c>
      <c r="C687" s="201">
        <v>-0.20498793093788983</v>
      </c>
      <c r="D687" s="202">
        <v>0.31083352493463551</v>
      </c>
      <c r="F687" s="91">
        <f>INDEX(A687:D695,,F678)</f>
        <v>-0.92541432952186564</v>
      </c>
      <c r="G687" s="93">
        <f>INDEX(A679:D687,,G678)</f>
        <v>-0.20498793093788983</v>
      </c>
      <c r="I687" s="91">
        <f t="shared" si="217"/>
        <v>0.81437162945420705</v>
      </c>
      <c r="J687" s="92">
        <f t="shared" si="218"/>
        <v>0.37939753733792364</v>
      </c>
      <c r="K687" s="92">
        <f t="shared" si="219"/>
        <v>0.51925865952181915</v>
      </c>
      <c r="L687" s="93">
        <f t="shared" si="216"/>
        <v>0.30897059069279825</v>
      </c>
      <c r="Q687" s="91">
        <v>-0.92558030779125133</v>
      </c>
      <c r="R687" s="93">
        <v>-0.20423718305845734</v>
      </c>
    </row>
    <row r="688" spans="1:18" x14ac:dyDescent="0.25">
      <c r="I688">
        <f>SUM(I679:I687)</f>
        <v>-0.22829245299616729</v>
      </c>
      <c r="J688">
        <f>SUM(J679:J687)</f>
        <v>-0.71496436730261959</v>
      </c>
      <c r="K688">
        <f>SUM(K679:K687)</f>
        <v>2.2833566796131182</v>
      </c>
      <c r="L688">
        <f>SUM(L679:L687)</f>
        <v>4.3845736780132816E-2</v>
      </c>
    </row>
    <row r="689" spans="1:18" x14ac:dyDescent="0.25">
      <c r="A689" s="47" t="s">
        <v>53</v>
      </c>
      <c r="B689">
        <f>COUNT(A679:A687)</f>
        <v>9</v>
      </c>
      <c r="I689" s="47" t="s">
        <v>462</v>
      </c>
      <c r="J689" s="47" t="s">
        <v>389</v>
      </c>
      <c r="K689" s="47" t="s">
        <v>469</v>
      </c>
      <c r="L689" s="47" t="s">
        <v>470</v>
      </c>
      <c r="N689" s="47"/>
    </row>
    <row r="691" spans="1:18" x14ac:dyDescent="0.25">
      <c r="A691">
        <v>1</v>
      </c>
      <c r="B691">
        <v>2</v>
      </c>
      <c r="C691">
        <v>3</v>
      </c>
      <c r="D691">
        <v>4</v>
      </c>
      <c r="F691">
        <v>2</v>
      </c>
      <c r="G691">
        <v>4</v>
      </c>
      <c r="I691" s="47" t="s">
        <v>207</v>
      </c>
      <c r="J691" s="47" t="s">
        <v>464</v>
      </c>
      <c r="K691" s="47" t="s">
        <v>465</v>
      </c>
      <c r="L691" s="47" t="s">
        <v>466</v>
      </c>
      <c r="Q691">
        <f>F691</f>
        <v>2</v>
      </c>
      <c r="R691">
        <f>G691</f>
        <v>4</v>
      </c>
    </row>
    <row r="692" spans="1:18" x14ac:dyDescent="0.25">
      <c r="A692" s="189">
        <f t="array" ref="A692:A700">IF(A691=$Q678,$Q679:$Q687,IF(A691=$R678,$R679:$R687,A679:A687))</f>
        <v>0.1099862403871516</v>
      </c>
      <c r="B692" s="190">
        <f t="array" ref="B692:B700">IF(B691=$Q678,$Q679:$Q687,IF(B691=$R678,$R679:$R687,B679:B687))</f>
        <v>0.88998499135021203</v>
      </c>
      <c r="C692" s="190">
        <f t="array" ref="C692:C700">IF(C691=$Q678,$Q679:$Q687,IF(C691=$R678,$R679:$R687,C679:C687))</f>
        <v>-0.34109253731968381</v>
      </c>
      <c r="D692" s="191">
        <f t="array" ref="D692:D700">IF(D691=$Q678,$Q679:$Q687,IF(D691=$R678,$R679:$R687,D679:D687))</f>
        <v>0.28193194760736773</v>
      </c>
      <c r="F692" s="156">
        <f>INDEX(A692:D700,,F691)</f>
        <v>0.88998499135021203</v>
      </c>
      <c r="G692" s="158">
        <f>INDEX(A692:D700,,G691)</f>
        <v>0.28193194760736773</v>
      </c>
      <c r="I692" s="156">
        <f>F692^2-G692^2</f>
        <v>0.71258766174695343</v>
      </c>
      <c r="J692" s="157">
        <f>2*F692*G692</f>
        <v>0.50183040390538325</v>
      </c>
      <c r="K692" s="157">
        <f>I692^2-J692^2</f>
        <v>0.25594742139015042</v>
      </c>
      <c r="L692" s="158">
        <f t="shared" ref="L692:L700" si="220">I692*J692</f>
        <v>0.35759815411246626</v>
      </c>
      <c r="N692" t="s">
        <v>390</v>
      </c>
      <c r="O692" s="172">
        <f>L701*B702-2*I701*J701</f>
        <v>-4.0219763699036681E-2</v>
      </c>
      <c r="Q692" s="156">
        <f t="array" ref="Q692:R700">MMULT(F692:G700,N696:O697)</f>
        <v>0.88978373543441036</v>
      </c>
      <c r="R692" s="158">
        <v>0.28256647371319116</v>
      </c>
    </row>
    <row r="693" spans="1:18" x14ac:dyDescent="0.25">
      <c r="A693" s="194">
        <v>0.79409692187691305</v>
      </c>
      <c r="B693" s="195">
        <v>-0.60159376425548183</v>
      </c>
      <c r="C693" s="195">
        <v>8.4076655757312616E-2</v>
      </c>
      <c r="D693" s="196">
        <v>-2.0643096453730581E-2</v>
      </c>
      <c r="F693" s="123">
        <f>INDEX(A693:D701,,F691)</f>
        <v>-0.60159376425548183</v>
      </c>
      <c r="G693" s="90">
        <f>INDEX(A692:D700,,G691)</f>
        <v>-2.0643096453730581E-2</v>
      </c>
      <c r="I693" s="123">
        <f t="shared" ref="I693:I700" si="221">F693^2-G693^2</f>
        <v>0.36148891975988223</v>
      </c>
      <c r="J693" s="37">
        <f t="shared" ref="J693:J700" si="222">2*F693*G693</f>
        <v>2.4837516202977535E-2</v>
      </c>
      <c r="K693" s="37">
        <f t="shared" ref="K693:K700" si="223">I693^2-J693^2</f>
        <v>0.13005733689803339</v>
      </c>
      <c r="L693" s="90">
        <f t="shared" si="220"/>
        <v>8.97848690173292E-3</v>
      </c>
      <c r="N693" t="s">
        <v>392</v>
      </c>
      <c r="O693" s="173">
        <f>K701*B702-(I701^2-J701^2)</f>
        <v>14.101406920535409</v>
      </c>
      <c r="Q693" s="123">
        <v>-0.60157889190083269</v>
      </c>
      <c r="R693" s="90">
        <v>-2.1072053569705658E-2</v>
      </c>
    </row>
    <row r="694" spans="1:18" x14ac:dyDescent="0.25">
      <c r="A694" s="194">
        <v>0.98384686994605142</v>
      </c>
      <c r="B694" s="195">
        <v>0.11774241218340521</v>
      </c>
      <c r="C694" s="195">
        <v>0.11381610418081374</v>
      </c>
      <c r="D694" s="196">
        <v>7.2304600819674394E-2</v>
      </c>
      <c r="F694" s="123">
        <f>INDEX(A694:D702,,F691)</f>
        <v>0.11774241218340521</v>
      </c>
      <c r="G694" s="90">
        <f>INDEX(A692:D700,,G691)</f>
        <v>7.2304600819674394E-2</v>
      </c>
      <c r="I694" s="123">
        <f t="shared" si="221"/>
        <v>8.6353203270744285E-3</v>
      </c>
      <c r="J694" s="37">
        <f t="shared" si="222"/>
        <v>1.7026636224933361E-2</v>
      </c>
      <c r="K694" s="37">
        <f t="shared" si="223"/>
        <v>-2.1533758398502821E-4</v>
      </c>
      <c r="L694" s="90">
        <f t="shared" si="220"/>
        <v>1.4703045789486887E-4</v>
      </c>
      <c r="N694" t="s">
        <v>467</v>
      </c>
      <c r="O694" s="174">
        <f>0.25*ATAN(O692/O693)</f>
        <v>-7.1304329533360719E-4</v>
      </c>
      <c r="Q694" s="123">
        <v>0.1176908259450081</v>
      </c>
      <c r="R694" s="90">
        <v>7.2388537869203823E-2</v>
      </c>
    </row>
    <row r="695" spans="1:18" x14ac:dyDescent="0.25">
      <c r="A695" s="194">
        <v>4.8814885779813827E-2</v>
      </c>
      <c r="B695" s="195">
        <v>1.3565054591505304E-4</v>
      </c>
      <c r="C695" s="195">
        <v>7.9968726708746329E-2</v>
      </c>
      <c r="D695" s="196">
        <v>0.9956013716713209</v>
      </c>
      <c r="F695" s="123">
        <f>INDEX(A695:D703,,F691)</f>
        <v>1.3565054591505304E-4</v>
      </c>
      <c r="G695" s="90">
        <f>INDEX(A692:D700,,G691)</f>
        <v>0.9956013716713209</v>
      </c>
      <c r="I695" s="123">
        <f t="shared" si="221"/>
        <v>-0.99122207287274511</v>
      </c>
      <c r="J695" s="37">
        <f t="shared" si="222"/>
        <v>2.701077391619806E-4</v>
      </c>
      <c r="K695" s="37">
        <f t="shared" si="223"/>
        <v>0.98252112479195086</v>
      </c>
      <c r="L695" s="90">
        <f t="shared" si="220"/>
        <v>-2.6773675311110915E-4</v>
      </c>
      <c r="Q695" s="123">
        <v>-5.742563113081651E-4</v>
      </c>
      <c r="R695" s="90">
        <v>0.99560121529886403</v>
      </c>
    </row>
    <row r="696" spans="1:18" x14ac:dyDescent="0.25">
      <c r="A696" s="194">
        <v>0.35394930300256117</v>
      </c>
      <c r="B696" s="195">
        <v>-0.11129443126247079</v>
      </c>
      <c r="C696" s="195">
        <v>0.88599551592053216</v>
      </c>
      <c r="D696" s="196">
        <v>0.2781103849960932</v>
      </c>
      <c r="F696" s="123">
        <f>INDEX(A696:D704,,F691)</f>
        <v>-0.11129443126247079</v>
      </c>
      <c r="G696" s="90">
        <f>INDEX(A692:D700,,G691)</f>
        <v>0.2781103849960932</v>
      </c>
      <c r="I696" s="123">
        <f t="shared" si="221"/>
        <v>-6.4958935812638341E-2</v>
      </c>
      <c r="J696" s="37">
        <f t="shared" si="222"/>
        <v>-6.1904274252653969E-2</v>
      </c>
      <c r="K696" s="37">
        <f t="shared" si="223"/>
        <v>3.8752417116267104E-4</v>
      </c>
      <c r="L696" s="90">
        <f t="shared" si="220"/>
        <v>4.0212357777061093E-3</v>
      </c>
      <c r="N696" s="156">
        <f>COS(O694)</f>
        <v>0.99999974578464024</v>
      </c>
      <c r="O696" s="158">
        <f>-N697</f>
        <v>7.1304323491142019E-4</v>
      </c>
      <c r="Q696" s="123">
        <v>-0.11149270769829699</v>
      </c>
      <c r="R696" s="90">
        <v>0.27803095655486659</v>
      </c>
    </row>
    <row r="697" spans="1:18" x14ac:dyDescent="0.25">
      <c r="A697" s="194">
        <v>-3.1080556599428533E-2</v>
      </c>
      <c r="B697" s="195">
        <v>2.1702671716513994E-2</v>
      </c>
      <c r="C697" s="195">
        <v>0.99762116773932008</v>
      </c>
      <c r="D697" s="196">
        <v>-5.757602556855048E-2</v>
      </c>
      <c r="F697" s="123">
        <f>INDEX(A697:D705,,F691)</f>
        <v>2.1702671716513994E-2</v>
      </c>
      <c r="G697" s="90">
        <f>INDEX(A692:D700,,G691)</f>
        <v>-5.757602556855048E-2</v>
      </c>
      <c r="I697" s="123">
        <f t="shared" si="221"/>
        <v>-2.8439927606356019E-3</v>
      </c>
      <c r="J697" s="37">
        <f t="shared" si="222"/>
        <v>-2.4991071633117339E-3</v>
      </c>
      <c r="K697" s="37">
        <f t="shared" si="223"/>
        <v>1.8427582088316902E-6</v>
      </c>
      <c r="L697" s="90">
        <f t="shared" si="220"/>
        <v>7.107442680511146E-6</v>
      </c>
      <c r="N697" s="91">
        <f>SIN(O694)</f>
        <v>-7.1304323491142019E-4</v>
      </c>
      <c r="O697" s="93">
        <f>N696</f>
        <v>0.99999974578464024</v>
      </c>
      <c r="Q697" s="123">
        <v>2.1743720394886236E-2</v>
      </c>
      <c r="R697" s="90">
        <v>-5.7560535988593467E-2</v>
      </c>
    </row>
    <row r="698" spans="1:18" x14ac:dyDescent="0.25">
      <c r="A698" s="194">
        <v>0.9617416502124756</v>
      </c>
      <c r="B698" s="195">
        <v>-2.1840577863476644E-2</v>
      </c>
      <c r="C698" s="195">
        <v>0.16730645919187029</v>
      </c>
      <c r="D698" s="196">
        <v>0.21583451095191508</v>
      </c>
      <c r="F698" s="123">
        <f>INDEX(A698:D706,,F691)</f>
        <v>-2.1840577863476644E-2</v>
      </c>
      <c r="G698" s="90">
        <f>INDEX(A692:D700,,G691)</f>
        <v>0.21583451095191508</v>
      </c>
      <c r="I698" s="123">
        <f t="shared" si="221"/>
        <v>-4.6107525276441762E-2</v>
      </c>
      <c r="J698" s="37">
        <f t="shared" si="222"/>
        <v>-9.4279008841414071E-3</v>
      </c>
      <c r="K698" s="37">
        <f t="shared" si="223"/>
        <v>2.0370185720365217E-3</v>
      </c>
      <c r="L698" s="90">
        <f t="shared" si="220"/>
        <v>4.3469717831933754E-4</v>
      </c>
      <c r="Q698" s="123">
        <v>-2.1994471649160963E-2</v>
      </c>
      <c r="R698" s="90">
        <v>0.21581888280717512</v>
      </c>
    </row>
    <row r="699" spans="1:18" x14ac:dyDescent="0.25">
      <c r="A699" s="194">
        <v>0.67529227329477048</v>
      </c>
      <c r="B699" s="195">
        <v>-0.2199237068005456</v>
      </c>
      <c r="C699" s="195">
        <v>0.56833185706209299</v>
      </c>
      <c r="D699" s="196">
        <v>0.41546697710388658</v>
      </c>
      <c r="F699" s="123">
        <f>INDEX(A699:D707,,F691)</f>
        <v>-0.2199237068005456</v>
      </c>
      <c r="G699" s="90">
        <f>INDEX(A692:D700,,G691)</f>
        <v>0.41546697710388658</v>
      </c>
      <c r="I699" s="123">
        <f t="shared" si="221"/>
        <v>-0.12424637225094906</v>
      </c>
      <c r="J699" s="37">
        <f t="shared" si="222"/>
        <v>-0.1827420753158083</v>
      </c>
      <c r="K699" s="37">
        <f t="shared" si="223"/>
        <v>-1.7957505073207147E-2</v>
      </c>
      <c r="L699" s="90">
        <f t="shared" si="220"/>
        <v>2.2705039915598888E-2</v>
      </c>
      <c r="Q699" s="123">
        <v>-0.22021989680991438</v>
      </c>
      <c r="R699" s="90">
        <v>0.41531005637446877</v>
      </c>
    </row>
    <row r="700" spans="1:18" x14ac:dyDescent="0.25">
      <c r="A700" s="200">
        <v>7.050380601150899E-2</v>
      </c>
      <c r="B700" s="201">
        <v>-0.92558030779125133</v>
      </c>
      <c r="C700" s="201">
        <v>-0.20423718305845734</v>
      </c>
      <c r="D700" s="202">
        <v>0.31083352493463551</v>
      </c>
      <c r="F700" s="91">
        <f>INDEX(A700:D708,,F691)</f>
        <v>-0.92558030779125133</v>
      </c>
      <c r="G700" s="93">
        <f>INDEX(A692:D700,,G691)</f>
        <v>0.31083352493463551</v>
      </c>
      <c r="I700" s="91">
        <f t="shared" si="221"/>
        <v>0.76008142594765693</v>
      </c>
      <c r="J700" s="92">
        <f t="shared" si="222"/>
        <v>-0.57540277936167905</v>
      </c>
      <c r="K700" s="92">
        <f t="shared" si="223"/>
        <v>0.24663541557347834</v>
      </c>
      <c r="L700" s="93">
        <f t="shared" si="220"/>
        <v>-0.43735296503147003</v>
      </c>
      <c r="Q700" s="91">
        <v>-0.92580171023665869</v>
      </c>
      <c r="R700" s="93">
        <v>0.3101734671391414</v>
      </c>
    </row>
    <row r="701" spans="1:18" x14ac:dyDescent="0.25">
      <c r="I701">
        <f>SUM(I692:I700)</f>
        <v>0.613414428808157</v>
      </c>
      <c r="J701">
        <f>SUM(J692:J700)</f>
        <v>-0.28801147290513829</v>
      </c>
      <c r="K701">
        <f>SUM(K692:K700)</f>
        <v>1.5994148414978286</v>
      </c>
      <c r="L701">
        <f>SUM(L692:L700)</f>
        <v>-4.3728949998182165E-2</v>
      </c>
    </row>
    <row r="702" spans="1:18" x14ac:dyDescent="0.25">
      <c r="A702" s="47" t="s">
        <v>53</v>
      </c>
      <c r="B702">
        <f>COUNT(A692:A700)</f>
        <v>9</v>
      </c>
      <c r="I702" s="47" t="s">
        <v>462</v>
      </c>
      <c r="J702" s="47" t="s">
        <v>389</v>
      </c>
      <c r="K702" s="47" t="s">
        <v>469</v>
      </c>
      <c r="L702" s="47" t="s">
        <v>470</v>
      </c>
      <c r="N702" s="47"/>
    </row>
    <row r="704" spans="1:18" x14ac:dyDescent="0.25">
      <c r="A704">
        <v>1</v>
      </c>
      <c r="B704">
        <v>2</v>
      </c>
      <c r="C704">
        <v>3</v>
      </c>
      <c r="D704">
        <v>4</v>
      </c>
      <c r="F704">
        <v>3</v>
      </c>
      <c r="G704">
        <v>4</v>
      </c>
      <c r="I704" s="47" t="s">
        <v>207</v>
      </c>
      <c r="J704" s="47" t="s">
        <v>464</v>
      </c>
      <c r="K704" s="47" t="s">
        <v>465</v>
      </c>
      <c r="L704" s="47" t="s">
        <v>466</v>
      </c>
      <c r="Q704">
        <f>F704</f>
        <v>3</v>
      </c>
      <c r="R704">
        <f>G704</f>
        <v>4</v>
      </c>
    </row>
    <row r="705" spans="1:18" x14ac:dyDescent="0.25">
      <c r="A705" s="189">
        <f t="array" ref="A705:A713">IF(A704=$Q691,$Q692:$Q700,IF(A704=$R691,$R692:$R700,A692:A700))</f>
        <v>0.1099862403871516</v>
      </c>
      <c r="B705" s="190">
        <f t="array" ref="B705:B713">IF(B704=$Q691,$Q692:$Q700,IF(B704=$R691,$R692:$R700,B692:B700))</f>
        <v>0.88978373543441036</v>
      </c>
      <c r="C705" s="190">
        <f t="array" ref="C705:C713">IF(C704=$Q691,$Q692:$Q700,IF(C704=$R691,$R692:$R700,C692:C700))</f>
        <v>-0.34109253731968381</v>
      </c>
      <c r="D705" s="191">
        <f t="array" ref="D705:D713">IF(D704=$Q691,$Q692:$Q700,IF(D704=$R691,$R692:$R700,D692:D700))</f>
        <v>0.28256647371319116</v>
      </c>
      <c r="F705" s="156">
        <f>INDEX(A705:D713,,F704)</f>
        <v>-0.34109253731968381</v>
      </c>
      <c r="G705" s="158">
        <f>INDEX(A705:D713,,G704)</f>
        <v>0.28256647371319116</v>
      </c>
      <c r="I705" s="156">
        <f>F705^2-G705^2</f>
        <v>3.6500306948472339E-2</v>
      </c>
      <c r="J705" s="157">
        <f>2*F705*G705</f>
        <v>-0.19276263096061622</v>
      </c>
      <c r="K705" s="157">
        <f>I705^2-J705^2</f>
        <v>-3.5825159487526022E-2</v>
      </c>
      <c r="L705" s="158">
        <f t="shared" ref="L705:L713" si="224">I705*J705</f>
        <v>-7.0358951982575895E-3</v>
      </c>
      <c r="N705" t="s">
        <v>390</v>
      </c>
      <c r="O705" s="172">
        <f>L714*B715-2*I714*J714</f>
        <v>2.1964082475150137E-2</v>
      </c>
      <c r="Q705" s="156">
        <f t="array" ref="Q705:R713">MMULT(F705:G713,N709:O710)</f>
        <v>-0.34100211506218636</v>
      </c>
      <c r="R705" s="158">
        <v>0.28267558897966916</v>
      </c>
    </row>
    <row r="706" spans="1:18" x14ac:dyDescent="0.25">
      <c r="A706" s="194">
        <v>0.79409692187691305</v>
      </c>
      <c r="B706" s="195">
        <v>-0.60157889190083269</v>
      </c>
      <c r="C706" s="195">
        <v>8.4076655757312616E-2</v>
      </c>
      <c r="D706" s="196">
        <v>-2.1072053569705658E-2</v>
      </c>
      <c r="F706" s="123">
        <f>INDEX(A706:D714,,F704)</f>
        <v>8.4076655757312616E-2</v>
      </c>
      <c r="G706" s="90">
        <f>INDEX(A705:D713,,G704)</f>
        <v>-2.1072053569705658E-2</v>
      </c>
      <c r="I706" s="123">
        <f t="shared" ref="I706:I713" si="225">F706^2-G706^2</f>
        <v>6.6248526016891036E-3</v>
      </c>
      <c r="J706" s="37">
        <f t="shared" ref="J706:J713" si="226">2*F706*G706</f>
        <v>-3.543335588159586E-3</v>
      </c>
      <c r="K706" s="37">
        <f t="shared" ref="K706:K713" si="227">I706^2-J706^2</f>
        <v>3.1333444903788642E-5</v>
      </c>
      <c r="L706" s="90">
        <f t="shared" si="224"/>
        <v>-2.3474075989876622E-5</v>
      </c>
      <c r="N706" t="s">
        <v>392</v>
      </c>
      <c r="O706" s="173">
        <f>K714*B715-(I714^2-J714^2)</f>
        <v>17.162556204531796</v>
      </c>
      <c r="Q706" s="123">
        <v>8.4069909625368311E-2</v>
      </c>
      <c r="R706" s="90">
        <v>-2.1098952119965538E-2</v>
      </c>
    </row>
    <row r="707" spans="1:18" x14ac:dyDescent="0.25">
      <c r="A707" s="194">
        <v>0.98384686994605142</v>
      </c>
      <c r="B707" s="195">
        <v>0.1176908259450081</v>
      </c>
      <c r="C707" s="195">
        <v>0.11381610418081374</v>
      </c>
      <c r="D707" s="196">
        <v>7.2388537869203823E-2</v>
      </c>
      <c r="F707" s="123">
        <f>INDEX(A707:D715,,F704)</f>
        <v>0.11381610418081374</v>
      </c>
      <c r="G707" s="90">
        <f>INDEX(A705:D713,,G704)</f>
        <v>7.2388537869203823E-2</v>
      </c>
      <c r="I707" s="123">
        <f t="shared" si="225"/>
        <v>7.7140051560566905E-3</v>
      </c>
      <c r="J707" s="37">
        <f t="shared" si="226"/>
        <v>1.6477962735236166E-2</v>
      </c>
      <c r="K707" s="37">
        <f t="shared" si="227"/>
        <v>-2.1201738035616253E-4</v>
      </c>
      <c r="L707" s="90">
        <f t="shared" si="224"/>
        <v>1.2711108950092179E-4</v>
      </c>
      <c r="N707" t="s">
        <v>467</v>
      </c>
      <c r="O707" s="174">
        <f>0.25*ATAN(O705/O706)</f>
        <v>3.1994171238898956E-4</v>
      </c>
      <c r="Q707" s="123">
        <v>0.11383925846792003</v>
      </c>
      <c r="R707" s="90">
        <v>7.2352119645612986E-2</v>
      </c>
    </row>
    <row r="708" spans="1:18" x14ac:dyDescent="0.25">
      <c r="A708" s="194">
        <v>4.8814885779813827E-2</v>
      </c>
      <c r="B708" s="195">
        <v>-5.742563113081651E-4</v>
      </c>
      <c r="C708" s="195">
        <v>7.9968726708746329E-2</v>
      </c>
      <c r="D708" s="196">
        <v>0.99560121529886403</v>
      </c>
      <c r="F708" s="123">
        <f>INDEX(A708:D716,,F704)</f>
        <v>7.9968726708746329E-2</v>
      </c>
      <c r="G708" s="90">
        <f>INDEX(A705:D713,,G704)</f>
        <v>0.99560121529886403</v>
      </c>
      <c r="I708" s="123">
        <f t="shared" si="225"/>
        <v>-0.98482678265315693</v>
      </c>
      <c r="J708" s="37">
        <f t="shared" si="226"/>
        <v>0.15923392299426115</v>
      </c>
      <c r="K708" s="37">
        <f t="shared" si="227"/>
        <v>0.94452834959882614</v>
      </c>
      <c r="L708" s="90">
        <f t="shared" si="224"/>
        <v>-0.15681783207167874</v>
      </c>
      <c r="Q708" s="123">
        <v>8.0287256968083934E-2</v>
      </c>
      <c r="R708" s="90">
        <v>0.99557557901172622</v>
      </c>
    </row>
    <row r="709" spans="1:18" x14ac:dyDescent="0.25">
      <c r="A709" s="194">
        <v>0.35394930300256117</v>
      </c>
      <c r="B709" s="195">
        <v>-0.11149270769829699</v>
      </c>
      <c r="C709" s="195">
        <v>0.88599551592053216</v>
      </c>
      <c r="D709" s="196">
        <v>0.27803095655486659</v>
      </c>
      <c r="F709" s="123">
        <f>INDEX(A709:D717,,F704)</f>
        <v>0.88599551592053216</v>
      </c>
      <c r="G709" s="90">
        <f>INDEX(A705:D713,,G704)</f>
        <v>0.27803095655486659</v>
      </c>
      <c r="I709" s="123">
        <f t="shared" si="225"/>
        <v>0.70768684142847582</v>
      </c>
      <c r="J709" s="37">
        <f t="shared" si="226"/>
        <v>0.49266836158941618</v>
      </c>
      <c r="K709" s="37">
        <f t="shared" si="227"/>
        <v>0.25809855101981294</v>
      </c>
      <c r="L709" s="90">
        <f t="shared" si="224"/>
        <v>0.34865491668495618</v>
      </c>
      <c r="N709" s="156">
        <f>COS(O707)</f>
        <v>0.99999994881865073</v>
      </c>
      <c r="O709" s="158">
        <f>-N710</f>
        <v>-3.1994170693064002E-4</v>
      </c>
      <c r="Q709" s="123">
        <v>0.8860844242729059</v>
      </c>
      <c r="R709" s="90">
        <v>0.2777474754071706</v>
      </c>
    </row>
    <row r="710" spans="1:18" x14ac:dyDescent="0.25">
      <c r="A710" s="194">
        <v>-3.1080556599428533E-2</v>
      </c>
      <c r="B710" s="195">
        <v>2.1743720394886236E-2</v>
      </c>
      <c r="C710" s="195">
        <v>0.99762116773932008</v>
      </c>
      <c r="D710" s="196">
        <v>-5.7560535988593467E-2</v>
      </c>
      <c r="F710" s="123">
        <f>INDEX(A710:D718,,F704)</f>
        <v>0.99762116773932008</v>
      </c>
      <c r="G710" s="90">
        <f>INDEX(A705:D713,,G704)</f>
        <v>-5.7560535988593467E-2</v>
      </c>
      <c r="I710" s="123">
        <f t="shared" si="225"/>
        <v>0.99193477901827043</v>
      </c>
      <c r="J710" s="37">
        <f t="shared" si="226"/>
        <v>-0.11484721825728354</v>
      </c>
      <c r="K710" s="37">
        <f t="shared" si="227"/>
        <v>0.97074472228458886</v>
      </c>
      <c r="L710" s="90">
        <f t="shared" si="224"/>
        <v>-0.11392095006290162</v>
      </c>
      <c r="N710" s="91">
        <f>SIN(O707)</f>
        <v>3.1994170693064002E-4</v>
      </c>
      <c r="O710" s="93">
        <f>N709</f>
        <v>0.99999994881865073</v>
      </c>
      <c r="Q710" s="123">
        <v>0.99760270066358658</v>
      </c>
      <c r="R710" s="90">
        <v>-5.7879713661844225E-2</v>
      </c>
    </row>
    <row r="711" spans="1:18" x14ac:dyDescent="0.25">
      <c r="A711" s="194">
        <v>0.9617416502124756</v>
      </c>
      <c r="B711" s="195">
        <v>-2.1994471649160963E-2</v>
      </c>
      <c r="C711" s="195">
        <v>0.16730645919187029</v>
      </c>
      <c r="D711" s="196">
        <v>0.21581888280717512</v>
      </c>
      <c r="F711" s="123">
        <f>INDEX(A711:D719,,F704)</f>
        <v>0.16730645919187029</v>
      </c>
      <c r="G711" s="90">
        <f>INDEX(A705:D713,,G704)</f>
        <v>0.21581888280717512</v>
      </c>
      <c r="I711" s="123">
        <f t="shared" si="225"/>
        <v>-1.858633888881623E-2</v>
      </c>
      <c r="J711" s="37">
        <f t="shared" si="226"/>
        <v>7.2215786218427364E-2</v>
      </c>
      <c r="K711" s="37">
        <f t="shared" si="227"/>
        <v>-4.8696677858556811E-3</v>
      </c>
      <c r="L711" s="90">
        <f t="shared" si="224"/>
        <v>-1.3422270757779957E-3</v>
      </c>
      <c r="Q711" s="123">
        <v>0.16737550009065313</v>
      </c>
      <c r="R711" s="90">
        <v>0.21576534344713913</v>
      </c>
    </row>
    <row r="712" spans="1:18" x14ac:dyDescent="0.25">
      <c r="A712" s="194">
        <v>0.67529227329477048</v>
      </c>
      <c r="B712" s="195">
        <v>-0.22021989680991438</v>
      </c>
      <c r="C712" s="195">
        <v>0.56833185706209299</v>
      </c>
      <c r="D712" s="196">
        <v>0.41531005637446877</v>
      </c>
      <c r="F712" s="123">
        <f>INDEX(A712:D720,,F704)</f>
        <v>0.56833185706209299</v>
      </c>
      <c r="G712" s="90">
        <f>INDEX(A705:D713,,G704)</f>
        <v>0.41531005637446877</v>
      </c>
      <c r="I712" s="123">
        <f t="shared" si="225"/>
        <v>0.15051865682588289</v>
      </c>
      <c r="J712" s="37">
        <f t="shared" si="226"/>
        <v>0.47206787119172872</v>
      </c>
      <c r="K712" s="37">
        <f t="shared" si="227"/>
        <v>-0.20019220895882267</v>
      </c>
      <c r="L712" s="90">
        <f t="shared" si="224"/>
        <v>7.1055021902432902E-2</v>
      </c>
      <c r="Q712" s="123">
        <v>0.56846470298244367</v>
      </c>
      <c r="R712" s="90">
        <v>0.41512820205388823</v>
      </c>
    </row>
    <row r="713" spans="1:18" x14ac:dyDescent="0.25">
      <c r="A713" s="200">
        <v>7.050380601150899E-2</v>
      </c>
      <c r="B713" s="201">
        <v>-0.92580171023665869</v>
      </c>
      <c r="C713" s="201">
        <v>-0.20423718305845734</v>
      </c>
      <c r="D713" s="202">
        <v>0.3101734671391414</v>
      </c>
      <c r="F713" s="91">
        <f>INDEX(A713:D721,,F704)</f>
        <v>-0.20423718305845734</v>
      </c>
      <c r="G713" s="93">
        <f>INDEX(A705:D713,,G704)</f>
        <v>0.3101734671391414</v>
      </c>
      <c r="I713" s="91">
        <f t="shared" si="225"/>
        <v>-5.4494752773462218E-2</v>
      </c>
      <c r="J713" s="92">
        <f t="shared" si="226"/>
        <v>-0.12669791037594644</v>
      </c>
      <c r="K713" s="92">
        <f t="shared" si="227"/>
        <v>-1.3082682413790589E-2</v>
      </c>
      <c r="L713" s="93">
        <f t="shared" si="224"/>
        <v>6.9043713028514751E-3</v>
      </c>
      <c r="Q713" s="91">
        <v>-0.20413793517680165</v>
      </c>
      <c r="R713" s="93">
        <v>0.31023879525701126</v>
      </c>
    </row>
    <row r="714" spans="1:18" x14ac:dyDescent="0.25">
      <c r="I714">
        <f>SUM(I705:I713)</f>
        <v>0.84307156766341174</v>
      </c>
      <c r="J714">
        <f>SUM(J705:J713)</f>
        <v>0.77481280954706366</v>
      </c>
      <c r="K714">
        <f>SUM(K705:K713)</f>
        <v>1.9192212203217807</v>
      </c>
      <c r="L714">
        <f>SUM(L705:L713)</f>
        <v>0.14760104249513567</v>
      </c>
    </row>
    <row r="715" spans="1:18" x14ac:dyDescent="0.25">
      <c r="A715" s="47" t="s">
        <v>53</v>
      </c>
      <c r="B715">
        <f>COUNT(A705:A713)</f>
        <v>9</v>
      </c>
      <c r="I715" s="47" t="s">
        <v>462</v>
      </c>
      <c r="J715" s="47" t="s">
        <v>389</v>
      </c>
      <c r="K715" s="47" t="s">
        <v>469</v>
      </c>
      <c r="L715" s="47" t="s">
        <v>470</v>
      </c>
      <c r="N715" s="47"/>
    </row>
    <row r="717" spans="1:18" x14ac:dyDescent="0.25">
      <c r="A717">
        <v>1</v>
      </c>
      <c r="B717">
        <v>2</v>
      </c>
      <c r="C717">
        <v>3</v>
      </c>
      <c r="D717">
        <v>4</v>
      </c>
      <c r="F717">
        <v>1</v>
      </c>
      <c r="G717">
        <v>2</v>
      </c>
      <c r="I717" s="47" t="s">
        <v>207</v>
      </c>
      <c r="J717" s="47" t="s">
        <v>464</v>
      </c>
      <c r="K717" s="47" t="s">
        <v>465</v>
      </c>
      <c r="L717" s="47" t="s">
        <v>466</v>
      </c>
      <c r="Q717">
        <f>F717</f>
        <v>1</v>
      </c>
      <c r="R717">
        <f>G717</f>
        <v>2</v>
      </c>
    </row>
    <row r="718" spans="1:18" x14ac:dyDescent="0.25">
      <c r="A718" s="189">
        <f t="array" ref="A718:A726">IF(A717=$Q704,$Q705:$Q713,IF(A717=$R704,$R705:$R713,A705:A713))</f>
        <v>0.1099862403871516</v>
      </c>
      <c r="B718" s="190">
        <f t="array" ref="B718:B726">IF(B717=$Q704,$Q705:$Q713,IF(B717=$R704,$R705:$R713,B705:B713))</f>
        <v>0.88978373543441036</v>
      </c>
      <c r="C718" s="190">
        <f t="array" ref="C718:C726">IF(C717=$Q704,$Q705:$Q713,IF(C717=$R704,$R705:$R713,C705:C713))</f>
        <v>-0.34100211506218636</v>
      </c>
      <c r="D718" s="191">
        <f t="array" ref="D718:D726">IF(D717=$Q704,$Q705:$Q713,IF(D717=$R704,$R705:$R713,D705:D713))</f>
        <v>0.28267558897966916</v>
      </c>
      <c r="F718" s="156">
        <f>INDEX(A718:D726,,F717)</f>
        <v>0.1099862403871516</v>
      </c>
      <c r="G718" s="158">
        <f>INDEX(A718:D726,,G717)</f>
        <v>0.88978373543441036</v>
      </c>
      <c r="I718" s="156">
        <f>F718^2-G718^2</f>
        <v>-0.77961812276911246</v>
      </c>
      <c r="J718" s="157">
        <f>2*F718*G718</f>
        <v>0.19572793563613353</v>
      </c>
      <c r="K718" s="157">
        <f>I718^2-J718^2</f>
        <v>0.56949499256165248</v>
      </c>
      <c r="L718" s="158">
        <f t="shared" ref="L718:L726" si="228">I718*J718</f>
        <v>-0.15259304575411609</v>
      </c>
      <c r="N718" t="s">
        <v>390</v>
      </c>
      <c r="O718" s="172">
        <f>L727*B728-2*I727*J727</f>
        <v>2.3989625714835316E-2</v>
      </c>
      <c r="Q718" s="156">
        <f t="array" ref="Q718:R726">MMULT(F718:G726,N722:O723)</f>
        <v>0.11025081845331883</v>
      </c>
      <c r="R718" s="158">
        <v>0.88975099097921018</v>
      </c>
    </row>
    <row r="719" spans="1:18" x14ac:dyDescent="0.25">
      <c r="A719" s="194">
        <v>0.79409692187691305</v>
      </c>
      <c r="B719" s="195">
        <v>-0.60157889190083269</v>
      </c>
      <c r="C719" s="195">
        <v>8.4069909625368311E-2</v>
      </c>
      <c r="D719" s="196">
        <v>-2.1098952119965538E-2</v>
      </c>
      <c r="F719" s="123">
        <f>INDEX(A719:D727,,F717)</f>
        <v>0.79409692187691305</v>
      </c>
      <c r="G719" s="90">
        <f>INDEX(A718:D726,,G717)</f>
        <v>-0.60157889190083269</v>
      </c>
      <c r="I719" s="123">
        <f t="shared" ref="I719:I726" si="229">F719^2-G719^2</f>
        <v>0.26869275815375443</v>
      </c>
      <c r="J719" s="37">
        <f t="shared" ref="J719:J726" si="230">2*F719*G719</f>
        <v>-0.95542389264915095</v>
      </c>
      <c r="K719" s="37">
        <f t="shared" ref="K719:K726" si="231">I719^2-J719^2</f>
        <v>-0.84063901636058436</v>
      </c>
      <c r="L719" s="90">
        <f t="shared" si="228"/>
        <v>-0.25671548092189694</v>
      </c>
      <c r="N719" t="s">
        <v>392</v>
      </c>
      <c r="O719" s="173">
        <f>K727*B728-(I727^2-J727^2)</f>
        <v>20.169071852007669</v>
      </c>
      <c r="Q719" s="123">
        <v>0.79391800340864971</v>
      </c>
      <c r="R719" s="90">
        <v>-0.60181499514273085</v>
      </c>
    </row>
    <row r="720" spans="1:18" x14ac:dyDescent="0.25">
      <c r="A720" s="194">
        <v>0.98384686994605142</v>
      </c>
      <c r="B720" s="195">
        <v>0.1176908259450081</v>
      </c>
      <c r="C720" s="195">
        <v>0.11383925846792003</v>
      </c>
      <c r="D720" s="196">
        <v>7.2352119645612986E-2</v>
      </c>
      <c r="F720" s="123">
        <f>INDEX(A720:D728,,F717)</f>
        <v>0.98384686994605142</v>
      </c>
      <c r="G720" s="90">
        <f>INDEX(A718:D726,,G717)</f>
        <v>0.1176908259450081</v>
      </c>
      <c r="I720" s="123">
        <f t="shared" si="229"/>
        <v>0.95410353299102435</v>
      </c>
      <c r="J720" s="37">
        <f t="shared" si="230"/>
        <v>0.2315795014547235</v>
      </c>
      <c r="K720" s="37">
        <f t="shared" si="231"/>
        <v>0.85668448617193649</v>
      </c>
      <c r="L720" s="90">
        <f t="shared" si="228"/>
        <v>0.22095082050625175</v>
      </c>
      <c r="N720" t="s">
        <v>467</v>
      </c>
      <c r="O720" s="174">
        <f>0.25*ATAN(O718/O719)</f>
        <v>2.9735644974001008E-4</v>
      </c>
      <c r="Q720" s="123">
        <v>0.98388182257541379</v>
      </c>
      <c r="R720" s="90">
        <v>0.11739826753382254</v>
      </c>
    </row>
    <row r="721" spans="1:18" x14ac:dyDescent="0.25">
      <c r="A721" s="194">
        <v>4.8814885779813827E-2</v>
      </c>
      <c r="B721" s="195">
        <v>-5.742563113081651E-4</v>
      </c>
      <c r="C721" s="195">
        <v>8.0287256968083934E-2</v>
      </c>
      <c r="D721" s="196">
        <v>0.99557557901172622</v>
      </c>
      <c r="F721" s="123">
        <f>INDEX(A721:D729,,F717)</f>
        <v>4.8814885779813827E-2</v>
      </c>
      <c r="G721" s="90">
        <f>INDEX(A718:D726,,G717)</f>
        <v>-5.742563113081651E-4</v>
      </c>
      <c r="I721" s="123">
        <f t="shared" si="229"/>
        <v>2.3825633033851927E-3</v>
      </c>
      <c r="J721" s="37">
        <f t="shared" si="230"/>
        <v>-5.6064512489690582E-5</v>
      </c>
      <c r="K721" s="37">
        <f t="shared" si="231"/>
        <v>5.6734646650770546E-6</v>
      </c>
      <c r="L721" s="90">
        <f t="shared" si="228"/>
        <v>-1.3357725008011758E-7</v>
      </c>
      <c r="Q721" s="123">
        <v>4.881471286287134E-2</v>
      </c>
      <c r="R721" s="90">
        <v>-5.8877170683608595E-4</v>
      </c>
    </row>
    <row r="722" spans="1:18" x14ac:dyDescent="0.25">
      <c r="A722" s="194">
        <v>0.35394930300256117</v>
      </c>
      <c r="B722" s="195">
        <v>-0.11149270769829699</v>
      </c>
      <c r="C722" s="195">
        <v>0.8860844242729059</v>
      </c>
      <c r="D722" s="196">
        <v>0.2777474754071706</v>
      </c>
      <c r="F722" s="123">
        <f>INDEX(A722:D730,,F717)</f>
        <v>0.35394930300256117</v>
      </c>
      <c r="G722" s="90">
        <f>INDEX(A718:D726,,G717)</f>
        <v>-0.11149270769829699</v>
      </c>
      <c r="I722" s="123">
        <f t="shared" si="229"/>
        <v>0.11284948522610096</v>
      </c>
      <c r="J722" s="37">
        <f t="shared" si="230"/>
        <v>-7.8925532359361006E-2</v>
      </c>
      <c r="K722" s="37">
        <f t="shared" si="231"/>
        <v>6.5057666575874364E-3</v>
      </c>
      <c r="L722" s="90">
        <f t="shared" si="228"/>
        <v>-8.906705697949862E-3</v>
      </c>
      <c r="N722" s="156">
        <f>COS(O720)</f>
        <v>0.99999995578957124</v>
      </c>
      <c r="O722" s="158">
        <f>-N723</f>
        <v>-2.9735644535792467E-4</v>
      </c>
      <c r="Q722" s="123">
        <v>0.35391613427906621</v>
      </c>
      <c r="R722" s="90">
        <v>-0.11159795187573433</v>
      </c>
    </row>
    <row r="723" spans="1:18" x14ac:dyDescent="0.25">
      <c r="A723" s="194">
        <v>-3.1080556599428533E-2</v>
      </c>
      <c r="B723" s="195">
        <v>2.1743720394886236E-2</v>
      </c>
      <c r="C723" s="195">
        <v>0.99760270066358658</v>
      </c>
      <c r="D723" s="196">
        <v>-5.7879713661844225E-2</v>
      </c>
      <c r="F723" s="123">
        <f>INDEX(A723:D731,,F717)</f>
        <v>-3.1080556599428533E-2</v>
      </c>
      <c r="G723" s="90">
        <f>INDEX(A718:D726,,G717)</f>
        <v>2.1743720394886236E-2</v>
      </c>
      <c r="I723" s="123">
        <f t="shared" si="229"/>
        <v>4.9321162191928898E-4</v>
      </c>
      <c r="J723" s="37">
        <f t="shared" si="230"/>
        <v>-1.3516138648308204E-3</v>
      </c>
      <c r="K723" s="37">
        <f t="shared" si="231"/>
        <v>-1.5836023356066516E-6</v>
      </c>
      <c r="L723" s="90">
        <f t="shared" si="228"/>
        <v>-6.6663166648180758E-7</v>
      </c>
      <c r="N723" s="91">
        <f>SIN(O720)</f>
        <v>2.9735644535792467E-4</v>
      </c>
      <c r="O723" s="93">
        <f>N722</f>
        <v>0.99999995578957124</v>
      </c>
      <c r="Q723" s="123">
        <v>-3.107408958993832E-2</v>
      </c>
      <c r="R723" s="90">
        <v>2.1752961437417187E-2</v>
      </c>
    </row>
    <row r="724" spans="1:18" x14ac:dyDescent="0.25">
      <c r="A724" s="194">
        <v>0.9617416502124756</v>
      </c>
      <c r="B724" s="195">
        <v>-2.1994471649160963E-2</v>
      </c>
      <c r="C724" s="195">
        <v>0.16737550009065313</v>
      </c>
      <c r="D724" s="196">
        <v>0.21576534344713913</v>
      </c>
      <c r="F724" s="123">
        <f>INDEX(A724:D732,,F717)</f>
        <v>0.9617416502124756</v>
      </c>
      <c r="G724" s="90">
        <f>INDEX(A718:D726,,G717)</f>
        <v>-2.1994471649160963E-2</v>
      </c>
      <c r="I724" s="123">
        <f t="shared" si="229"/>
        <v>0.92446324497028998</v>
      </c>
      <c r="J724" s="37">
        <f t="shared" si="230"/>
        <v>-4.2305998918831147E-2</v>
      </c>
      <c r="K724" s="37">
        <f t="shared" si="231"/>
        <v>0.85284249375647825</v>
      </c>
      <c r="L724" s="90">
        <f t="shared" si="228"/>
        <v>-3.911034104221222E-2</v>
      </c>
      <c r="Q724" s="123">
        <v>0.96173506749555771</v>
      </c>
      <c r="R724" s="90">
        <v>-2.2280450755235787E-2</v>
      </c>
    </row>
    <row r="725" spans="1:18" x14ac:dyDescent="0.25">
      <c r="A725" s="194">
        <v>0.67529227329477048</v>
      </c>
      <c r="B725" s="195">
        <v>-0.22021989680991438</v>
      </c>
      <c r="C725" s="195">
        <v>0.56846470298244367</v>
      </c>
      <c r="D725" s="196">
        <v>0.41512820205388823</v>
      </c>
      <c r="F725" s="123">
        <f>INDEX(A725:D733,,F717)</f>
        <v>0.67529227329477048</v>
      </c>
      <c r="G725" s="90">
        <f>INDEX(A718:D726,,G717)</f>
        <v>-0.22021989680991438</v>
      </c>
      <c r="I725" s="123">
        <f t="shared" si="229"/>
        <v>0.4075228514206497</v>
      </c>
      <c r="J725" s="37">
        <f t="shared" si="230"/>
        <v>-0.29742558948301373</v>
      </c>
      <c r="K725" s="37">
        <f t="shared" si="231"/>
        <v>7.761289315069872E-2</v>
      </c>
      <c r="L725" s="90">
        <f t="shared" si="228"/>
        <v>-0.12120772431158536</v>
      </c>
      <c r="Q725" s="123">
        <v>0.67522675963409706</v>
      </c>
      <c r="R725" s="90">
        <v>-0.22042068958386293</v>
      </c>
    </row>
    <row r="726" spans="1:18" x14ac:dyDescent="0.25">
      <c r="A726" s="200">
        <v>7.050380601150899E-2</v>
      </c>
      <c r="B726" s="201">
        <v>-0.92580171023665869</v>
      </c>
      <c r="C726" s="201">
        <v>-0.20413793517680165</v>
      </c>
      <c r="D726" s="202">
        <v>0.31023879525701126</v>
      </c>
      <c r="F726" s="91">
        <f>INDEX(A726:D734,,F717)</f>
        <v>7.050380601150899E-2</v>
      </c>
      <c r="G726" s="93">
        <f>INDEX(A718:D726,,G717)</f>
        <v>-0.92580171023665869</v>
      </c>
      <c r="I726" s="91">
        <f t="shared" si="229"/>
        <v>-0.85213802001501371</v>
      </c>
      <c r="J726" s="92">
        <f t="shared" si="230"/>
        <v>-0.13054508836729728</v>
      </c>
      <c r="K726" s="92">
        <f t="shared" si="231"/>
        <v>0.70909718505828245</v>
      </c>
      <c r="L726" s="93">
        <f t="shared" si="228"/>
        <v>0.11124243312399371</v>
      </c>
      <c r="Q726" s="91">
        <v>7.0228509788843235E-2</v>
      </c>
      <c r="R726" s="93">
        <v>-0.92582263406770793</v>
      </c>
    </row>
    <row r="727" spans="1:18" x14ac:dyDescent="0.25">
      <c r="I727">
        <f>SUM(I718:I726)</f>
        <v>1.0387515049029978</v>
      </c>
      <c r="J727">
        <f>SUM(J718:J726)</f>
        <v>-1.0787263430641176</v>
      </c>
      <c r="K727">
        <f>SUM(K718:K726)</f>
        <v>2.2316028908583809</v>
      </c>
      <c r="L727">
        <f>SUM(L718:L726)</f>
        <v>-0.24634084430643158</v>
      </c>
    </row>
    <row r="728" spans="1:18" x14ac:dyDescent="0.25">
      <c r="A728" s="47" t="s">
        <v>53</v>
      </c>
      <c r="B728">
        <f>COUNT(A718:A726)</f>
        <v>9</v>
      </c>
      <c r="I728" s="47" t="s">
        <v>462</v>
      </c>
      <c r="J728" s="47" t="s">
        <v>389</v>
      </c>
      <c r="K728" s="47" t="s">
        <v>469</v>
      </c>
      <c r="L728" s="47" t="s">
        <v>470</v>
      </c>
      <c r="N728" s="47"/>
    </row>
    <row r="730" spans="1:18" x14ac:dyDescent="0.25">
      <c r="A730">
        <v>1</v>
      </c>
      <c r="B730">
        <v>2</v>
      </c>
      <c r="C730">
        <v>3</v>
      </c>
      <c r="D730">
        <v>4</v>
      </c>
      <c r="F730">
        <v>1</v>
      </c>
      <c r="G730">
        <v>3</v>
      </c>
      <c r="I730" s="47" t="s">
        <v>207</v>
      </c>
      <c r="J730" s="47" t="s">
        <v>464</v>
      </c>
      <c r="K730" s="47" t="s">
        <v>465</v>
      </c>
      <c r="L730" s="47" t="s">
        <v>466</v>
      </c>
      <c r="Q730">
        <f>F730</f>
        <v>1</v>
      </c>
      <c r="R730">
        <f>G730</f>
        <v>3</v>
      </c>
    </row>
    <row r="731" spans="1:18" x14ac:dyDescent="0.25">
      <c r="A731" s="189">
        <f t="array" ref="A731:A739">IF(A730=$Q717,$Q718:$Q726,IF(A730=$R717,$R718:$R726,A718:A726))</f>
        <v>0.11025081845331883</v>
      </c>
      <c r="B731" s="190">
        <f t="array" ref="B731:B739">IF(B730=$Q717,$Q718:$Q726,IF(B730=$R717,$R718:$R726,B718:B726))</f>
        <v>0.88975099097921018</v>
      </c>
      <c r="C731" s="190">
        <f t="array" ref="C731:C739">IF(C730=$Q717,$Q718:$Q726,IF(C730=$R717,$R718:$R726,C718:C726))</f>
        <v>-0.34100211506218636</v>
      </c>
      <c r="D731" s="191">
        <f t="array" ref="D731:D739">IF(D730=$Q717,$Q718:$Q726,IF(D730=$R717,$R718:$R726,D718:D726))</f>
        <v>0.28267558897966916</v>
      </c>
      <c r="F731" s="156">
        <f>INDEX(A731:D739,,F730)</f>
        <v>0.11025081845331883</v>
      </c>
      <c r="G731" s="158">
        <f>INDEX(A731:D739,,G730)</f>
        <v>-0.34100211506218636</v>
      </c>
      <c r="I731" s="156">
        <f>F731^2-G731^2</f>
        <v>-0.10412719950725792</v>
      </c>
      <c r="J731" s="157">
        <f>2*F731*G731</f>
        <v>-7.5191524559837686E-2</v>
      </c>
      <c r="K731" s="157">
        <f>I731^2-J731^2</f>
        <v>5.1887083115916199E-3</v>
      </c>
      <c r="L731" s="158">
        <f t="shared" ref="L731:L739" si="232">I731*J731</f>
        <v>7.8294828790971029E-3</v>
      </c>
      <c r="N731" t="s">
        <v>390</v>
      </c>
      <c r="O731" s="172">
        <f>L740*B741-2*I740*J740</f>
        <v>-3.8014012496789817E-4</v>
      </c>
      <c r="Q731" s="156">
        <f t="array" ref="Q731:R739">MMULT(F731:G739,N735:O736)</f>
        <v>0.11025213770374277</v>
      </c>
      <c r="R731" s="158">
        <v>-0.34100168852700158</v>
      </c>
    </row>
    <row r="732" spans="1:18" x14ac:dyDescent="0.25">
      <c r="A732" s="194">
        <v>0.79391800340864971</v>
      </c>
      <c r="B732" s="195">
        <v>-0.60181499514273085</v>
      </c>
      <c r="C732" s="195">
        <v>8.4069909625368311E-2</v>
      </c>
      <c r="D732" s="196">
        <v>-2.1098952119965538E-2</v>
      </c>
      <c r="F732" s="123">
        <f>INDEX(A732:D740,,F730)</f>
        <v>0.79391800340864971</v>
      </c>
      <c r="G732" s="90">
        <f>INDEX(A731:D739,,G730)</f>
        <v>8.4069909625368311E-2</v>
      </c>
      <c r="I732" s="123">
        <f t="shared" ref="I732:I739" si="233">F732^2-G732^2</f>
        <v>0.62323804643195913</v>
      </c>
      <c r="J732" s="37">
        <f t="shared" ref="J732:J739" si="234">2*F732*G732</f>
        <v>0.13348922959303605</v>
      </c>
      <c r="K732" s="37">
        <f t="shared" ref="K732:K739" si="235">I732^2-J732^2</f>
        <v>0.37060628810298257</v>
      </c>
      <c r="L732" s="90">
        <f t="shared" si="232"/>
        <v>8.3195566671271051E-2</v>
      </c>
      <c r="N732" t="s">
        <v>392</v>
      </c>
      <c r="O732" s="173">
        <f>K740*B741-(I740^2-J740^2)</f>
        <v>24.564802708981951</v>
      </c>
      <c r="Q732" s="123">
        <v>0.79391767815741399</v>
      </c>
      <c r="R732" s="90">
        <v>8.4072981093423246E-2</v>
      </c>
    </row>
    <row r="733" spans="1:18" x14ac:dyDescent="0.25">
      <c r="A733" s="194">
        <v>0.98388182257541379</v>
      </c>
      <c r="B733" s="195">
        <v>0.11739826753382254</v>
      </c>
      <c r="C733" s="195">
        <v>0.11383925846792003</v>
      </c>
      <c r="D733" s="196">
        <v>7.2352119645612986E-2</v>
      </c>
      <c r="F733" s="123">
        <f>INDEX(A733:D741,,F730)</f>
        <v>0.98388182257541379</v>
      </c>
      <c r="G733" s="90">
        <f>INDEX(A731:D739,,G730)</f>
        <v>0.11383925846792003</v>
      </c>
      <c r="I733" s="123">
        <f t="shared" si="233"/>
        <v>0.95506406402579214</v>
      </c>
      <c r="J733" s="37">
        <f t="shared" si="234"/>
        <v>0.22400875420410155</v>
      </c>
      <c r="K733" s="37">
        <f t="shared" si="235"/>
        <v>0.8619674444333888</v>
      </c>
      <c r="L733" s="90">
        <f t="shared" si="232"/>
        <v>0.21394271116752397</v>
      </c>
      <c r="N733" t="s">
        <v>467</v>
      </c>
      <c r="O733" s="174">
        <f>0.25*ATAN(O731/O732)</f>
        <v>-3.8687479952623215E-6</v>
      </c>
      <c r="Q733" s="123">
        <v>0.98388138215264787</v>
      </c>
      <c r="R733" s="90">
        <v>0.11384306485789676</v>
      </c>
    </row>
    <row r="734" spans="1:18" x14ac:dyDescent="0.25">
      <c r="A734" s="194">
        <v>4.881471286287134E-2</v>
      </c>
      <c r="B734" s="195">
        <v>-5.8877170683608595E-4</v>
      </c>
      <c r="C734" s="195">
        <v>8.0287256968083934E-2</v>
      </c>
      <c r="D734" s="196">
        <v>0.99557557901172622</v>
      </c>
      <c r="F734" s="123">
        <f>INDEX(A734:D742,,F730)</f>
        <v>4.881471286287134E-2</v>
      </c>
      <c r="G734" s="90">
        <f>INDEX(A731:D739,,G730)</f>
        <v>8.0287256968083934E-2</v>
      </c>
      <c r="I734" s="123">
        <f t="shared" si="233"/>
        <v>-4.0631674395745655E-3</v>
      </c>
      <c r="J734" s="37">
        <f t="shared" si="234"/>
        <v>7.8383987908891666E-3</v>
      </c>
      <c r="K734" s="37">
        <f t="shared" si="235"/>
        <v>-4.4931165962993823E-5</v>
      </c>
      <c r="L734" s="90">
        <f t="shared" si="232"/>
        <v>-3.1848726745541504E-5</v>
      </c>
      <c r="Q734" s="123">
        <v>4.8814402251341593E-2</v>
      </c>
      <c r="R734" s="90">
        <v>8.0287445819305622E-2</v>
      </c>
    </row>
    <row r="735" spans="1:18" x14ac:dyDescent="0.25">
      <c r="A735" s="194">
        <v>0.35391613427906621</v>
      </c>
      <c r="B735" s="195">
        <v>-0.11159795187573433</v>
      </c>
      <c r="C735" s="195">
        <v>0.8860844242729059</v>
      </c>
      <c r="D735" s="196">
        <v>0.2777474754071706</v>
      </c>
      <c r="F735" s="123">
        <f>INDEX(A735:D743,,F730)</f>
        <v>0.35391613427906621</v>
      </c>
      <c r="G735" s="90">
        <f>INDEX(A731:D739,,G730)</f>
        <v>0.8860844242729059</v>
      </c>
      <c r="I735" s="123">
        <f t="shared" si="233"/>
        <v>-0.65988897683600911</v>
      </c>
      <c r="J735" s="37">
        <f t="shared" si="234"/>
        <v>0.62719914816711764</v>
      </c>
      <c r="K735" s="37">
        <f t="shared" si="235"/>
        <v>4.2074690288117E-2</v>
      </c>
      <c r="L735" s="90">
        <f t="shared" si="232"/>
        <v>-0.41388180415641573</v>
      </c>
      <c r="N735" s="156">
        <f>COS(O733)</f>
        <v>0.99999999999251643</v>
      </c>
      <c r="O735" s="158">
        <f>-N736</f>
        <v>3.8687479952526704E-6</v>
      </c>
      <c r="Q735" s="123">
        <v>0.35391270623907761</v>
      </c>
      <c r="R735" s="90">
        <v>0.88608579347860983</v>
      </c>
    </row>
    <row r="736" spans="1:18" x14ac:dyDescent="0.25">
      <c r="A736" s="194">
        <v>-3.107408958993832E-2</v>
      </c>
      <c r="B736" s="195">
        <v>2.1752961437417187E-2</v>
      </c>
      <c r="C736" s="195">
        <v>0.99760270066358658</v>
      </c>
      <c r="D736" s="196">
        <v>-5.7879713661844225E-2</v>
      </c>
      <c r="F736" s="123">
        <f>INDEX(A736:D744,,F730)</f>
        <v>-3.107408958993832E-2</v>
      </c>
      <c r="G736" s="90">
        <f>INDEX(A731:D739,,G730)</f>
        <v>0.99760270066358658</v>
      </c>
      <c r="I736" s="123">
        <f t="shared" si="233"/>
        <v>-0.99424554932743803</v>
      </c>
      <c r="J736" s="37">
        <f t="shared" si="234"/>
        <v>-6.1999191391169418E-2</v>
      </c>
      <c r="K736" s="37">
        <f t="shared" si="235"/>
        <v>0.98468031262426015</v>
      </c>
      <c r="L736" s="90">
        <f t="shared" si="232"/>
        <v>6.1642420102570206E-2</v>
      </c>
      <c r="N736" s="91">
        <f>SIN(O733)</f>
        <v>-3.8687479952526704E-6</v>
      </c>
      <c r="O736" s="93">
        <f>N735</f>
        <v>0.99999999999251643</v>
      </c>
      <c r="Q736" s="123">
        <v>-3.1077949063154024E-2</v>
      </c>
      <c r="R736" s="90">
        <v>0.99760258043829919</v>
      </c>
    </row>
    <row r="737" spans="1:18" x14ac:dyDescent="0.25">
      <c r="A737" s="194">
        <v>0.96173506749555771</v>
      </c>
      <c r="B737" s="195">
        <v>-2.2280450755235787E-2</v>
      </c>
      <c r="C737" s="195">
        <v>0.16737550009065313</v>
      </c>
      <c r="D737" s="196">
        <v>0.21576534344713913</v>
      </c>
      <c r="F737" s="123">
        <f>INDEX(A737:D745,,F730)</f>
        <v>0.96173506749555771</v>
      </c>
      <c r="G737" s="90">
        <f>INDEX(A731:D739,,G730)</f>
        <v>0.16737550009065313</v>
      </c>
      <c r="I737" s="123">
        <f t="shared" si="233"/>
        <v>0.89691978202008871</v>
      </c>
      <c r="J737" s="37">
        <f t="shared" si="234"/>
        <v>0.32194177575357402</v>
      </c>
      <c r="K737" s="37">
        <f t="shared" si="235"/>
        <v>0.7008185884035989</v>
      </c>
      <c r="L737" s="90">
        <f t="shared" si="232"/>
        <v>0.2887559473320559</v>
      </c>
      <c r="Q737" s="123">
        <v>0.96173441995473008</v>
      </c>
      <c r="R737" s="90">
        <v>0.16737922080001491</v>
      </c>
    </row>
    <row r="738" spans="1:18" x14ac:dyDescent="0.25">
      <c r="A738" s="194">
        <v>0.67522675963409706</v>
      </c>
      <c r="B738" s="195">
        <v>-0.22042068958386293</v>
      </c>
      <c r="C738" s="195">
        <v>0.56846470298244367</v>
      </c>
      <c r="D738" s="196">
        <v>0.41512820205388823</v>
      </c>
      <c r="F738" s="123">
        <f>INDEX(A738:D746,,F730)</f>
        <v>0.67522675963409706</v>
      </c>
      <c r="G738" s="90">
        <f>INDEX(A731:D739,,G730)</f>
        <v>0.56846470298244367</v>
      </c>
      <c r="I738" s="123">
        <f t="shared" si="233"/>
        <v>0.1327790583890448</v>
      </c>
      <c r="J738" s="37">
        <f t="shared" si="234"/>
        <v>0.76768515872238974</v>
      </c>
      <c r="K738" s="37">
        <f t="shared" si="235"/>
        <v>-0.57171022457593934</v>
      </c>
      <c r="L738" s="90">
        <f t="shared" si="232"/>
        <v>0.10193251251440331</v>
      </c>
      <c r="Q738" s="123">
        <v>0.675224560382364</v>
      </c>
      <c r="R738" s="90">
        <v>0.5684673152603622</v>
      </c>
    </row>
    <row r="739" spans="1:18" x14ac:dyDescent="0.25">
      <c r="A739" s="200">
        <v>7.0228509788843235E-2</v>
      </c>
      <c r="B739" s="201">
        <v>-0.92582263406770793</v>
      </c>
      <c r="C739" s="201">
        <v>-0.20413793517680165</v>
      </c>
      <c r="D739" s="202">
        <v>0.31023879525701126</v>
      </c>
      <c r="F739" s="91">
        <f>INDEX(A739:D747,,F730)</f>
        <v>7.0228509788843235E-2</v>
      </c>
      <c r="G739" s="93">
        <f>INDEX(A731:D739,,G730)</f>
        <v>-0.20413793517680165</v>
      </c>
      <c r="I739" s="91">
        <f t="shared" si="233"/>
        <v>-3.6740252991086422E-2</v>
      </c>
      <c r="J739" s="92">
        <f t="shared" si="234"/>
        <v>-2.8672605957676522E-2</v>
      </c>
      <c r="K739" s="92">
        <f t="shared" si="235"/>
        <v>5.2772785744484762E-4</v>
      </c>
      <c r="L739" s="93">
        <f t="shared" si="232"/>
        <v>1.0534387967987672E-3</v>
      </c>
      <c r="Q739" s="91">
        <v>7.0229299546545138E-2</v>
      </c>
      <c r="R739" s="93">
        <v>-0.20413766347886753</v>
      </c>
    </row>
    <row r="740" spans="1:18" x14ac:dyDescent="0.25">
      <c r="I740">
        <f>SUM(I731:I739)</f>
        <v>0.80893580476551874</v>
      </c>
      <c r="J740">
        <f>SUM(J731:J739)</f>
        <v>1.9162991433224243</v>
      </c>
      <c r="K740">
        <f>SUM(K731:K739)</f>
        <v>2.3941086042794812</v>
      </c>
      <c r="L740">
        <f>SUM(L731:L739)</f>
        <v>0.34443842658055901</v>
      </c>
    </row>
    <row r="741" spans="1:18" x14ac:dyDescent="0.25">
      <c r="A741" s="47" t="s">
        <v>53</v>
      </c>
      <c r="B741">
        <f>COUNT(A731:A739)</f>
        <v>9</v>
      </c>
      <c r="I741" s="47" t="s">
        <v>462</v>
      </c>
      <c r="J741" s="47" t="s">
        <v>389</v>
      </c>
      <c r="K741" s="47" t="s">
        <v>469</v>
      </c>
      <c r="L741" s="47" t="s">
        <v>470</v>
      </c>
      <c r="N741" s="47"/>
    </row>
    <row r="743" spans="1:18" x14ac:dyDescent="0.25">
      <c r="A743">
        <v>1</v>
      </c>
      <c r="B743">
        <v>2</v>
      </c>
      <c r="C743">
        <v>3</v>
      </c>
      <c r="D743">
        <v>4</v>
      </c>
      <c r="F743">
        <v>1</v>
      </c>
      <c r="G743">
        <v>4</v>
      </c>
      <c r="I743" s="47" t="s">
        <v>207</v>
      </c>
      <c r="J743" s="47" t="s">
        <v>464</v>
      </c>
      <c r="K743" s="47" t="s">
        <v>465</v>
      </c>
      <c r="L743" s="47" t="s">
        <v>466</v>
      </c>
      <c r="Q743">
        <f>F743</f>
        <v>1</v>
      </c>
      <c r="R743">
        <f>G743</f>
        <v>4</v>
      </c>
    </row>
    <row r="744" spans="1:18" x14ac:dyDescent="0.25">
      <c r="A744" s="189">
        <f t="array" ref="A744:A752">IF(A743=$Q730,$Q731:$Q739,IF(A743=$R730,$R731:$R739,A731:A739))</f>
        <v>0.11025213770374277</v>
      </c>
      <c r="B744" s="190">
        <f t="array" ref="B744:B752">IF(B743=$Q730,$Q731:$Q739,IF(B743=$R730,$R731:$R739,B731:B739))</f>
        <v>0.88975099097921018</v>
      </c>
      <c r="C744" s="190">
        <f t="array" ref="C744:C752">IF(C743=$Q730,$Q731:$Q739,IF(C743=$R730,$R731:$R739,C731:C739))</f>
        <v>-0.34100168852700158</v>
      </c>
      <c r="D744" s="191">
        <f t="array" ref="D744:D752">IF(D743=$Q730,$Q731:$Q739,IF(D743=$R730,$R731:$R739,D731:D739))</f>
        <v>0.28267558897966916</v>
      </c>
      <c r="F744" s="156">
        <f>INDEX(A744:D752,,F743)</f>
        <v>0.11025213770374277</v>
      </c>
      <c r="G744" s="158">
        <f>INDEX(A744:D752,,G743)</f>
        <v>0.28267558897966916</v>
      </c>
      <c r="I744" s="156">
        <f>F744^2-G744^2</f>
        <v>-6.7749954736757795E-2</v>
      </c>
      <c r="J744" s="157">
        <f>2*F744*G744</f>
        <v>6.2331175923346152E-2</v>
      </c>
      <c r="K744" s="157">
        <f>I744^2-J744^2</f>
        <v>7.0488087484560326E-4</v>
      </c>
      <c r="L744" s="158">
        <f t="shared" ref="L744:L752" si="236">I744*J744</f>
        <v>-4.222934347495589E-3</v>
      </c>
      <c r="N744" t="s">
        <v>390</v>
      </c>
      <c r="O744" s="172">
        <f>L753*B754-2*I753*J753</f>
        <v>-1.536486005871307E-2</v>
      </c>
      <c r="Q744" s="156">
        <f t="array" ref="Q744:R752">MMULT(F744:G752,N748:O749)</f>
        <v>0.11020481147696992</v>
      </c>
      <c r="R744" s="158">
        <v>0.28269404309354207</v>
      </c>
    </row>
    <row r="745" spans="1:18" x14ac:dyDescent="0.25">
      <c r="A745" s="194">
        <v>0.79391767815741399</v>
      </c>
      <c r="B745" s="195">
        <v>-0.60181499514273085</v>
      </c>
      <c r="C745" s="195">
        <v>8.4072981093423246E-2</v>
      </c>
      <c r="D745" s="196">
        <v>-2.1098952119965538E-2</v>
      </c>
      <c r="F745" s="123">
        <f>INDEX(A745:D753,,F743)</f>
        <v>0.79391767815741399</v>
      </c>
      <c r="G745" s="90">
        <f>INDEX(A744:D752,,G743)</f>
        <v>-2.1098952119965538E-2</v>
      </c>
      <c r="I745" s="123">
        <f t="shared" ref="I745:I752" si="237">F745^2-G745^2</f>
        <v>0.6298601139102985</v>
      </c>
      <c r="J745" s="37">
        <f t="shared" ref="J745:J752" si="238">2*F745*G745</f>
        <v>-3.3501662157274972E-2</v>
      </c>
      <c r="K745" s="37">
        <f t="shared" ref="K745:K752" si="239">I745^2-J745^2</f>
        <v>0.39560140172779401</v>
      </c>
      <c r="L745" s="90">
        <f t="shared" si="236"/>
        <v>-2.110136074256555E-2</v>
      </c>
      <c r="N745" t="s">
        <v>392</v>
      </c>
      <c r="O745" s="173">
        <f>K753*B754-(I753^2-J753^2)</f>
        <v>22.94400111825075</v>
      </c>
      <c r="Q745" s="123">
        <v>0.79392119935324834</v>
      </c>
      <c r="R745" s="90">
        <v>-2.0966036557238447E-2</v>
      </c>
    </row>
    <row r="746" spans="1:18" x14ac:dyDescent="0.25">
      <c r="A746" s="194">
        <v>0.98388138215264787</v>
      </c>
      <c r="B746" s="195">
        <v>0.11739826753382254</v>
      </c>
      <c r="C746" s="195">
        <v>0.11384306485789676</v>
      </c>
      <c r="D746" s="196">
        <v>7.2352119645612986E-2</v>
      </c>
      <c r="F746" s="123">
        <f>INDEX(A746:D754,,F743)</f>
        <v>0.98388138215264787</v>
      </c>
      <c r="G746" s="90">
        <f>INDEX(A744:D752,,G743)</f>
        <v>7.2352119645612986E-2</v>
      </c>
      <c r="I746" s="123">
        <f t="shared" si="237"/>
        <v>0.96278774492939168</v>
      </c>
      <c r="J746" s="37">
        <f t="shared" si="238"/>
        <v>0.14237180695719889</v>
      </c>
      <c r="K746" s="37">
        <f t="shared" si="239"/>
        <v>0.90669051036996551</v>
      </c>
      <c r="L746" s="90">
        <f t="shared" si="236"/>
        <v>0.1370738309618442</v>
      </c>
      <c r="N746" t="s">
        <v>467</v>
      </c>
      <c r="O746" s="174">
        <f>0.25*ATAN(O744/O745)</f>
        <v>-1.6741693921113268E-4</v>
      </c>
      <c r="Q746" s="123">
        <v>0.98386925539396186</v>
      </c>
      <c r="R746" s="90">
        <v>7.2516837040432117E-2</v>
      </c>
    </row>
    <row r="747" spans="1:18" x14ac:dyDescent="0.25">
      <c r="A747" s="194">
        <v>4.8814402251341593E-2</v>
      </c>
      <c r="B747" s="195">
        <v>-5.8877170683608595E-4</v>
      </c>
      <c r="C747" s="195">
        <v>8.0287445819305622E-2</v>
      </c>
      <c r="D747" s="196">
        <v>0.99557557901172622</v>
      </c>
      <c r="F747" s="123">
        <f>INDEX(A747:D755,,F743)</f>
        <v>4.8814402251341593E-2</v>
      </c>
      <c r="G747" s="90">
        <f>INDEX(A744:D752,,G743)</f>
        <v>0.99557557901172622</v>
      </c>
      <c r="I747" s="123">
        <f t="shared" si="237"/>
        <v>-0.98878788765737813</v>
      </c>
      <c r="J747" s="37">
        <f t="shared" si="238"/>
        <v>9.7196853570981442E-2</v>
      </c>
      <c r="K747" s="37">
        <f t="shared" si="239"/>
        <v>0.96825425843384094</v>
      </c>
      <c r="L747" s="90">
        <f t="shared" si="236"/>
        <v>-9.6107071529394225E-2</v>
      </c>
      <c r="Q747" s="123">
        <v>4.8647725351833149E-2</v>
      </c>
      <c r="R747" s="90">
        <v>0.99558373741729145</v>
      </c>
    </row>
    <row r="748" spans="1:18" x14ac:dyDescent="0.25">
      <c r="A748" s="194">
        <v>0.35391270623907761</v>
      </c>
      <c r="B748" s="195">
        <v>-0.11159795187573433</v>
      </c>
      <c r="C748" s="195">
        <v>0.88608579347860983</v>
      </c>
      <c r="D748" s="196">
        <v>0.2777474754071706</v>
      </c>
      <c r="F748" s="123">
        <f>INDEX(A748:D756,,F743)</f>
        <v>0.35391270623907761</v>
      </c>
      <c r="G748" s="90">
        <f>INDEX(A744:D752,,G743)</f>
        <v>0.2777474754071706</v>
      </c>
      <c r="I748" s="123">
        <f t="shared" si="237"/>
        <v>4.8110543542410802E-2</v>
      </c>
      <c r="J748" s="37">
        <f t="shared" si="238"/>
        <v>0.19659672134484679</v>
      </c>
      <c r="K748" s="37">
        <f t="shared" si="239"/>
        <v>-3.633564644359713E-2</v>
      </c>
      <c r="L748" s="90">
        <f t="shared" si="236"/>
        <v>9.4583751225564543E-3</v>
      </c>
      <c r="N748" s="156">
        <f>COS(O746)</f>
        <v>0.99999998598578421</v>
      </c>
      <c r="O748" s="158">
        <f>-N749</f>
        <v>1.674169384290603E-4</v>
      </c>
      <c r="Q748" s="123">
        <v>0.35386620164727955</v>
      </c>
      <c r="R748" s="90">
        <v>0.27780672249650723</v>
      </c>
    </row>
    <row r="749" spans="1:18" x14ac:dyDescent="0.25">
      <c r="A749" s="194">
        <v>-3.1077949063154024E-2</v>
      </c>
      <c r="B749" s="195">
        <v>2.1752961437417187E-2</v>
      </c>
      <c r="C749" s="195">
        <v>0.99760258043829919</v>
      </c>
      <c r="D749" s="196">
        <v>-5.7879713661844225E-2</v>
      </c>
      <c r="F749" s="123">
        <f>INDEX(A749:D757,,F743)</f>
        <v>-3.1077949063154024E-2</v>
      </c>
      <c r="G749" s="90">
        <f>INDEX(A744:D752,,G743)</f>
        <v>-5.7879713661844225E-2</v>
      </c>
      <c r="I749" s="123">
        <f t="shared" si="237"/>
        <v>-2.3842223356050811E-3</v>
      </c>
      <c r="J749" s="37">
        <f t="shared" si="238"/>
        <v>3.5975655859454697E-3</v>
      </c>
      <c r="K749" s="37">
        <f t="shared" si="239"/>
        <v>-7.2579619995810219E-6</v>
      </c>
      <c r="L749" s="90">
        <f t="shared" si="236"/>
        <v>-8.5773962238153706E-6</v>
      </c>
      <c r="N749" s="91">
        <f>SIN(O746)</f>
        <v>-1.674169384290603E-4</v>
      </c>
      <c r="O749" s="93">
        <f>N748</f>
        <v>0.99999998598578421</v>
      </c>
      <c r="Q749" s="123">
        <v>-3.1068258583162523E-2</v>
      </c>
      <c r="R749" s="90">
        <v>-5.7884915825790237E-2</v>
      </c>
    </row>
    <row r="750" spans="1:18" x14ac:dyDescent="0.25">
      <c r="A750" s="194">
        <v>0.96173441995473008</v>
      </c>
      <c r="B750" s="195">
        <v>-2.2280450755235787E-2</v>
      </c>
      <c r="C750" s="195">
        <v>0.16737922080001491</v>
      </c>
      <c r="D750" s="196">
        <v>0.21576534344713913</v>
      </c>
      <c r="F750" s="123">
        <f>INDEX(A750:D758,,F743)</f>
        <v>0.96173441995473008</v>
      </c>
      <c r="G750" s="90">
        <f>INDEX(A744:D752,,G743)</f>
        <v>0.21576534344713913</v>
      </c>
      <c r="I750" s="123">
        <f t="shared" si="237"/>
        <v>0.87837841109279913</v>
      </c>
      <c r="J750" s="37">
        <f t="shared" si="238"/>
        <v>0.41501791485293493</v>
      </c>
      <c r="K750" s="37">
        <f t="shared" si="239"/>
        <v>0.59930876342503248</v>
      </c>
      <c r="L750" s="90">
        <f t="shared" si="236"/>
        <v>0.3645427766235676</v>
      </c>
      <c r="Q750" s="123">
        <v>0.96169828370355748</v>
      </c>
      <c r="R750" s="90">
        <v>0.21592635105552771</v>
      </c>
    </row>
    <row r="751" spans="1:18" x14ac:dyDescent="0.25">
      <c r="A751" s="194">
        <v>0.675224560382364</v>
      </c>
      <c r="B751" s="195">
        <v>-0.22042068958386293</v>
      </c>
      <c r="C751" s="195">
        <v>0.5684673152603622</v>
      </c>
      <c r="D751" s="196">
        <v>0.41512820205388823</v>
      </c>
      <c r="F751" s="123">
        <f>INDEX(A751:D759,,F743)</f>
        <v>0.675224560382364</v>
      </c>
      <c r="G751" s="90">
        <f>INDEX(A744:D752,,G743)</f>
        <v>0.41512820205388823</v>
      </c>
      <c r="I751" s="123">
        <f t="shared" si="237"/>
        <v>0.28359678280306289</v>
      </c>
      <c r="J751" s="37">
        <f t="shared" si="238"/>
        <v>0.56060951546831572</v>
      </c>
      <c r="K751" s="37">
        <f t="shared" si="239"/>
        <v>-0.23385589361737213</v>
      </c>
      <c r="L751" s="90">
        <f t="shared" si="236"/>
        <v>0.15898705499559826</v>
      </c>
      <c r="Q751" s="123">
        <v>0.67515505142697785</v>
      </c>
      <c r="R751" s="90">
        <v>0.41524124026484333</v>
      </c>
    </row>
    <row r="752" spans="1:18" x14ac:dyDescent="0.25">
      <c r="A752" s="200">
        <v>7.0229299546545138E-2</v>
      </c>
      <c r="B752" s="201">
        <v>-0.92582263406770793</v>
      </c>
      <c r="C752" s="201">
        <v>-0.20413766347886753</v>
      </c>
      <c r="D752" s="202">
        <v>0.31023879525701126</v>
      </c>
      <c r="F752" s="91">
        <f>INDEX(A752:D760,,F743)</f>
        <v>7.0229299546545138E-2</v>
      </c>
      <c r="G752" s="93">
        <f>INDEX(A744:D752,,G743)</f>
        <v>0.31023879525701126</v>
      </c>
      <c r="I752" s="91">
        <f t="shared" si="237"/>
        <v>-9.1315955567723386E-2</v>
      </c>
      <c r="J752" s="92">
        <f t="shared" si="238"/>
        <v>4.3575706566127859E-2</v>
      </c>
      <c r="K752" s="92">
        <f t="shared" si="239"/>
        <v>6.4397615385091535E-3</v>
      </c>
      <c r="L752" s="93">
        <f t="shared" si="236"/>
        <v>-3.9791572846246837E-3</v>
      </c>
      <c r="Q752" s="91">
        <v>7.0177359333052733E-2</v>
      </c>
      <c r="R752" s="93">
        <v>0.31025054848357592</v>
      </c>
    </row>
    <row r="753" spans="1:18" x14ac:dyDescent="0.25">
      <c r="I753">
        <f>SUM(I744:I752)</f>
        <v>1.6524955759804985</v>
      </c>
      <c r="J753">
        <f>SUM(J744:J752)</f>
        <v>1.4877955981124225</v>
      </c>
      <c r="K753">
        <f>SUM(K744:K752)</f>
        <v>2.6068007783470186</v>
      </c>
      <c r="L753">
        <f>SUM(L744:L752)</f>
        <v>0.54464293640326256</v>
      </c>
    </row>
    <row r="754" spans="1:18" x14ac:dyDescent="0.25">
      <c r="A754" s="47" t="s">
        <v>53</v>
      </c>
      <c r="B754">
        <f>COUNT(A744:A752)</f>
        <v>9</v>
      </c>
      <c r="I754" s="47" t="s">
        <v>462</v>
      </c>
      <c r="J754" s="47" t="s">
        <v>389</v>
      </c>
      <c r="K754" s="47" t="s">
        <v>469</v>
      </c>
      <c r="L754" s="47" t="s">
        <v>470</v>
      </c>
      <c r="N754" s="47"/>
    </row>
    <row r="756" spans="1:18" x14ac:dyDescent="0.25">
      <c r="A756">
        <v>1</v>
      </c>
      <c r="B756">
        <v>2</v>
      </c>
      <c r="C756">
        <v>3</v>
      </c>
      <c r="D756">
        <v>4</v>
      </c>
      <c r="F756">
        <v>2</v>
      </c>
      <c r="G756">
        <v>3</v>
      </c>
      <c r="I756" s="47" t="s">
        <v>207</v>
      </c>
      <c r="J756" s="47" t="s">
        <v>464</v>
      </c>
      <c r="K756" s="47" t="s">
        <v>465</v>
      </c>
      <c r="L756" s="47" t="s">
        <v>466</v>
      </c>
      <c r="Q756">
        <f>F756</f>
        <v>2</v>
      </c>
      <c r="R756">
        <f>G756</f>
        <v>3</v>
      </c>
    </row>
    <row r="757" spans="1:18" x14ac:dyDescent="0.25">
      <c r="A757" s="189">
        <f t="array" ref="A757:A765">IF(A756=$Q743,$Q744:$Q752,IF(A756=$R743,$R744:$R752,A744:A752))</f>
        <v>0.11020481147696992</v>
      </c>
      <c r="B757" s="190">
        <f t="array" ref="B757:B765">IF(B756=$Q743,$Q744:$Q752,IF(B756=$R743,$R744:$R752,B744:B752))</f>
        <v>0.88975099097921018</v>
      </c>
      <c r="C757" s="190">
        <f t="array" ref="C757:C765">IF(C756=$Q743,$Q744:$Q752,IF(C756=$R743,$R744:$R752,C744:C752))</f>
        <v>-0.34100168852700158</v>
      </c>
      <c r="D757" s="191">
        <f t="array" ref="D757:D765">IF(D756=$Q743,$Q744:$Q752,IF(D756=$R743,$R744:$R752,D744:D752))</f>
        <v>0.28269404309354207</v>
      </c>
      <c r="F757" s="156">
        <f>INDEX(A757:D765,,F756)</f>
        <v>0.88975099097921018</v>
      </c>
      <c r="G757" s="158">
        <f>INDEX(A757:D765,,G756)</f>
        <v>-0.34100168852700158</v>
      </c>
      <c r="I757" s="156">
        <f>F757^2-G757^2</f>
        <v>0.67537467437022036</v>
      </c>
      <c r="J757" s="157">
        <f>2*F757*G757</f>
        <v>-0.60681318058496725</v>
      </c>
      <c r="K757" s="157">
        <f>I757^2-J757^2</f>
        <v>8.7908714649037101E-2</v>
      </c>
      <c r="L757" s="158">
        <f t="shared" ref="L757:L765" si="240">I757*J757</f>
        <v>-0.40982625424113001</v>
      </c>
      <c r="N757" t="s">
        <v>390</v>
      </c>
      <c r="O757" s="172">
        <f>L766*B767-2*I766*J766</f>
        <v>4.233828617354557E-2</v>
      </c>
      <c r="Q757" s="156">
        <f t="array" ref="Q757:R765">MMULT(F757:G765,N761:O762)</f>
        <v>0.88957913948586276</v>
      </c>
      <c r="R757" s="158">
        <v>-0.34144975050268334</v>
      </c>
    </row>
    <row r="758" spans="1:18" x14ac:dyDescent="0.25">
      <c r="A758" s="194">
        <v>0.79392119935324834</v>
      </c>
      <c r="B758" s="195">
        <v>-0.60181499514273085</v>
      </c>
      <c r="C758" s="195">
        <v>8.4072981093423246E-2</v>
      </c>
      <c r="D758" s="196">
        <v>-2.0966036557238447E-2</v>
      </c>
      <c r="F758" s="123">
        <f>INDEX(A758:D766,,F756)</f>
        <v>-0.60181499514273085</v>
      </c>
      <c r="G758" s="90">
        <f>INDEX(A757:D765,,G756)</f>
        <v>8.4072981093423246E-2</v>
      </c>
      <c r="I758" s="123">
        <f t="shared" ref="I758:I765" si="241">F758^2-G758^2</f>
        <v>0.35511302222871005</v>
      </c>
      <c r="J758" s="37">
        <f t="shared" ref="J758:J765" si="242">2*F758*G758</f>
        <v>-0.10119276141674682</v>
      </c>
      <c r="K758" s="37">
        <f t="shared" ref="K758:K765" si="243">I758^2-J758^2</f>
        <v>0.11586528359326166</v>
      </c>
      <c r="L758" s="90">
        <f t="shared" si="240"/>
        <v>-3.593486733436977E-2</v>
      </c>
      <c r="N758" t="s">
        <v>392</v>
      </c>
      <c r="O758" s="173">
        <f>K766*B767-(I766^2-J766^2)</f>
        <v>21.016536783143902</v>
      </c>
      <c r="Q758" s="123">
        <v>-0.60177257715071875</v>
      </c>
      <c r="R758" s="90">
        <v>8.437606247012476E-2</v>
      </c>
    </row>
    <row r="759" spans="1:18" x14ac:dyDescent="0.25">
      <c r="A759" s="194">
        <v>0.98386925539396186</v>
      </c>
      <c r="B759" s="195">
        <v>0.11739826753382254</v>
      </c>
      <c r="C759" s="195">
        <v>0.11384306485789676</v>
      </c>
      <c r="D759" s="196">
        <v>7.2516837040432117E-2</v>
      </c>
      <c r="F759" s="123">
        <f>INDEX(A759:D767,,F756)</f>
        <v>0.11739826753382254</v>
      </c>
      <c r="G759" s="90">
        <f>INDEX(A757:D765,,G756)</f>
        <v>0.11384306485789676</v>
      </c>
      <c r="I759" s="123">
        <f t="shared" si="241"/>
        <v>8.2210980370368315E-4</v>
      </c>
      <c r="J759" s="37">
        <f t="shared" si="242"/>
        <v>2.6729957170115351E-2</v>
      </c>
      <c r="K759" s="37">
        <f t="shared" si="243"/>
        <v>-7.1381474578685535E-4</v>
      </c>
      <c r="L759" s="90">
        <f t="shared" si="240"/>
        <v>2.1974959842131388E-5</v>
      </c>
      <c r="N759" t="s">
        <v>467</v>
      </c>
      <c r="O759" s="174">
        <f>0.25*ATAN(O757/O758)</f>
        <v>5.0362994313372196E-4</v>
      </c>
      <c r="Q759" s="123">
        <v>0.11745558741904824</v>
      </c>
      <c r="R759" s="90">
        <v>0.1137839251398394</v>
      </c>
    </row>
    <row r="760" spans="1:18" x14ac:dyDescent="0.25">
      <c r="A760" s="194">
        <v>4.8647725351833149E-2</v>
      </c>
      <c r="B760" s="195">
        <v>-5.8877170683608595E-4</v>
      </c>
      <c r="C760" s="195">
        <v>8.0287445819305622E-2</v>
      </c>
      <c r="D760" s="196">
        <v>0.99558373741729145</v>
      </c>
      <c r="F760" s="123">
        <f>INDEX(A760:D768,,F756)</f>
        <v>-5.8877170683608595E-4</v>
      </c>
      <c r="G760" s="90">
        <f>INDEX(A757:D765,,G756)</f>
        <v>8.0287445819305622E-2</v>
      </c>
      <c r="I760" s="123">
        <f t="shared" si="241"/>
        <v>-6.4457273040651655E-3</v>
      </c>
      <c r="J760" s="37">
        <f t="shared" si="242"/>
        <v>-9.4541953025084686E-5</v>
      </c>
      <c r="K760" s="37">
        <f t="shared" si="243"/>
        <v>4.1538462297489394E-5</v>
      </c>
      <c r="L760" s="90">
        <f t="shared" si="240"/>
        <v>6.0939164799343468E-7</v>
      </c>
      <c r="Q760" s="123">
        <v>-5.4833647210416269E-4</v>
      </c>
      <c r="R760" s="90">
        <v>8.0287732160175429E-2</v>
      </c>
    </row>
    <row r="761" spans="1:18" x14ac:dyDescent="0.25">
      <c r="A761" s="194">
        <v>0.35386620164727955</v>
      </c>
      <c r="B761" s="195">
        <v>-0.11159795187573433</v>
      </c>
      <c r="C761" s="195">
        <v>0.88608579347860983</v>
      </c>
      <c r="D761" s="196">
        <v>0.27780672249650723</v>
      </c>
      <c r="F761" s="123">
        <f>INDEX(A761:D769,,F756)</f>
        <v>-0.11159795187573433</v>
      </c>
      <c r="G761" s="90">
        <f>INDEX(A757:D765,,G756)</f>
        <v>0.88608579347860983</v>
      </c>
      <c r="I761" s="123">
        <f t="shared" si="241"/>
        <v>-0.77269393054175883</v>
      </c>
      <c r="J761" s="37">
        <f t="shared" si="242"/>
        <v>-0.19777071947679553</v>
      </c>
      <c r="K761" s="37">
        <f t="shared" si="243"/>
        <v>0.55794265281370303</v>
      </c>
      <c r="L761" s="90">
        <f t="shared" si="240"/>
        <v>0.15281623457859672</v>
      </c>
      <c r="N761" s="156">
        <f>COS(O759)</f>
        <v>0.99999987317844286</v>
      </c>
      <c r="O761" s="158">
        <f>-N762</f>
        <v>-5.0362992184334386E-4</v>
      </c>
      <c r="Q761" s="123">
        <v>-0.11115167840379217</v>
      </c>
      <c r="R761" s="90">
        <v>0.88614188517161074</v>
      </c>
    </row>
    <row r="762" spans="1:18" x14ac:dyDescent="0.25">
      <c r="A762" s="194">
        <v>-3.1068258583162523E-2</v>
      </c>
      <c r="B762" s="195">
        <v>2.1752961437417187E-2</v>
      </c>
      <c r="C762" s="195">
        <v>0.99760258043829919</v>
      </c>
      <c r="D762" s="196">
        <v>-5.7884915825790237E-2</v>
      </c>
      <c r="F762" s="123">
        <f>INDEX(A762:D770,,F756)</f>
        <v>2.1752961437417187E-2</v>
      </c>
      <c r="G762" s="90">
        <f>INDEX(A757:D765,,G756)</f>
        <v>0.99760258043829919</v>
      </c>
      <c r="I762" s="123">
        <f t="shared" si="241"/>
        <v>-0.99473771716585546</v>
      </c>
      <c r="J762" s="37">
        <f t="shared" si="242"/>
        <v>4.3401620924284401E-2</v>
      </c>
      <c r="K762" s="37">
        <f t="shared" si="243"/>
        <v>0.98761942525348223</v>
      </c>
      <c r="L762" s="90">
        <f t="shared" si="240"/>
        <v>-4.3173229319520494E-2</v>
      </c>
      <c r="N762" s="91">
        <f>SIN(O759)</f>
        <v>5.0362992184334386E-4</v>
      </c>
      <c r="O762" s="93">
        <f>N761</f>
        <v>0.99999987317844286</v>
      </c>
      <c r="Q762" s="123">
        <v>2.2255381188289604E-2</v>
      </c>
      <c r="R762" s="90">
        <v>0.99759149847851791</v>
      </c>
    </row>
    <row r="763" spans="1:18" x14ac:dyDescent="0.25">
      <c r="A763" s="194">
        <v>0.96169828370355748</v>
      </c>
      <c r="B763" s="195">
        <v>-2.2280450755235787E-2</v>
      </c>
      <c r="C763" s="195">
        <v>0.16737922080001491</v>
      </c>
      <c r="D763" s="196">
        <v>0.21592635105552771</v>
      </c>
      <c r="F763" s="123">
        <f>INDEX(A763:D771,,F756)</f>
        <v>-2.2280450755235787E-2</v>
      </c>
      <c r="G763" s="90">
        <f>INDEX(A757:D765,,G756)</f>
        <v>0.16737922080001491</v>
      </c>
      <c r="I763" s="123">
        <f t="shared" si="241"/>
        <v>-2.7519385069763657E-2</v>
      </c>
      <c r="J763" s="37">
        <f t="shared" si="242"/>
        <v>-7.4585689729689394E-3</v>
      </c>
      <c r="K763" s="37">
        <f t="shared" si="243"/>
        <v>7.0168630349339597E-4</v>
      </c>
      <c r="L763" s="90">
        <f t="shared" si="240"/>
        <v>2.0525523163652387E-4</v>
      </c>
      <c r="Q763" s="123">
        <v>-2.2196150745704614E-2</v>
      </c>
      <c r="R763" s="90">
        <v>0.16739042067439397</v>
      </c>
    </row>
    <row r="764" spans="1:18" x14ac:dyDescent="0.25">
      <c r="A764" s="194">
        <v>0.67515505142697785</v>
      </c>
      <c r="B764" s="195">
        <v>-0.22042068958386293</v>
      </c>
      <c r="C764" s="195">
        <v>0.5684673152603622</v>
      </c>
      <c r="D764" s="196">
        <v>0.41524124026484333</v>
      </c>
      <c r="F764" s="123">
        <f>INDEX(A764:D772,,F756)</f>
        <v>-0.22042068958386293</v>
      </c>
      <c r="G764" s="90">
        <f>INDEX(A757:D765,,G756)</f>
        <v>0.5684673152603622</v>
      </c>
      <c r="I764" s="123">
        <f t="shared" si="241"/>
        <v>-0.27456980812269832</v>
      </c>
      <c r="J764" s="37">
        <f t="shared" si="242"/>
        <v>-0.2506039152711525</v>
      </c>
      <c r="K764" s="37">
        <f t="shared" si="243"/>
        <v>1.2586257183304389E-2</v>
      </c>
      <c r="L764" s="90">
        <f t="shared" si="240"/>
        <v>6.8808268930797292E-2</v>
      </c>
      <c r="Q764" s="123">
        <v>-0.22013436448021279</v>
      </c>
      <c r="R764" s="90">
        <v>0.56857825362111991</v>
      </c>
    </row>
    <row r="765" spans="1:18" x14ac:dyDescent="0.25">
      <c r="A765" s="200">
        <v>7.0177359333052733E-2</v>
      </c>
      <c r="B765" s="201">
        <v>-0.92582263406770793</v>
      </c>
      <c r="C765" s="201">
        <v>-0.20413766347886753</v>
      </c>
      <c r="D765" s="202">
        <v>0.31025054848357592</v>
      </c>
      <c r="F765" s="91">
        <f>INDEX(A765:D773,,F756)</f>
        <v>-0.92582263406770793</v>
      </c>
      <c r="G765" s="93">
        <f>INDEX(A757:D765,,G756)</f>
        <v>-0.20413766347886753</v>
      </c>
      <c r="I765" s="91">
        <f t="shared" si="241"/>
        <v>0.8154753641014576</v>
      </c>
      <c r="J765" s="92">
        <f t="shared" si="242"/>
        <v>0.37799053862886495</v>
      </c>
      <c r="K765" s="92">
        <f t="shared" si="243"/>
        <v>0.52212322216346541</v>
      </c>
      <c r="L765" s="93">
        <f t="shared" si="240"/>
        <v>0.30824197211527971</v>
      </c>
      <c r="Q765" s="91">
        <v>-0.92592532648894299</v>
      </c>
      <c r="R765" s="93">
        <v>-0.20367136560897486</v>
      </c>
    </row>
    <row r="766" spans="1:18" x14ac:dyDescent="0.25">
      <c r="I766">
        <f>SUM(I757:I765)</f>
        <v>-0.22918139770004964</v>
      </c>
      <c r="J766">
        <f>SUM(J757:J765)</f>
        <v>-0.71581157095239134</v>
      </c>
      <c r="K766">
        <f>SUM(K757:K765)</f>
        <v>2.284074965676258</v>
      </c>
      <c r="L766">
        <f>SUM(L757:L765)</f>
        <v>4.1159964312780017E-2</v>
      </c>
    </row>
    <row r="767" spans="1:18" x14ac:dyDescent="0.25">
      <c r="A767" s="47" t="s">
        <v>53</v>
      </c>
      <c r="B767">
        <f>COUNT(A757:A765)</f>
        <v>9</v>
      </c>
      <c r="I767" s="47" t="s">
        <v>462</v>
      </c>
      <c r="J767" s="47" t="s">
        <v>389</v>
      </c>
      <c r="K767" s="47" t="s">
        <v>469</v>
      </c>
      <c r="L767" s="47" t="s">
        <v>470</v>
      </c>
      <c r="N767" s="47"/>
    </row>
    <row r="769" spans="1:18" x14ac:dyDescent="0.25">
      <c r="A769">
        <v>1</v>
      </c>
      <c r="B769">
        <v>2</v>
      </c>
      <c r="C769">
        <v>3</v>
      </c>
      <c r="D769">
        <v>4</v>
      </c>
      <c r="F769">
        <v>2</v>
      </c>
      <c r="G769">
        <v>4</v>
      </c>
      <c r="I769" s="47" t="s">
        <v>207</v>
      </c>
      <c r="J769" s="47" t="s">
        <v>464</v>
      </c>
      <c r="K769" s="47" t="s">
        <v>465</v>
      </c>
      <c r="L769" s="47" t="s">
        <v>466</v>
      </c>
      <c r="Q769">
        <f>F769</f>
        <v>2</v>
      </c>
      <c r="R769">
        <f>G769</f>
        <v>4</v>
      </c>
    </row>
    <row r="770" spans="1:18" x14ac:dyDescent="0.25">
      <c r="A770" s="189">
        <f t="array" ref="A770:A778">IF(A769=$Q756,$Q757:$Q765,IF(A769=$R756,$R757:$R765,A757:A765))</f>
        <v>0.11020481147696992</v>
      </c>
      <c r="B770" s="190">
        <f t="array" ref="B770:B778">IF(B769=$Q756,$Q757:$Q765,IF(B769=$R756,$R757:$R765,B757:B765))</f>
        <v>0.88957913948586276</v>
      </c>
      <c r="C770" s="190">
        <f t="array" ref="C770:C778">IF(C769=$Q756,$Q757:$Q765,IF(C769=$R756,$R757:$R765,C757:C765))</f>
        <v>-0.34144975050268334</v>
      </c>
      <c r="D770" s="191">
        <f t="array" ref="D770:D778">IF(D769=$Q756,$Q757:$Q765,IF(D769=$R756,$R757:$R765,D757:D765))</f>
        <v>0.28269404309354207</v>
      </c>
      <c r="F770" s="156">
        <f>INDEX(A770:D778,,F769)</f>
        <v>0.88957913948586276</v>
      </c>
      <c r="G770" s="158">
        <f>INDEX(A770:D778,,G769)</f>
        <v>0.28269404309354207</v>
      </c>
      <c r="I770" s="156">
        <f>F770^2-G770^2</f>
        <v>0.71143512340783466</v>
      </c>
      <c r="J770" s="157">
        <f>2*F770*G770</f>
        <v>0.5029574471858651</v>
      </c>
      <c r="K770" s="157">
        <f>I770^2-J770^2</f>
        <v>0.2531737411385987</v>
      </c>
      <c r="L770" s="158">
        <f t="shared" ref="L770:L778" si="244">I770*J770</f>
        <v>0.35782159350756543</v>
      </c>
      <c r="N770" t="s">
        <v>390</v>
      </c>
      <c r="O770" s="172">
        <f>L779*B780-2*I779*J779</f>
        <v>-2.5322150627481665E-2</v>
      </c>
      <c r="Q770" s="156">
        <f t="array" ref="Q770:R778">MMULT(F770:G778,N774:O775)</f>
        <v>0.88945210722544565</v>
      </c>
      <c r="R770" s="158">
        <v>0.28309347636636911</v>
      </c>
    </row>
    <row r="771" spans="1:18" x14ac:dyDescent="0.25">
      <c r="A771" s="194">
        <v>0.79392119935324834</v>
      </c>
      <c r="B771" s="195">
        <v>-0.60177257715071875</v>
      </c>
      <c r="C771" s="195">
        <v>8.437606247012476E-2</v>
      </c>
      <c r="D771" s="196">
        <v>-2.0966036557238447E-2</v>
      </c>
      <c r="F771" s="123">
        <f>INDEX(A771:D779,,F769)</f>
        <v>-0.60177257715071875</v>
      </c>
      <c r="G771" s="90">
        <f>INDEX(A770:D778,,G769)</f>
        <v>-2.0966036557238447E-2</v>
      </c>
      <c r="I771" s="123">
        <f t="shared" ref="I771:I778" si="245">F771^2-G771^2</f>
        <v>0.36169065992169824</v>
      </c>
      <c r="J771" s="37">
        <f t="shared" ref="J771:J778" si="246">2*F771*G771</f>
        <v>2.5233571703371125E-2</v>
      </c>
      <c r="K771" s="37">
        <f t="shared" ref="K771:K778" si="247">I771^2-J771^2</f>
        <v>0.13018340033368439</v>
      </c>
      <c r="L771" s="90">
        <f t="shared" si="244"/>
        <v>9.1267472015737934E-3</v>
      </c>
      <c r="N771" t="s">
        <v>392</v>
      </c>
      <c r="O771" s="173">
        <f>K779*B780-(I779^2-J779^2)</f>
        <v>14.097739402019405</v>
      </c>
      <c r="Q771" s="123">
        <v>-0.6017631017687527</v>
      </c>
      <c r="R771" s="90">
        <v>-2.1236257890384552E-2</v>
      </c>
    </row>
    <row r="772" spans="1:18" x14ac:dyDescent="0.25">
      <c r="A772" s="194">
        <v>0.98386925539396186</v>
      </c>
      <c r="B772" s="195">
        <v>0.11745558741904824</v>
      </c>
      <c r="C772" s="195">
        <v>0.1137839251398394</v>
      </c>
      <c r="D772" s="196">
        <v>7.2516837040432117E-2</v>
      </c>
      <c r="F772" s="123">
        <f>INDEX(A772:D780,,F769)</f>
        <v>0.11745558741904824</v>
      </c>
      <c r="G772" s="90">
        <f>INDEX(A770:D778,,G769)</f>
        <v>7.2516837040432117E-2</v>
      </c>
      <c r="I772" s="123">
        <f t="shared" si="245"/>
        <v>8.5371233616050972E-3</v>
      </c>
      <c r="J772" s="37">
        <f t="shared" si="246"/>
        <v>1.7035015384710701E-2</v>
      </c>
      <c r="K772" s="37">
        <f t="shared" si="247"/>
        <v>-2.1730927386606676E-4</v>
      </c>
      <c r="L772" s="90">
        <f t="shared" si="244"/>
        <v>1.4543002780611597E-4</v>
      </c>
      <c r="N772" t="s">
        <v>467</v>
      </c>
      <c r="O772" s="174">
        <f>0.25*ATAN(O770/O771)</f>
        <v>-4.4904581283047564E-4</v>
      </c>
      <c r="Q772" s="123">
        <v>0.11742301219611197</v>
      </c>
      <c r="R772" s="90">
        <v>7.2569572667158591E-2</v>
      </c>
    </row>
    <row r="773" spans="1:18" x14ac:dyDescent="0.25">
      <c r="A773" s="194">
        <v>4.8647725351833149E-2</v>
      </c>
      <c r="B773" s="195">
        <v>-5.4833647210416269E-4</v>
      </c>
      <c r="C773" s="195">
        <v>8.0287732160175429E-2</v>
      </c>
      <c r="D773" s="196">
        <v>0.99558373741729145</v>
      </c>
      <c r="F773" s="123">
        <f>INDEX(A773:D781,,F769)</f>
        <v>-5.4833647210416269E-4</v>
      </c>
      <c r="G773" s="90">
        <f>INDEX(A770:D778,,G769)</f>
        <v>0.99558373741729145</v>
      </c>
      <c r="I773" s="123">
        <f t="shared" si="245"/>
        <v>-0.99118667753689571</v>
      </c>
      <c r="J773" s="37">
        <f t="shared" si="246"/>
        <v>-1.0918297485193493E-3</v>
      </c>
      <c r="K773" s="37">
        <f t="shared" si="247"/>
        <v>0.98244983763443039</v>
      </c>
      <c r="L773" s="90">
        <f t="shared" si="244"/>
        <v>1.0822071008708381E-3</v>
      </c>
      <c r="Q773" s="123">
        <v>-9.9539911040519681E-4</v>
      </c>
      <c r="R773" s="90">
        <v>0.99558339081328595</v>
      </c>
    </row>
    <row r="774" spans="1:18" x14ac:dyDescent="0.25">
      <c r="A774" s="194">
        <v>0.35386620164727955</v>
      </c>
      <c r="B774" s="195">
        <v>-0.11115167840379217</v>
      </c>
      <c r="C774" s="195">
        <v>0.88614188517161074</v>
      </c>
      <c r="D774" s="196">
        <v>0.27780672249650723</v>
      </c>
      <c r="F774" s="123">
        <f>INDEX(A774:D782,,F769)</f>
        <v>-0.11115167840379217</v>
      </c>
      <c r="G774" s="90">
        <f>INDEX(A770:D778,,G769)</f>
        <v>0.27780672249650723</v>
      </c>
      <c r="I774" s="123">
        <f t="shared" si="245"/>
        <v>-6.4821879452271344E-2</v>
      </c>
      <c r="J774" s="37">
        <f t="shared" si="246"/>
        <v>-6.1757366954686616E-2</v>
      </c>
      <c r="K774" s="37">
        <f t="shared" si="247"/>
        <v>3.8790368254897978E-4</v>
      </c>
      <c r="L774" s="90">
        <f t="shared" si="244"/>
        <v>4.0032285960263821E-3</v>
      </c>
      <c r="N774" s="156">
        <f>COS(O772)</f>
        <v>0.99999989917893073</v>
      </c>
      <c r="O774" s="158">
        <f>-N775</f>
        <v>4.4904579773938255E-4</v>
      </c>
      <c r="Q774" s="123">
        <v>-0.1112764151386819</v>
      </c>
      <c r="R774" s="90">
        <v>0.27775678229363754</v>
      </c>
    </row>
    <row r="775" spans="1:18" x14ac:dyDescent="0.25">
      <c r="A775" s="194">
        <v>-3.1068258583162523E-2</v>
      </c>
      <c r="B775" s="195">
        <v>2.2255381188289604E-2</v>
      </c>
      <c r="C775" s="195">
        <v>0.99759149847851791</v>
      </c>
      <c r="D775" s="196">
        <v>-5.7884915825790237E-2</v>
      </c>
      <c r="F775" s="123">
        <f>INDEX(A775:D783,,F769)</f>
        <v>2.2255381188289604E-2</v>
      </c>
      <c r="G775" s="90">
        <f>INDEX(A770:D778,,G769)</f>
        <v>-5.7884915825790237E-2</v>
      </c>
      <c r="I775" s="123">
        <f t="shared" si="245"/>
        <v>-2.8553614883227462E-3</v>
      </c>
      <c r="J775" s="37">
        <f t="shared" si="246"/>
        <v>-2.5765017335100384E-3</v>
      </c>
      <c r="K775" s="37">
        <f t="shared" si="247"/>
        <v>1.5147280462164554E-6</v>
      </c>
      <c r="L775" s="90">
        <f t="shared" si="244"/>
        <v>7.3568438244613587E-6</v>
      </c>
      <c r="N775" s="91">
        <f>SIN(O772)</f>
        <v>-4.4904579773938255E-4</v>
      </c>
      <c r="O775" s="93">
        <f>N774</f>
        <v>0.99999989917893073</v>
      </c>
      <c r="Q775" s="123">
        <v>2.2281371922682345E-2</v>
      </c>
      <c r="R775" s="90">
        <v>-5.7874916304371443E-2</v>
      </c>
    </row>
    <row r="776" spans="1:18" x14ac:dyDescent="0.25">
      <c r="A776" s="194">
        <v>0.96169828370355748</v>
      </c>
      <c r="B776" s="195">
        <v>-2.2196150745704614E-2</v>
      </c>
      <c r="C776" s="195">
        <v>0.16739042067439397</v>
      </c>
      <c r="D776" s="196">
        <v>0.21592635105552771</v>
      </c>
      <c r="F776" s="123">
        <f>INDEX(A776:D784,,F769)</f>
        <v>-2.2196150745704614E-2</v>
      </c>
      <c r="G776" s="90">
        <f>INDEX(A770:D778,,G769)</f>
        <v>0.21592635105552771</v>
      </c>
      <c r="I776" s="123">
        <f t="shared" si="245"/>
        <v>-4.6131519972228946E-2</v>
      </c>
      <c r="J776" s="37">
        <f t="shared" si="246"/>
        <v>-9.585467675996856E-3</v>
      </c>
      <c r="K776" s="37">
        <f t="shared" si="247"/>
        <v>2.0362359443805776E-3</v>
      </c>
      <c r="L776" s="90">
        <f t="shared" si="244"/>
        <v>4.4219219353840394E-4</v>
      </c>
      <c r="Q776" s="123">
        <v>-2.2293109328427645E-2</v>
      </c>
      <c r="R776" s="90">
        <v>0.21591636219738378</v>
      </c>
    </row>
    <row r="777" spans="1:18" x14ac:dyDescent="0.25">
      <c r="A777" s="194">
        <v>0.67515505142697785</v>
      </c>
      <c r="B777" s="195">
        <v>-0.22013436448021279</v>
      </c>
      <c r="C777" s="195">
        <v>0.56857825362111991</v>
      </c>
      <c r="D777" s="196">
        <v>0.41524124026484333</v>
      </c>
      <c r="F777" s="123">
        <f>INDEX(A777:D785,,F769)</f>
        <v>-0.22013436448021279</v>
      </c>
      <c r="G777" s="90">
        <f>INDEX(A770:D778,,G769)</f>
        <v>0.41524124026484333</v>
      </c>
      <c r="I777" s="123">
        <f t="shared" si="245"/>
        <v>-0.12396614919157818</v>
      </c>
      <c r="J777" s="37">
        <f t="shared" si="246"/>
        <v>-0.18281773306335325</v>
      </c>
      <c r="K777" s="37">
        <f t="shared" si="247"/>
        <v>-1.8054717377034863E-2</v>
      </c>
      <c r="L777" s="90">
        <f t="shared" si="244"/>
        <v>2.2663210371797766E-2</v>
      </c>
      <c r="Q777" s="123">
        <v>-0.22032080462001979</v>
      </c>
      <c r="R777" s="90">
        <v>0.41514234798846961</v>
      </c>
    </row>
    <row r="778" spans="1:18" x14ac:dyDescent="0.25">
      <c r="A778" s="200">
        <v>7.0177359333052733E-2</v>
      </c>
      <c r="B778" s="201">
        <v>-0.92592532648894299</v>
      </c>
      <c r="C778" s="201">
        <v>-0.20367136560897486</v>
      </c>
      <c r="D778" s="202">
        <v>0.31025054848357592</v>
      </c>
      <c r="F778" s="91">
        <f>INDEX(A778:D786,,F769)</f>
        <v>-0.92592532648894299</v>
      </c>
      <c r="G778" s="93">
        <f>INDEX(A770:D778,,G769)</f>
        <v>0.31025054848357592</v>
      </c>
      <c r="I778" s="91">
        <f t="shared" si="245"/>
        <v>0.76108230739929594</v>
      </c>
      <c r="J778" s="92">
        <f t="shared" si="246"/>
        <v>-0.57453768079605738</v>
      </c>
      <c r="K778" s="92">
        <f t="shared" si="247"/>
        <v>0.24915273198172411</v>
      </c>
      <c r="L778" s="93">
        <f t="shared" si="244"/>
        <v>-0.43727046378810353</v>
      </c>
      <c r="Q778" s="91">
        <v>-0.92606454984120434</v>
      </c>
      <c r="R778" s="93">
        <v>0.30983473432690356</v>
      </c>
    </row>
    <row r="779" spans="1:18" x14ac:dyDescent="0.25">
      <c r="I779">
        <f>SUM(I770:I778)</f>
        <v>0.61378362644913709</v>
      </c>
      <c r="J779">
        <f>SUM(J770:J778)</f>
        <v>-0.28714054569817649</v>
      </c>
      <c r="K779">
        <f>SUM(K770:K778)</f>
        <v>1.5991133387925125</v>
      </c>
      <c r="L779">
        <f>SUM(L770:L778)</f>
        <v>-4.197849794510039E-2</v>
      </c>
    </row>
    <row r="780" spans="1:18" x14ac:dyDescent="0.25">
      <c r="A780" s="47" t="s">
        <v>53</v>
      </c>
      <c r="B780">
        <f>COUNT(A770:A778)</f>
        <v>9</v>
      </c>
      <c r="I780" s="47" t="s">
        <v>462</v>
      </c>
      <c r="J780" s="47" t="s">
        <v>389</v>
      </c>
      <c r="K780" s="47" t="s">
        <v>469</v>
      </c>
      <c r="L780" s="47" t="s">
        <v>470</v>
      </c>
      <c r="N780" s="47"/>
    </row>
    <row r="782" spans="1:18" x14ac:dyDescent="0.25">
      <c r="A782">
        <v>1</v>
      </c>
      <c r="B782">
        <v>2</v>
      </c>
      <c r="C782">
        <v>3</v>
      </c>
      <c r="D782">
        <v>4</v>
      </c>
      <c r="F782">
        <v>3</v>
      </c>
      <c r="G782">
        <v>4</v>
      </c>
      <c r="I782" s="47" t="s">
        <v>207</v>
      </c>
      <c r="J782" s="47" t="s">
        <v>464</v>
      </c>
      <c r="K782" s="47" t="s">
        <v>465</v>
      </c>
      <c r="L782" s="47" t="s">
        <v>466</v>
      </c>
      <c r="Q782">
        <f>F782</f>
        <v>3</v>
      </c>
      <c r="R782">
        <f>G782</f>
        <v>4</v>
      </c>
    </row>
    <row r="783" spans="1:18" x14ac:dyDescent="0.25">
      <c r="A783" s="189">
        <f t="array" ref="A783:A791">IF(A782=$Q769,$Q770:$Q778,IF(A782=$R769,$R770:$R778,A770:A778))</f>
        <v>0.11020481147696992</v>
      </c>
      <c r="B783" s="190">
        <f t="array" ref="B783:B791">IF(B782=$Q769,$Q770:$Q778,IF(B782=$R769,$R770:$R778,B770:B778))</f>
        <v>0.88945210722544565</v>
      </c>
      <c r="C783" s="190">
        <f t="array" ref="C783:C791">IF(C782=$Q769,$Q770:$Q778,IF(C782=$R769,$R770:$R778,C770:C778))</f>
        <v>-0.34144975050268334</v>
      </c>
      <c r="D783" s="191">
        <f t="array" ref="D783:D791">IF(D782=$Q769,$Q770:$Q778,IF(D782=$R769,$R770:$R778,D770:D778))</f>
        <v>0.28309347636636911</v>
      </c>
      <c r="F783" s="156">
        <f>INDEX(A783:D791,,F782)</f>
        <v>-0.34144975050268334</v>
      </c>
      <c r="G783" s="158">
        <f>INDEX(A783:D791,,G782)</f>
        <v>0.28309347636636911</v>
      </c>
      <c r="I783" s="156">
        <f>F783^2-G783^2</f>
        <v>3.6446015757148717E-2</v>
      </c>
      <c r="J783" s="157">
        <f>2*F783*G783</f>
        <v>-0.19332439374846802</v>
      </c>
      <c r="K783" s="157">
        <f>I783^2-J783^2</f>
        <v>-3.6046009153642367E-2</v>
      </c>
      <c r="L783" s="158">
        <f t="shared" ref="L783:L791" si="248">I783*J783</f>
        <v>-7.0459039007978886E-3</v>
      </c>
      <c r="N783" t="s">
        <v>390</v>
      </c>
      <c r="O783" s="172">
        <f>L792*B793-2*I792*J792</f>
        <v>1.1235621595518497E-2</v>
      </c>
      <c r="Q783" s="156">
        <f t="array" ref="Q783:R791">MMULT(F783:G791,N787:O788)</f>
        <v>-0.34140341538629027</v>
      </c>
      <c r="R783" s="158">
        <v>0.28314935359650178</v>
      </c>
    </row>
    <row r="784" spans="1:18" x14ac:dyDescent="0.25">
      <c r="A784" s="194">
        <v>0.79392119935324834</v>
      </c>
      <c r="B784" s="195">
        <v>-0.6017631017687527</v>
      </c>
      <c r="C784" s="195">
        <v>8.437606247012476E-2</v>
      </c>
      <c r="D784" s="196">
        <v>-2.1236257890384552E-2</v>
      </c>
      <c r="F784" s="123">
        <f>INDEX(A784:D792,,F782)</f>
        <v>8.437606247012476E-2</v>
      </c>
      <c r="G784" s="90">
        <f>INDEX(A783:D791,,G782)</f>
        <v>-2.1236257890384552E-2</v>
      </c>
      <c r="I784" s="123">
        <f t="shared" ref="I784:I791" si="249">F784^2-G784^2</f>
        <v>6.6683412687754762E-3</v>
      </c>
      <c r="J784" s="37">
        <f t="shared" ref="J784:J791" si="250">2*F784*G784</f>
        <v>-3.5836636447815337E-3</v>
      </c>
      <c r="K784" s="37">
        <f t="shared" ref="K784:K791" si="251">I784^2-J784^2</f>
        <v>3.1624130157925257E-5</v>
      </c>
      <c r="L784" s="90">
        <f t="shared" si="248"/>
        <v>-2.3897092175907039E-5</v>
      </c>
      <c r="N784" t="s">
        <v>392</v>
      </c>
      <c r="O784" s="173">
        <f>K792*B793-(I792^2-J792^2)</f>
        <v>17.163249413409581</v>
      </c>
      <c r="Q784" s="123">
        <v>8.4372585854301171E-2</v>
      </c>
      <c r="R784" s="90">
        <v>-2.1250066433023046E-2</v>
      </c>
    </row>
    <row r="785" spans="1:18" x14ac:dyDescent="0.25">
      <c r="A785" s="194">
        <v>0.98386925539396186</v>
      </c>
      <c r="B785" s="195">
        <v>0.11742301219611197</v>
      </c>
      <c r="C785" s="195">
        <v>0.1137839251398394</v>
      </c>
      <c r="D785" s="196">
        <v>7.2569572667158591E-2</v>
      </c>
      <c r="F785" s="123">
        <f>INDEX(A785:D793,,F782)</f>
        <v>0.1137839251398394</v>
      </c>
      <c r="G785" s="90">
        <f>INDEX(A783:D791,,G782)</f>
        <v>7.2569572667158591E-2</v>
      </c>
      <c r="I785" s="123">
        <f t="shared" si="249"/>
        <v>7.6804387431345647E-3</v>
      </c>
      <c r="J785" s="37">
        <f t="shared" si="250"/>
        <v>1.6514501647580216E-2</v>
      </c>
      <c r="K785" s="37">
        <f t="shared" si="251"/>
        <v>-2.1373962538088725E-4</v>
      </c>
      <c r="L785" s="90">
        <f t="shared" si="248"/>
        <v>1.268386182776347E-4</v>
      </c>
      <c r="N785" t="s">
        <v>467</v>
      </c>
      <c r="O785" s="174">
        <f>0.25*ATAN(O783/O784)</f>
        <v>1.6365811216603553E-4</v>
      </c>
      <c r="Q785" s="123">
        <v>0.11379580021525673</v>
      </c>
      <c r="R785" s="90">
        <v>7.2550950033007586E-2</v>
      </c>
    </row>
    <row r="786" spans="1:18" x14ac:dyDescent="0.25">
      <c r="A786" s="194">
        <v>4.8647725351833149E-2</v>
      </c>
      <c r="B786" s="195">
        <v>-9.9539911040519681E-4</v>
      </c>
      <c r="C786" s="195">
        <v>8.0287732160175429E-2</v>
      </c>
      <c r="D786" s="196">
        <v>0.99558339081328595</v>
      </c>
      <c r="F786" s="123">
        <f>INDEX(A786:D794,,F782)</f>
        <v>8.0287732160175429E-2</v>
      </c>
      <c r="G786" s="90">
        <f>INDEX(A783:D791,,G782)</f>
        <v>0.99558339081328595</v>
      </c>
      <c r="I786" s="123">
        <f t="shared" si="249"/>
        <v>-0.98474016812785592</v>
      </c>
      <c r="J786" s="37">
        <f t="shared" si="250"/>
        <v>0.15986626524947273</v>
      </c>
      <c r="K786" s="37">
        <f t="shared" si="251"/>
        <v>0.94415597595966316</v>
      </c>
      <c r="L786" s="90">
        <f t="shared" si="248"/>
        <v>-0.15742673291973819</v>
      </c>
      <c r="Q786" s="123">
        <v>8.0450666382480024E-2</v>
      </c>
      <c r="R786" s="90">
        <v>0.99557023774182751</v>
      </c>
    </row>
    <row r="787" spans="1:18" x14ac:dyDescent="0.25">
      <c r="A787" s="194">
        <v>0.35386620164727955</v>
      </c>
      <c r="B787" s="195">
        <v>-0.1112764151386819</v>
      </c>
      <c r="C787" s="195">
        <v>0.88614188517161074</v>
      </c>
      <c r="D787" s="196">
        <v>0.27775678229363754</v>
      </c>
      <c r="F787" s="123">
        <f>INDEX(A787:D795,,F782)</f>
        <v>0.88614188517161074</v>
      </c>
      <c r="G787" s="90">
        <f>INDEX(A783:D791,,G782)</f>
        <v>0.27775678229363754</v>
      </c>
      <c r="I787" s="123">
        <f t="shared" si="249"/>
        <v>0.70809861054538092</v>
      </c>
      <c r="J787" s="37">
        <f t="shared" si="250"/>
        <v>0.49226383736176926</v>
      </c>
      <c r="K787" s="37">
        <f t="shared" si="251"/>
        <v>0.25907995668216466</v>
      </c>
      <c r="L787" s="90">
        <f t="shared" si="248"/>
        <v>0.34857133925760619</v>
      </c>
      <c r="N787" s="156">
        <f>COS(O785)</f>
        <v>0.99999998660801115</v>
      </c>
      <c r="O787" s="158">
        <f>-N788</f>
        <v>-1.6365811143546633E-4</v>
      </c>
      <c r="Q787" s="123">
        <v>0.88618733045483711</v>
      </c>
      <c r="R787" s="90">
        <v>0.27761175426653073</v>
      </c>
    </row>
    <row r="788" spans="1:18" x14ac:dyDescent="0.25">
      <c r="A788" s="194">
        <v>-3.1068258583162523E-2</v>
      </c>
      <c r="B788" s="195">
        <v>2.2281371922682345E-2</v>
      </c>
      <c r="C788" s="195">
        <v>0.99759149847851791</v>
      </c>
      <c r="D788" s="196">
        <v>-5.7874916304371443E-2</v>
      </c>
      <c r="F788" s="123">
        <f>INDEX(A788:D796,,F782)</f>
        <v>0.99759149847851791</v>
      </c>
      <c r="G788" s="90">
        <f>INDEX(A783:D791,,G782)</f>
        <v>-5.7874916304371443E-2</v>
      </c>
      <c r="I788" s="123">
        <f t="shared" si="249"/>
        <v>0.99183929189937681</v>
      </c>
      <c r="J788" s="37">
        <f t="shared" si="250"/>
        <v>-0.11547104896079344</v>
      </c>
      <c r="K788" s="37">
        <f t="shared" si="251"/>
        <v>0.97041161780735119</v>
      </c>
      <c r="L788" s="90">
        <f t="shared" si="248"/>
        <v>-0.11452872343615163</v>
      </c>
      <c r="N788" s="91">
        <f>SIN(O785)</f>
        <v>1.6365811143546633E-4</v>
      </c>
      <c r="O788" s="93">
        <f>N787</f>
        <v>0.99999998660801115</v>
      </c>
      <c r="Q788" s="123">
        <v>0.99758201341928188</v>
      </c>
      <c r="R788" s="90">
        <v>-5.803817946993628E-2</v>
      </c>
    </row>
    <row r="789" spans="1:18" x14ac:dyDescent="0.25">
      <c r="A789" s="194">
        <v>0.96169828370355748</v>
      </c>
      <c r="B789" s="195">
        <v>-2.2293109328427645E-2</v>
      </c>
      <c r="C789" s="195">
        <v>0.16739042067439397</v>
      </c>
      <c r="D789" s="196">
        <v>0.21591636219738378</v>
      </c>
      <c r="F789" s="123">
        <f>INDEX(A789:D797,,F782)</f>
        <v>0.16739042067439397</v>
      </c>
      <c r="G789" s="90">
        <f>INDEX(A783:D791,,G782)</f>
        <v>0.21591636219738378</v>
      </c>
      <c r="I789" s="123">
        <f t="shared" si="249"/>
        <v>-1.8600322531001239E-2</v>
      </c>
      <c r="J789" s="37">
        <f t="shared" si="250"/>
        <v>7.2284661397409772E-2</v>
      </c>
      <c r="K789" s="37">
        <f t="shared" si="251"/>
        <v>-4.8791002750809102E-3</v>
      </c>
      <c r="L789" s="90">
        <f t="shared" si="248"/>
        <v>-1.3445180160360365E-3</v>
      </c>
      <c r="Q789" s="123">
        <v>0.16742575489676856</v>
      </c>
      <c r="R789" s="90">
        <v>0.21588896450571429</v>
      </c>
    </row>
    <row r="790" spans="1:18" x14ac:dyDescent="0.25">
      <c r="A790" s="194">
        <v>0.67515505142697785</v>
      </c>
      <c r="B790" s="195">
        <v>-0.22032080462001979</v>
      </c>
      <c r="C790" s="195">
        <v>0.56857825362111991</v>
      </c>
      <c r="D790" s="196">
        <v>0.41514234798846961</v>
      </c>
      <c r="F790" s="123">
        <f>INDEX(A790:D798,,F782)</f>
        <v>0.56857825362111991</v>
      </c>
      <c r="G790" s="90">
        <f>INDEX(A783:D791,,G782)</f>
        <v>0.41514234798846961</v>
      </c>
      <c r="I790" s="123">
        <f t="shared" si="249"/>
        <v>0.15093806139746296</v>
      </c>
      <c r="J790" s="37">
        <f t="shared" si="250"/>
        <v>0.4720818224469106</v>
      </c>
      <c r="K790" s="37">
        <f t="shared" si="251"/>
        <v>-0.20007894870637213</v>
      </c>
      <c r="L790" s="90">
        <f t="shared" si="248"/>
        <v>7.1255115101117997E-2</v>
      </c>
      <c r="Q790" s="123">
        <v>0.56864618741937489</v>
      </c>
      <c r="R790" s="90">
        <v>0.41504928998569701</v>
      </c>
    </row>
    <row r="791" spans="1:18" x14ac:dyDescent="0.25">
      <c r="A791" s="200">
        <v>7.0177359333052733E-2</v>
      </c>
      <c r="B791" s="201">
        <v>-0.92606454984120434</v>
      </c>
      <c r="C791" s="201">
        <v>-0.20367136560897486</v>
      </c>
      <c r="D791" s="202">
        <v>0.30983473432690356</v>
      </c>
      <c r="F791" s="91">
        <f>INDEX(A791:D799,,F782)</f>
        <v>-0.20367136560897486</v>
      </c>
      <c r="G791" s="93">
        <f>INDEX(A783:D791,,G782)</f>
        <v>0.30983473432690356</v>
      </c>
      <c r="I791" s="91">
        <f t="shared" si="249"/>
        <v>-5.4515537426398204E-2</v>
      </c>
      <c r="J791" s="92">
        <f t="shared" si="250"/>
        <v>-0.12620892690690874</v>
      </c>
      <c r="K791" s="92">
        <f t="shared" si="251"/>
        <v>-1.2956749410104411E-2</v>
      </c>
      <c r="L791" s="93">
        <f t="shared" si="248"/>
        <v>6.8803474783391385E-3</v>
      </c>
      <c r="Q791" s="91">
        <v>-0.20362065591393316</v>
      </c>
      <c r="R791" s="93">
        <v>0.3098680626486493</v>
      </c>
    </row>
    <row r="792" spans="1:18" x14ac:dyDescent="0.25">
      <c r="I792">
        <f>SUM(I783:I791)</f>
        <v>0.84381473152602415</v>
      </c>
      <c r="J792">
        <f>SUM(J783:J791)</f>
        <v>0.77442305484219076</v>
      </c>
      <c r="K792">
        <f>SUM(K783:K791)</f>
        <v>1.9195046274087562</v>
      </c>
      <c r="L792">
        <f>SUM(L783:L791)</f>
        <v>0.14646386509044132</v>
      </c>
    </row>
    <row r="793" spans="1:18" x14ac:dyDescent="0.25">
      <c r="A793" s="47" t="s">
        <v>53</v>
      </c>
      <c r="B793">
        <f>COUNT(A783:A791)</f>
        <v>9</v>
      </c>
      <c r="I793" s="47" t="s">
        <v>462</v>
      </c>
      <c r="J793" s="47" t="s">
        <v>389</v>
      </c>
      <c r="K793" s="47" t="s">
        <v>469</v>
      </c>
      <c r="L793" s="47" t="s">
        <v>470</v>
      </c>
      <c r="N793" s="47"/>
    </row>
    <row r="795" spans="1:18" x14ac:dyDescent="0.25">
      <c r="A795">
        <v>1</v>
      </c>
      <c r="B795">
        <v>2</v>
      </c>
      <c r="C795">
        <v>3</v>
      </c>
      <c r="D795">
        <v>4</v>
      </c>
      <c r="F795">
        <v>1</v>
      </c>
      <c r="G795">
        <v>2</v>
      </c>
      <c r="I795" s="47" t="s">
        <v>207</v>
      </c>
      <c r="J795" s="47" t="s">
        <v>464</v>
      </c>
      <c r="K795" s="47" t="s">
        <v>465</v>
      </c>
      <c r="L795" s="47" t="s">
        <v>466</v>
      </c>
      <c r="Q795">
        <f>F795</f>
        <v>1</v>
      </c>
      <c r="R795">
        <f>G795</f>
        <v>2</v>
      </c>
    </row>
    <row r="796" spans="1:18" x14ac:dyDescent="0.25">
      <c r="A796" s="189">
        <f t="array" ref="A796:A804">IF(A795=$Q782,$Q783:$Q791,IF(A795=$R782,$R783:$R791,A783:A791))</f>
        <v>0.11020481147696992</v>
      </c>
      <c r="B796" s="190">
        <f t="array" ref="B796:B804">IF(B795=$Q782,$Q783:$Q791,IF(B795=$R782,$R783:$R791,B783:B791))</f>
        <v>0.88945210722544565</v>
      </c>
      <c r="C796" s="190">
        <f t="array" ref="C796:C804">IF(C795=$Q782,$Q783:$Q791,IF(C795=$R782,$R783:$R791,C783:C791))</f>
        <v>-0.34140341538629027</v>
      </c>
      <c r="D796" s="191">
        <f t="array" ref="D796:D804">IF(D795=$Q782,$Q783:$Q791,IF(D795=$R782,$R783:$R791,D783:D791))</f>
        <v>0.28314935359650178</v>
      </c>
      <c r="F796" s="156">
        <f>INDEX(A796:D804,,F795)</f>
        <v>0.11020481147696992</v>
      </c>
      <c r="G796" s="158">
        <f>INDEX(A796:D804,,G795)</f>
        <v>0.88945210722544565</v>
      </c>
      <c r="I796" s="156">
        <f>F796^2-G796^2</f>
        <v>-0.77897995057511116</v>
      </c>
      <c r="J796" s="157">
        <f>2*F796*G796</f>
        <v>0.19604380358914775</v>
      </c>
      <c r="K796" s="157">
        <f>I796^2-J796^2</f>
        <v>0.56837659047230227</v>
      </c>
      <c r="L796" s="158">
        <f t="shared" ref="L796:L804" si="252">I796*J796</f>
        <v>-0.15271419243043111</v>
      </c>
      <c r="N796" t="s">
        <v>390</v>
      </c>
      <c r="O796" s="172">
        <f>L805*B806-2*I805*J805</f>
        <v>1.3936237567567122E-2</v>
      </c>
      <c r="Q796" s="156">
        <f t="array" ref="Q796:R804">MMULT(F796:G804,N800:O801)</f>
        <v>0.11035847379284502</v>
      </c>
      <c r="R796" s="158">
        <v>0.88943305469415412</v>
      </c>
    </row>
    <row r="797" spans="1:18" x14ac:dyDescent="0.25">
      <c r="A797" s="194">
        <v>0.79392119935324834</v>
      </c>
      <c r="B797" s="195">
        <v>-0.6017631017687527</v>
      </c>
      <c r="C797" s="195">
        <v>8.4372585854301171E-2</v>
      </c>
      <c r="D797" s="196">
        <v>-2.1250066433023046E-2</v>
      </c>
      <c r="F797" s="123">
        <f>INDEX(A797:D805,,F795)</f>
        <v>0.79392119935324834</v>
      </c>
      <c r="G797" s="90">
        <f>INDEX(A796:D804,,G795)</f>
        <v>-0.6017631017687527</v>
      </c>
      <c r="I797" s="123">
        <f t="shared" ref="I797:I804" si="253">F797^2-G797^2</f>
        <v>0.26819204013215003</v>
      </c>
      <c r="J797" s="37">
        <f t="shared" ref="J797:J804" si="254">2*F797*G797</f>
        <v>-0.95550496696555798</v>
      </c>
      <c r="K797" s="37">
        <f t="shared" ref="K797:K804" si="255">I797^2-J797^2</f>
        <v>-0.84106277150560727</v>
      </c>
      <c r="L797" s="90">
        <f t="shared" si="252"/>
        <v>-0.25625882644689563</v>
      </c>
      <c r="N797" t="s">
        <v>392</v>
      </c>
      <c r="O797" s="173">
        <f>K805*B806-(I805^2-J805^2)</f>
        <v>20.166755098753228</v>
      </c>
      <c r="Q797" s="123">
        <v>0.79381722541354471</v>
      </c>
      <c r="R797" s="90">
        <v>-0.60190025259140068</v>
      </c>
    </row>
    <row r="798" spans="1:18" x14ac:dyDescent="0.25">
      <c r="A798" s="194">
        <v>0.98386925539396186</v>
      </c>
      <c r="B798" s="195">
        <v>0.11742301219611197</v>
      </c>
      <c r="C798" s="195">
        <v>0.11379580021525673</v>
      </c>
      <c r="D798" s="196">
        <v>7.2550950033007586E-2</v>
      </c>
      <c r="F798" s="123">
        <f>INDEX(A798:D806,,F795)</f>
        <v>0.98386925539396186</v>
      </c>
      <c r="G798" s="90">
        <f>INDEX(A796:D804,,G795)</f>
        <v>0.11742301219611197</v>
      </c>
      <c r="I798" s="123">
        <f t="shared" si="253"/>
        <v>0.9542105479162607</v>
      </c>
      <c r="J798" s="37">
        <f t="shared" si="254"/>
        <v>0.23105778315100955</v>
      </c>
      <c r="K798" s="37">
        <f t="shared" si="255"/>
        <v>0.85713007059999158</v>
      </c>
      <c r="L798" s="90">
        <f t="shared" si="252"/>
        <v>0.22047777386084139</v>
      </c>
      <c r="N798" t="s">
        <v>467</v>
      </c>
      <c r="O798" s="174">
        <f>0.25*ATAN(O796/O797)</f>
        <v>1.7276249055570237E-4</v>
      </c>
      <c r="Q798" s="123">
        <v>0.98388952700318366</v>
      </c>
      <c r="R798" s="90">
        <v>0.1172530347416593</v>
      </c>
    </row>
    <row r="799" spans="1:18" x14ac:dyDescent="0.25">
      <c r="A799" s="194">
        <v>4.8647725351833149E-2</v>
      </c>
      <c r="B799" s="195">
        <v>-9.9539911040519681E-4</v>
      </c>
      <c r="C799" s="195">
        <v>8.0450666382480024E-2</v>
      </c>
      <c r="D799" s="196">
        <v>0.99557023774182751</v>
      </c>
      <c r="F799" s="123">
        <f>INDEX(A799:D807,,F795)</f>
        <v>4.8647725351833149E-2</v>
      </c>
      <c r="G799" s="90">
        <f>INDEX(A796:D804,,G795)</f>
        <v>-9.9539911040519681E-4</v>
      </c>
      <c r="I799" s="123">
        <f t="shared" si="253"/>
        <v>2.365610362518394E-3</v>
      </c>
      <c r="J799" s="37">
        <f t="shared" si="254"/>
        <v>-9.684780507690212E-5</v>
      </c>
      <c r="K799" s="37">
        <f t="shared" si="255"/>
        <v>5.5867328899061935E-6</v>
      </c>
      <c r="L799" s="90">
        <f t="shared" si="252"/>
        <v>-2.2910417127708118E-7</v>
      </c>
      <c r="Q799" s="123">
        <v>4.8647552658213231E-2</v>
      </c>
      <c r="R799" s="90">
        <v>-1.0038035977002634E-3</v>
      </c>
    </row>
    <row r="800" spans="1:18" x14ac:dyDescent="0.25">
      <c r="A800" s="194">
        <v>0.35386620164727955</v>
      </c>
      <c r="B800" s="195">
        <v>-0.1112764151386819</v>
      </c>
      <c r="C800" s="195">
        <v>0.88618733045483711</v>
      </c>
      <c r="D800" s="196">
        <v>0.27761175426653073</v>
      </c>
      <c r="F800" s="123">
        <f>INDEX(A800:D808,,F795)</f>
        <v>0.35386620164727955</v>
      </c>
      <c r="G800" s="90">
        <f>INDEX(A796:D804,,G795)</f>
        <v>-0.1112764151386819</v>
      </c>
      <c r="I800" s="123">
        <f t="shared" si="253"/>
        <v>0.11283884810215684</v>
      </c>
      <c r="J800" s="37">
        <f t="shared" si="254"/>
        <v>-7.8753924716102403E-2</v>
      </c>
      <c r="K800" s="37">
        <f t="shared" si="255"/>
        <v>6.5304249828321004E-3</v>
      </c>
      <c r="L800" s="90">
        <f t="shared" si="252"/>
        <v>-8.8865021484889738E-3</v>
      </c>
      <c r="N800" s="156">
        <f>COS(O798)</f>
        <v>0.99999998507656096</v>
      </c>
      <c r="O800" s="158">
        <f>-N801</f>
        <v>-1.7276248969629886E-4</v>
      </c>
      <c r="Q800" s="123">
        <v>0.35384697197585507</v>
      </c>
      <c r="R800" s="90">
        <v>-0.11133754828407105</v>
      </c>
    </row>
    <row r="801" spans="1:18" x14ac:dyDescent="0.25">
      <c r="A801" s="194">
        <v>-3.1068258583162523E-2</v>
      </c>
      <c r="B801" s="195">
        <v>2.2281371922682345E-2</v>
      </c>
      <c r="C801" s="195">
        <v>0.99758201341928188</v>
      </c>
      <c r="D801" s="196">
        <v>-5.803817946993628E-2</v>
      </c>
      <c r="F801" s="123">
        <f>INDEX(A801:D809,,F795)</f>
        <v>-3.1068258583162523E-2</v>
      </c>
      <c r="G801" s="90">
        <f>INDEX(A796:D804,,G795)</f>
        <v>2.2281371922682345E-2</v>
      </c>
      <c r="I801" s="123">
        <f t="shared" si="253"/>
        <v>4.6877715663335459E-4</v>
      </c>
      <c r="J801" s="37">
        <f t="shared" si="254"/>
        <v>-1.3844868489630243E-3</v>
      </c>
      <c r="K801" s="37">
        <f t="shared" si="255"/>
        <v>-1.6970518123703115E-6</v>
      </c>
      <c r="L801" s="90">
        <f t="shared" si="252"/>
        <v>-6.4901580845315914E-7</v>
      </c>
      <c r="N801" s="91">
        <f>SIN(O798)</f>
        <v>1.7276248969629886E-4</v>
      </c>
      <c r="O801" s="93">
        <f>N800</f>
        <v>0.99999998507656096</v>
      </c>
      <c r="Q801" s="123">
        <v>-3.1064408734230047E-2</v>
      </c>
      <c r="R801" s="90">
        <v>2.2286739019871004E-2</v>
      </c>
    </row>
    <row r="802" spans="1:18" x14ac:dyDescent="0.25">
      <c r="A802" s="194">
        <v>0.96169828370355748</v>
      </c>
      <c r="B802" s="195">
        <v>-2.2293109328427645E-2</v>
      </c>
      <c r="C802" s="195">
        <v>0.16742575489676856</v>
      </c>
      <c r="D802" s="196">
        <v>0.21588896450571429</v>
      </c>
      <c r="F802" s="123">
        <f>INDEX(A802:D810,,F795)</f>
        <v>0.96169828370355748</v>
      </c>
      <c r="G802" s="90">
        <f>INDEX(A796:D804,,G795)</f>
        <v>-2.2293109328427645E-2</v>
      </c>
      <c r="I802" s="123">
        <f t="shared" si="253"/>
        <v>0.9243666061548389</v>
      </c>
      <c r="J802" s="37">
        <f t="shared" si="254"/>
        <v>-4.2878489959129268E-2</v>
      </c>
      <c r="K802" s="37">
        <f t="shared" si="255"/>
        <v>0.85261505767303991</v>
      </c>
      <c r="L802" s="90">
        <f t="shared" si="252"/>
        <v>-3.9635444240564657E-2</v>
      </c>
      <c r="Q802" s="123">
        <v>0.96169441793864108</v>
      </c>
      <c r="R802" s="90">
        <v>-2.2459254385567069E-2</v>
      </c>
    </row>
    <row r="803" spans="1:18" x14ac:dyDescent="0.25">
      <c r="A803" s="194">
        <v>0.67515505142697785</v>
      </c>
      <c r="B803" s="195">
        <v>-0.22032080462001979</v>
      </c>
      <c r="C803" s="195">
        <v>0.56864618741937489</v>
      </c>
      <c r="D803" s="196">
        <v>0.41504928998569701</v>
      </c>
      <c r="F803" s="123">
        <f>INDEX(A803:D811,,F795)</f>
        <v>0.67515505142697785</v>
      </c>
      <c r="G803" s="90">
        <f>INDEX(A796:D804,,G795)</f>
        <v>-0.22032080462001979</v>
      </c>
      <c r="I803" s="123">
        <f t="shared" si="253"/>
        <v>0.40729308651895219</v>
      </c>
      <c r="J803" s="37">
        <f t="shared" si="254"/>
        <v>-0.29750140834732519</v>
      </c>
      <c r="K803" s="37">
        <f t="shared" si="255"/>
        <v>7.7380570357492739E-2</v>
      </c>
      <c r="L803" s="90">
        <f t="shared" si="252"/>
        <v>-0.12117026684951725</v>
      </c>
      <c r="Q803" s="123">
        <v>0.67511697818060457</v>
      </c>
      <c r="R803" s="90">
        <v>-0.22043744279969127</v>
      </c>
    </row>
    <row r="804" spans="1:18" x14ac:dyDescent="0.25">
      <c r="A804" s="200">
        <v>7.0177359333052733E-2</v>
      </c>
      <c r="B804" s="201">
        <v>-0.92606454984120434</v>
      </c>
      <c r="C804" s="201">
        <v>-0.20362065591393316</v>
      </c>
      <c r="D804" s="202">
        <v>0.3098680626486493</v>
      </c>
      <c r="F804" s="91">
        <f>INDEX(A804:D812,,F795)</f>
        <v>7.0177359333052733E-2</v>
      </c>
      <c r="G804" s="93">
        <f>INDEX(A796:D804,,G795)</f>
        <v>-0.92606454984120434</v>
      </c>
      <c r="I804" s="91">
        <f t="shared" si="253"/>
        <v>-0.85267068870963203</v>
      </c>
      <c r="J804" s="92">
        <f t="shared" si="254"/>
        <v>-0.12997752935961585</v>
      </c>
      <c r="K804" s="92">
        <f t="shared" si="255"/>
        <v>0.71015314524612849</v>
      </c>
      <c r="L804" s="93">
        <f t="shared" si="252"/>
        <v>0.11082802947584006</v>
      </c>
      <c r="Q804" s="91">
        <v>7.0017369068515134E-2</v>
      </c>
      <c r="R804" s="93">
        <v>-0.92607666003645517</v>
      </c>
    </row>
    <row r="805" spans="1:18" x14ac:dyDescent="0.25">
      <c r="I805">
        <f>SUM(I796:I804)</f>
        <v>1.0380848770587672</v>
      </c>
      <c r="J805">
        <f>SUM(J796:J804)</f>
        <v>-1.0789960672616132</v>
      </c>
      <c r="K805">
        <f>SUM(K796:K804)</f>
        <v>2.2311269775072571</v>
      </c>
      <c r="L805">
        <f>SUM(L796:L804)</f>
        <v>-0.24736030689919589</v>
      </c>
    </row>
    <row r="806" spans="1:18" x14ac:dyDescent="0.25">
      <c r="A806" s="47" t="s">
        <v>53</v>
      </c>
      <c r="B806">
        <f>COUNT(A796:A804)</f>
        <v>9</v>
      </c>
      <c r="I806" s="47" t="s">
        <v>462</v>
      </c>
      <c r="J806" s="47" t="s">
        <v>389</v>
      </c>
      <c r="K806" s="47" t="s">
        <v>469</v>
      </c>
      <c r="L806" s="47" t="s">
        <v>470</v>
      </c>
      <c r="N806" s="47"/>
    </row>
    <row r="808" spans="1:18" x14ac:dyDescent="0.25">
      <c r="A808">
        <v>1</v>
      </c>
      <c r="B808">
        <v>2</v>
      </c>
      <c r="C808">
        <v>3</v>
      </c>
      <c r="D808">
        <v>4</v>
      </c>
      <c r="F808">
        <v>1</v>
      </c>
      <c r="G808">
        <v>3</v>
      </c>
      <c r="I808" s="47" t="s">
        <v>207</v>
      </c>
      <c r="J808" s="47" t="s">
        <v>464</v>
      </c>
      <c r="K808" s="47" t="s">
        <v>465</v>
      </c>
      <c r="L808" s="47" t="s">
        <v>466</v>
      </c>
      <c r="Q808">
        <f>F808</f>
        <v>1</v>
      </c>
      <c r="R808">
        <f>G808</f>
        <v>3</v>
      </c>
    </row>
    <row r="809" spans="1:18" x14ac:dyDescent="0.25">
      <c r="A809" s="189">
        <f t="array" ref="A809:A817">IF(A808=$Q795,$Q796:$Q804,IF(A808=$R795,$R796:$R804,A796:A804))</f>
        <v>0.11035847379284502</v>
      </c>
      <c r="B809" s="190">
        <f t="array" ref="B809:B817">IF(B808=$Q795,$Q796:$Q804,IF(B808=$R795,$R796:$R804,B796:B804))</f>
        <v>0.88943305469415412</v>
      </c>
      <c r="C809" s="190">
        <f t="array" ref="C809:C817">IF(C808=$Q795,$Q796:$Q804,IF(C808=$R795,$R796:$R804,C796:C804))</f>
        <v>-0.34140341538629027</v>
      </c>
      <c r="D809" s="191">
        <f t="array" ref="D809:D817">IF(D808=$Q795,$Q796:$Q804,IF(D808=$R795,$R796:$R804,D796:D804))</f>
        <v>0.28314935359650178</v>
      </c>
      <c r="F809" s="156">
        <f>INDEX(A809:D817,,F808)</f>
        <v>0.11035847379284502</v>
      </c>
      <c r="G809" s="158">
        <f>INDEX(A809:D817,,G808)</f>
        <v>-0.34140341538629027</v>
      </c>
      <c r="I809" s="156">
        <f>F809^2-G809^2</f>
        <v>-0.1043772992995378</v>
      </c>
      <c r="J809" s="157">
        <f>2*F809*G809</f>
        <v>-7.5353519739391389E-2</v>
      </c>
      <c r="K809" s="157">
        <f>I809^2-J809^2</f>
        <v>5.2164676719504473E-3</v>
      </c>
      <c r="L809" s="158">
        <f t="shared" ref="L809:L817" si="256">I809*J809</f>
        <v>7.8651968831120848E-3</v>
      </c>
      <c r="N809" t="s">
        <v>390</v>
      </c>
      <c r="O809" s="172">
        <f>L818*B819-2*I818*J818</f>
        <v>1.1083587670754902E-3</v>
      </c>
      <c r="Q809" s="156">
        <f t="array" ref="Q809:R817">MMULT(F809:G817,N813:O814)</f>
        <v>0.11035462264282188</v>
      </c>
      <c r="R809" s="158">
        <v>-0.34140466024451149</v>
      </c>
    </row>
    <row r="810" spans="1:18" x14ac:dyDescent="0.25">
      <c r="A810" s="194">
        <v>0.79381722541354471</v>
      </c>
      <c r="B810" s="195">
        <v>-0.60190025259140068</v>
      </c>
      <c r="C810" s="195">
        <v>8.4372585854301171E-2</v>
      </c>
      <c r="D810" s="196">
        <v>-2.1250066433023046E-2</v>
      </c>
      <c r="F810" s="123">
        <f>INDEX(A810:D818,,F808)</f>
        <v>0.79381722541354471</v>
      </c>
      <c r="G810" s="90">
        <f>INDEX(A809:D817,,G808)</f>
        <v>8.4372585854301171E-2</v>
      </c>
      <c r="I810" s="123">
        <f t="shared" ref="I810:I817" si="257">F810^2-G810^2</f>
        <v>0.62302705411951698</v>
      </c>
      <c r="J810" s="37">
        <f t="shared" ref="J810:J817" si="258">2*F810*G810</f>
        <v>0.1339528240076549</v>
      </c>
      <c r="K810" s="37">
        <f t="shared" ref="K810:K817" si="259">I810^2-J810^2</f>
        <v>0.37021935110521775</v>
      </c>
      <c r="L810" s="90">
        <f t="shared" si="256"/>
        <v>8.345623333247934E-2</v>
      </c>
      <c r="N810" t="s">
        <v>392</v>
      </c>
      <c r="O810" s="173">
        <f>K818*B819-(I818^2-J818^2)</f>
        <v>24.563971534541171</v>
      </c>
      <c r="Q810" s="123">
        <v>0.79381817711360503</v>
      </c>
      <c r="R810" s="90">
        <v>8.4363631329105293E-2</v>
      </c>
    </row>
    <row r="811" spans="1:18" x14ac:dyDescent="0.25">
      <c r="A811" s="194">
        <v>0.98388952700318366</v>
      </c>
      <c r="B811" s="195">
        <v>0.1172530347416593</v>
      </c>
      <c r="C811" s="195">
        <v>0.11379580021525673</v>
      </c>
      <c r="D811" s="196">
        <v>7.2550950033007586E-2</v>
      </c>
      <c r="F811" s="123">
        <f>INDEX(A811:D819,,F808)</f>
        <v>0.98388952700318366</v>
      </c>
      <c r="G811" s="90">
        <f>INDEX(A809:D817,,G808)</f>
        <v>0.11379580021525673</v>
      </c>
      <c r="I811" s="123">
        <f t="shared" si="257"/>
        <v>0.95508911719991785</v>
      </c>
      <c r="J811" s="37">
        <f t="shared" si="258"/>
        <v>0.22392499209747546</v>
      </c>
      <c r="K811" s="37">
        <f t="shared" si="259"/>
        <v>0.86205281970786396</v>
      </c>
      <c r="L811" s="90">
        <f t="shared" si="256"/>
        <v>0.21386832302137643</v>
      </c>
      <c r="N811" t="s">
        <v>467</v>
      </c>
      <c r="O811" s="174">
        <f>0.25*ATAN(O809/O810)</f>
        <v>1.1280329452881485E-5</v>
      </c>
      <c r="Q811" s="123">
        <v>0.98389081059470251</v>
      </c>
      <c r="R811" s="90">
        <v>0.11378470161000712</v>
      </c>
    </row>
    <row r="812" spans="1:18" x14ac:dyDescent="0.25">
      <c r="A812" s="194">
        <v>4.8647552658213231E-2</v>
      </c>
      <c r="B812" s="195">
        <v>-1.0038035977002634E-3</v>
      </c>
      <c r="C812" s="195">
        <v>8.0450666382480024E-2</v>
      </c>
      <c r="D812" s="196">
        <v>0.99557023774182751</v>
      </c>
      <c r="F812" s="123">
        <f>INDEX(A812:D820,,F808)</f>
        <v>4.8647552658213231E-2</v>
      </c>
      <c r="G812" s="90">
        <f>INDEX(A809:D817,,G808)</f>
        <v>8.0450666382480024E-2</v>
      </c>
      <c r="I812" s="123">
        <f t="shared" si="257"/>
        <v>-4.1057253417514719E-3</v>
      </c>
      <c r="J812" s="37">
        <f t="shared" si="258"/>
        <v>7.827456058460084E-3</v>
      </c>
      <c r="K812" s="37">
        <f t="shared" si="259"/>
        <v>-4.4412087765223238E-5</v>
      </c>
      <c r="L812" s="90">
        <f t="shared" si="256"/>
        <v>-3.2137384700665659E-5</v>
      </c>
      <c r="Q812" s="123">
        <v>4.8648460165139608E-2</v>
      </c>
      <c r="R812" s="90">
        <v>8.0450117616940472E-2</v>
      </c>
    </row>
    <row r="813" spans="1:18" x14ac:dyDescent="0.25">
      <c r="A813" s="194">
        <v>0.35384697197585507</v>
      </c>
      <c r="B813" s="195">
        <v>-0.11133754828407105</v>
      </c>
      <c r="C813" s="195">
        <v>0.88618733045483711</v>
      </c>
      <c r="D813" s="196">
        <v>0.27761175426653073</v>
      </c>
      <c r="F813" s="123">
        <f>INDEX(A813:D821,,F808)</f>
        <v>0.35384697197585507</v>
      </c>
      <c r="G813" s="90">
        <f>INDEX(A809:D817,,G808)</f>
        <v>0.88618733045483711</v>
      </c>
      <c r="I813" s="123">
        <f t="shared" si="257"/>
        <v>-0.66012030508218911</v>
      </c>
      <c r="J813" s="37">
        <f t="shared" si="258"/>
        <v>0.62714940696962118</v>
      </c>
      <c r="K813" s="37">
        <f t="shared" si="259"/>
        <v>4.2442438519454895E-2</v>
      </c>
      <c r="L813" s="90">
        <f t="shared" si="256"/>
        <v>-0.41399405786090032</v>
      </c>
      <c r="N813" s="156">
        <f>COS(O811)</f>
        <v>0.99999999993637712</v>
      </c>
      <c r="O813" s="158">
        <f>-N814</f>
        <v>-1.1280329452642256E-5</v>
      </c>
      <c r="Q813" s="123">
        <v>0.3538569684383866</v>
      </c>
      <c r="R813" s="90">
        <v>0.88618333888803558</v>
      </c>
    </row>
    <row r="814" spans="1:18" x14ac:dyDescent="0.25">
      <c r="A814" s="194">
        <v>-3.1064408734230047E-2</v>
      </c>
      <c r="B814" s="195">
        <v>2.2286739019871004E-2</v>
      </c>
      <c r="C814" s="195">
        <v>0.99758201341928188</v>
      </c>
      <c r="D814" s="196">
        <v>-5.803817946993628E-2</v>
      </c>
      <c r="F814" s="123">
        <f>INDEX(A814:D822,,F808)</f>
        <v>-3.1064408734230047E-2</v>
      </c>
      <c r="G814" s="90">
        <f>INDEX(A809:D817,,G808)</f>
        <v>0.99758201341928188</v>
      </c>
      <c r="I814" s="123">
        <f t="shared" si="257"/>
        <v>-0.99420487600766094</v>
      </c>
      <c r="J814" s="37">
        <f t="shared" si="258"/>
        <v>-6.1978590821545471E-2</v>
      </c>
      <c r="K814" s="37">
        <f t="shared" si="259"/>
        <v>0.98460198975718394</v>
      </c>
      <c r="L814" s="90">
        <f t="shared" si="256"/>
        <v>6.1619417202864166E-2</v>
      </c>
      <c r="N814" s="91">
        <f>SIN(O811)</f>
        <v>1.1280329452642256E-5</v>
      </c>
      <c r="O814" s="93">
        <f>N813</f>
        <v>0.99999999993637712</v>
      </c>
      <c r="Q814" s="123">
        <v>-3.1053155678486238E-2</v>
      </c>
      <c r="R814" s="90">
        <v>0.9975823637725777</v>
      </c>
    </row>
    <row r="815" spans="1:18" x14ac:dyDescent="0.25">
      <c r="A815" s="194">
        <v>0.96169441793864108</v>
      </c>
      <c r="B815" s="195">
        <v>-2.2459254385567069E-2</v>
      </c>
      <c r="C815" s="195">
        <v>0.16742575489676856</v>
      </c>
      <c r="D815" s="196">
        <v>0.21588896450571429</v>
      </c>
      <c r="F815" s="123">
        <f>INDEX(A815:D823,,F808)</f>
        <v>0.96169441793864108</v>
      </c>
      <c r="G815" s="90">
        <f>INDEX(A809:D817,,G808)</f>
        <v>0.16742575489676856</v>
      </c>
      <c r="I815" s="123">
        <f t="shared" si="257"/>
        <v>0.8968247700915889</v>
      </c>
      <c r="J815" s="37">
        <f t="shared" si="258"/>
        <v>0.32202482780677083</v>
      </c>
      <c r="K815" s="37">
        <f t="shared" si="259"/>
        <v>0.70059467852585089</v>
      </c>
      <c r="L815" s="90">
        <f t="shared" si="256"/>
        <v>0.28879984216159077</v>
      </c>
      <c r="Q815" s="123">
        <v>0.96169630649512949</v>
      </c>
      <c r="R815" s="90">
        <v>0.16741490665624933</v>
      </c>
    </row>
    <row r="816" spans="1:18" x14ac:dyDescent="0.25">
      <c r="A816" s="194">
        <v>0.67511697818060457</v>
      </c>
      <c r="B816" s="195">
        <v>-0.22043744279969127</v>
      </c>
      <c r="C816" s="195">
        <v>0.56864618741937489</v>
      </c>
      <c r="D816" s="196">
        <v>0.41504928998569701</v>
      </c>
      <c r="F816" s="123">
        <f>INDEX(A816:D824,,F808)</f>
        <v>0.67511697818060457</v>
      </c>
      <c r="G816" s="90">
        <f>INDEX(A809:D817,,G808)</f>
        <v>0.56864618741937489</v>
      </c>
      <c r="I816" s="123">
        <f t="shared" si="257"/>
        <v>0.13242444776112006</v>
      </c>
      <c r="J816" s="37">
        <f t="shared" si="258"/>
        <v>0.76780539140898019</v>
      </c>
      <c r="K816" s="37">
        <f t="shared" si="259"/>
        <v>-0.5719888847118596</v>
      </c>
      <c r="L816" s="90">
        <f t="shared" si="256"/>
        <v>0.10167620494534484</v>
      </c>
      <c r="Q816" s="123">
        <v>0.6751233926539878</v>
      </c>
      <c r="R816" s="90">
        <v>0.56863857184126299</v>
      </c>
    </row>
    <row r="817" spans="1:18" x14ac:dyDescent="0.25">
      <c r="A817" s="200">
        <v>7.0017369068515134E-2</v>
      </c>
      <c r="B817" s="201">
        <v>-0.92607666003645517</v>
      </c>
      <c r="C817" s="201">
        <v>-0.20362065591393316</v>
      </c>
      <c r="D817" s="202">
        <v>0.3098680626486493</v>
      </c>
      <c r="F817" s="91">
        <f>INDEX(A817:D825,,F808)</f>
        <v>7.0017369068515134E-2</v>
      </c>
      <c r="G817" s="93">
        <f>INDEX(A809:D817,,G808)</f>
        <v>-0.20362065591393316</v>
      </c>
      <c r="I817" s="91">
        <f t="shared" si="257"/>
        <v>-3.6558939543543702E-2</v>
      </c>
      <c r="J817" s="92">
        <f t="shared" si="258"/>
        <v>-2.8513965230197974E-2</v>
      </c>
      <c r="K817" s="92">
        <f t="shared" si="259"/>
        <v>5.2350984739954433E-4</v>
      </c>
      <c r="L817" s="93">
        <f t="shared" si="256"/>
        <v>1.0424403309975149E-3</v>
      </c>
      <c r="Q817" s="91">
        <v>7.0015072155978367E-2</v>
      </c>
      <c r="R817" s="93">
        <v>-0.20362144571996871</v>
      </c>
    </row>
    <row r="818" spans="1:18" x14ac:dyDescent="0.25">
      <c r="I818">
        <f>SUM(I809:I817)</f>
        <v>0.80799824389746078</v>
      </c>
      <c r="J818">
        <f>SUM(J809:J817)</f>
        <v>1.9168388225578279</v>
      </c>
      <c r="K818">
        <f>SUM(K809:K817)</f>
        <v>2.3936179583352968</v>
      </c>
      <c r="L818">
        <f>SUM(L809:L817)</f>
        <v>0.34430146263216421</v>
      </c>
    </row>
    <row r="819" spans="1:18" x14ac:dyDescent="0.25">
      <c r="A819" s="47" t="s">
        <v>53</v>
      </c>
      <c r="B819">
        <f>COUNT(A809:A817)</f>
        <v>9</v>
      </c>
      <c r="I819" s="47" t="s">
        <v>462</v>
      </c>
      <c r="J819" s="47" t="s">
        <v>389</v>
      </c>
      <c r="K819" s="47" t="s">
        <v>469</v>
      </c>
      <c r="L819" s="47" t="s">
        <v>470</v>
      </c>
      <c r="N819" s="47"/>
    </row>
    <row r="821" spans="1:18" x14ac:dyDescent="0.25">
      <c r="A821">
        <v>1</v>
      </c>
      <c r="B821">
        <v>2</v>
      </c>
      <c r="C821">
        <v>3</v>
      </c>
      <c r="D821">
        <v>4</v>
      </c>
      <c r="F821">
        <v>1</v>
      </c>
      <c r="G821">
        <v>4</v>
      </c>
      <c r="I821" s="47" t="s">
        <v>207</v>
      </c>
      <c r="J821" s="47" t="s">
        <v>464</v>
      </c>
      <c r="K821" s="47" t="s">
        <v>465</v>
      </c>
      <c r="L821" s="47" t="s">
        <v>466</v>
      </c>
      <c r="Q821">
        <f>F821</f>
        <v>1</v>
      </c>
      <c r="R821">
        <f>G821</f>
        <v>4</v>
      </c>
    </row>
    <row r="822" spans="1:18" x14ac:dyDescent="0.25">
      <c r="A822" s="189">
        <f t="array" ref="A822:A830">IF(A821=$Q808,$Q809:$Q817,IF(A821=$R808,$R809:$R817,A809:A817))</f>
        <v>0.11035462264282188</v>
      </c>
      <c r="B822" s="190">
        <f t="array" ref="B822:B830">IF(B821=$Q808,$Q809:$Q817,IF(B821=$R808,$R809:$R817,B809:B817))</f>
        <v>0.88943305469415412</v>
      </c>
      <c r="C822" s="190">
        <f t="array" ref="C822:C830">IF(C821=$Q808,$Q809:$Q817,IF(C821=$R808,$R809:$R817,C809:C817))</f>
        <v>-0.34140466024451149</v>
      </c>
      <c r="D822" s="191">
        <f t="array" ref="D822:D830">IF(D821=$Q808,$Q809:$Q817,IF(D821=$R808,$R809:$R817,D809:D817))</f>
        <v>0.28314935359650178</v>
      </c>
      <c r="F822" s="156">
        <f>INDEX(A822:D830,,F821)</f>
        <v>0.11035462264282188</v>
      </c>
      <c r="G822" s="158">
        <f>INDEX(A822:D830,,G821)</f>
        <v>0.28314935359650178</v>
      </c>
      <c r="I822" s="156">
        <f>F822^2-G822^2</f>
        <v>-6.7995413703477184E-2</v>
      </c>
      <c r="J822" s="157">
        <f>2*F822*G822</f>
        <v>6.249368013540179E-2</v>
      </c>
      <c r="K822" s="157">
        <f>I822^2-J822^2</f>
        <v>7.1791622784110045E-4</v>
      </c>
      <c r="L822" s="158">
        <f t="shared" ref="L822:L830" si="260">I822*J822</f>
        <v>-4.2492836346594183E-3</v>
      </c>
      <c r="N822" t="s">
        <v>390</v>
      </c>
      <c r="O822" s="172">
        <f>L831*B832-2*I831*J831</f>
        <v>-7.7337628204894315E-3</v>
      </c>
      <c r="Q822" s="156">
        <f t="array" ref="Q822:R830">MMULT(F822:G830,N826:O827)</f>
        <v>0.1103307580277018</v>
      </c>
      <c r="R822" s="158">
        <v>0.28315865343264562</v>
      </c>
    </row>
    <row r="823" spans="1:18" x14ac:dyDescent="0.25">
      <c r="A823" s="194">
        <v>0.79381817711360503</v>
      </c>
      <c r="B823" s="195">
        <v>-0.60190025259140068</v>
      </c>
      <c r="C823" s="195">
        <v>8.4363631329105293E-2</v>
      </c>
      <c r="D823" s="196">
        <v>-2.1250066433023046E-2</v>
      </c>
      <c r="F823" s="123">
        <f>INDEX(A823:D831,,F821)</f>
        <v>0.79381817711360503</v>
      </c>
      <c r="G823" s="90">
        <f>INDEX(A822:D830,,G821)</f>
        <v>-2.1250066433023046E-2</v>
      </c>
      <c r="I823" s="123">
        <f t="shared" ref="I823:I830" si="261">F823^2-G823^2</f>
        <v>0.62969573299255899</v>
      </c>
      <c r="J823" s="37">
        <f t="shared" ref="J823:J830" si="262">2*F823*G823</f>
        <v>-3.3737377998810721E-2</v>
      </c>
      <c r="K823" s="37">
        <f t="shared" ref="K823:K830" si="263">I823^2-J823^2</f>
        <v>0.39537850547480152</v>
      </c>
      <c r="L823" s="90">
        <f t="shared" si="260"/>
        <v>-2.1244282968208149E-2</v>
      </c>
      <c r="N823" t="s">
        <v>392</v>
      </c>
      <c r="O823" s="173">
        <f>K831*B832-(I831^2-J831^2)</f>
        <v>22.940301070948742</v>
      </c>
      <c r="Q823" s="123">
        <v>0.79381996527951182</v>
      </c>
      <c r="R823" s="90">
        <v>-2.1183162252351211E-2</v>
      </c>
    </row>
    <row r="824" spans="1:18" x14ac:dyDescent="0.25">
      <c r="A824" s="194">
        <v>0.98389081059470251</v>
      </c>
      <c r="B824" s="195">
        <v>0.1172530347416593</v>
      </c>
      <c r="C824" s="195">
        <v>0.11378470161000712</v>
      </c>
      <c r="D824" s="196">
        <v>7.2550950033007586E-2</v>
      </c>
      <c r="F824" s="123">
        <f>INDEX(A824:D832,,F821)</f>
        <v>0.98389081059470251</v>
      </c>
      <c r="G824" s="90">
        <f>INDEX(A822:D830,,G821)</f>
        <v>7.2550950033007586E-2</v>
      </c>
      <c r="I824" s="123">
        <f t="shared" si="261"/>
        <v>0.96277748682200881</v>
      </c>
      <c r="J824" s="37">
        <f t="shared" si="262"/>
        <v>0.14276442607478318</v>
      </c>
      <c r="K824" s="37">
        <f t="shared" si="263"/>
        <v>0.90655880777884112</v>
      </c>
      <c r="L824" s="90">
        <f t="shared" si="260"/>
        <v>0.13745037534386623</v>
      </c>
      <c r="N824" t="s">
        <v>467</v>
      </c>
      <c r="O824" s="174">
        <f>0.25*ATAN(O822/O823)</f>
        <v>-8.4281397436553193E-5</v>
      </c>
      <c r="Q824" s="123">
        <v>0.98388469240479337</v>
      </c>
      <c r="R824" s="90">
        <v>7.263387346767379E-2</v>
      </c>
    </row>
    <row r="825" spans="1:18" x14ac:dyDescent="0.25">
      <c r="A825" s="194">
        <v>4.8648460165139608E-2</v>
      </c>
      <c r="B825" s="195">
        <v>-1.0038035977002634E-3</v>
      </c>
      <c r="C825" s="195">
        <v>8.0450117616940472E-2</v>
      </c>
      <c r="D825" s="196">
        <v>0.99557023774182751</v>
      </c>
      <c r="F825" s="123">
        <f>INDEX(A825:D833,,F821)</f>
        <v>4.8648460165139608E-2</v>
      </c>
      <c r="G825" s="90">
        <f>INDEX(A822:D830,,G821)</f>
        <v>0.99557023774182751</v>
      </c>
      <c r="I825" s="123">
        <f t="shared" si="261"/>
        <v>-0.98879342560087979</v>
      </c>
      <c r="J825" s="37">
        <f t="shared" si="262"/>
        <v>9.6865918104763735E-2</v>
      </c>
      <c r="K825" s="37">
        <f t="shared" si="263"/>
        <v>0.96832943242124381</v>
      </c>
      <c r="L825" s="90">
        <f t="shared" si="260"/>
        <v>-9.578038298678361E-2</v>
      </c>
      <c r="Q825" s="123">
        <v>4.8564551941572207E-2</v>
      </c>
      <c r="R825" s="90">
        <v>0.99557433436608467</v>
      </c>
    </row>
    <row r="826" spans="1:18" x14ac:dyDescent="0.25">
      <c r="A826" s="194">
        <v>0.3538569684383866</v>
      </c>
      <c r="B826" s="195">
        <v>-0.11133754828407105</v>
      </c>
      <c r="C826" s="195">
        <v>0.88618333888803558</v>
      </c>
      <c r="D826" s="196">
        <v>0.27761175426653073</v>
      </c>
      <c r="F826" s="123">
        <f>INDEX(A826:D834,,F821)</f>
        <v>0.3538569684383866</v>
      </c>
      <c r="G826" s="90">
        <f>INDEX(A822:D830,,G821)</f>
        <v>0.27761175426653073</v>
      </c>
      <c r="I826" s="123">
        <f t="shared" si="261"/>
        <v>4.8146468005464682E-2</v>
      </c>
      <c r="J826" s="37">
        <f t="shared" si="262"/>
        <v>0.1964697075352338</v>
      </c>
      <c r="K826" s="37">
        <f t="shared" si="263"/>
        <v>-3.6282263597579065E-2</v>
      </c>
      <c r="L826" s="90">
        <f t="shared" si="260"/>
        <v>9.4593224878881371E-3</v>
      </c>
      <c r="N826" s="156">
        <f>COS(O824)</f>
        <v>0.99999999644832305</v>
      </c>
      <c r="O826" s="158">
        <f>-N827</f>
        <v>8.4281397336773091E-5</v>
      </c>
      <c r="Q826" s="123">
        <v>0.35383356967503427</v>
      </c>
      <c r="R826" s="90">
        <v>0.27764157684030077</v>
      </c>
    </row>
    <row r="827" spans="1:18" x14ac:dyDescent="0.25">
      <c r="A827" s="194">
        <v>-3.1053155678486238E-2</v>
      </c>
      <c r="B827" s="195">
        <v>2.2286739019871004E-2</v>
      </c>
      <c r="C827" s="195">
        <v>0.9975823637725777</v>
      </c>
      <c r="D827" s="196">
        <v>-5.803817946993628E-2</v>
      </c>
      <c r="F827" s="123">
        <f>INDEX(A827:D835,,F821)</f>
        <v>-3.1053155678486238E-2</v>
      </c>
      <c r="G827" s="90">
        <f>INDEX(A822:D830,,G821)</f>
        <v>-5.803817946993628E-2</v>
      </c>
      <c r="I827" s="123">
        <f t="shared" si="261"/>
        <v>-2.4041317985922309E-3</v>
      </c>
      <c r="J827" s="37">
        <f t="shared" si="262"/>
        <v>3.6045372447517103E-3</v>
      </c>
      <c r="K827" s="37">
        <f t="shared" si="263"/>
        <v>-7.2128390437999354E-6</v>
      </c>
      <c r="L827" s="90">
        <f t="shared" si="260"/>
        <v>-8.6657826093176128E-6</v>
      </c>
      <c r="N827" s="91">
        <f>SIN(O824)</f>
        <v>-8.4281397336773091E-5</v>
      </c>
      <c r="O827" s="93">
        <f>N826</f>
        <v>0.99999999644832305</v>
      </c>
      <c r="Q827" s="123">
        <v>-3.1048264029330853E-2</v>
      </c>
      <c r="R827" s="90">
        <v>-5.8040796467155709E-2</v>
      </c>
    </row>
    <row r="828" spans="1:18" x14ac:dyDescent="0.25">
      <c r="A828" s="194">
        <v>0.96169630649512949</v>
      </c>
      <c r="B828" s="195">
        <v>-2.2459254385567069E-2</v>
      </c>
      <c r="C828" s="195">
        <v>0.16741490665624933</v>
      </c>
      <c r="D828" s="196">
        <v>0.21588896450571429</v>
      </c>
      <c r="F828" s="123">
        <f>INDEX(A828:D836,,F821)</f>
        <v>0.96169630649512949</v>
      </c>
      <c r="G828" s="90">
        <f>INDEX(A822:D830,,G821)</f>
        <v>0.21588896450571429</v>
      </c>
      <c r="I828" s="123">
        <f t="shared" si="261"/>
        <v>0.87825174093102454</v>
      </c>
      <c r="J828" s="37">
        <f t="shared" si="262"/>
        <v>0.41523923955640707</v>
      </c>
      <c r="K828" s="37">
        <f t="shared" si="263"/>
        <v>0.59890249438099219</v>
      </c>
      <c r="L828" s="90">
        <f t="shared" si="260"/>
        <v>0.36468458504328927</v>
      </c>
      <c r="Q828" s="123">
        <v>0.96167810765589679</v>
      </c>
      <c r="R828" s="90">
        <v>0.21597001684747144</v>
      </c>
    </row>
    <row r="829" spans="1:18" x14ac:dyDescent="0.25">
      <c r="A829" s="194">
        <v>0.6751233926539878</v>
      </c>
      <c r="B829" s="195">
        <v>-0.22043744279969127</v>
      </c>
      <c r="C829" s="195">
        <v>0.56863857184126299</v>
      </c>
      <c r="D829" s="196">
        <v>0.41504928998569701</v>
      </c>
      <c r="F829" s="123">
        <f>INDEX(A829:D837,,F821)</f>
        <v>0.6751233926539878</v>
      </c>
      <c r="G829" s="90">
        <f>INDEX(A822:D830,,G821)</f>
        <v>0.41504928998569701</v>
      </c>
      <c r="I829" s="123">
        <f t="shared" si="261"/>
        <v>0.28352568219099938</v>
      </c>
      <c r="J829" s="37">
        <f t="shared" si="262"/>
        <v>0.56041896954754511</v>
      </c>
      <c r="K829" s="37">
        <f t="shared" si="263"/>
        <v>-0.23368260896686072</v>
      </c>
      <c r="L829" s="90">
        <f t="shared" si="260"/>
        <v>0.15889317065374464</v>
      </c>
      <c r="Q829" s="123">
        <v>0.67508840932204395</v>
      </c>
      <c r="R829" s="90">
        <v>0.41510618885448364</v>
      </c>
    </row>
    <row r="830" spans="1:18" x14ac:dyDescent="0.25">
      <c r="A830" s="200">
        <v>7.0015072155978367E-2</v>
      </c>
      <c r="B830" s="201">
        <v>-0.92607666003645517</v>
      </c>
      <c r="C830" s="201">
        <v>-0.20362144571996871</v>
      </c>
      <c r="D830" s="202">
        <v>0.3098680626486493</v>
      </c>
      <c r="F830" s="91">
        <f>INDEX(A830:D838,,F821)</f>
        <v>7.0015072155978367E-2</v>
      </c>
      <c r="G830" s="93">
        <f>INDEX(A822:D830,,G821)</f>
        <v>0.3098680626486493</v>
      </c>
      <c r="I830" s="91">
        <f t="shared" si="261"/>
        <v>-9.1116105920620402E-2</v>
      </c>
      <c r="J830" s="92">
        <f t="shared" si="262"/>
        <v>4.3390869530356813E-2</v>
      </c>
      <c r="K830" s="92">
        <f t="shared" si="263"/>
        <v>6.4193771995372691E-3</v>
      </c>
      <c r="L830" s="93">
        <f t="shared" si="260"/>
        <v>-3.9536070641158121E-3</v>
      </c>
      <c r="Q830" s="91">
        <v>6.9988955793997387E-2</v>
      </c>
      <c r="R830" s="93">
        <v>0.30987396251621396</v>
      </c>
    </row>
    <row r="831" spans="1:18" x14ac:dyDescent="0.25">
      <c r="I831">
        <f>SUM(I822:I830)</f>
        <v>1.6520880339184869</v>
      </c>
      <c r="J831">
        <f>SUM(J822:J830)</f>
        <v>1.4875099697304326</v>
      </c>
      <c r="K831">
        <f>SUM(K822:K830)</f>
        <v>2.6063344480797732</v>
      </c>
      <c r="L831">
        <f>SUM(L822:L830)</f>
        <v>0.54525123109241191</v>
      </c>
    </row>
    <row r="832" spans="1:18" x14ac:dyDescent="0.25">
      <c r="A832" s="47" t="s">
        <v>53</v>
      </c>
      <c r="B832">
        <f>COUNT(A822:A830)</f>
        <v>9</v>
      </c>
      <c r="I832" s="47" t="s">
        <v>462</v>
      </c>
      <c r="J832" s="47" t="s">
        <v>389</v>
      </c>
      <c r="K832" s="47" t="s">
        <v>469</v>
      </c>
      <c r="L832" s="47" t="s">
        <v>470</v>
      </c>
      <c r="N832" s="47"/>
    </row>
    <row r="834" spans="1:18" x14ac:dyDescent="0.25">
      <c r="A834">
        <v>1</v>
      </c>
      <c r="B834">
        <v>2</v>
      </c>
      <c r="C834">
        <v>3</v>
      </c>
      <c r="D834">
        <v>4</v>
      </c>
      <c r="F834">
        <v>2</v>
      </c>
      <c r="G834">
        <v>3</v>
      </c>
      <c r="I834" s="47" t="s">
        <v>207</v>
      </c>
      <c r="J834" s="47" t="s">
        <v>464</v>
      </c>
      <c r="K834" s="47" t="s">
        <v>465</v>
      </c>
      <c r="L834" s="47" t="s">
        <v>466</v>
      </c>
      <c r="Q834">
        <f>F834</f>
        <v>2</v>
      </c>
      <c r="R834">
        <f>G834</f>
        <v>3</v>
      </c>
    </row>
    <row r="835" spans="1:18" x14ac:dyDescent="0.25">
      <c r="A835" s="189">
        <f t="array" ref="A835:A843">IF(A834=$Q821,$Q822:$Q830,IF(A834=$R821,$R822:$R830,A822:A830))</f>
        <v>0.1103307580277018</v>
      </c>
      <c r="B835" s="190">
        <f t="array" ref="B835:B843">IF(B834=$Q821,$Q822:$Q830,IF(B834=$R821,$R822:$R830,B822:B830))</f>
        <v>0.88943305469415412</v>
      </c>
      <c r="C835" s="190">
        <f t="array" ref="C835:C843">IF(C834=$Q821,$Q822:$Q830,IF(C834=$R821,$R822:$R830,C822:C830))</f>
        <v>-0.34140466024451149</v>
      </c>
      <c r="D835" s="191">
        <f t="array" ref="D835:D843">IF(D834=$Q821,$Q822:$Q830,IF(D834=$R821,$R822:$R830,D822:D830))</f>
        <v>0.28315865343264562</v>
      </c>
      <c r="F835" s="156">
        <f>INDEX(A835:D843,,F834)</f>
        <v>0.88943305469415412</v>
      </c>
      <c r="G835" s="158">
        <f>INDEX(A835:D843,,G834)</f>
        <v>-0.34140466024451149</v>
      </c>
      <c r="I835" s="156">
        <f>F835^2-G835^2</f>
        <v>0.67453401674590385</v>
      </c>
      <c r="J835" s="157">
        <f>2*F835*G835</f>
        <v>-0.60731317969619136</v>
      </c>
      <c r="K835" s="157">
        <f>I835^2-J835^2</f>
        <v>8.616684151466486E-2</v>
      </c>
      <c r="L835" s="158">
        <f t="shared" ref="L835:L843" si="264">I835*J835</f>
        <v>-0.40965339852319888</v>
      </c>
      <c r="N835" t="s">
        <v>390</v>
      </c>
      <c r="O835" s="172">
        <f>L844*B845-2*I844*J844</f>
        <v>2.6304716885876045E-2</v>
      </c>
      <c r="Q835" s="156">
        <f t="array" ref="Q835:R843">MMULT(F835:G843,N839:O840)</f>
        <v>0.88932620209673263</v>
      </c>
      <c r="R835" s="158">
        <v>-0.34168290428911707</v>
      </c>
    </row>
    <row r="836" spans="1:18" x14ac:dyDescent="0.25">
      <c r="A836" s="194">
        <v>0.79381996527951182</v>
      </c>
      <c r="B836" s="195">
        <v>-0.60190025259140068</v>
      </c>
      <c r="C836" s="195">
        <v>8.4363631329105293E-2</v>
      </c>
      <c r="D836" s="196">
        <v>-2.1183162252351211E-2</v>
      </c>
      <c r="F836" s="123">
        <f>INDEX(A836:D844,,F834)</f>
        <v>-0.60190025259140068</v>
      </c>
      <c r="G836" s="90">
        <f>INDEX(A835:D843,,G834)</f>
        <v>8.4363631329105293E-2</v>
      </c>
      <c r="I836" s="123">
        <f t="shared" ref="I836:I843" si="265">F836^2-G836^2</f>
        <v>0.35516669177855875</v>
      </c>
      <c r="J836" s="37">
        <f t="shared" ref="J836:J843" si="266">2*F836*G836</f>
        <v>-0.10155698201303257</v>
      </c>
      <c r="K836" s="37">
        <f t="shared" ref="K836:K843" si="267">I836^2-J836^2</f>
        <v>0.11582955835333032</v>
      </c>
      <c r="L836" s="90">
        <f t="shared" si="264"/>
        <v>-3.6069657328583374E-2</v>
      </c>
      <c r="N836" t="s">
        <v>392</v>
      </c>
      <c r="O836" s="173">
        <f>K844*B845-(I844^2-J844^2)</f>
        <v>21.020097070454959</v>
      </c>
      <c r="Q836" s="123">
        <v>-0.60187382981969717</v>
      </c>
      <c r="R836" s="90">
        <v>8.4551932791600934E-2</v>
      </c>
    </row>
    <row r="837" spans="1:18" x14ac:dyDescent="0.25">
      <c r="A837" s="194">
        <v>0.98388469240479337</v>
      </c>
      <c r="B837" s="195">
        <v>0.1172530347416593</v>
      </c>
      <c r="C837" s="195">
        <v>0.11378470161000712</v>
      </c>
      <c r="D837" s="196">
        <v>7.263387346767379E-2</v>
      </c>
      <c r="F837" s="123">
        <f>INDEX(A837:D845,,F834)</f>
        <v>0.1172530347416593</v>
      </c>
      <c r="G837" s="90">
        <f>INDEX(A835:D843,,G834)</f>
        <v>0.11378470161000712</v>
      </c>
      <c r="I837" s="123">
        <f t="shared" si="265"/>
        <v>8.0131583565040687E-4</v>
      </c>
      <c r="J837" s="37">
        <f t="shared" si="266"/>
        <v>2.6683203141895002E-2</v>
      </c>
      <c r="K837" s="37">
        <f t="shared" si="267"/>
        <v>-7.1135122284317115E-4</v>
      </c>
      <c r="L837" s="90">
        <f t="shared" si="264"/>
        <v>2.1381673223477156E-5</v>
      </c>
      <c r="N837" t="s">
        <v>467</v>
      </c>
      <c r="O837" s="174">
        <f>0.25*ATAN(O835/O836)</f>
        <v>3.1285182778256109E-4</v>
      </c>
      <c r="Q837" s="123">
        <v>0.11728862675480642</v>
      </c>
      <c r="R837" s="90">
        <v>0.11374801321596271</v>
      </c>
    </row>
    <row r="838" spans="1:18" x14ac:dyDescent="0.25">
      <c r="A838" s="194">
        <v>4.8564551941572207E-2</v>
      </c>
      <c r="B838" s="195">
        <v>-1.0038035977002634E-3</v>
      </c>
      <c r="C838" s="195">
        <v>8.0450117616940472E-2</v>
      </c>
      <c r="D838" s="196">
        <v>0.99557433436608467</v>
      </c>
      <c r="F838" s="123">
        <f>INDEX(A838:D846,,F834)</f>
        <v>-1.0038035977002634E-3</v>
      </c>
      <c r="G838" s="90">
        <f>INDEX(A835:D843,,G834)</f>
        <v>8.0450117616940472E-2</v>
      </c>
      <c r="I838" s="123">
        <f t="shared" si="265"/>
        <v>-6.4712138029167999E-3</v>
      </c>
      <c r="J838" s="37">
        <f t="shared" si="266"/>
        <v>-1.6151223499858837E-4</v>
      </c>
      <c r="K838" s="37">
        <f t="shared" si="267"/>
        <v>4.1850521881006672E-5</v>
      </c>
      <c r="L838" s="90">
        <f t="shared" si="264"/>
        <v>1.0451802044628069E-6</v>
      </c>
      <c r="Q838" s="123">
        <v>-9.7863458264478196E-4</v>
      </c>
      <c r="R838" s="90">
        <v>8.0450427721647094E-2</v>
      </c>
    </row>
    <row r="839" spans="1:18" x14ac:dyDescent="0.25">
      <c r="A839" s="194">
        <v>0.35383356967503427</v>
      </c>
      <c r="B839" s="195">
        <v>-0.11133754828407105</v>
      </c>
      <c r="C839" s="195">
        <v>0.88618333888803558</v>
      </c>
      <c r="D839" s="196">
        <v>0.27764157684030077</v>
      </c>
      <c r="F839" s="123">
        <f>INDEX(A839:D847,,F834)</f>
        <v>-0.11133754828407105</v>
      </c>
      <c r="G839" s="90">
        <f>INDEX(A835:D843,,G834)</f>
        <v>0.88618333888803558</v>
      </c>
      <c r="I839" s="123">
        <f t="shared" si="265"/>
        <v>-0.7729248604648391</v>
      </c>
      <c r="J839" s="37">
        <f t="shared" si="266"/>
        <v>-0.19733096056397192</v>
      </c>
      <c r="K839" s="37">
        <f t="shared" si="267"/>
        <v>0.55847333192749116</v>
      </c>
      <c r="L839" s="90">
        <f t="shared" si="264"/>
        <v>0.15252200515930067</v>
      </c>
      <c r="N839" s="156">
        <f>COS(O837)</f>
        <v>0.99999995106186734</v>
      </c>
      <c r="O839" s="158">
        <f>-N840</f>
        <v>-3.1285182267909965E-4</v>
      </c>
      <c r="Q839" s="123">
        <v>-0.11106029876262037</v>
      </c>
      <c r="R839" s="90">
        <v>0.88621812767479102</v>
      </c>
    </row>
    <row r="840" spans="1:18" x14ac:dyDescent="0.25">
      <c r="A840" s="194">
        <v>-3.1048264029330853E-2</v>
      </c>
      <c r="B840" s="195">
        <v>2.2286739019871004E-2</v>
      </c>
      <c r="C840" s="195">
        <v>0.9975823637725777</v>
      </c>
      <c r="D840" s="196">
        <v>-5.8040796467155709E-2</v>
      </c>
      <c r="F840" s="123">
        <f>INDEX(A840:D848,,F834)</f>
        <v>2.2286739019871004E-2</v>
      </c>
      <c r="G840" s="90">
        <f>INDEX(A835:D843,,G834)</f>
        <v>0.9975823637725777</v>
      </c>
      <c r="I840" s="123">
        <f t="shared" si="265"/>
        <v>-0.99467387377394367</v>
      </c>
      <c r="J840" s="37">
        <f t="shared" si="266"/>
        <v>4.4465715584450914E-2</v>
      </c>
      <c r="K840" s="37">
        <f t="shared" si="267"/>
        <v>0.98739891530602597</v>
      </c>
      <c r="L840" s="90">
        <f t="shared" si="264"/>
        <v>-4.4228885570516206E-2</v>
      </c>
      <c r="N840" s="91">
        <f>SIN(O837)</f>
        <v>3.1285182267909965E-4</v>
      </c>
      <c r="O840" s="93">
        <f>N839</f>
        <v>0.99999995106186734</v>
      </c>
      <c r="Q840" s="123">
        <v>2.2598833389978389E-2</v>
      </c>
      <c r="R840" s="90">
        <v>0.99757534250583568</v>
      </c>
    </row>
    <row r="841" spans="1:18" x14ac:dyDescent="0.25">
      <c r="A841" s="194">
        <v>0.96167810765589679</v>
      </c>
      <c r="B841" s="195">
        <v>-2.2459254385567069E-2</v>
      </c>
      <c r="C841" s="195">
        <v>0.16741490665624933</v>
      </c>
      <c r="D841" s="196">
        <v>0.21597001684747144</v>
      </c>
      <c r="F841" s="123">
        <f>INDEX(A841:D849,,F834)</f>
        <v>-2.2459254385567069E-2</v>
      </c>
      <c r="G841" s="90">
        <f>INDEX(A835:D843,,G834)</f>
        <v>0.16741490665624933</v>
      </c>
      <c r="I841" s="123">
        <f t="shared" si="265"/>
        <v>-2.7523332863165065E-2</v>
      </c>
      <c r="J841" s="37">
        <f t="shared" si="266"/>
        <v>-7.5200279530573391E-3</v>
      </c>
      <c r="K841" s="37">
        <f t="shared" si="267"/>
        <v>7.0098303148181831E-4</v>
      </c>
      <c r="L841" s="90">
        <f t="shared" si="264"/>
        <v>2.0697623249230296E-4</v>
      </c>
      <c r="Q841" s="123">
        <v>-2.2406877227762041E-2</v>
      </c>
      <c r="R841" s="90">
        <v>0.16742192488194696</v>
      </c>
    </row>
    <row r="842" spans="1:18" x14ac:dyDescent="0.25">
      <c r="A842" s="194">
        <v>0.67508840932204395</v>
      </c>
      <c r="B842" s="195">
        <v>-0.22043744279969127</v>
      </c>
      <c r="C842" s="195">
        <v>0.56863857184126299</v>
      </c>
      <c r="D842" s="196">
        <v>0.41510618885448364</v>
      </c>
      <c r="F842" s="123">
        <f>INDEX(A842:D850,,F834)</f>
        <v>-0.22043744279969127</v>
      </c>
      <c r="G842" s="90">
        <f>INDEX(A835:D843,,G834)</f>
        <v>0.56863857184126299</v>
      </c>
      <c r="I842" s="123">
        <f t="shared" si="265"/>
        <v>-0.27475715919760402</v>
      </c>
      <c r="J842" s="37">
        <f t="shared" si="266"/>
        <v>-0.25069846530791307</v>
      </c>
      <c r="K842" s="37">
        <f t="shared" si="267"/>
        <v>1.2641776022594628E-2</v>
      </c>
      <c r="L842" s="90">
        <f t="shared" si="264"/>
        <v>6.8881198143201275E-2</v>
      </c>
      <c r="Q842" s="123">
        <v>-0.22025953239824828</v>
      </c>
      <c r="R842" s="90">
        <v>0.5687075082689198</v>
      </c>
    </row>
    <row r="843" spans="1:18" x14ac:dyDescent="0.25">
      <c r="A843" s="200">
        <v>6.9988955793997387E-2</v>
      </c>
      <c r="B843" s="201">
        <v>-0.92607666003645517</v>
      </c>
      <c r="C843" s="201">
        <v>-0.20362144571996871</v>
      </c>
      <c r="D843" s="202">
        <v>0.30987396251621396</v>
      </c>
      <c r="F843" s="91">
        <f>INDEX(A843:D851,,F834)</f>
        <v>-0.92607666003645517</v>
      </c>
      <c r="G843" s="93">
        <f>INDEX(A835:D843,,G834)</f>
        <v>-0.20362144571996871</v>
      </c>
      <c r="I843" s="91">
        <f t="shared" si="265"/>
        <v>0.81615628710718602</v>
      </c>
      <c r="J843" s="92">
        <f t="shared" si="266"/>
        <v>0.37713813672828594</v>
      </c>
      <c r="K843" s="92">
        <f t="shared" si="267"/>
        <v>0.52387791080970425</v>
      </c>
      <c r="L843" s="93">
        <f t="shared" si="264"/>
        <v>0.3078036613986801</v>
      </c>
      <c r="Q843" s="91">
        <v>-0.92614031805642272</v>
      </c>
      <c r="R843" s="93">
        <v>-0.2033317109840824</v>
      </c>
    </row>
    <row r="844" spans="1:18" x14ac:dyDescent="0.25">
      <c r="I844">
        <f>SUM(I835:I843)</f>
        <v>-0.22969212863516952</v>
      </c>
      <c r="J844">
        <f>SUM(J835:J843)</f>
        <v>-0.71629407231453301</v>
      </c>
      <c r="K844">
        <f>SUM(K835:K843)</f>
        <v>2.2844198162643305</v>
      </c>
      <c r="L844">
        <f>SUM(L835:L843)</f>
        <v>3.9484326364803812E-2</v>
      </c>
    </row>
    <row r="845" spans="1:18" x14ac:dyDescent="0.25">
      <c r="A845" s="47" t="s">
        <v>53</v>
      </c>
      <c r="B845">
        <f>COUNT(A835:A843)</f>
        <v>9</v>
      </c>
      <c r="I845" s="47" t="s">
        <v>462</v>
      </c>
      <c r="J845" s="47" t="s">
        <v>389</v>
      </c>
      <c r="K845" s="47" t="s">
        <v>469</v>
      </c>
      <c r="L845" s="47" t="s">
        <v>470</v>
      </c>
      <c r="N845" s="47"/>
    </row>
    <row r="847" spans="1:18" x14ac:dyDescent="0.25">
      <c r="A847">
        <v>1</v>
      </c>
      <c r="B847">
        <v>2</v>
      </c>
      <c r="C847">
        <v>3</v>
      </c>
      <c r="D847">
        <v>4</v>
      </c>
      <c r="F847">
        <v>2</v>
      </c>
      <c r="G847">
        <v>4</v>
      </c>
      <c r="I847" s="47" t="s">
        <v>207</v>
      </c>
      <c r="J847" s="47" t="s">
        <v>464</v>
      </c>
      <c r="K847" s="47" t="s">
        <v>465</v>
      </c>
      <c r="L847" s="47" t="s">
        <v>466</v>
      </c>
      <c r="Q847">
        <f>F847</f>
        <v>2</v>
      </c>
      <c r="R847">
        <f>G847</f>
        <v>4</v>
      </c>
    </row>
    <row r="848" spans="1:18" x14ac:dyDescent="0.25">
      <c r="A848" s="189">
        <f t="array" ref="A848:A856">IF(A847=$Q834,$Q835:$Q843,IF(A847=$R834,$R835:$R843,A835:A843))</f>
        <v>0.1103307580277018</v>
      </c>
      <c r="B848" s="190">
        <f t="array" ref="B848:B856">IF(B847=$Q834,$Q835:$Q843,IF(B847=$R834,$R835:$R843,B835:B843))</f>
        <v>0.88932620209673263</v>
      </c>
      <c r="C848" s="190">
        <f t="array" ref="C848:C856">IF(C847=$Q834,$Q835:$Q843,IF(C847=$R834,$R835:$R843,C835:C843))</f>
        <v>-0.34168290428911707</v>
      </c>
      <c r="D848" s="191">
        <f t="array" ref="D848:D856">IF(D847=$Q834,$Q835:$Q843,IF(D847=$R834,$R835:$R843,D835:D843))</f>
        <v>0.28315865343264562</v>
      </c>
      <c r="F848" s="156">
        <f>INDEX(A848:D856,,F847)</f>
        <v>0.88932620209673263</v>
      </c>
      <c r="G848" s="158">
        <f>INDEX(A848:D856,,G847)</f>
        <v>0.28315865343264562</v>
      </c>
      <c r="I848" s="156">
        <f>F848^2-G848^2</f>
        <v>0.71072227072200944</v>
      </c>
      <c r="J848" s="157">
        <f>2*F848*G848</f>
        <v>0.50364081969615937</v>
      </c>
      <c r="K848" s="157">
        <f>I848^2-J848^2</f>
        <v>0.25147207083603001</v>
      </c>
      <c r="L848" s="158">
        <f t="shared" ref="L848:L856" si="268">I848*J848</f>
        <v>0.35794874700274854</v>
      </c>
      <c r="N848" t="s">
        <v>390</v>
      </c>
      <c r="O848" s="172">
        <f>L857*B858-2*I857*J857</f>
        <v>-1.5891678622176664E-2</v>
      </c>
      <c r="Q848" s="156">
        <f t="array" ref="Q848:R856">MMULT(F848:G856,N852:O853)</f>
        <v>0.88924635951297648</v>
      </c>
      <c r="R848" s="158">
        <v>0.28340929561767353</v>
      </c>
    </row>
    <row r="849" spans="1:18" x14ac:dyDescent="0.25">
      <c r="A849" s="194">
        <v>0.79381996527951182</v>
      </c>
      <c r="B849" s="195">
        <v>-0.60187382981969717</v>
      </c>
      <c r="C849" s="195">
        <v>8.4551932791600934E-2</v>
      </c>
      <c r="D849" s="196">
        <v>-2.1183162252351211E-2</v>
      </c>
      <c r="F849" s="123">
        <f>INDEX(A849:D857,,F847)</f>
        <v>-0.60187382981969717</v>
      </c>
      <c r="G849" s="90">
        <f>INDEX(A848:D856,,G847)</f>
        <v>-2.1183162252351211E-2</v>
      </c>
      <c r="I849" s="123">
        <f t="shared" ref="I849:I856" si="269">F849^2-G849^2</f>
        <v>0.36180338065882039</v>
      </c>
      <c r="J849" s="37">
        <f t="shared" ref="J849:J856" si="270">2*F849*G849</f>
        <v>2.5499181985029332E-2</v>
      </c>
      <c r="K849" s="37">
        <f t="shared" ref="K849:K856" si="271">I849^2-J849^2</f>
        <v>0.13025147797424563</v>
      </c>
      <c r="L849" s="90">
        <f t="shared" si="268"/>
        <v>9.2256902462181031E-3</v>
      </c>
      <c r="N849" t="s">
        <v>392</v>
      </c>
      <c r="O849" s="173">
        <f>K857*B858-(I857^2-J857^2)</f>
        <v>14.096036828640559</v>
      </c>
      <c r="Q849" s="123">
        <v>-0.60186783551499301</v>
      </c>
      <c r="R849" s="90">
        <v>-2.1352797412434593E-2</v>
      </c>
    </row>
    <row r="850" spans="1:18" x14ac:dyDescent="0.25">
      <c r="A850" s="194">
        <v>0.98388469240479337</v>
      </c>
      <c r="B850" s="195">
        <v>0.11728862675480642</v>
      </c>
      <c r="C850" s="195">
        <v>0.11374801321596271</v>
      </c>
      <c r="D850" s="196">
        <v>7.263387346767379E-2</v>
      </c>
      <c r="F850" s="123">
        <f>INDEX(A850:D858,,F847)</f>
        <v>0.11728862675480642</v>
      </c>
      <c r="G850" s="90">
        <f>INDEX(A848:D856,,G847)</f>
        <v>7.263387346767379E-2</v>
      </c>
      <c r="I850" s="123">
        <f t="shared" si="269"/>
        <v>8.4809423911102466E-3</v>
      </c>
      <c r="J850" s="37">
        <f t="shared" si="270"/>
        <v>1.7038254549811657E-2</v>
      </c>
      <c r="K850" s="37">
        <f t="shared" si="271"/>
        <v>-2.1837573426284685E-4</v>
      </c>
      <c r="L850" s="90">
        <f t="shared" si="268"/>
        <v>1.4450045528202472E-4</v>
      </c>
      <c r="N850" t="s">
        <v>467</v>
      </c>
      <c r="O850" s="174">
        <f>0.25*ATAN(O848/O849)</f>
        <v>-2.8184645235033675E-4</v>
      </c>
      <c r="Q850" s="123">
        <v>0.11726815049696704</v>
      </c>
      <c r="R850" s="90">
        <v>7.2666927965664166E-2</v>
      </c>
    </row>
    <row r="851" spans="1:18" x14ac:dyDescent="0.25">
      <c r="A851" s="194">
        <v>4.8564551941572207E-2</v>
      </c>
      <c r="B851" s="195">
        <v>-9.7863458264478196E-4</v>
      </c>
      <c r="C851" s="195">
        <v>8.0450427721647094E-2</v>
      </c>
      <c r="D851" s="196">
        <v>0.99557433436608467</v>
      </c>
      <c r="F851" s="123">
        <f>INDEX(A851:D859,,F847)</f>
        <v>-9.7863458264478196E-4</v>
      </c>
      <c r="G851" s="90">
        <f>INDEX(A848:D856,,G847)</f>
        <v>0.99557433436608467</v>
      </c>
      <c r="I851" s="123">
        <f t="shared" si="269"/>
        <v>-0.99116729752282617</v>
      </c>
      <c r="J851" s="37">
        <f t="shared" si="270"/>
        <v>-1.9486069464084198E-3</v>
      </c>
      <c r="K851" s="37">
        <f t="shared" si="271"/>
        <v>0.982408814609671</v>
      </c>
      <c r="L851" s="90">
        <f t="shared" si="268"/>
        <v>1.93139548100584E-3</v>
      </c>
      <c r="Q851" s="123">
        <v>-1.2592336342517952E-3</v>
      </c>
      <c r="R851" s="90">
        <v>0.99557401899847364</v>
      </c>
    </row>
    <row r="852" spans="1:18" x14ac:dyDescent="0.25">
      <c r="A852" s="194">
        <v>0.35383356967503427</v>
      </c>
      <c r="B852" s="195">
        <v>-0.11106029876262037</v>
      </c>
      <c r="C852" s="195">
        <v>0.88621812767479102</v>
      </c>
      <c r="D852" s="196">
        <v>0.27764157684030077</v>
      </c>
      <c r="F852" s="123">
        <f>INDEX(A852:D860,,F847)</f>
        <v>-0.11106029876262037</v>
      </c>
      <c r="G852" s="90">
        <f>INDEX(A848:D856,,G847)</f>
        <v>0.27764157684030077</v>
      </c>
      <c r="I852" s="123">
        <f t="shared" si="269"/>
        <v>-6.4750455229126147E-2</v>
      </c>
      <c r="J852" s="37">
        <f t="shared" si="270"/>
        <v>-6.1669912945617647E-2</v>
      </c>
      <c r="K852" s="37">
        <f t="shared" si="271"/>
        <v>3.8944328965901049E-4</v>
      </c>
      <c r="L852" s="90">
        <f t="shared" si="268"/>
        <v>3.9931549371693227E-3</v>
      </c>
      <c r="N852" s="156">
        <f>COS(O850)</f>
        <v>0.9999999602812889</v>
      </c>
      <c r="O852" s="158">
        <f>-N853</f>
        <v>2.8184644861881081E-4</v>
      </c>
      <c r="Q852" s="123">
        <v>-0.11113854664386981</v>
      </c>
      <c r="R852" s="90">
        <v>0.27761026386194643</v>
      </c>
    </row>
    <row r="853" spans="1:18" x14ac:dyDescent="0.25">
      <c r="A853" s="194">
        <v>-3.1048264029330853E-2</v>
      </c>
      <c r="B853" s="195">
        <v>2.2598833389978389E-2</v>
      </c>
      <c r="C853" s="195">
        <v>0.99757534250583568</v>
      </c>
      <c r="D853" s="196">
        <v>-5.8040796467155709E-2</v>
      </c>
      <c r="F853" s="123">
        <f>INDEX(A853:D861,,F847)</f>
        <v>2.2598833389978389E-2</v>
      </c>
      <c r="G853" s="90">
        <f>INDEX(A848:D856,,G847)</f>
        <v>-5.8040796467155709E-2</v>
      </c>
      <c r="I853" s="123">
        <f t="shared" si="269"/>
        <v>-2.8580267839537926E-3</v>
      </c>
      <c r="J853" s="37">
        <f t="shared" si="270"/>
        <v>-2.6233085783657962E-3</v>
      </c>
      <c r="K853" s="37">
        <f t="shared" si="271"/>
        <v>1.2865692004696829E-6</v>
      </c>
      <c r="L853" s="90">
        <f t="shared" si="268"/>
        <v>7.4974861795451925E-6</v>
      </c>
      <c r="N853" s="91">
        <f>SIN(O850)</f>
        <v>-2.8184644861881081E-4</v>
      </c>
      <c r="O853" s="93">
        <f>N852</f>
        <v>0.9999999602812889</v>
      </c>
      <c r="Q853" s="123">
        <v>2.2615191084741127E-2</v>
      </c>
      <c r="R853" s="90">
        <v>-5.8034424760916185E-2</v>
      </c>
    </row>
    <row r="854" spans="1:18" x14ac:dyDescent="0.25">
      <c r="A854" s="194">
        <v>0.96167810765589679</v>
      </c>
      <c r="B854" s="195">
        <v>-2.2406877227762041E-2</v>
      </c>
      <c r="C854" s="195">
        <v>0.16742192488194696</v>
      </c>
      <c r="D854" s="196">
        <v>0.21597001684747144</v>
      </c>
      <c r="F854" s="123">
        <f>INDEX(A854:D862,,F847)</f>
        <v>-2.2406877227762041E-2</v>
      </c>
      <c r="G854" s="90">
        <f>INDEX(A848:D856,,G847)</f>
        <v>0.21597001684747144</v>
      </c>
      <c r="I854" s="123">
        <f t="shared" si="269"/>
        <v>-4.61409800299971E-2</v>
      </c>
      <c r="J854" s="37">
        <f t="shared" si="270"/>
        <v>-9.6784273047579843E-3</v>
      </c>
      <c r="K854" s="37">
        <f t="shared" si="271"/>
        <v>2.0353180830351065E-3</v>
      </c>
      <c r="L854" s="90">
        <f t="shared" si="268"/>
        <v>4.4657212099061684E-4</v>
      </c>
      <c r="Q854" s="123">
        <v>-2.2467746720046363E-2</v>
      </c>
      <c r="R854" s="90">
        <v>0.21596369297064943</v>
      </c>
    </row>
    <row r="855" spans="1:18" x14ac:dyDescent="0.25">
      <c r="A855" s="194">
        <v>0.67508840932204395</v>
      </c>
      <c r="B855" s="195">
        <v>-0.22025953239824828</v>
      </c>
      <c r="C855" s="195">
        <v>0.5687075082689198</v>
      </c>
      <c r="D855" s="196">
        <v>0.41510618885448364</v>
      </c>
      <c r="F855" s="123">
        <f>INDEX(A855:D863,,F847)</f>
        <v>-0.22025953239824828</v>
      </c>
      <c r="G855" s="90">
        <f>INDEX(A848:D856,,G847)</f>
        <v>0.41510618885448364</v>
      </c>
      <c r="I855" s="123">
        <f t="shared" si="269"/>
        <v>-0.12379888641299926</v>
      </c>
      <c r="J855" s="37">
        <f t="shared" si="270"/>
        <v>-0.18286219010541502</v>
      </c>
      <c r="K855" s="37">
        <f t="shared" si="271"/>
        <v>-1.811241629305025E-2</v>
      </c>
      <c r="L855" s="90">
        <f t="shared" si="268"/>
        <v>2.2638135502092552E-2</v>
      </c>
      <c r="Q855" s="123">
        <v>-0.22037651985495188</v>
      </c>
      <c r="R855" s="90">
        <v>0.41504409300001999</v>
      </c>
    </row>
    <row r="856" spans="1:18" x14ac:dyDescent="0.25">
      <c r="A856" s="200">
        <v>6.9988955793997387E-2</v>
      </c>
      <c r="B856" s="201">
        <v>-0.92614031805642272</v>
      </c>
      <c r="C856" s="201">
        <v>-0.2033317109840824</v>
      </c>
      <c r="D856" s="202">
        <v>0.30987396251621396</v>
      </c>
      <c r="F856" s="91">
        <f>INDEX(A856:D864,,F847)</f>
        <v>-0.92614031805642272</v>
      </c>
      <c r="G856" s="93">
        <f>INDEX(A848:D856,,G847)</f>
        <v>0.30987396251621396</v>
      </c>
      <c r="I856" s="91">
        <f t="shared" si="269"/>
        <v>0.76171401608415179</v>
      </c>
      <c r="J856" s="92">
        <f t="shared" si="270"/>
        <v>-0.57397354040434079</v>
      </c>
      <c r="K856" s="92">
        <f t="shared" si="271"/>
        <v>0.25076261721475401</v>
      </c>
      <c r="L856" s="93">
        <f t="shared" si="268"/>
        <v>-0.43720369058742958</v>
      </c>
      <c r="Q856" s="91">
        <v>-0.92622761814717758</v>
      </c>
      <c r="R856" s="93">
        <v>0.30961292084885267</v>
      </c>
    </row>
    <row r="857" spans="1:18" x14ac:dyDescent="0.25">
      <c r="I857">
        <f>SUM(I848:I856)</f>
        <v>0.6140049638771895</v>
      </c>
      <c r="J857">
        <f>SUM(J848:J856)</f>
        <v>-0.2865777300539053</v>
      </c>
      <c r="K857">
        <f>SUM(K848:K856)</f>
        <v>1.5989902365492821</v>
      </c>
      <c r="L857">
        <f>SUM(L848:L856)</f>
        <v>-4.086799735574298E-2</v>
      </c>
    </row>
    <row r="858" spans="1:18" x14ac:dyDescent="0.25">
      <c r="A858" s="47" t="s">
        <v>53</v>
      </c>
      <c r="B858">
        <f>COUNT(A848:A856)</f>
        <v>9</v>
      </c>
      <c r="I858" s="47" t="s">
        <v>462</v>
      </c>
      <c r="J858" s="47" t="s">
        <v>389</v>
      </c>
      <c r="K858" s="47" t="s">
        <v>469</v>
      </c>
      <c r="L858" s="47" t="s">
        <v>470</v>
      </c>
      <c r="N858" s="47"/>
    </row>
    <row r="860" spans="1:18" x14ac:dyDescent="0.25">
      <c r="A860">
        <v>1</v>
      </c>
      <c r="B860">
        <v>2</v>
      </c>
      <c r="C860">
        <v>3</v>
      </c>
      <c r="D860">
        <v>4</v>
      </c>
      <c r="F860">
        <v>3</v>
      </c>
      <c r="G860">
        <v>4</v>
      </c>
      <c r="I860" s="47" t="s">
        <v>207</v>
      </c>
      <c r="J860" s="47" t="s">
        <v>464</v>
      </c>
      <c r="K860" s="47" t="s">
        <v>465</v>
      </c>
      <c r="L860" s="47" t="s">
        <v>466</v>
      </c>
      <c r="Q860">
        <f>F860</f>
        <v>3</v>
      </c>
      <c r="R860">
        <f>G860</f>
        <v>4</v>
      </c>
    </row>
    <row r="861" spans="1:18" x14ac:dyDescent="0.25">
      <c r="A861" s="189">
        <f t="array" ref="A861:A869">IF(A860=$Q847,$Q848:$Q856,IF(A860=$R847,$R848:$R856,A848:A856))</f>
        <v>0.1103307580277018</v>
      </c>
      <c r="B861" s="190">
        <f t="array" ref="B861:B869">IF(B860=$Q847,$Q848:$Q856,IF(B860=$R847,$R848:$R856,B848:B856))</f>
        <v>0.88924635951297648</v>
      </c>
      <c r="C861" s="190">
        <f t="array" ref="C861:C869">IF(C860=$Q847,$Q848:$Q856,IF(C860=$R847,$R848:$R856,C848:C856))</f>
        <v>-0.34168290428911707</v>
      </c>
      <c r="D861" s="191">
        <f t="array" ref="D861:D869">IF(D860=$Q847,$Q848:$Q856,IF(D860=$R847,$R848:$R856,D848:D856))</f>
        <v>0.28340929561767353</v>
      </c>
      <c r="F861" s="156">
        <f>INDEX(A861:D869,,F860)</f>
        <v>-0.34168290428911707</v>
      </c>
      <c r="G861" s="158">
        <f>INDEX(A861:D869,,G860)</f>
        <v>0.28340929561767353</v>
      </c>
      <c r="I861" s="156">
        <f>F861^2-G861^2</f>
        <v>3.6426378240940069E-2</v>
      </c>
      <c r="J861" s="157">
        <f>2*F861*G861</f>
        <v>-0.19367222245835927</v>
      </c>
      <c r="K861" s="157">
        <f>I861^2-J861^2</f>
        <v>-3.6182048720208165E-2</v>
      </c>
      <c r="L861" s="158">
        <f t="shared" ref="L861:L869" si="272">I861*J861</f>
        <v>-7.054777630031683E-3</v>
      </c>
      <c r="N861" t="s">
        <v>390</v>
      </c>
      <c r="O861" s="172">
        <f>L870*B871-2*I870*J870</f>
        <v>5.7420589842611669E-3</v>
      </c>
      <c r="Q861" s="156">
        <f t="array" ref="Q861:R869">MMULT(F861:G869,N865:O866)</f>
        <v>-0.34165919961852276</v>
      </c>
      <c r="R861" s="158">
        <v>0.28343787192607528</v>
      </c>
    </row>
    <row r="862" spans="1:18" x14ac:dyDescent="0.25">
      <c r="A862" s="194">
        <v>0.79381996527951182</v>
      </c>
      <c r="B862" s="195">
        <v>-0.60186783551499301</v>
      </c>
      <c r="C862" s="195">
        <v>8.4551932791600934E-2</v>
      </c>
      <c r="D862" s="196">
        <v>-2.1352797412434593E-2</v>
      </c>
      <c r="F862" s="123">
        <f>INDEX(A862:D870,,F860)</f>
        <v>8.4551932791600934E-2</v>
      </c>
      <c r="G862" s="90">
        <f>INDEX(A861:D869,,G860)</f>
        <v>-2.1352797412434593E-2</v>
      </c>
      <c r="I862" s="123">
        <f t="shared" ref="I862:I869" si="273">F862^2-G862^2</f>
        <v>6.6930873814589273E-3</v>
      </c>
      <c r="J862" s="37">
        <f t="shared" ref="J862:J869" si="274">2*F862*G862</f>
        <v>-3.6108405834576799E-3</v>
      </c>
      <c r="K862" s="37">
        <f t="shared" ref="K862:K869" si="275">I862^2-J862^2</f>
        <v>3.1759248976699723E-5</v>
      </c>
      <c r="L862" s="90">
        <f t="shared" si="272"/>
        <v>-2.4167671545600389E-5</v>
      </c>
      <c r="N862" t="s">
        <v>392</v>
      </c>
      <c r="O862" s="173">
        <f>K870*B871-(I870^2-J870^2)</f>
        <v>17.163652088143852</v>
      </c>
      <c r="Q862" s="123">
        <v>8.4550146614046431E-2</v>
      </c>
      <c r="R862" s="90">
        <v>-2.1359868999484239E-2</v>
      </c>
    </row>
    <row r="863" spans="1:18" x14ac:dyDescent="0.25">
      <c r="A863" s="194">
        <v>0.98388469240479337</v>
      </c>
      <c r="B863" s="195">
        <v>0.11726815049696704</v>
      </c>
      <c r="C863" s="195">
        <v>0.11374801321596271</v>
      </c>
      <c r="D863" s="196">
        <v>7.2666927965664166E-2</v>
      </c>
      <c r="F863" s="123">
        <f>INDEX(A863:D871,,F860)</f>
        <v>0.11374801321596271</v>
      </c>
      <c r="G863" s="90">
        <f>INDEX(A861:D869,,G860)</f>
        <v>7.2666927965664166E-2</v>
      </c>
      <c r="I863" s="123">
        <f t="shared" si="273"/>
        <v>7.6581280906118038E-3</v>
      </c>
      <c r="J863" s="37">
        <f t="shared" si="274"/>
        <v>1.6531437365203558E-2</v>
      </c>
      <c r="K863" s="37">
        <f t="shared" si="275"/>
        <v>-2.1464149550743075E-4</v>
      </c>
      <c r="L863" s="90">
        <f t="shared" si="272"/>
        <v>1.2659986486465496E-4</v>
      </c>
      <c r="N863" t="s">
        <v>467</v>
      </c>
      <c r="O863" s="174">
        <f>0.25*ATAN(O861/O862)</f>
        <v>8.3636902282680642E-5</v>
      </c>
      <c r="Q863" s="123">
        <v>0.11375409045486792</v>
      </c>
      <c r="R863" s="90">
        <v>7.2657414180051713E-2</v>
      </c>
    </row>
    <row r="864" spans="1:18" x14ac:dyDescent="0.25">
      <c r="A864" s="194">
        <v>4.8564551941572207E-2</v>
      </c>
      <c r="B864" s="195">
        <v>-1.2592336342517952E-3</v>
      </c>
      <c r="C864" s="195">
        <v>8.0450427721647094E-2</v>
      </c>
      <c r="D864" s="196">
        <v>0.99557401899847364</v>
      </c>
      <c r="F864" s="123">
        <f>INDEX(A864:D872,,F860)</f>
        <v>8.0450427721647094E-2</v>
      </c>
      <c r="G864" s="90">
        <f>INDEX(A861:D869,,G860)</f>
        <v>0.99557401899847364</v>
      </c>
      <c r="I864" s="123">
        <f t="shared" si="273"/>
        <v>-0.98469535598417723</v>
      </c>
      <c r="J864" s="37">
        <f t="shared" si="274"/>
        <v>0.16018871131397283</v>
      </c>
      <c r="K864" s="37">
        <f t="shared" si="275"/>
        <v>0.94396452086437421</v>
      </c>
      <c r="L864" s="90">
        <f t="shared" si="272"/>
        <v>-0.15773708011195908</v>
      </c>
      <c r="Q864" s="123">
        <v>8.0533694167111508E-2</v>
      </c>
      <c r="R864" s="90">
        <v>0.99556728689183405</v>
      </c>
    </row>
    <row r="865" spans="1:18" x14ac:dyDescent="0.25">
      <c r="A865" s="194">
        <v>0.35383356967503427</v>
      </c>
      <c r="B865" s="195">
        <v>-0.11113854664386981</v>
      </c>
      <c r="C865" s="195">
        <v>0.88621812767479102</v>
      </c>
      <c r="D865" s="196">
        <v>0.27761026386194643</v>
      </c>
      <c r="F865" s="123">
        <f>INDEX(A865:D873,,F860)</f>
        <v>0.88621812767479102</v>
      </c>
      <c r="G865" s="90">
        <f>INDEX(A861:D869,,G860)</f>
        <v>0.27761026386194643</v>
      </c>
      <c r="I865" s="123">
        <f t="shared" si="273"/>
        <v>0.70831511121791269</v>
      </c>
      <c r="J865" s="37">
        <f t="shared" si="274"/>
        <v>0.49204649652607774</v>
      </c>
      <c r="K865" s="37">
        <f t="shared" si="275"/>
        <v>0.25960054203605665</v>
      </c>
      <c r="L865" s="90">
        <f t="shared" si="272"/>
        <v>0.34852396891125303</v>
      </c>
      <c r="N865" s="156">
        <f>COS(O863)</f>
        <v>0.99999999650243432</v>
      </c>
      <c r="O865" s="158">
        <f>-N866</f>
        <v>-8.363690218517212E-5</v>
      </c>
      <c r="Q865" s="123">
        <v>0.8862413430376691</v>
      </c>
      <c r="R865" s="90">
        <v>0.2775361423521272</v>
      </c>
    </row>
    <row r="866" spans="1:18" x14ac:dyDescent="0.25">
      <c r="A866" s="194">
        <v>-3.1048264029330853E-2</v>
      </c>
      <c r="B866" s="195">
        <v>2.2615191084741127E-2</v>
      </c>
      <c r="C866" s="195">
        <v>0.99757534250583568</v>
      </c>
      <c r="D866" s="196">
        <v>-5.8034424760916185E-2</v>
      </c>
      <c r="F866" s="123">
        <f>INDEX(A866:D874,,F860)</f>
        <v>0.99757534250583568</v>
      </c>
      <c r="G866" s="90">
        <f>INDEX(A861:D869,,G860)</f>
        <v>-5.8034424760916185E-2</v>
      </c>
      <c r="I866" s="123">
        <f t="shared" si="273"/>
        <v>0.99178856951830485</v>
      </c>
      <c r="J866" s="37">
        <f t="shared" si="274"/>
        <v>-0.11578742231600023</v>
      </c>
      <c r="K866" s="37">
        <f t="shared" si="275"/>
        <v>0.97023783946058162</v>
      </c>
      <c r="L866" s="90">
        <f t="shared" si="272"/>
        <v>-0.11483664194699772</v>
      </c>
      <c r="N866" s="91">
        <f>SIN(O863)</f>
        <v>8.363690218517212E-5</v>
      </c>
      <c r="O866" s="93">
        <f>N865</f>
        <v>0.99999999650243432</v>
      </c>
      <c r="Q866" s="123">
        <v>0.99757048519724334</v>
      </c>
      <c r="R866" s="90">
        <v>-5.8117858669280473E-2</v>
      </c>
    </row>
    <row r="867" spans="1:18" x14ac:dyDescent="0.25">
      <c r="A867" s="194">
        <v>0.96167810765589679</v>
      </c>
      <c r="B867" s="195">
        <v>-2.2467746720046363E-2</v>
      </c>
      <c r="C867" s="195">
        <v>0.16742192488194696</v>
      </c>
      <c r="D867" s="196">
        <v>0.21596369297064943</v>
      </c>
      <c r="F867" s="123">
        <f>INDEX(A867:D875,,F860)</f>
        <v>0.16742192488194696</v>
      </c>
      <c r="G867" s="90">
        <f>INDEX(A861:D869,,G860)</f>
        <v>0.21596369297064943</v>
      </c>
      <c r="I867" s="123">
        <f t="shared" si="273"/>
        <v>-1.8610215750344647E-2</v>
      </c>
      <c r="J867" s="37">
        <f t="shared" si="274"/>
        <v>7.2314114363519852E-2</v>
      </c>
      <c r="K867" s="37">
        <f t="shared" si="275"/>
        <v>-4.8829910059058519E-3</v>
      </c>
      <c r="L867" s="90">
        <f t="shared" si="272"/>
        <v>-1.3457812701002012E-3</v>
      </c>
      <c r="Q867" s="123">
        <v>0.16743998683064232</v>
      </c>
      <c r="R867" s="90">
        <v>0.21594968956414723</v>
      </c>
    </row>
    <row r="868" spans="1:18" x14ac:dyDescent="0.25">
      <c r="A868" s="194">
        <v>0.67508840932204395</v>
      </c>
      <c r="B868" s="195">
        <v>-0.22037651985495188</v>
      </c>
      <c r="C868" s="195">
        <v>0.5687075082689198</v>
      </c>
      <c r="D868" s="196">
        <v>0.41504409300001999</v>
      </c>
      <c r="F868" s="123">
        <f>INDEX(A868:D876,,F860)</f>
        <v>0.5687075082689198</v>
      </c>
      <c r="G868" s="90">
        <f>INDEX(A861:D869,,G860)</f>
        <v>0.41504409300001999</v>
      </c>
      <c r="I868" s="123">
        <f t="shared" si="273"/>
        <v>0.15116663082723425</v>
      </c>
      <c r="J868" s="37">
        <f t="shared" si="274"/>
        <v>0.47207738390355036</v>
      </c>
      <c r="K868" s="37">
        <f t="shared" si="275"/>
        <v>-0.20000570611756274</v>
      </c>
      <c r="L868" s="90">
        <f t="shared" si="272"/>
        <v>7.1362347614434538E-2</v>
      </c>
      <c r="Q868" s="123">
        <v>0.56874221928203672</v>
      </c>
      <c r="R868" s="90">
        <v>0.41499652661413494</v>
      </c>
    </row>
    <row r="869" spans="1:18" x14ac:dyDescent="0.25">
      <c r="A869" s="200">
        <v>6.9988955793997387E-2</v>
      </c>
      <c r="B869" s="201">
        <v>-0.92622761814717758</v>
      </c>
      <c r="C869" s="201">
        <v>-0.2033317109840824</v>
      </c>
      <c r="D869" s="202">
        <v>0.30961292084885267</v>
      </c>
      <c r="F869" s="91">
        <f>INDEX(A869:D877,,F860)</f>
        <v>-0.2033317109840824</v>
      </c>
      <c r="G869" s="93">
        <f>INDEX(A861:D869,,G860)</f>
        <v>0.30961292084885267</v>
      </c>
      <c r="I869" s="91">
        <f t="shared" si="273"/>
        <v>-5.4516376064843497E-2</v>
      </c>
      <c r="J869" s="92">
        <f t="shared" si="274"/>
        <v>-0.12590824987795299</v>
      </c>
      <c r="K869" s="92">
        <f t="shared" si="275"/>
        <v>-1.288085212808561E-2</v>
      </c>
      <c r="L869" s="93">
        <f t="shared" si="272"/>
        <v>6.8640615000127702E-3</v>
      </c>
      <c r="Q869" s="91">
        <v>-0.20330581520734009</v>
      </c>
      <c r="R869" s="93">
        <v>0.30962992580038384</v>
      </c>
    </row>
    <row r="870" spans="1:18" x14ac:dyDescent="0.25">
      <c r="I870">
        <f>SUM(I861:I869)</f>
        <v>0.84422595747709728</v>
      </c>
      <c r="J870">
        <f>SUM(J861:J869)</f>
        <v>0.77417940823655418</v>
      </c>
      <c r="K870">
        <f>SUM(K861:K869)</f>
        <v>1.9196684221427194</v>
      </c>
      <c r="L870">
        <f>SUM(L861:L869)</f>
        <v>0.14587852925993069</v>
      </c>
    </row>
    <row r="871" spans="1:18" x14ac:dyDescent="0.25">
      <c r="A871" s="47" t="s">
        <v>53</v>
      </c>
      <c r="B871">
        <f>COUNT(A861:A869)</f>
        <v>9</v>
      </c>
      <c r="I871" s="47" t="s">
        <v>462</v>
      </c>
      <c r="J871" s="47" t="s">
        <v>389</v>
      </c>
      <c r="K871" s="47" t="s">
        <v>469</v>
      </c>
      <c r="L871" s="47" t="s">
        <v>470</v>
      </c>
      <c r="N871" s="47"/>
    </row>
    <row r="873" spans="1:18" x14ac:dyDescent="0.25">
      <c r="A873">
        <v>1</v>
      </c>
      <c r="B873">
        <v>2</v>
      </c>
      <c r="C873">
        <v>3</v>
      </c>
      <c r="D873">
        <v>4</v>
      </c>
      <c r="F873">
        <v>1</v>
      </c>
      <c r="G873">
        <v>2</v>
      </c>
      <c r="I873" s="47" t="s">
        <v>207</v>
      </c>
      <c r="J873" s="47" t="s">
        <v>464</v>
      </c>
      <c r="K873" s="47" t="s">
        <v>465</v>
      </c>
      <c r="L873" s="47" t="s">
        <v>466</v>
      </c>
      <c r="Q873">
        <f>F873</f>
        <v>1</v>
      </c>
      <c r="R873">
        <f>G873</f>
        <v>2</v>
      </c>
    </row>
    <row r="874" spans="1:18" x14ac:dyDescent="0.25">
      <c r="A874" s="189">
        <f t="array" ref="A874:A882">IF(A873=$Q860,$Q861:$Q869,IF(A873=$R860,$R861:$R869,A861:A869))</f>
        <v>0.1103307580277018</v>
      </c>
      <c r="B874" s="190">
        <f t="array" ref="B874:B882">IF(B873=$Q860,$Q861:$Q869,IF(B873=$R860,$R861:$R869,B861:B869))</f>
        <v>0.88924635951297648</v>
      </c>
      <c r="C874" s="190">
        <f t="array" ref="C874:C882">IF(C873=$Q860,$Q861:$Q869,IF(C873=$R860,$R861:$R869,C861:C869))</f>
        <v>-0.34165919961852276</v>
      </c>
      <c r="D874" s="191">
        <f t="array" ref="D874:D882">IF(D873=$Q860,$Q861:$Q869,IF(D873=$R860,$R861:$R869,D861:D869))</f>
        <v>0.28343787192607528</v>
      </c>
      <c r="F874" s="156">
        <f>INDEX(A874:D882,,F873)</f>
        <v>0.1103307580277018</v>
      </c>
      <c r="G874" s="158">
        <f>INDEX(A874:D882,,G873)</f>
        <v>0.88924635951297648</v>
      </c>
      <c r="I874" s="156">
        <f>F874^2-G874^2</f>
        <v>-0.77858621174011455</v>
      </c>
      <c r="J874" s="157">
        <f>2*F874*G874</f>
        <v>0.19622244983688186</v>
      </c>
      <c r="K874" s="157">
        <f>I874^2-J874^2</f>
        <v>0.56769323929183479</v>
      </c>
      <c r="L874" s="158">
        <f t="shared" ref="L874:L882" si="276">I874*J874</f>
        <v>-0.1527760938768625</v>
      </c>
      <c r="N874" t="s">
        <v>390</v>
      </c>
      <c r="O874" s="172">
        <f>L883*B884-2*I883*J883</f>
        <v>8.2593103746617658E-3</v>
      </c>
      <c r="Q874" s="156">
        <f t="array" ref="Q874:R882">MMULT(F874:G882,N878:O879)</f>
        <v>0.11042180990153549</v>
      </c>
      <c r="R874" s="158">
        <v>0.88923505777275691</v>
      </c>
    </row>
    <row r="875" spans="1:18" x14ac:dyDescent="0.25">
      <c r="A875" s="194">
        <v>0.79381996527951182</v>
      </c>
      <c r="B875" s="195">
        <v>-0.60186783551499301</v>
      </c>
      <c r="C875" s="195">
        <v>8.4550146614046431E-2</v>
      </c>
      <c r="D875" s="196">
        <v>-2.1359868999484239E-2</v>
      </c>
      <c r="F875" s="123">
        <f>INDEX(A875:D883,,F873)</f>
        <v>0.79381996527951182</v>
      </c>
      <c r="G875" s="90">
        <f>INDEX(A874:D882,,G873)</f>
        <v>-0.60186783551499301</v>
      </c>
      <c r="I875" s="123">
        <f t="shared" ref="I875:I882" si="277">F875^2-G875^2</f>
        <v>0.26790524584886272</v>
      </c>
      <c r="J875" s="37">
        <f t="shared" ref="J875:J882" si="278">2*F875*G875</f>
        <v>-0.95554940858273341</v>
      </c>
      <c r="K875" s="37">
        <f t="shared" ref="K875:K882" si="279">I875^2-J875^2</f>
        <v>-0.841301451489472</v>
      </c>
      <c r="L875" s="90">
        <f t="shared" si="276"/>
        <v>-0.25599669922709256</v>
      </c>
      <c r="N875" t="s">
        <v>392</v>
      </c>
      <c r="O875" s="173">
        <f>K883*B884-(I883^2-J883^2)</f>
        <v>20.165742606297108</v>
      </c>
      <c r="Q875" s="123">
        <v>0.79375833416662778</v>
      </c>
      <c r="R875" s="90">
        <v>-0.60194911383346028</v>
      </c>
    </row>
    <row r="876" spans="1:18" x14ac:dyDescent="0.25">
      <c r="A876" s="194">
        <v>0.98388469240479337</v>
      </c>
      <c r="B876" s="195">
        <v>0.11726815049696704</v>
      </c>
      <c r="C876" s="195">
        <v>0.11375409045486792</v>
      </c>
      <c r="D876" s="196">
        <v>7.2657414180051713E-2</v>
      </c>
      <c r="F876" s="123">
        <f>INDEX(A876:D884,,F873)</f>
        <v>0.98388469240479337</v>
      </c>
      <c r="G876" s="90">
        <f>INDEX(A874:D882,,G873)</f>
        <v>0.11726815049696704</v>
      </c>
      <c r="I876" s="123">
        <f t="shared" si="277"/>
        <v>0.95427726882749553</v>
      </c>
      <c r="J876" s="37">
        <f t="shared" si="278"/>
        <v>0.23075667636117486</v>
      </c>
      <c r="K876" s="37">
        <f t="shared" si="279"/>
        <v>0.85739646211560827</v>
      </c>
      <c r="L876" s="90">
        <f t="shared" si="276"/>
        <v>0.22020585088165226</v>
      </c>
      <c r="N876" t="s">
        <v>467</v>
      </c>
      <c r="O876" s="174">
        <f>0.25*ATAN(O874/O875)</f>
        <v>1.0239283117514852E-4</v>
      </c>
      <c r="Q876" s="123">
        <v>0.98389669466504126</v>
      </c>
      <c r="R876" s="90">
        <v>0.11716740714320109</v>
      </c>
    </row>
    <row r="877" spans="1:18" x14ac:dyDescent="0.25">
      <c r="A877" s="194">
        <v>4.8564551941572207E-2</v>
      </c>
      <c r="B877" s="195">
        <v>-1.2592336342517952E-3</v>
      </c>
      <c r="C877" s="195">
        <v>8.0533694167111508E-2</v>
      </c>
      <c r="D877" s="196">
        <v>0.99556728689183405</v>
      </c>
      <c r="F877" s="123">
        <f>INDEX(A877:D885,,F873)</f>
        <v>4.8564551941572207E-2</v>
      </c>
      <c r="G877" s="90">
        <f>INDEX(A874:D882,,G873)</f>
        <v>-1.2592336342517952E-3</v>
      </c>
      <c r="I877" s="123">
        <f t="shared" si="277"/>
        <v>2.3569300359400336E-3</v>
      </c>
      <c r="J877" s="37">
        <f t="shared" si="278"/>
        <v>-1.2230823447439209E-4</v>
      </c>
      <c r="K877" s="37">
        <f t="shared" si="279"/>
        <v>5.5401598900960458E-6</v>
      </c>
      <c r="L877" s="90">
        <f t="shared" si="276"/>
        <v>-2.8827195147549101E-7</v>
      </c>
      <c r="Q877" s="123">
        <v>4.8564422750493046E-2</v>
      </c>
      <c r="R877" s="90">
        <v>-1.2642062896100698E-3</v>
      </c>
    </row>
    <row r="878" spans="1:18" x14ac:dyDescent="0.25">
      <c r="A878" s="194">
        <v>0.35383356967503427</v>
      </c>
      <c r="B878" s="195">
        <v>-0.11113854664386981</v>
      </c>
      <c r="C878" s="195">
        <v>0.8862413430376691</v>
      </c>
      <c r="D878" s="196">
        <v>0.2775361423521272</v>
      </c>
      <c r="F878" s="123">
        <f>INDEX(A878:D886,,F873)</f>
        <v>0.35383356967503427</v>
      </c>
      <c r="G878" s="90">
        <f>INDEX(A874:D882,,G873)</f>
        <v>-0.11113854664386981</v>
      </c>
      <c r="I878" s="123">
        <f t="shared" si="277"/>
        <v>0.1128464184788657</v>
      </c>
      <c r="J878" s="37">
        <f t="shared" si="278"/>
        <v>-7.8649097374991511E-2</v>
      </c>
      <c r="K878" s="37">
        <f t="shared" si="279"/>
        <v>6.5486336456063859E-3</v>
      </c>
      <c r="L878" s="90">
        <f t="shared" si="276"/>
        <v>-8.8752689553633496E-3</v>
      </c>
      <c r="N878" s="156">
        <f>COS(O876)</f>
        <v>0.99999999475785406</v>
      </c>
      <c r="O878" s="158">
        <f>-N879</f>
        <v>-1.0239283099622912E-4</v>
      </c>
      <c r="Q878" s="123">
        <v>0.3538221880297634</v>
      </c>
      <c r="R878" s="90">
        <v>-0.11117477608216586</v>
      </c>
    </row>
    <row r="879" spans="1:18" x14ac:dyDescent="0.25">
      <c r="A879" s="194">
        <v>-3.1048264029330853E-2</v>
      </c>
      <c r="B879" s="195">
        <v>2.2615191084741127E-2</v>
      </c>
      <c r="C879" s="195">
        <v>0.99757048519724334</v>
      </c>
      <c r="D879" s="196">
        <v>-5.8117858669280473E-2</v>
      </c>
      <c r="F879" s="123">
        <f>INDEX(A879:D887,,F873)</f>
        <v>-3.1048264029330853E-2</v>
      </c>
      <c r="G879" s="90">
        <f>INDEX(A874:D882,,G873)</f>
        <v>2.2615191084741127E-2</v>
      </c>
      <c r="I879" s="123">
        <f t="shared" si="277"/>
        <v>4.5254783143568557E-4</v>
      </c>
      <c r="J879" s="37">
        <f t="shared" si="278"/>
        <v>-1.4043248477456235E-3</v>
      </c>
      <c r="K879" s="37">
        <f t="shared" si="279"/>
        <v>-1.767328738258627E-6</v>
      </c>
      <c r="L879" s="90">
        <f t="shared" si="276"/>
        <v>-6.3552416447853124E-7</v>
      </c>
      <c r="N879" s="91">
        <f>SIN(O876)</f>
        <v>1.0239283099622912E-4</v>
      </c>
      <c r="O879" s="93">
        <f>N878</f>
        <v>0.99999999475785406</v>
      </c>
      <c r="Q879" s="123">
        <v>-3.1045948233132635E-2</v>
      </c>
      <c r="R879" s="90">
        <v>2.2618370085840476E-2</v>
      </c>
    </row>
    <row r="880" spans="1:18" x14ac:dyDescent="0.25">
      <c r="A880" s="194">
        <v>0.96167810765589679</v>
      </c>
      <c r="B880" s="195">
        <v>-2.2467746720046363E-2</v>
      </c>
      <c r="C880" s="195">
        <v>0.16743998683064232</v>
      </c>
      <c r="D880" s="196">
        <v>0.21594968956414723</v>
      </c>
      <c r="F880" s="123">
        <f>INDEX(A880:D888,,F873)</f>
        <v>0.96167810765589679</v>
      </c>
      <c r="G880" s="90">
        <f>INDEX(A874:D882,,G873)</f>
        <v>-2.2467746720046363E-2</v>
      </c>
      <c r="I880" s="123">
        <f t="shared" si="277"/>
        <v>0.92431998310195052</v>
      </c>
      <c r="J880" s="37">
        <f t="shared" si="278"/>
        <v>-4.3213480298052338E-2</v>
      </c>
      <c r="K880" s="37">
        <f t="shared" si="279"/>
        <v>0.85250002628211996</v>
      </c>
      <c r="L880" s="90">
        <f t="shared" si="276"/>
        <v>-3.9943083378872209E-2</v>
      </c>
      <c r="Q880" s="123">
        <v>0.96167580207844705</v>
      </c>
      <c r="R880" s="90">
        <v>-2.2566215546217142E-2</v>
      </c>
    </row>
    <row r="881" spans="1:18" x14ac:dyDescent="0.25">
      <c r="A881" s="194">
        <v>0.67508840932204395</v>
      </c>
      <c r="B881" s="195">
        <v>-0.22037651985495188</v>
      </c>
      <c r="C881" s="195">
        <v>0.56874221928203672</v>
      </c>
      <c r="D881" s="196">
        <v>0.41499652661413494</v>
      </c>
      <c r="F881" s="123">
        <f>INDEX(A881:D889,,F873)</f>
        <v>0.67508840932204395</v>
      </c>
      <c r="G881" s="90">
        <f>INDEX(A874:D882,,G873)</f>
        <v>-0.22037651985495188</v>
      </c>
      <c r="I881" s="123">
        <f t="shared" si="277"/>
        <v>0.40717854989758756</v>
      </c>
      <c r="J881" s="37">
        <f t="shared" si="278"/>
        <v>-0.29754726848161461</v>
      </c>
      <c r="K881" s="37">
        <f t="shared" si="279"/>
        <v>7.7259994515832153E-2</v>
      </c>
      <c r="L881" s="90">
        <f t="shared" si="276"/>
        <v>-0.121154865306332</v>
      </c>
      <c r="Q881" s="123">
        <v>0.67506584080737897</v>
      </c>
      <c r="R881" s="90">
        <v>-0.22044564291310922</v>
      </c>
    </row>
    <row r="882" spans="1:18" x14ac:dyDescent="0.25">
      <c r="A882" s="200">
        <v>6.9988955793997387E-2</v>
      </c>
      <c r="B882" s="201">
        <v>-0.92622761814717758</v>
      </c>
      <c r="C882" s="201">
        <v>-0.20330581520734009</v>
      </c>
      <c r="D882" s="202">
        <v>0.30962992580038384</v>
      </c>
      <c r="F882" s="91">
        <f>INDEX(A882:D890,,F873)</f>
        <v>6.9988955793997387E-2</v>
      </c>
      <c r="G882" s="93">
        <f>INDEX(A874:D882,,G873)</f>
        <v>-0.92622761814717758</v>
      </c>
      <c r="I882" s="91">
        <f t="shared" si="277"/>
        <v>-0.85299914668545962</v>
      </c>
      <c r="J882" s="92">
        <f t="shared" si="278"/>
        <v>-0.12965140764336461</v>
      </c>
      <c r="K882" s="92">
        <f t="shared" si="279"/>
        <v>0.71079805674221641</v>
      </c>
      <c r="L882" s="93">
        <f t="shared" si="276"/>
        <v>0.11059254008635869</v>
      </c>
      <c r="Q882" s="91">
        <v>6.9894116359136088E-2</v>
      </c>
      <c r="R882" s="93">
        <v>-0.92623477965907941</v>
      </c>
    </row>
    <row r="883" spans="1:18" x14ac:dyDescent="0.25">
      <c r="I883">
        <f>SUM(I874:I882)</f>
        <v>1.0377515855965636</v>
      </c>
      <c r="J883">
        <f>SUM(J874:J882)</f>
        <v>-1.0791581692649199</v>
      </c>
      <c r="K883">
        <f>SUM(K874:K882)</f>
        <v>2.2308987339348976</v>
      </c>
      <c r="L883">
        <f>SUM(L874:L882)</f>
        <v>-0.24794854357262766</v>
      </c>
    </row>
    <row r="884" spans="1:18" x14ac:dyDescent="0.25">
      <c r="A884" s="47" t="s">
        <v>53</v>
      </c>
      <c r="B884">
        <f>COUNT(A874:A882)</f>
        <v>9</v>
      </c>
      <c r="I884" s="47" t="s">
        <v>462</v>
      </c>
      <c r="J884" s="47" t="s">
        <v>389</v>
      </c>
      <c r="K884" s="47" t="s">
        <v>469</v>
      </c>
      <c r="L884" s="47" t="s">
        <v>470</v>
      </c>
      <c r="N884" s="47"/>
    </row>
    <row r="886" spans="1:18" x14ac:dyDescent="0.25">
      <c r="A886">
        <v>1</v>
      </c>
      <c r="B886">
        <v>2</v>
      </c>
      <c r="C886">
        <v>3</v>
      </c>
      <c r="D886">
        <v>4</v>
      </c>
      <c r="F886">
        <v>1</v>
      </c>
      <c r="G886">
        <v>3</v>
      </c>
      <c r="I886" s="47" t="s">
        <v>207</v>
      </c>
      <c r="J886" s="47" t="s">
        <v>464</v>
      </c>
      <c r="K886" s="47" t="s">
        <v>465</v>
      </c>
      <c r="L886" s="47" t="s">
        <v>466</v>
      </c>
      <c r="Q886">
        <f>F886</f>
        <v>1</v>
      </c>
      <c r="R886">
        <f>G886</f>
        <v>3</v>
      </c>
    </row>
    <row r="887" spans="1:18" x14ac:dyDescent="0.25">
      <c r="A887" s="189">
        <f t="array" ref="A887:A895">IF(A886=$Q873,$Q874:$Q882,IF(A886=$R873,$R874:$R882,A874:A882))</f>
        <v>0.11042180990153549</v>
      </c>
      <c r="B887" s="190">
        <f t="array" ref="B887:B895">IF(B886=$Q873,$Q874:$Q882,IF(B886=$R873,$R874:$R882,B874:B882))</f>
        <v>0.88923505777275691</v>
      </c>
      <c r="C887" s="190">
        <f t="array" ref="C887:C895">IF(C886=$Q873,$Q874:$Q882,IF(C886=$R873,$R874:$R882,C874:C882))</f>
        <v>-0.34165919961852276</v>
      </c>
      <c r="D887" s="191">
        <f t="array" ref="D887:D895">IF(D886=$Q873,$Q874:$Q882,IF(D886=$R873,$R874:$R882,D874:D882))</f>
        <v>0.28343787192607528</v>
      </c>
      <c r="F887" s="156">
        <f>INDEX(A887:D895,,F886)</f>
        <v>0.11042180990153549</v>
      </c>
      <c r="G887" s="158">
        <f>INDEX(A887:D895,,G886)</f>
        <v>-0.34165919961852276</v>
      </c>
      <c r="I887" s="156">
        <f>F887^2-G887^2</f>
        <v>-0.10453803258203874</v>
      </c>
      <c r="J887" s="157">
        <f>2*F887*G887</f>
        <v>-7.5453254382774573E-2</v>
      </c>
      <c r="K887" s="157">
        <f>I887^2-J887^2</f>
        <v>5.235006659171702E-3</v>
      </c>
      <c r="L887" s="158">
        <f t="shared" ref="L887:L895" si="280">I887*J887</f>
        <v>7.8877347650873463E-3</v>
      </c>
      <c r="N887" t="s">
        <v>390</v>
      </c>
      <c r="O887" s="172">
        <f>L896*B897-2*I896*J896</f>
        <v>1.2878485577463294E-3</v>
      </c>
      <c r="Q887" s="156">
        <f t="array" ref="Q887:R895">MMULT(F887:G895,N891:O892)</f>
        <v>0.11041733167137577</v>
      </c>
      <c r="R887" s="158">
        <v>-0.34166064691806958</v>
      </c>
    </row>
    <row r="888" spans="1:18" x14ac:dyDescent="0.25">
      <c r="A888" s="194">
        <v>0.79375833416662778</v>
      </c>
      <c r="B888" s="195">
        <v>-0.60194911383346028</v>
      </c>
      <c r="C888" s="195">
        <v>8.4550146614046431E-2</v>
      </c>
      <c r="D888" s="196">
        <v>-2.1359868999484239E-2</v>
      </c>
      <c r="F888" s="123">
        <f>INDEX(A888:D896,,F886)</f>
        <v>0.79375833416662778</v>
      </c>
      <c r="G888" s="90">
        <f>INDEX(A887:D895,,G886)</f>
        <v>8.4550146614046431E-2</v>
      </c>
      <c r="I888" s="123">
        <f t="shared" ref="I888:I895" si="281">F888^2-G888^2</f>
        <v>0.62290356576652317</v>
      </c>
      <c r="J888" s="37">
        <f t="shared" ref="J888:J895" si="282">2*F888*G888</f>
        <v>0.13422476705981928</v>
      </c>
      <c r="K888" s="37">
        <f t="shared" ref="K888:K895" si="283">I888^2-J888^2</f>
        <v>0.36999256415238652</v>
      </c>
      <c r="L888" s="90">
        <f t="shared" si="280"/>
        <v>8.3609086015742393E-2</v>
      </c>
      <c r="N888" t="s">
        <v>392</v>
      </c>
      <c r="O888" s="173">
        <f>K896*B897-(I896^2-J896^2)</f>
        <v>24.563623537055321</v>
      </c>
      <c r="Q888" s="123">
        <v>0.79375944232036499</v>
      </c>
      <c r="R888" s="90">
        <v>8.4539742598969431E-2</v>
      </c>
    </row>
    <row r="889" spans="1:18" x14ac:dyDescent="0.25">
      <c r="A889" s="194">
        <v>0.98389669466504126</v>
      </c>
      <c r="B889" s="195">
        <v>0.11716740714320109</v>
      </c>
      <c r="C889" s="195">
        <v>0.11375409045486792</v>
      </c>
      <c r="D889" s="196">
        <v>7.2657414180051713E-2</v>
      </c>
      <c r="F889" s="123">
        <f>INDEX(A889:D897,,F886)</f>
        <v>0.98389669466504126</v>
      </c>
      <c r="G889" s="90">
        <f>INDEX(A887:D895,,G886)</f>
        <v>0.11375409045486792</v>
      </c>
      <c r="I889" s="123">
        <f t="shared" si="281"/>
        <v>0.95511271267757913</v>
      </c>
      <c r="J889" s="37">
        <f t="shared" si="282"/>
        <v>0.22384454720634533</v>
      </c>
      <c r="K889" s="37">
        <f t="shared" si="283"/>
        <v>0.86213391260431005</v>
      </c>
      <c r="L889" s="90">
        <f t="shared" si="280"/>
        <v>0.21379677270033692</v>
      </c>
      <c r="N889" t="s">
        <v>467</v>
      </c>
      <c r="O889" s="174">
        <f>0.25*ATAN(O887/O888)</f>
        <v>1.3107273796794835E-5</v>
      </c>
      <c r="Q889" s="123">
        <v>0.9838981855865333</v>
      </c>
      <c r="R889" s="90">
        <v>0.11374119424173205</v>
      </c>
    </row>
    <row r="890" spans="1:18" x14ac:dyDescent="0.25">
      <c r="A890" s="194">
        <v>4.8564422750493046E-2</v>
      </c>
      <c r="B890" s="195">
        <v>-1.2642062896100698E-3</v>
      </c>
      <c r="C890" s="195">
        <v>8.0533694167111508E-2</v>
      </c>
      <c r="D890" s="196">
        <v>0.99556728689183405</v>
      </c>
      <c r="F890" s="123">
        <f>INDEX(A890:D898,,F886)</f>
        <v>4.8564422750493046E-2</v>
      </c>
      <c r="G890" s="90">
        <f>INDEX(A887:D895,,G886)</f>
        <v>8.0533694167111508E-2</v>
      </c>
      <c r="I890" s="123">
        <f t="shared" si="281"/>
        <v>-4.1271727391132438E-3</v>
      </c>
      <c r="J890" s="37">
        <f t="shared" si="282"/>
        <v>7.8221447383810382E-3</v>
      </c>
      <c r="K890" s="37">
        <f t="shared" si="283"/>
        <v>-4.4152393489702647E-5</v>
      </c>
      <c r="L890" s="90">
        <f t="shared" si="280"/>
        <v>-3.2283342525644318E-5</v>
      </c>
      <c r="Q890" s="123">
        <v>4.8565478323500631E-2</v>
      </c>
      <c r="R890" s="90">
        <v>8.0533057613007886E-2</v>
      </c>
    </row>
    <row r="891" spans="1:18" x14ac:dyDescent="0.25">
      <c r="A891" s="194">
        <v>0.3538221880297634</v>
      </c>
      <c r="B891" s="195">
        <v>-0.11117477608216586</v>
      </c>
      <c r="C891" s="195">
        <v>0.8862413430376691</v>
      </c>
      <c r="D891" s="196">
        <v>0.2775361423521272</v>
      </c>
      <c r="F891" s="123">
        <f>INDEX(A891:D899,,F886)</f>
        <v>0.3538221880297634</v>
      </c>
      <c r="G891" s="90">
        <f>INDEX(A887:D895,,G886)</f>
        <v>0.8862413430376691</v>
      </c>
      <c r="I891" s="123">
        <f t="shared" si="281"/>
        <v>-0.66023357736704225</v>
      </c>
      <c r="J891" s="37">
        <f t="shared" si="282"/>
        <v>0.62714370223204841</v>
      </c>
      <c r="K891" s="37">
        <f t="shared" si="283"/>
        <v>4.2599153433561965E-2</v>
      </c>
      <c r="L891" s="90">
        <f t="shared" si="280"/>
        <v>-0.41406133004787643</v>
      </c>
      <c r="N891" s="156">
        <f>COS(O889)</f>
        <v>0.99999999991409971</v>
      </c>
      <c r="O891" s="158">
        <f>-N892</f>
        <v>-1.3107273796419529E-5</v>
      </c>
      <c r="Q891" s="123">
        <v>0.35383380420730287</v>
      </c>
      <c r="R891" s="90">
        <v>0.88623670531724696</v>
      </c>
    </row>
    <row r="892" spans="1:18" x14ac:dyDescent="0.25">
      <c r="A892" s="194">
        <v>-3.1045948233132635E-2</v>
      </c>
      <c r="B892" s="195">
        <v>2.2618370085840476E-2</v>
      </c>
      <c r="C892" s="195">
        <v>0.99757048519724334</v>
      </c>
      <c r="D892" s="196">
        <v>-5.8117858669280473E-2</v>
      </c>
      <c r="F892" s="123">
        <f>INDEX(A892:D900,,F886)</f>
        <v>-3.1045948233132635E-2</v>
      </c>
      <c r="G892" s="90">
        <f>INDEX(A887:D895,,G886)</f>
        <v>0.99757048519724334</v>
      </c>
      <c r="I892" s="123">
        <f t="shared" si="281"/>
        <v>-0.99418302203496911</v>
      </c>
      <c r="J892" s="37">
        <f t="shared" si="282"/>
        <v>-6.1941043284669248E-2</v>
      </c>
      <c r="K892" s="37">
        <f t="shared" si="283"/>
        <v>0.9845631884593905</v>
      </c>
      <c r="L892" s="90">
        <f t="shared" si="280"/>
        <v>6.1580733600751301E-2</v>
      </c>
      <c r="N892" s="91">
        <f>SIN(O889)</f>
        <v>1.3107273796419529E-5</v>
      </c>
      <c r="O892" s="93">
        <f>N891</f>
        <v>0.99999999991409971</v>
      </c>
      <c r="Q892" s="123">
        <v>-3.1032872800985073E-2</v>
      </c>
      <c r="R892" s="90">
        <v>0.9975708920392955</v>
      </c>
    </row>
    <row r="893" spans="1:18" x14ac:dyDescent="0.25">
      <c r="A893" s="194">
        <v>0.96167580207844705</v>
      </c>
      <c r="B893" s="195">
        <v>-2.2566215546217142E-2</v>
      </c>
      <c r="C893" s="195">
        <v>0.16743998683064232</v>
      </c>
      <c r="D893" s="196">
        <v>0.21594968956414723</v>
      </c>
      <c r="F893" s="123">
        <f>INDEX(A893:D901,,F886)</f>
        <v>0.96167580207844705</v>
      </c>
      <c r="G893" s="90">
        <f>INDEX(A887:D895,,G886)</f>
        <v>0.16743998683064232</v>
      </c>
      <c r="I893" s="123">
        <f t="shared" si="281"/>
        <v>0.89678419911337881</v>
      </c>
      <c r="J893" s="37">
        <f t="shared" si="282"/>
        <v>0.3220459672707251</v>
      </c>
      <c r="K893" s="37">
        <f t="shared" si="283"/>
        <v>0.70050829474408727</v>
      </c>
      <c r="L893" s="90">
        <f t="shared" si="280"/>
        <v>0.28880573483657063</v>
      </c>
      <c r="Q893" s="123">
        <v>0.96167799667759069</v>
      </c>
      <c r="R893" s="90">
        <v>0.16742738186821796</v>
      </c>
    </row>
    <row r="894" spans="1:18" x14ac:dyDescent="0.25">
      <c r="A894" s="194">
        <v>0.67506584080737897</v>
      </c>
      <c r="B894" s="195">
        <v>-0.22044564291310922</v>
      </c>
      <c r="C894" s="195">
        <v>0.56874221928203672</v>
      </c>
      <c r="D894" s="196">
        <v>0.41499652661413494</v>
      </c>
      <c r="F894" s="123">
        <f>INDEX(A894:D902,,F886)</f>
        <v>0.67506584080737897</v>
      </c>
      <c r="G894" s="90">
        <f>INDEX(A887:D895,,G886)</f>
        <v>0.56874221928203672</v>
      </c>
      <c r="I894" s="123">
        <f t="shared" si="281"/>
        <v>0.13224617743111722</v>
      </c>
      <c r="J894" s="37">
        <f t="shared" si="282"/>
        <v>0.76787688892456563</v>
      </c>
      <c r="K894" s="37">
        <f t="shared" si="283"/>
        <v>-0.57214586509932708</v>
      </c>
      <c r="L894" s="90">
        <f t="shared" si="280"/>
        <v>0.10154878329797239</v>
      </c>
      <c r="Q894" s="123">
        <v>0.67507329540937833</v>
      </c>
      <c r="R894" s="90">
        <v>0.56873337096037546</v>
      </c>
    </row>
    <row r="895" spans="1:18" x14ac:dyDescent="0.25">
      <c r="A895" s="200">
        <v>6.9894116359136088E-2</v>
      </c>
      <c r="B895" s="201">
        <v>-0.92623477965907941</v>
      </c>
      <c r="C895" s="201">
        <v>-0.20330581520734009</v>
      </c>
      <c r="D895" s="202">
        <v>0.30962992580038384</v>
      </c>
      <c r="F895" s="91">
        <f>INDEX(A895:D903,,F886)</f>
        <v>6.9894116359136088E-2</v>
      </c>
      <c r="G895" s="93">
        <f>INDEX(A887:D895,,G886)</f>
        <v>-0.20330581520734009</v>
      </c>
      <c r="I895" s="91">
        <f t="shared" si="281"/>
        <v>-3.6448066995496659E-2</v>
      </c>
      <c r="J895" s="92">
        <f t="shared" si="282"/>
        <v>-2.8419760609181693E-2</v>
      </c>
      <c r="K895" s="92">
        <f t="shared" si="283"/>
        <v>5.2077879462501732E-4</v>
      </c>
      <c r="L895" s="93">
        <f t="shared" si="280"/>
        <v>1.0358453386794314E-3</v>
      </c>
      <c r="Q895" s="91">
        <v>6.9891451568147842E-2</v>
      </c>
      <c r="R895" s="93">
        <v>-0.20330673131119595</v>
      </c>
    </row>
    <row r="896" spans="1:18" x14ac:dyDescent="0.25">
      <c r="I896">
        <f>SUM(I887:I895)</f>
        <v>0.80751678326993848</v>
      </c>
      <c r="J896">
        <f>SUM(J887:J895)</f>
        <v>1.9171439591552597</v>
      </c>
      <c r="K896">
        <f>SUM(K887:K895)</f>
        <v>2.3933628813547161</v>
      </c>
      <c r="L896">
        <f>SUM(L887:L895)</f>
        <v>0.34417107716473838</v>
      </c>
    </row>
    <row r="897" spans="1:18" x14ac:dyDescent="0.25">
      <c r="A897" s="47" t="s">
        <v>53</v>
      </c>
      <c r="B897">
        <f>COUNT(A887:A895)</f>
        <v>9</v>
      </c>
      <c r="I897" s="47" t="s">
        <v>462</v>
      </c>
      <c r="J897" s="47" t="s">
        <v>389</v>
      </c>
      <c r="K897" s="47" t="s">
        <v>469</v>
      </c>
      <c r="L897" s="47" t="s">
        <v>470</v>
      </c>
      <c r="N897" s="47"/>
    </row>
    <row r="899" spans="1:18" x14ac:dyDescent="0.25">
      <c r="A899">
        <v>1</v>
      </c>
      <c r="B899">
        <v>2</v>
      </c>
      <c r="C899">
        <v>3</v>
      </c>
      <c r="D899">
        <v>4</v>
      </c>
      <c r="F899">
        <v>1</v>
      </c>
      <c r="G899">
        <v>4</v>
      </c>
      <c r="I899" s="47" t="s">
        <v>207</v>
      </c>
      <c r="J899" s="47" t="s">
        <v>464</v>
      </c>
      <c r="K899" s="47" t="s">
        <v>465</v>
      </c>
      <c r="L899" s="47" t="s">
        <v>466</v>
      </c>
      <c r="Q899">
        <f>F899</f>
        <v>1</v>
      </c>
      <c r="R899">
        <f>G899</f>
        <v>4</v>
      </c>
    </row>
    <row r="900" spans="1:18" x14ac:dyDescent="0.25">
      <c r="A900" s="189">
        <f t="array" ref="A900:A908">IF(A899=$Q886,$Q887:$Q895,IF(A899=$R886,$R887:$R895,A887:A895))</f>
        <v>0.11041733167137577</v>
      </c>
      <c r="B900" s="190">
        <f t="array" ref="B900:B908">IF(B899=$Q886,$Q887:$Q895,IF(B899=$R886,$R887:$R895,B887:B895))</f>
        <v>0.88923505777275691</v>
      </c>
      <c r="C900" s="190">
        <f t="array" ref="C900:C908">IF(C899=$Q886,$Q887:$Q895,IF(C899=$R886,$R887:$R895,C887:C895))</f>
        <v>-0.34166064691806958</v>
      </c>
      <c r="D900" s="191">
        <f t="array" ref="D900:D908">IF(D899=$Q886,$Q887:$Q895,IF(D899=$R886,$R887:$R895,D887:D895))</f>
        <v>0.28343787192607528</v>
      </c>
      <c r="F900" s="156">
        <f>INDEX(A900:D908,,F899)</f>
        <v>0.11041733167137577</v>
      </c>
      <c r="G900" s="158">
        <f>INDEX(A900:D908,,G899)</f>
        <v>0.28343787192607528</v>
      </c>
      <c r="I900" s="156">
        <f>F900^2-G900^2</f>
        <v>-6.8145040108555655E-2</v>
      </c>
      <c r="J900" s="157">
        <f>2*F900*G900</f>
        <v>6.2592907025380756E-2</v>
      </c>
      <c r="K900" s="157">
        <f>I900^2-J900^2</f>
        <v>7.2587448150869885E-4</v>
      </c>
      <c r="L900" s="158">
        <f t="shared" ref="L900:L908" si="284">I900*J900</f>
        <v>-4.2653961597556665E-3</v>
      </c>
      <c r="N900" t="s">
        <v>390</v>
      </c>
      <c r="O900" s="172">
        <f>L909*B910-2*I909*J909</f>
        <v>-3.9033892430309081E-3</v>
      </c>
      <c r="Q900" s="156">
        <f t="array" ref="Q900:R908">MMULT(F900:G908,N904:O905)</f>
        <v>0.11040527348576189</v>
      </c>
      <c r="R900" s="158">
        <v>0.28344256907166043</v>
      </c>
    </row>
    <row r="901" spans="1:18" x14ac:dyDescent="0.25">
      <c r="A901" s="194">
        <v>0.79375944232036499</v>
      </c>
      <c r="B901" s="195">
        <v>-0.60194911383346028</v>
      </c>
      <c r="C901" s="195">
        <v>8.4539742598969431E-2</v>
      </c>
      <c r="D901" s="196">
        <v>-2.1359868999484239E-2</v>
      </c>
      <c r="F901" s="123">
        <f>INDEX(A901:D909,,F899)</f>
        <v>0.79375944232036499</v>
      </c>
      <c r="G901" s="90">
        <f>INDEX(A900:D908,,G899)</f>
        <v>-2.1359868999484239E-2</v>
      </c>
      <c r="I901" s="123">
        <f t="shared" ref="I901:I908" si="285">F901^2-G901^2</f>
        <v>0.62959780826906164</v>
      </c>
      <c r="J901" s="37">
        <f t="shared" ref="J901:J908" si="286">2*F901*G901</f>
        <v>-3.3909195410133326E-2</v>
      </c>
      <c r="K901" s="37">
        <f t="shared" ref="K901:K908" si="287">I901^2-J901^2</f>
        <v>0.39524356664384347</v>
      </c>
      <c r="L901" s="90">
        <f t="shared" si="284"/>
        <v>-2.1349155110387267E-2</v>
      </c>
      <c r="N901" t="s">
        <v>392</v>
      </c>
      <c r="O901" s="173">
        <f>K909*B910-(I909^2-J909^2)</f>
        <v>22.938307898334362</v>
      </c>
      <c r="Q901" s="123">
        <v>0.79376035029902881</v>
      </c>
      <c r="R901" s="90">
        <v>-2.1326100665033664E-2</v>
      </c>
    </row>
    <row r="902" spans="1:18" x14ac:dyDescent="0.25">
      <c r="A902" s="194">
        <v>0.9838981855865333</v>
      </c>
      <c r="B902" s="195">
        <v>0.11716740714320109</v>
      </c>
      <c r="C902" s="195">
        <v>0.11374119424173205</v>
      </c>
      <c r="D902" s="196">
        <v>7.2657414180051713E-2</v>
      </c>
      <c r="F902" s="123">
        <f>INDEX(A902:D910,,F899)</f>
        <v>0.9838981855865333</v>
      </c>
      <c r="G902" s="90">
        <f>INDEX(A900:D908,,G899)</f>
        <v>7.2657414180051713E-2</v>
      </c>
      <c r="I902" s="123">
        <f t="shared" si="285"/>
        <v>0.96277653976514077</v>
      </c>
      <c r="J902" s="37">
        <f t="shared" si="286"/>
        <v>0.14297499596232427</v>
      </c>
      <c r="K902" s="37">
        <f t="shared" si="287"/>
        <v>0.90649681605171106</v>
      </c>
      <c r="L902" s="90">
        <f t="shared" si="284"/>
        <v>0.13765297188554154</v>
      </c>
      <c r="N902" t="s">
        <v>467</v>
      </c>
      <c r="O902" s="174">
        <f>0.25*ATAN(O900/O901)</f>
        <v>-4.2542253145412835E-5</v>
      </c>
      <c r="Q902" s="123">
        <v>0.98389509368607653</v>
      </c>
      <c r="R902" s="90">
        <v>7.2699271359970355E-2</v>
      </c>
    </row>
    <row r="903" spans="1:18" x14ac:dyDescent="0.25">
      <c r="A903" s="194">
        <v>4.8565478323500631E-2</v>
      </c>
      <c r="B903" s="195">
        <v>-1.2642062896100698E-3</v>
      </c>
      <c r="C903" s="195">
        <v>8.0533057613007886E-2</v>
      </c>
      <c r="D903" s="196">
        <v>0.99556728689183405</v>
      </c>
      <c r="F903" s="123">
        <f>INDEX(A903:D911,,F899)</f>
        <v>4.8565478323500631E-2</v>
      </c>
      <c r="G903" s="90">
        <f>INDEX(A900:D908,,G899)</f>
        <v>0.99556728689183405</v>
      </c>
      <c r="I903" s="123">
        <f t="shared" si="285"/>
        <v>-0.98879561704437702</v>
      </c>
      <c r="J903" s="37">
        <f t="shared" si="286"/>
        <v>9.67004029822634E-2</v>
      </c>
      <c r="K903" s="37">
        <f t="shared" si="287"/>
        <v>0.96836580434923814</v>
      </c>
      <c r="L903" s="90">
        <f t="shared" si="284"/>
        <v>-9.561693463528706E-2</v>
      </c>
      <c r="Q903" s="123">
        <v>4.8523124604023207E-2</v>
      </c>
      <c r="R903" s="90">
        <v>0.99556935207579589</v>
      </c>
    </row>
    <row r="904" spans="1:18" x14ac:dyDescent="0.25">
      <c r="A904" s="194">
        <v>0.35383380420730287</v>
      </c>
      <c r="B904" s="195">
        <v>-0.11117477608216586</v>
      </c>
      <c r="C904" s="195">
        <v>0.88623670531724696</v>
      </c>
      <c r="D904" s="196">
        <v>0.2775361423521272</v>
      </c>
      <c r="F904" s="123">
        <f>INDEX(A904:D912,,F899)</f>
        <v>0.35383380420730287</v>
      </c>
      <c r="G904" s="90">
        <f>INDEX(A900:D908,,G899)</f>
        <v>0.2775361423521272</v>
      </c>
      <c r="I904" s="123">
        <f t="shared" si="285"/>
        <v>4.8172050688111728E-2</v>
      </c>
      <c r="J904" s="37">
        <f t="shared" si="286"/>
        <v>0.19640333810694544</v>
      </c>
      <c r="K904" s="37">
        <f t="shared" si="287"/>
        <v>-3.6253724752053122E-2</v>
      </c>
      <c r="L904" s="90">
        <f t="shared" si="284"/>
        <v>9.4611515586021221E-3</v>
      </c>
      <c r="N904" s="156">
        <f>COS(O902)</f>
        <v>0.99999999909507831</v>
      </c>
      <c r="O904" s="158">
        <f>-N905</f>
        <v>4.2542253132580367E-5</v>
      </c>
      <c r="Q904" s="123">
        <v>0.35382199687428961</v>
      </c>
      <c r="R904" s="90">
        <v>0.27755119498824415</v>
      </c>
    </row>
    <row r="905" spans="1:18" x14ac:dyDescent="0.25">
      <c r="A905" s="194">
        <v>-3.1032872800985073E-2</v>
      </c>
      <c r="B905" s="195">
        <v>2.2618370085840476E-2</v>
      </c>
      <c r="C905" s="195">
        <v>0.9975708920392955</v>
      </c>
      <c r="D905" s="196">
        <v>-5.8117858669280473E-2</v>
      </c>
      <c r="F905" s="123">
        <f>INDEX(A905:D913,,F899)</f>
        <v>-3.1032872800985073E-2</v>
      </c>
      <c r="G905" s="90">
        <f>INDEX(A900:D908,,G899)</f>
        <v>-5.8117858669280473E-2</v>
      </c>
      <c r="I905" s="123">
        <f t="shared" si="285"/>
        <v>-2.4146463020203401E-3</v>
      </c>
      <c r="J905" s="37">
        <f t="shared" si="286"/>
        <v>3.607128231098817E-3</v>
      </c>
      <c r="K905" s="37">
        <f t="shared" si="287"/>
        <v>-7.1808573117295766E-6</v>
      </c>
      <c r="L905" s="90">
        <f t="shared" si="284"/>
        <v>-8.7099388441359286E-6</v>
      </c>
      <c r="N905" s="91">
        <f>SIN(O902)</f>
        <v>-4.2542253132580367E-5</v>
      </c>
      <c r="O905" s="93">
        <f>N904</f>
        <v>0.99999999909507831</v>
      </c>
      <c r="Q905" s="123">
        <v>-3.1030400308247719E-2</v>
      </c>
      <c r="R905" s="90">
        <v>-5.8119178825018492E-2</v>
      </c>
    </row>
    <row r="906" spans="1:18" x14ac:dyDescent="0.25">
      <c r="A906" s="194">
        <v>0.96167799667759069</v>
      </c>
      <c r="B906" s="195">
        <v>-2.2566215546217142E-2</v>
      </c>
      <c r="C906" s="195">
        <v>0.16742738186821796</v>
      </c>
      <c r="D906" s="196">
        <v>0.21594968956414723</v>
      </c>
      <c r="F906" s="123">
        <f>INDEX(A906:D914,,F899)</f>
        <v>0.96167799667759069</v>
      </c>
      <c r="G906" s="90">
        <f>INDEX(A900:D908,,G899)</f>
        <v>0.21594968956414723</v>
      </c>
      <c r="I906" s="123">
        <f t="shared" si="285"/>
        <v>0.87819030087097261</v>
      </c>
      <c r="J906" s="37">
        <f t="shared" si="286"/>
        <v>0.41534812968639345</v>
      </c>
      <c r="K906" s="37">
        <f t="shared" si="287"/>
        <v>0.59870413570986425</v>
      </c>
      <c r="L906" s="90">
        <f t="shared" si="284"/>
        <v>0.36475469897548962</v>
      </c>
      <c r="Q906" s="123">
        <v>0.96166880882099004</v>
      </c>
      <c r="R906" s="90">
        <v>0.21599060131749634</v>
      </c>
    </row>
    <row r="907" spans="1:18" x14ac:dyDescent="0.25">
      <c r="A907" s="194">
        <v>0.67507329540937833</v>
      </c>
      <c r="B907" s="195">
        <v>-0.22044564291310922</v>
      </c>
      <c r="C907" s="195">
        <v>0.56873337096037546</v>
      </c>
      <c r="D907" s="196">
        <v>0.41499652661413494</v>
      </c>
      <c r="F907" s="123">
        <f>INDEX(A907:D915,,F899)</f>
        <v>0.67507329540937833</v>
      </c>
      <c r="G907" s="90">
        <f>INDEX(A900:D908,,G899)</f>
        <v>0.41499652661413494</v>
      </c>
      <c r="I907" s="123">
        <f t="shared" si="285"/>
        <v>0.28350183707308135</v>
      </c>
      <c r="J907" s="37">
        <f t="shared" si="286"/>
        <v>0.56030614560969971</v>
      </c>
      <c r="K907" s="37">
        <f t="shared" si="287"/>
        <v>-0.23356968518418608</v>
      </c>
      <c r="L907" s="90">
        <f t="shared" si="284"/>
        <v>0.15884782160368729</v>
      </c>
      <c r="Q907" s="123">
        <v>0.67505563991120554</v>
      </c>
      <c r="R907" s="90">
        <v>0.41502524537761193</v>
      </c>
    </row>
    <row r="908" spans="1:18" x14ac:dyDescent="0.25">
      <c r="A908" s="200">
        <v>6.9891451568147842E-2</v>
      </c>
      <c r="B908" s="201">
        <v>-0.92623477965907941</v>
      </c>
      <c r="C908" s="201">
        <v>-0.20330673131119595</v>
      </c>
      <c r="D908" s="202">
        <v>0.30962992580038384</v>
      </c>
      <c r="F908" s="91">
        <f>INDEX(A908:D916,,F899)</f>
        <v>6.9891451568147842E-2</v>
      </c>
      <c r="G908" s="93">
        <f>INDEX(A900:D908,,G899)</f>
        <v>0.30962992580038384</v>
      </c>
      <c r="I908" s="91">
        <f t="shared" si="285"/>
        <v>-9.0985875948848452E-2</v>
      </c>
      <c r="J908" s="92">
        <f t="shared" si="286"/>
        <v>4.3280969926253472E-2</v>
      </c>
      <c r="K908" s="92">
        <f t="shared" si="287"/>
        <v>6.4051872644219814E-3</v>
      </c>
      <c r="L908" s="93">
        <f t="shared" si="284"/>
        <v>-3.9379569606559387E-3</v>
      </c>
      <c r="Q908" s="91">
        <v>6.9878279150220726E-2</v>
      </c>
      <c r="R908" s="93">
        <v>0.30963289886001744</v>
      </c>
    </row>
    <row r="909" spans="1:18" x14ac:dyDescent="0.25">
      <c r="I909">
        <f>SUM(I900:I908)</f>
        <v>1.6518973572625666</v>
      </c>
      <c r="J909">
        <f>SUM(J900:J908)</f>
        <v>1.4873048221202259</v>
      </c>
      <c r="K909">
        <f>SUM(K900:K908)</f>
        <v>2.6061107937070371</v>
      </c>
      <c r="L909">
        <f>SUM(L900:L908)</f>
        <v>0.54553849121839049</v>
      </c>
    </row>
    <row r="910" spans="1:18" x14ac:dyDescent="0.25">
      <c r="A910" s="47" t="s">
        <v>53</v>
      </c>
      <c r="B910">
        <f>COUNT(A900:A908)</f>
        <v>9</v>
      </c>
      <c r="I910" s="47" t="s">
        <v>462</v>
      </c>
      <c r="J910" s="47" t="s">
        <v>389</v>
      </c>
      <c r="K910" s="47" t="s">
        <v>469</v>
      </c>
      <c r="L910" s="47" t="s">
        <v>470</v>
      </c>
      <c r="N910" s="47"/>
    </row>
    <row r="912" spans="1:18" x14ac:dyDescent="0.25">
      <c r="A912">
        <v>1</v>
      </c>
      <c r="B912">
        <v>2</v>
      </c>
      <c r="C912">
        <v>3</v>
      </c>
      <c r="D912">
        <v>4</v>
      </c>
      <c r="F912">
        <v>2</v>
      </c>
      <c r="G912">
        <v>3</v>
      </c>
      <c r="I912" s="47" t="s">
        <v>207</v>
      </c>
      <c r="J912" s="47" t="s">
        <v>464</v>
      </c>
      <c r="K912" s="47" t="s">
        <v>465</v>
      </c>
      <c r="L912" s="47" t="s">
        <v>466</v>
      </c>
      <c r="Q912">
        <f>F912</f>
        <v>2</v>
      </c>
      <c r="R912">
        <f>G912</f>
        <v>3</v>
      </c>
    </row>
    <row r="913" spans="1:18" x14ac:dyDescent="0.25">
      <c r="A913" s="189">
        <f t="array" ref="A913:A921">IF(A912=$Q899,$Q900:$Q908,IF(A912=$R899,$R900:$R908,A900:A908))</f>
        <v>0.11040527348576189</v>
      </c>
      <c r="B913" s="190">
        <f t="array" ref="B913:B921">IF(B912=$Q899,$Q900:$Q908,IF(B912=$R899,$R900:$R908,B900:B908))</f>
        <v>0.88923505777275691</v>
      </c>
      <c r="C913" s="190">
        <f t="array" ref="C913:C921">IF(C912=$Q899,$Q900:$Q908,IF(C912=$R899,$R900:$R908,C900:C908))</f>
        <v>-0.34166064691806958</v>
      </c>
      <c r="D913" s="191">
        <f t="array" ref="D913:D921">IF(D912=$Q899,$Q900:$Q908,IF(D912=$R899,$R900:$R908,D900:D908))</f>
        <v>0.28344256907166043</v>
      </c>
      <c r="F913" s="156">
        <f>INDEX(A913:D921,,F912)</f>
        <v>0.88923505777275691</v>
      </c>
      <c r="G913" s="158">
        <f>INDEX(A913:D921,,G912)</f>
        <v>-0.34166064691806958</v>
      </c>
      <c r="I913" s="156">
        <f>F913^2-G913^2</f>
        <v>0.67400699031964451</v>
      </c>
      <c r="J913" s="157">
        <f>2*F913*G913</f>
        <v>-0.6076332502017342</v>
      </c>
      <c r="K913" s="157">
        <f>I913^2-J913^2</f>
        <v>8.5067256249022005E-2</v>
      </c>
      <c r="L913" s="158">
        <f t="shared" ref="L913:L921" si="288">I913*J913</f>
        <v>-0.40954905818661441</v>
      </c>
      <c r="N913" t="s">
        <v>390</v>
      </c>
      <c r="O913" s="172">
        <f>L922*B923-2*I922*J922</f>
        <v>1.6351579036204211E-2</v>
      </c>
      <c r="Q913" s="156">
        <f t="array" ref="Q913:R921">MMULT(F913:G921,N917:O918)</f>
        <v>0.88916860184444113</v>
      </c>
      <c r="R913" s="158">
        <v>-0.34183356055044356</v>
      </c>
    </row>
    <row r="914" spans="1:18" x14ac:dyDescent="0.25">
      <c r="A914" s="194">
        <v>0.79376035029902881</v>
      </c>
      <c r="B914" s="195">
        <v>-0.60194911383346028</v>
      </c>
      <c r="C914" s="195">
        <v>8.4539742598969431E-2</v>
      </c>
      <c r="D914" s="196">
        <v>-2.1326100665033664E-2</v>
      </c>
      <c r="F914" s="123">
        <f>INDEX(A914:D922,,F912)</f>
        <v>-0.60194911383346028</v>
      </c>
      <c r="G914" s="90">
        <f>INDEX(A913:D921,,G912)</f>
        <v>8.4539742598969431E-2</v>
      </c>
      <c r="I914" s="123">
        <f t="shared" ref="I914:I921" si="289">F914^2-G914^2</f>
        <v>0.35519576756618809</v>
      </c>
      <c r="J914" s="37">
        <f t="shared" ref="J914:J921" si="290">2*F914*G914</f>
        <v>-0.10177724628231696</v>
      </c>
      <c r="K914" s="37">
        <f t="shared" ref="K914:K921" si="291">I914^2-J914^2</f>
        <v>0.11580542543612211</v>
      </c>
      <c r="L914" s="90">
        <f t="shared" si="288"/>
        <v>-3.6150847114020536E-2</v>
      </c>
      <c r="N914" t="s">
        <v>392</v>
      </c>
      <c r="O914" s="173">
        <f>K922*B923-(I922^2-J922^2)</f>
        <v>21.021840373565198</v>
      </c>
      <c r="Q914" s="123">
        <v>-0.60193266290689185</v>
      </c>
      <c r="R914" s="90">
        <v>8.4656795648112279E-2</v>
      </c>
    </row>
    <row r="915" spans="1:18" x14ac:dyDescent="0.25">
      <c r="A915" s="194">
        <v>0.98389509368607653</v>
      </c>
      <c r="B915" s="195">
        <v>0.11716740714320109</v>
      </c>
      <c r="C915" s="195">
        <v>0.11374119424173205</v>
      </c>
      <c r="D915" s="196">
        <v>7.2699271359970355E-2</v>
      </c>
      <c r="F915" s="123">
        <f>INDEX(A915:D923,,F912)</f>
        <v>0.11716740714320109</v>
      </c>
      <c r="G915" s="90">
        <f>INDEX(A913:D921,,G912)</f>
        <v>0.11374119424173205</v>
      </c>
      <c r="I915" s="123">
        <f t="shared" si="289"/>
        <v>7.9114202912522816E-4</v>
      </c>
      <c r="J915" s="37">
        <f t="shared" si="290"/>
        <v>2.6653521629349877E-2</v>
      </c>
      <c r="K915" s="37">
        <f t="shared" si="291"/>
        <v>-7.0978430953597333E-4</v>
      </c>
      <c r="L915" s="90">
        <f t="shared" si="288"/>
        <v>2.1086721185177018E-5</v>
      </c>
      <c r="N915" t="s">
        <v>467</v>
      </c>
      <c r="O915" s="174">
        <f>0.25*ATAN(O913/O914)</f>
        <v>1.9445937472519891E-4</v>
      </c>
      <c r="Q915" s="123">
        <v>0.11718952296926402</v>
      </c>
      <c r="R915" s="90">
        <v>0.11371840779061415</v>
      </c>
    </row>
    <row r="916" spans="1:18" x14ac:dyDescent="0.25">
      <c r="A916" s="194">
        <v>4.8523124604023207E-2</v>
      </c>
      <c r="B916" s="195">
        <v>-1.2642062896100698E-3</v>
      </c>
      <c r="C916" s="195">
        <v>8.0533057613007886E-2</v>
      </c>
      <c r="D916" s="196">
        <v>0.99556935207579589</v>
      </c>
      <c r="F916" s="123">
        <f>INDEX(A916:D924,,F912)</f>
        <v>-1.2642062896100698E-3</v>
      </c>
      <c r="G916" s="90">
        <f>INDEX(A913:D921,,G912)</f>
        <v>8.0533057613007886E-2</v>
      </c>
      <c r="I916" s="123">
        <f t="shared" si="289"/>
        <v>-6.4839751509573572E-3</v>
      </c>
      <c r="J916" s="37">
        <f t="shared" si="290"/>
        <v>-2.0362079591178936E-4</v>
      </c>
      <c r="K916" s="37">
        <f t="shared" si="291"/>
        <v>4.2000472329704731E-5</v>
      </c>
      <c r="L916" s="90">
        <f t="shared" si="288"/>
        <v>1.3202721809102017E-6</v>
      </c>
      <c r="Q916" s="123">
        <v>-1.2485458577780025E-3</v>
      </c>
      <c r="R916" s="90">
        <v>8.0533301927114373E-2</v>
      </c>
    </row>
    <row r="917" spans="1:18" x14ac:dyDescent="0.25">
      <c r="A917" s="194">
        <v>0.35382199687428961</v>
      </c>
      <c r="B917" s="195">
        <v>-0.11117477608216586</v>
      </c>
      <c r="C917" s="195">
        <v>0.88623670531724696</v>
      </c>
      <c r="D917" s="196">
        <v>0.27755119498824415</v>
      </c>
      <c r="F917" s="123">
        <f>INDEX(A917:D925,,F912)</f>
        <v>-0.11117477608216586</v>
      </c>
      <c r="G917" s="90">
        <f>INDEX(A913:D921,,G912)</f>
        <v>0.88623670531724696</v>
      </c>
      <c r="I917" s="123">
        <f t="shared" si="289"/>
        <v>-0.77305566701464912</v>
      </c>
      <c r="J917" s="37">
        <f t="shared" si="290"/>
        <v>-0.19705433453888269</v>
      </c>
      <c r="K917" s="37">
        <f t="shared" si="291"/>
        <v>0.55878465354290208</v>
      </c>
      <c r="L917" s="90">
        <f t="shared" si="288"/>
        <v>0.15233397002508375</v>
      </c>
      <c r="N917" s="156">
        <f>COS(O915)</f>
        <v>0.99999998109277588</v>
      </c>
      <c r="O917" s="158">
        <f>-N918</f>
        <v>-1.9445937349963659E-4</v>
      </c>
      <c r="Q917" s="123">
        <v>-0.11100243694567108</v>
      </c>
      <c r="R917" s="90">
        <v>0.88625830753827683</v>
      </c>
    </row>
    <row r="918" spans="1:18" x14ac:dyDescent="0.25">
      <c r="A918" s="194">
        <v>-3.1030400308247719E-2</v>
      </c>
      <c r="B918" s="195">
        <v>2.2618370085840476E-2</v>
      </c>
      <c r="C918" s="195">
        <v>0.9975708920392955</v>
      </c>
      <c r="D918" s="196">
        <v>-5.8119178825018492E-2</v>
      </c>
      <c r="F918" s="123">
        <f>INDEX(A918:D926,,F912)</f>
        <v>2.2618370085840476E-2</v>
      </c>
      <c r="G918" s="90">
        <f>INDEX(A913:D921,,G912)</f>
        <v>0.9975708920392955</v>
      </c>
      <c r="I918" s="123">
        <f t="shared" si="289"/>
        <v>-0.99463609397873576</v>
      </c>
      <c r="J918" s="37">
        <f t="shared" si="290"/>
        <v>4.5126855246013599E-2</v>
      </c>
      <c r="K918" s="37">
        <f t="shared" si="291"/>
        <v>0.9872645263808818</v>
      </c>
      <c r="L918" s="90">
        <f t="shared" si="288"/>
        <v>-4.4884799035438787E-2</v>
      </c>
      <c r="N918" s="91">
        <f>SIN(O915)</f>
        <v>1.9445937349963659E-4</v>
      </c>
      <c r="O918" s="93">
        <f>N917</f>
        <v>0.99999998109277588</v>
      </c>
      <c r="Q918" s="123">
        <v>2.281235666887732E-2</v>
      </c>
      <c r="R918" s="90">
        <v>0.99756647482392258</v>
      </c>
    </row>
    <row r="919" spans="1:18" x14ac:dyDescent="0.25">
      <c r="A919" s="194">
        <v>0.96166880882099004</v>
      </c>
      <c r="B919" s="195">
        <v>-2.2566215546217142E-2</v>
      </c>
      <c r="C919" s="195">
        <v>0.16742738186821796</v>
      </c>
      <c r="D919" s="196">
        <v>0.21599060131749634</v>
      </c>
      <c r="F919" s="123">
        <f>INDEX(A919:D927,,F912)</f>
        <v>-2.2566215546217142E-2</v>
      </c>
      <c r="G919" s="90">
        <f>INDEX(A913:D921,,G912)</f>
        <v>0.16742738186821796</v>
      </c>
      <c r="I919" s="123">
        <f t="shared" si="289"/>
        <v>-2.7522694115167747E-2</v>
      </c>
      <c r="J919" s="37">
        <f t="shared" si="290"/>
        <v>-7.5564047751540278E-3</v>
      </c>
      <c r="K919" s="37">
        <f t="shared" si="291"/>
        <v>7.003994382311187E-4</v>
      </c>
      <c r="L919" s="90">
        <f t="shared" si="288"/>
        <v>2.0797261723695722E-4</v>
      </c>
      <c r="Q919" s="123">
        <v>-2.2533657295767867E-2</v>
      </c>
      <c r="R919" s="90">
        <v>0.1674317669147683</v>
      </c>
    </row>
    <row r="920" spans="1:18" x14ac:dyDescent="0.25">
      <c r="A920" s="194">
        <v>0.67505563991120554</v>
      </c>
      <c r="B920" s="195">
        <v>-0.22044564291310922</v>
      </c>
      <c r="C920" s="195">
        <v>0.56873337096037546</v>
      </c>
      <c r="D920" s="196">
        <v>0.41502524537761193</v>
      </c>
      <c r="F920" s="123">
        <f>INDEX(A920:D928,,F912)</f>
        <v>-0.22044564291310922</v>
      </c>
      <c r="G920" s="90">
        <f>INDEX(A913:D921,,G912)</f>
        <v>0.56873337096037546</v>
      </c>
      <c r="I920" s="123">
        <f t="shared" si="289"/>
        <v>-0.27486136576457798</v>
      </c>
      <c r="J920" s="37">
        <f t="shared" si="290"/>
        <v>-0.25074958721499963</v>
      </c>
      <c r="K920" s="37">
        <f t="shared" si="291"/>
        <v>1.2673414901476415E-2</v>
      </c>
      <c r="L920" s="90">
        <f t="shared" si="288"/>
        <v>6.8921374006818956E-2</v>
      </c>
      <c r="Q920" s="123">
        <v>-0.22033504321008876</v>
      </c>
      <c r="R920" s="90">
        <v>0.56877622792881777</v>
      </c>
    </row>
    <row r="921" spans="1:18" x14ac:dyDescent="0.25">
      <c r="A921" s="200">
        <v>6.9878279150220726E-2</v>
      </c>
      <c r="B921" s="201">
        <v>-0.92623477965907941</v>
      </c>
      <c r="C921" s="201">
        <v>-0.20330673131119595</v>
      </c>
      <c r="D921" s="202">
        <v>0.30963289886001744</v>
      </c>
      <c r="F921" s="91">
        <f>INDEX(A921:D929,,F912)</f>
        <v>-0.92623477965907941</v>
      </c>
      <c r="G921" s="93">
        <f>INDEX(A913:D921,,G912)</f>
        <v>-0.20330673131119595</v>
      </c>
      <c r="I921" s="91">
        <f t="shared" si="289"/>
        <v>0.8165772400536605</v>
      </c>
      <c r="J921" s="92">
        <f t="shared" si="290"/>
        <v>0.37661953095846645</v>
      </c>
      <c r="K921" s="92">
        <f t="shared" si="291"/>
        <v>0.52495611787427821</v>
      </c>
      <c r="L921" s="93">
        <f t="shared" si="288"/>
        <v>0.30753893714036867</v>
      </c>
      <c r="Q921" s="91">
        <v>-0.92627429704614994</v>
      </c>
      <c r="R921" s="93">
        <v>-0.20312661243226396</v>
      </c>
    </row>
    <row r="922" spans="1:18" x14ac:dyDescent="0.25">
      <c r="I922">
        <f>SUM(I913:I921)</f>
        <v>-0.2299886560554697</v>
      </c>
      <c r="J922">
        <f>SUM(J913:J921)</f>
        <v>-0.71657453597516951</v>
      </c>
      <c r="K922">
        <f>SUM(K913:K921)</f>
        <v>2.2845840099857075</v>
      </c>
      <c r="L922">
        <f>SUM(L913:L921)</f>
        <v>3.8439956446800705E-2</v>
      </c>
    </row>
    <row r="923" spans="1:18" x14ac:dyDescent="0.25">
      <c r="A923" s="47" t="s">
        <v>53</v>
      </c>
      <c r="B923">
        <f>COUNT(A913:A921)</f>
        <v>9</v>
      </c>
      <c r="I923" s="47" t="s">
        <v>462</v>
      </c>
      <c r="J923" s="47" t="s">
        <v>389</v>
      </c>
      <c r="K923" s="47" t="s">
        <v>469</v>
      </c>
      <c r="L923" s="47" t="s">
        <v>470</v>
      </c>
      <c r="N923" s="47"/>
    </row>
    <row r="925" spans="1:18" x14ac:dyDescent="0.25">
      <c r="A925">
        <v>1</v>
      </c>
      <c r="B925">
        <v>2</v>
      </c>
      <c r="C925">
        <v>3</v>
      </c>
      <c r="D925">
        <v>4</v>
      </c>
      <c r="F925">
        <v>2</v>
      </c>
      <c r="G925">
        <v>4</v>
      </c>
      <c r="I925" s="47" t="s">
        <v>207</v>
      </c>
      <c r="J925" s="47" t="s">
        <v>464</v>
      </c>
      <c r="K925" s="47" t="s">
        <v>465</v>
      </c>
      <c r="L925" s="47" t="s">
        <v>466</v>
      </c>
      <c r="Q925">
        <f>F925</f>
        <v>2</v>
      </c>
      <c r="R925">
        <f>G925</f>
        <v>4</v>
      </c>
    </row>
    <row r="926" spans="1:18" x14ac:dyDescent="0.25">
      <c r="A926" s="189">
        <f t="array" ref="A926:A934">IF(A925=$Q912,$Q913:$Q921,IF(A925=$R912,$R913:$R921,A913:A921))</f>
        <v>0.11040527348576189</v>
      </c>
      <c r="B926" s="190">
        <f t="array" ref="B926:B934">IF(B925=$Q912,$Q913:$Q921,IF(B925=$R912,$R913:$R921,B913:B921))</f>
        <v>0.88916860184444113</v>
      </c>
      <c r="C926" s="190">
        <f t="array" ref="C926:C934">IF(C925=$Q912,$Q913:$Q921,IF(C925=$R912,$R913:$R921,C913:C921))</f>
        <v>-0.34183356055044356</v>
      </c>
      <c r="D926" s="191">
        <f t="array" ref="D926:D934">IF(D925=$Q912,$Q913:$Q921,IF(D925=$R912,$R913:$R921,D913:D921))</f>
        <v>0.28344256907166043</v>
      </c>
      <c r="F926" s="156">
        <f>INDEX(A926:D934,,F925)</f>
        <v>0.88916860184444113</v>
      </c>
      <c r="G926" s="158">
        <f>INDEX(A926:D934,,G925)</f>
        <v>0.28344256907166043</v>
      </c>
      <c r="I926" s="156">
        <f>F926^2-G926^2</f>
        <v>0.71028111254405535</v>
      </c>
      <c r="J926" s="157">
        <f>2*F926*G926</f>
        <v>0.50405646568928952</v>
      </c>
      <c r="K926" s="157">
        <f>I926^2-J926^2</f>
        <v>0.25042633823364308</v>
      </c>
      <c r="L926" s="158">
        <f t="shared" ref="L926:L934" si="292">I926*J926</f>
        <v>0.35802178723481304</v>
      </c>
      <c r="N926" t="s">
        <v>390</v>
      </c>
      <c r="O926" s="172">
        <f>L935*B936-2*I935*J935</f>
        <v>-9.9475837855914628E-3</v>
      </c>
      <c r="Q926" s="156">
        <f t="array" ref="Q926:R934">MMULT(F926:G934,N930:O931)</f>
        <v>0.88911857892712176</v>
      </c>
      <c r="R926" s="158">
        <v>0.28359944477124222</v>
      </c>
    </row>
    <row r="927" spans="1:18" x14ac:dyDescent="0.25">
      <c r="A927" s="194">
        <v>0.79376035029902881</v>
      </c>
      <c r="B927" s="195">
        <v>-0.60193266290689185</v>
      </c>
      <c r="C927" s="195">
        <v>8.4656795648112279E-2</v>
      </c>
      <c r="D927" s="196">
        <v>-2.1326100665033664E-2</v>
      </c>
      <c r="F927" s="123">
        <f>INDEX(A927:D935,,F925)</f>
        <v>-0.60193266290689185</v>
      </c>
      <c r="G927" s="90">
        <f>INDEX(A926:D934,,G925)</f>
        <v>-2.1326100665033664E-2</v>
      </c>
      <c r="I927" s="123">
        <f t="shared" ref="I927:I934" si="293">F927^2-G927^2</f>
        <v>0.36186812810460672</v>
      </c>
      <c r="J927" s="37">
        <f t="shared" ref="J927:J934" si="294">2*F927*G927</f>
        <v>2.5673753125448302E-2</v>
      </c>
      <c r="K927" s="37">
        <f t="shared" ref="K927:K934" si="295">I927^2-J927^2</f>
        <v>0.13028940053838559</v>
      </c>
      <c r="L927" s="90">
        <f t="shared" si="292"/>
        <v>9.2905129849257737E-3</v>
      </c>
      <c r="N927" t="s">
        <v>392</v>
      </c>
      <c r="O927" s="173">
        <f>K935*B936-(I935^2-J935^2)</f>
        <v>14.09528203040867</v>
      </c>
      <c r="Q927" s="123">
        <v>-0.60192889087590784</v>
      </c>
      <c r="R927" s="90">
        <v>-2.1432302084855692E-2</v>
      </c>
    </row>
    <row r="928" spans="1:18" x14ac:dyDescent="0.25">
      <c r="A928" s="194">
        <v>0.98389509368607653</v>
      </c>
      <c r="B928" s="195">
        <v>0.11718952296926402</v>
      </c>
      <c r="C928" s="195">
        <v>0.11371840779061415</v>
      </c>
      <c r="D928" s="196">
        <v>7.2699271359970355E-2</v>
      </c>
      <c r="F928" s="123">
        <f>INDEX(A928:D936,,F925)</f>
        <v>0.11718952296926402</v>
      </c>
      <c r="G928" s="90">
        <f>INDEX(A926:D934,,G925)</f>
        <v>7.2699271359970355E-2</v>
      </c>
      <c r="I928" s="123">
        <f t="shared" si="293"/>
        <v>8.4482002374930525E-3</v>
      </c>
      <c r="J928" s="37">
        <f t="shared" si="294"/>
        <v>1.7039185861776007E-2</v>
      </c>
      <c r="K928" s="37">
        <f t="shared" si="295"/>
        <v>-2.1896176757936966E-4</v>
      </c>
      <c r="L928" s="90">
        <f t="shared" si="292"/>
        <v>1.4395045404414433E-4</v>
      </c>
      <c r="N928" t="s">
        <v>467</v>
      </c>
      <c r="O928" s="174">
        <f>0.25*ATAN(O926/O927)</f>
        <v>-1.7643460614357847E-4</v>
      </c>
      <c r="Q928" s="123">
        <v>0.11717669447801496</v>
      </c>
      <c r="R928" s="90">
        <v>7.2719946515658329E-2</v>
      </c>
    </row>
    <row r="929" spans="1:18" x14ac:dyDescent="0.25">
      <c r="A929" s="194">
        <v>4.8523124604023207E-2</v>
      </c>
      <c r="B929" s="195">
        <v>-1.2485458577780025E-3</v>
      </c>
      <c r="C929" s="195">
        <v>8.0533301927114373E-2</v>
      </c>
      <c r="D929" s="196">
        <v>0.99556935207579589</v>
      </c>
      <c r="F929" s="123">
        <f>INDEX(A929:D937,,F925)</f>
        <v>-1.2485458577780025E-3</v>
      </c>
      <c r="G929" s="90">
        <f>INDEX(A926:D934,,G925)</f>
        <v>0.99556935207579589</v>
      </c>
      <c r="I929" s="123">
        <f t="shared" si="293"/>
        <v>-0.99115677592586104</v>
      </c>
      <c r="J929" s="37">
        <f t="shared" si="294"/>
        <v>-2.4860279813299297E-3</v>
      </c>
      <c r="K929" s="37">
        <f t="shared" si="295"/>
        <v>0.98238557412862348</v>
      </c>
      <c r="L929" s="90">
        <f t="shared" si="292"/>
        <v>2.4640434788364496E-3</v>
      </c>
      <c r="Q929" s="123">
        <v>-1.4241987239556936E-3</v>
      </c>
      <c r="R929" s="90">
        <v>0.99556911629347644</v>
      </c>
    </row>
    <row r="930" spans="1:18" x14ac:dyDescent="0.25">
      <c r="A930" s="194">
        <v>0.35382199687428961</v>
      </c>
      <c r="B930" s="195">
        <v>-0.11100243694567108</v>
      </c>
      <c r="C930" s="195">
        <v>0.88625830753827683</v>
      </c>
      <c r="D930" s="196">
        <v>0.27755119498824415</v>
      </c>
      <c r="F930" s="123">
        <f>INDEX(A930:D938,,F925)</f>
        <v>-0.11100243694567108</v>
      </c>
      <c r="G930" s="90">
        <f>INDEX(A926:D934,,G925)</f>
        <v>0.27755119498824415</v>
      </c>
      <c r="I930" s="123">
        <f t="shared" si="293"/>
        <v>-6.4713124831524638E-2</v>
      </c>
      <c r="J930" s="37">
        <f t="shared" si="294"/>
        <v>-6.1617718041756461E-2</v>
      </c>
      <c r="K930" s="37">
        <f t="shared" si="295"/>
        <v>3.9104534878709081E-4</v>
      </c>
      <c r="L930" s="90">
        <f t="shared" si="292"/>
        <v>3.9874750794698741E-3</v>
      </c>
      <c r="N930" s="156">
        <f>COS(O928)</f>
        <v>0.99999998443541493</v>
      </c>
      <c r="O930" s="158">
        <f>-N931</f>
        <v>1.7643460522820132E-4</v>
      </c>
      <c r="Q930" s="123">
        <v>-0.11105140485348258</v>
      </c>
      <c r="R930" s="90">
        <v>0.27753160599713311</v>
      </c>
    </row>
    <row r="931" spans="1:18" x14ac:dyDescent="0.25">
      <c r="A931" s="194">
        <v>-3.1030400308247719E-2</v>
      </c>
      <c r="B931" s="195">
        <v>2.281235666887732E-2</v>
      </c>
      <c r="C931" s="195">
        <v>0.99756647482392258</v>
      </c>
      <c r="D931" s="196">
        <v>-5.8119178825018492E-2</v>
      </c>
      <c r="F931" s="123">
        <f>INDEX(A931:D939,,F925)</f>
        <v>2.281235666887732E-2</v>
      </c>
      <c r="G931" s="90">
        <f>INDEX(A926:D934,,G925)</f>
        <v>-5.8119178825018492E-2</v>
      </c>
      <c r="I931" s="123">
        <f t="shared" si="293"/>
        <v>-2.8574353305064063E-3</v>
      </c>
      <c r="J931" s="37">
        <f t="shared" si="294"/>
        <v>-2.6516708733171682E-3</v>
      </c>
      <c r="K931" s="37">
        <f t="shared" si="295"/>
        <v>1.1335782476276209E-6</v>
      </c>
      <c r="L931" s="90">
        <f t="shared" si="292"/>
        <v>7.5769780382912538E-6</v>
      </c>
      <c r="N931" s="91">
        <f>SIN(O928)</f>
        <v>-1.7643460522820132E-4</v>
      </c>
      <c r="O931" s="93">
        <f>N930</f>
        <v>0.99999998443541493</v>
      </c>
      <c r="Q931" s="123">
        <v>2.2822610548184633E-2</v>
      </c>
      <c r="R931" s="90">
        <v>-5.8115153031274396E-2</v>
      </c>
    </row>
    <row r="932" spans="1:18" x14ac:dyDescent="0.25">
      <c r="A932" s="194">
        <v>0.96166880882099004</v>
      </c>
      <c r="B932" s="195">
        <v>-2.2533657295767867E-2</v>
      </c>
      <c r="C932" s="195">
        <v>0.1674317669147683</v>
      </c>
      <c r="D932" s="196">
        <v>0.21599060131749634</v>
      </c>
      <c r="F932" s="123">
        <f>INDEX(A932:D940,,F925)</f>
        <v>-2.2533657295767867E-2</v>
      </c>
      <c r="G932" s="90">
        <f>INDEX(A926:D934,,G925)</f>
        <v>0.21599060131749634</v>
      </c>
      <c r="I932" s="123">
        <f t="shared" si="293"/>
        <v>-4.6144174146370537E-2</v>
      </c>
      <c r="J932" s="37">
        <f t="shared" si="294"/>
        <v>-9.7341163783905803E-3</v>
      </c>
      <c r="K932" s="37">
        <f t="shared" si="295"/>
        <v>2.0345317859825191E-3</v>
      </c>
      <c r="L932" s="90">
        <f t="shared" si="292"/>
        <v>4.4917276132549263E-4</v>
      </c>
      <c r="Q932" s="123">
        <v>-2.2571765161517293E-2</v>
      </c>
      <c r="R932" s="90">
        <v>0.21598662223876292</v>
      </c>
    </row>
    <row r="933" spans="1:18" x14ac:dyDescent="0.25">
      <c r="A933" s="194">
        <v>0.67505563991120554</v>
      </c>
      <c r="B933" s="195">
        <v>-0.22033504321008876</v>
      </c>
      <c r="C933" s="195">
        <v>0.56877622792881777</v>
      </c>
      <c r="D933" s="196">
        <v>0.41502524537761193</v>
      </c>
      <c r="F933" s="123">
        <f>INDEX(A933:D941,,F925)</f>
        <v>-0.22033504321008876</v>
      </c>
      <c r="G933" s="90">
        <f>INDEX(A926:D934,,G925)</f>
        <v>0.41502524537761193</v>
      </c>
      <c r="I933" s="123">
        <f t="shared" si="293"/>
        <v>-0.1236984230343553</v>
      </c>
      <c r="J933" s="37">
        <f t="shared" si="294"/>
        <v>-0.18288921074710762</v>
      </c>
      <c r="K933" s="37">
        <f t="shared" si="295"/>
        <v>-1.8147163546513627E-2</v>
      </c>
      <c r="L933" s="90">
        <f t="shared" si="292"/>
        <v>2.2623106959415079E-2</v>
      </c>
      <c r="Q933" s="123">
        <v>-0.22040826459599316</v>
      </c>
      <c r="R933" s="90">
        <v>0.41498636419154949</v>
      </c>
    </row>
    <row r="934" spans="1:18" x14ac:dyDescent="0.25">
      <c r="A934" s="200">
        <v>6.9878279150220726E-2</v>
      </c>
      <c r="B934" s="201">
        <v>-0.92627429704614994</v>
      </c>
      <c r="C934" s="201">
        <v>-0.20312661243226396</v>
      </c>
      <c r="D934" s="202">
        <v>0.30963289886001744</v>
      </c>
      <c r="F934" s="91">
        <f>INDEX(A934:D942,,F925)</f>
        <v>-0.92627429704614994</v>
      </c>
      <c r="G934" s="93">
        <f>INDEX(A926:D934,,G925)</f>
        <v>0.30963289886001744</v>
      </c>
      <c r="I934" s="91">
        <f t="shared" si="293"/>
        <v>0.76211154131188152</v>
      </c>
      <c r="J934" s="92">
        <f t="shared" si="294"/>
        <v>-0.57360999146784863</v>
      </c>
      <c r="K934" s="92">
        <f t="shared" si="295"/>
        <v>0.25178557908902627</v>
      </c>
      <c r="L934" s="93">
        <f t="shared" si="292"/>
        <v>-0.43715479470945734</v>
      </c>
      <c r="Q934" s="91">
        <v>-0.92632891258735084</v>
      </c>
      <c r="R934" s="93">
        <v>0.30946946720077745</v>
      </c>
    </row>
    <row r="935" spans="1:18" x14ac:dyDescent="0.25">
      <c r="I935">
        <f>SUM(I926:I934)</f>
        <v>0.61413904892941873</v>
      </c>
      <c r="J935">
        <f>SUM(J926:J934)</f>
        <v>-0.28621933081323658</v>
      </c>
      <c r="K935">
        <f>SUM(K926:K934)</f>
        <v>1.5989474773886028</v>
      </c>
      <c r="L935">
        <f>SUM(L926:L934)</f>
        <v>-4.0167168778589224E-2</v>
      </c>
    </row>
    <row r="936" spans="1:18" x14ac:dyDescent="0.25">
      <c r="A936" s="47" t="s">
        <v>53</v>
      </c>
      <c r="B936">
        <f>COUNT(A926:A934)</f>
        <v>9</v>
      </c>
      <c r="I936" s="47" t="s">
        <v>462</v>
      </c>
      <c r="J936" s="47" t="s">
        <v>389</v>
      </c>
      <c r="K936" s="47" t="s">
        <v>469</v>
      </c>
      <c r="L936" s="47" t="s">
        <v>470</v>
      </c>
      <c r="N936" s="47"/>
    </row>
    <row r="938" spans="1:18" x14ac:dyDescent="0.25">
      <c r="A938">
        <v>1</v>
      </c>
      <c r="B938">
        <v>2</v>
      </c>
      <c r="C938">
        <v>3</v>
      </c>
      <c r="D938">
        <v>4</v>
      </c>
      <c r="F938">
        <v>3</v>
      </c>
      <c r="G938">
        <v>4</v>
      </c>
      <c r="I938" s="47" t="s">
        <v>207</v>
      </c>
      <c r="J938" s="47" t="s">
        <v>464</v>
      </c>
      <c r="K938" s="47" t="s">
        <v>465</v>
      </c>
      <c r="L938" s="47" t="s">
        <v>466</v>
      </c>
      <c r="Q938">
        <f>F938</f>
        <v>3</v>
      </c>
      <c r="R938">
        <f>G938</f>
        <v>4</v>
      </c>
    </row>
    <row r="939" spans="1:18" x14ac:dyDescent="0.25">
      <c r="A939" s="189">
        <f t="array" ref="A939:A947">IF(A938=$Q925,$Q926:$Q934,IF(A938=$R925,$R926:$R934,A926:A934))</f>
        <v>0.11040527348576189</v>
      </c>
      <c r="B939" s="190">
        <f t="array" ref="B939:B947">IF(B938=$Q925,$Q926:$Q934,IF(B938=$R925,$R926:$R934,B926:B934))</f>
        <v>0.88911857892712176</v>
      </c>
      <c r="C939" s="190">
        <f t="array" ref="C939:C947">IF(C938=$Q925,$Q926:$Q934,IF(C938=$R925,$R926:$R934,C926:C934))</f>
        <v>-0.34183356055044356</v>
      </c>
      <c r="D939" s="191">
        <f t="array" ref="D939:D947">IF(D938=$Q925,$Q926:$Q934,IF(D938=$R925,$R926:$R934,D926:D934))</f>
        <v>0.28359944477124222</v>
      </c>
      <c r="F939" s="156">
        <f>INDEX(A939:D947,,F938)</f>
        <v>-0.34183356055044356</v>
      </c>
      <c r="G939" s="158">
        <f>INDEX(A939:D947,,G938)</f>
        <v>0.28359944477124222</v>
      </c>
      <c r="I939" s="156">
        <f>F939^2-G939^2</f>
        <v>3.6421538044036902E-2</v>
      </c>
      <c r="J939" s="157">
        <f>2*F939*G939</f>
        <v>-0.19388761595256521</v>
      </c>
      <c r="K939" s="157">
        <f>I939^2-J939^2</f>
        <v>-3.626587918627619E-2</v>
      </c>
      <c r="L939" s="158">
        <f t="shared" ref="L939:L947" si="296">I939*J939</f>
        <v>-7.0616851806839702E-3</v>
      </c>
      <c r="N939" t="s">
        <v>390</v>
      </c>
      <c r="O939" s="172">
        <f>L948*B949-2*I948*J948</f>
        <v>2.9327406988954863E-3</v>
      </c>
      <c r="Q939" s="156">
        <f t="array" ref="Q939:R947">MMULT(F939:G947,N943:O944)</f>
        <v>-0.34182144579984264</v>
      </c>
      <c r="R939" s="158">
        <v>0.28361404652177552</v>
      </c>
    </row>
    <row r="940" spans="1:18" x14ac:dyDescent="0.25">
      <c r="A940" s="194">
        <v>0.79376035029902881</v>
      </c>
      <c r="B940" s="195">
        <v>-0.60192889087590784</v>
      </c>
      <c r="C940" s="195">
        <v>8.4656795648112279E-2</v>
      </c>
      <c r="D940" s="196">
        <v>-2.1432302084855692E-2</v>
      </c>
      <c r="F940" s="123">
        <f>INDEX(A940:D948,,F938)</f>
        <v>8.4656795648112279E-2</v>
      </c>
      <c r="G940" s="90">
        <f>INDEX(A939:D947,,G938)</f>
        <v>-2.1432302084855692E-2</v>
      </c>
      <c r="I940" s="123">
        <f t="shared" ref="I940:I947" si="297">F940^2-G940^2</f>
        <v>6.7074294767497326E-3</v>
      </c>
      <c r="J940" s="37">
        <f t="shared" ref="J940:J947" si="298">2*F940*G940</f>
        <v>-3.628780035732478E-3</v>
      </c>
      <c r="K940" s="37">
        <f t="shared" ref="K940:K947" si="299">I940^2-J940^2</f>
        <v>3.1821565637840588E-5</v>
      </c>
      <c r="L940" s="90">
        <f t="shared" si="296"/>
        <v>-2.4339786176312969E-5</v>
      </c>
      <c r="N940" t="s">
        <v>392</v>
      </c>
      <c r="O940" s="173">
        <f>K948*B949-(I948^2-J948^2)</f>
        <v>17.163891046336541</v>
      </c>
      <c r="Q940" s="123">
        <v>8.465588005317852E-2</v>
      </c>
      <c r="R940" s="90">
        <v>-2.1435918326132005E-2</v>
      </c>
    </row>
    <row r="941" spans="1:18" x14ac:dyDescent="0.25">
      <c r="A941" s="194">
        <v>0.98389509368607653</v>
      </c>
      <c r="B941" s="195">
        <v>0.11717669447801496</v>
      </c>
      <c r="C941" s="195">
        <v>0.11371840779061415</v>
      </c>
      <c r="D941" s="196">
        <v>7.2719946515658329E-2</v>
      </c>
      <c r="F941" s="123">
        <f>INDEX(A941:D949,,F938)</f>
        <v>0.11371840779061415</v>
      </c>
      <c r="G941" s="90">
        <f>INDEX(A939:D947,,G938)</f>
        <v>7.2719946515658329E-2</v>
      </c>
      <c r="I941" s="123">
        <f t="shared" si="297"/>
        <v>7.6436856491922051E-3</v>
      </c>
      <c r="J941" s="37">
        <f t="shared" si="298"/>
        <v>1.6539193064758571E-2</v>
      </c>
      <c r="K941" s="37">
        <f t="shared" si="299"/>
        <v>-2.1511897692969115E-4</v>
      </c>
      <c r="L941" s="90">
        <f t="shared" si="296"/>
        <v>1.2642039267831434E-4</v>
      </c>
      <c r="N941" t="s">
        <v>467</v>
      </c>
      <c r="O941" s="174">
        <f>0.25*ATAN(O939/O940)</f>
        <v>4.2716722310185489E-5</v>
      </c>
      <c r="Q941" s="123">
        <v>0.1137215140446229</v>
      </c>
      <c r="R941" s="90">
        <v>7.2715088771665951E-2</v>
      </c>
    </row>
    <row r="942" spans="1:18" x14ac:dyDescent="0.25">
      <c r="A942" s="194">
        <v>4.8523124604023207E-2</v>
      </c>
      <c r="B942" s="195">
        <v>-1.4241987239556936E-3</v>
      </c>
      <c r="C942" s="195">
        <v>8.0533301927114373E-2</v>
      </c>
      <c r="D942" s="196">
        <v>0.99556911629347644</v>
      </c>
      <c r="F942" s="123">
        <f>INDEX(A942:D950,,F938)</f>
        <v>8.0533301927114373E-2</v>
      </c>
      <c r="G942" s="90">
        <f>INDEX(A939:D947,,G938)</f>
        <v>0.99556911629347644</v>
      </c>
      <c r="I942" s="123">
        <f t="shared" si="297"/>
        <v>-0.98467225259808988</v>
      </c>
      <c r="J942" s="37">
        <f t="shared" si="298"/>
        <v>0.16035293646354595</v>
      </c>
      <c r="K942" s="37">
        <f t="shared" si="299"/>
        <v>0.94386638080411456</v>
      </c>
      <c r="L942" s="90">
        <f t="shared" si="296"/>
        <v>-0.15789508715827819</v>
      </c>
      <c r="Q942" s="123">
        <v>8.0575829303107444E-2</v>
      </c>
      <c r="R942" s="90">
        <v>0.99556567526646567</v>
      </c>
    </row>
    <row r="943" spans="1:18" x14ac:dyDescent="0.25">
      <c r="A943" s="194">
        <v>0.35382199687428961</v>
      </c>
      <c r="B943" s="195">
        <v>-0.11105140485348258</v>
      </c>
      <c r="C943" s="195">
        <v>0.88625830753827683</v>
      </c>
      <c r="D943" s="196">
        <v>0.27753160599713311</v>
      </c>
      <c r="F943" s="123">
        <f>INDEX(A943:D951,,F938)</f>
        <v>0.88625830753827683</v>
      </c>
      <c r="G943" s="90">
        <f>INDEX(A939:D947,,G938)</f>
        <v>0.27753160599713311</v>
      </c>
      <c r="I943" s="123">
        <f t="shared" si="297"/>
        <v>0.70842999535326301</v>
      </c>
      <c r="J943" s="37">
        <f t="shared" si="298"/>
        <v>0.49192938283879817</v>
      </c>
      <c r="K943" s="37">
        <f t="shared" si="299"/>
        <v>0.2598785406160633</v>
      </c>
      <c r="L943" s="90">
        <f t="shared" si="296"/>
        <v>0.3484975303986233</v>
      </c>
      <c r="N943" s="156">
        <f>COS(O941)</f>
        <v>0.99999999908764081</v>
      </c>
      <c r="O943" s="158">
        <f>-N944</f>
        <v>-4.271672229719449E-5</v>
      </c>
      <c r="Q943" s="123">
        <v>0.88627016197023301</v>
      </c>
      <c r="R943" s="90">
        <v>0.27749374769391794</v>
      </c>
    </row>
    <row r="944" spans="1:18" x14ac:dyDescent="0.25">
      <c r="A944" s="194">
        <v>-3.1030400308247719E-2</v>
      </c>
      <c r="B944" s="195">
        <v>2.2822610548184633E-2</v>
      </c>
      <c r="C944" s="195">
        <v>0.99756647482392258</v>
      </c>
      <c r="D944" s="196">
        <v>-5.8115153031274396E-2</v>
      </c>
      <c r="F944" s="123">
        <f>INDEX(A944:D952,,F938)</f>
        <v>0.99756647482392258</v>
      </c>
      <c r="G944" s="90">
        <f>INDEX(A939:D947,,G938)</f>
        <v>-5.8115153031274396E-2</v>
      </c>
      <c r="I944" s="123">
        <f t="shared" si="297"/>
        <v>0.99176150068077928</v>
      </c>
      <c r="J944" s="37">
        <f t="shared" si="298"/>
        <v>-0.1159474566865224</v>
      </c>
      <c r="K944" s="37">
        <f t="shared" si="299"/>
        <v>0.97014706152051844</v>
      </c>
      <c r="L944" s="90">
        <f t="shared" si="296"/>
        <v>-0.11499222364354511</v>
      </c>
      <c r="N944" s="91">
        <f>SIN(O941)</f>
        <v>4.271672229719449E-5</v>
      </c>
      <c r="O944" s="93">
        <f>N943</f>
        <v>0.99999999908764081</v>
      </c>
      <c r="Q944" s="123">
        <v>0.99756399142493035</v>
      </c>
      <c r="R944" s="90">
        <v>-5.815776574833055E-2</v>
      </c>
    </row>
    <row r="945" spans="1:18" x14ac:dyDescent="0.25">
      <c r="A945" s="194">
        <v>0.96166880882099004</v>
      </c>
      <c r="B945" s="195">
        <v>-2.2571765161517293E-2</v>
      </c>
      <c r="C945" s="195">
        <v>0.1674317669147683</v>
      </c>
      <c r="D945" s="196">
        <v>0.21598662223876292</v>
      </c>
      <c r="F945" s="123">
        <f>INDEX(A945:D953,,F938)</f>
        <v>0.1674317669147683</v>
      </c>
      <c r="G945" s="90">
        <f>INDEX(A939:D947,,G938)</f>
        <v>0.21598662223876292</v>
      </c>
      <c r="I945" s="123">
        <f t="shared" si="297"/>
        <v>-1.8616824413908776E-2</v>
      </c>
      <c r="J945" s="37">
        <f t="shared" si="298"/>
        <v>7.2326043582777333E-2</v>
      </c>
      <c r="K945" s="37">
        <f t="shared" si="299"/>
        <v>-4.884470429079496E-3</v>
      </c>
      <c r="L945" s="90">
        <f t="shared" si="296"/>
        <v>-1.3464812539332792E-3</v>
      </c>
      <c r="Q945" s="123">
        <v>0.16744099300257245</v>
      </c>
      <c r="R945" s="90">
        <v>0.21597946990541453</v>
      </c>
    </row>
    <row r="946" spans="1:18" x14ac:dyDescent="0.25">
      <c r="A946" s="194">
        <v>0.67505563991120554</v>
      </c>
      <c r="B946" s="195">
        <v>-0.22040826459599316</v>
      </c>
      <c r="C946" s="195">
        <v>0.56877622792881777</v>
      </c>
      <c r="D946" s="196">
        <v>0.41498636419154949</v>
      </c>
      <c r="F946" s="123">
        <f>INDEX(A946:D954,,F938)</f>
        <v>0.56877622792881777</v>
      </c>
      <c r="G946" s="90">
        <f>INDEX(A939:D947,,G938)</f>
        <v>0.41498636419154949</v>
      </c>
      <c r="I946" s="123">
        <f t="shared" si="297"/>
        <v>0.15129271499201308</v>
      </c>
      <c r="J946" s="37">
        <f t="shared" si="298"/>
        <v>0.47206875773352824</v>
      </c>
      <c r="K946" s="37">
        <f t="shared" si="299"/>
        <v>-0.19995942641842207</v>
      </c>
      <c r="L946" s="90">
        <f t="shared" si="296"/>
        <v>7.1420564020412358E-2</v>
      </c>
      <c r="Q946" s="123">
        <v>0.56879395426716584</v>
      </c>
      <c r="R946" s="90">
        <v>0.41496206755675519</v>
      </c>
    </row>
    <row r="947" spans="1:18" x14ac:dyDescent="0.25">
      <c r="A947" s="200">
        <v>6.9878279150220726E-2</v>
      </c>
      <c r="B947" s="201">
        <v>-0.92632891258735084</v>
      </c>
      <c r="C947" s="201">
        <v>-0.20312661243226396</v>
      </c>
      <c r="D947" s="202">
        <v>0.30946946720077745</v>
      </c>
      <c r="F947" s="91">
        <f>INDEX(A947:D955,,F938)</f>
        <v>-0.20312661243226396</v>
      </c>
      <c r="G947" s="93">
        <f>INDEX(A939:D947,,G938)</f>
        <v>0.30946946720077745</v>
      </c>
      <c r="I947" s="91">
        <f t="shared" si="297"/>
        <v>-5.4510930451325899E-2</v>
      </c>
      <c r="J947" s="92">
        <f t="shared" si="298"/>
        <v>-0.12572296904742308</v>
      </c>
      <c r="K947" s="92">
        <f t="shared" si="299"/>
        <v>-1.2834823407430014E-2</v>
      </c>
      <c r="L947" s="93">
        <f t="shared" si="296"/>
        <v>6.8532760218782789E-3</v>
      </c>
      <c r="Q947" s="91">
        <v>-0.20311339272564966</v>
      </c>
      <c r="R947" s="93">
        <v>0.30947814382152455</v>
      </c>
    </row>
    <row r="948" spans="1:18" x14ac:dyDescent="0.25">
      <c r="I948">
        <f>SUM(I939:I947)</f>
        <v>0.84445685673270965</v>
      </c>
      <c r="J948">
        <f>SUM(J939:J947)</f>
        <v>0.77402949196116511</v>
      </c>
      <c r="K948">
        <f>SUM(K939:K947)</f>
        <v>1.9197640860881968</v>
      </c>
      <c r="L948">
        <f>SUM(L939:L947)</f>
        <v>0.1455779738109754</v>
      </c>
    </row>
    <row r="949" spans="1:18" x14ac:dyDescent="0.25">
      <c r="A949" s="47" t="s">
        <v>53</v>
      </c>
      <c r="B949">
        <f>COUNT(A939:A947)</f>
        <v>9</v>
      </c>
      <c r="I949" s="47" t="s">
        <v>462</v>
      </c>
      <c r="J949" s="47" t="s">
        <v>389</v>
      </c>
      <c r="K949" s="47" t="s">
        <v>469</v>
      </c>
      <c r="L949" s="47" t="s">
        <v>470</v>
      </c>
      <c r="N949" s="47"/>
    </row>
    <row r="951" spans="1:18" x14ac:dyDescent="0.25">
      <c r="A951">
        <v>1</v>
      </c>
      <c r="B951">
        <v>2</v>
      </c>
      <c r="C951">
        <v>3</v>
      </c>
      <c r="D951">
        <v>4</v>
      </c>
      <c r="F951">
        <v>1</v>
      </c>
      <c r="G951">
        <v>2</v>
      </c>
      <c r="I951" s="47" t="s">
        <v>207</v>
      </c>
      <c r="J951" s="47" t="s">
        <v>464</v>
      </c>
      <c r="K951" s="47" t="s">
        <v>465</v>
      </c>
      <c r="L951" s="47" t="s">
        <v>466</v>
      </c>
      <c r="Q951">
        <f>F951</f>
        <v>1</v>
      </c>
      <c r="R951">
        <f>G951</f>
        <v>2</v>
      </c>
    </row>
    <row r="952" spans="1:18" x14ac:dyDescent="0.25">
      <c r="A952" s="189">
        <f t="array" ref="A952:A960">IF(A951=$Q938,$Q939:$Q947,IF(A951=$R938,$R939:$R947,A939:A947))</f>
        <v>0.11040527348576189</v>
      </c>
      <c r="B952" s="190">
        <f t="array" ref="B952:B960">IF(B951=$Q938,$Q939:$Q947,IF(B951=$R938,$R939:$R947,B939:B947))</f>
        <v>0.88911857892712176</v>
      </c>
      <c r="C952" s="190">
        <f t="array" ref="C952:C960">IF(C951=$Q938,$Q939:$Q947,IF(C951=$R938,$R939:$R947,C939:C947))</f>
        <v>-0.34182144579984264</v>
      </c>
      <c r="D952" s="191">
        <f t="array" ref="D952:D960">IF(D951=$Q938,$Q939:$Q947,IF(D951=$R938,$R939:$R947,D939:D947))</f>
        <v>0.28361404652177552</v>
      </c>
      <c r="F952" s="156">
        <f>INDEX(A952:D960,,F951)</f>
        <v>0.11040527348576189</v>
      </c>
      <c r="G952" s="158">
        <f>INDEX(A952:D960,,G951)</f>
        <v>0.88911857892712176</v>
      </c>
      <c r="I952" s="156">
        <f>F952^2-G952^2</f>
        <v>-0.77834252297991857</v>
      </c>
      <c r="J952" s="157">
        <f>2*F952*G952</f>
        <v>0.1963267597354417</v>
      </c>
      <c r="K952" s="157">
        <f>I952^2-J952^2</f>
        <v>0.56727288649052721</v>
      </c>
      <c r="L952" s="158">
        <f t="shared" ref="L952:L960" si="300">I952*J952</f>
        <v>-0.15280946550095598</v>
      </c>
      <c r="N952" t="s">
        <v>390</v>
      </c>
      <c r="O952" s="172">
        <f>L961*B962-2*I961*J961</f>
        <v>4.9734358199073903E-3</v>
      </c>
      <c r="Q952" s="156">
        <f t="array" ref="Q952:R960">MMULT(F952:G960,N956:O957)</f>
        <v>0.11046009483004318</v>
      </c>
      <c r="R952" s="158">
        <v>0.8891117698337978</v>
      </c>
    </row>
    <row r="953" spans="1:18" x14ac:dyDescent="0.25">
      <c r="A953" s="194">
        <v>0.79376035029902881</v>
      </c>
      <c r="B953" s="195">
        <v>-0.60192889087590784</v>
      </c>
      <c r="C953" s="195">
        <v>8.465588005317852E-2</v>
      </c>
      <c r="D953" s="196">
        <v>-2.1435918326132005E-2</v>
      </c>
      <c r="F953" s="123">
        <f>INDEX(A953:D961,,F951)</f>
        <v>0.79376035029902881</v>
      </c>
      <c r="G953" s="90">
        <f>INDEX(A952:D960,,G951)</f>
        <v>-0.60192889087590784</v>
      </c>
      <c r="I953" s="123">
        <f t="shared" ref="I953:I960" si="301">F953^2-G953^2</f>
        <v>0.26773710403573631</v>
      </c>
      <c r="J953" s="37">
        <f t="shared" ref="J953:J960" si="302">2*F953*G953</f>
        <v>-0.95557457455353301</v>
      </c>
      <c r="K953" s="37">
        <f t="shared" ref="K953:K960" si="303">I953^2-J953^2</f>
        <v>-0.84143961065572292</v>
      </c>
      <c r="L953" s="90">
        <f t="shared" si="300"/>
        <v>-0.25584276928114374</v>
      </c>
      <c r="N953" t="s">
        <v>392</v>
      </c>
      <c r="O953" s="173">
        <f>K961*B962-(I961^2-J961^2)</f>
        <v>20.165307992723225</v>
      </c>
      <c r="Q953" s="123">
        <v>0.79372323486853091</v>
      </c>
      <c r="R953" s="90">
        <v>-0.60197783165808716</v>
      </c>
    </row>
    <row r="954" spans="1:18" x14ac:dyDescent="0.25">
      <c r="A954" s="194">
        <v>0.98389509368607653</v>
      </c>
      <c r="B954" s="195">
        <v>0.11717669447801496</v>
      </c>
      <c r="C954" s="195">
        <v>0.1137215140446229</v>
      </c>
      <c r="D954" s="196">
        <v>7.2715088771665951E-2</v>
      </c>
      <c r="F954" s="123">
        <f>INDEX(A954:D962,,F951)</f>
        <v>0.98389509368607653</v>
      </c>
      <c r="G954" s="90">
        <f>INDEX(A952:D960,,G951)</f>
        <v>0.11717669447801496</v>
      </c>
      <c r="I954" s="123">
        <f t="shared" si="301"/>
        <v>0.95431917765073926</v>
      </c>
      <c r="J954" s="37">
        <f t="shared" si="302"/>
        <v>0.23057914958254258</v>
      </c>
      <c r="K954" s="37">
        <f t="shared" si="303"/>
        <v>0.85755834860977465</v>
      </c>
      <c r="L954" s="90">
        <f t="shared" si="300"/>
        <v>0.22004610441301883</v>
      </c>
      <c r="N954" t="s">
        <v>467</v>
      </c>
      <c r="O954" s="174">
        <f>0.25*ATAN(O952/O953)</f>
        <v>6.1658315866794036E-5</v>
      </c>
      <c r="Q954" s="123">
        <v>0.98390231673345185</v>
      </c>
      <c r="R954" s="90">
        <v>0.11711602894084899</v>
      </c>
    </row>
    <row r="955" spans="1:18" x14ac:dyDescent="0.25">
      <c r="A955" s="194">
        <v>4.8523124604023207E-2</v>
      </c>
      <c r="B955" s="195">
        <v>-1.4241987239556936E-3</v>
      </c>
      <c r="C955" s="195">
        <v>8.0575829303107444E-2</v>
      </c>
      <c r="D955" s="196">
        <v>0.99556567526646567</v>
      </c>
      <c r="F955" s="123">
        <f>INDEX(A955:D963,,F951)</f>
        <v>4.8523124604023207E-2</v>
      </c>
      <c r="G955" s="90">
        <f>INDEX(A952:D960,,G951)</f>
        <v>-1.4241987239556936E-3</v>
      </c>
      <c r="I955" s="123">
        <f t="shared" si="301"/>
        <v>2.352465279332245E-3</v>
      </c>
      <c r="J955" s="37">
        <f t="shared" si="302"/>
        <v>-1.3821314428678593E-4</v>
      </c>
      <c r="K955" s="37">
        <f t="shared" si="303"/>
        <v>5.5149900172100974E-6</v>
      </c>
      <c r="L955" s="90">
        <f t="shared" si="300"/>
        <v>-3.2514162308200176E-7</v>
      </c>
      <c r="Q955" s="123">
        <v>4.8523036698092138E-2</v>
      </c>
      <c r="R955" s="90">
        <v>-1.4271905753902544E-3</v>
      </c>
    </row>
    <row r="956" spans="1:18" x14ac:dyDescent="0.25">
      <c r="A956" s="194">
        <v>0.35382199687428961</v>
      </c>
      <c r="B956" s="195">
        <v>-0.11105140485348258</v>
      </c>
      <c r="C956" s="195">
        <v>0.88627016197023301</v>
      </c>
      <c r="D956" s="196">
        <v>0.27749374769391794</v>
      </c>
      <c r="F956" s="123">
        <f>INDEX(A956:D964,,F951)</f>
        <v>0.35382199687428961</v>
      </c>
      <c r="G956" s="90">
        <f>INDEX(A952:D960,,G951)</f>
        <v>-0.11105140485348258</v>
      </c>
      <c r="I956" s="123">
        <f t="shared" si="301"/>
        <v>0.11285759095217772</v>
      </c>
      <c r="J956" s="37">
        <f t="shared" si="302"/>
        <v>-7.8584859641908769E-2</v>
      </c>
      <c r="K956" s="37">
        <f t="shared" si="303"/>
        <v>6.5612556705905642E-3</v>
      </c>
      <c r="L956" s="90">
        <f t="shared" si="300"/>
        <v>-8.8688979445008392E-3</v>
      </c>
      <c r="N956" s="156">
        <f>COS(O954)</f>
        <v>0.9999999980991261</v>
      </c>
      <c r="O956" s="158">
        <f>-N957</f>
        <v>-6.1658315827725814E-5</v>
      </c>
      <c r="Q956" s="123">
        <v>0.35381514895912503</v>
      </c>
      <c r="R956" s="90">
        <v>-0.11107322071081795</v>
      </c>
    </row>
    <row r="957" spans="1:18" x14ac:dyDescent="0.25">
      <c r="A957" s="194">
        <v>-3.1030400308247719E-2</v>
      </c>
      <c r="B957" s="195">
        <v>2.2822610548184633E-2</v>
      </c>
      <c r="C957" s="195">
        <v>0.99756399142493035</v>
      </c>
      <c r="D957" s="196">
        <v>-5.815776574833055E-2</v>
      </c>
      <c r="F957" s="123">
        <f>INDEX(A957:D965,,F951)</f>
        <v>-3.1030400308247719E-2</v>
      </c>
      <c r="G957" s="90">
        <f>INDEX(A952:D960,,G951)</f>
        <v>2.2822610548184633E-2</v>
      </c>
      <c r="I957" s="123">
        <f t="shared" si="301"/>
        <v>4.4201419105599157E-4</v>
      </c>
      <c r="J957" s="37">
        <f t="shared" si="302"/>
        <v>-1.4163894827788123E-3</v>
      </c>
      <c r="K957" s="37">
        <f t="shared" si="303"/>
        <v>-1.8107826218315484E-6</v>
      </c>
      <c r="L957" s="90">
        <f t="shared" si="300"/>
        <v>-6.2606425145069104E-7</v>
      </c>
      <c r="N957" s="91">
        <f>SIN(O954)</f>
        <v>6.1658315827725814E-5</v>
      </c>
      <c r="O957" s="93">
        <f>N956</f>
        <v>0.9999999980991261</v>
      </c>
      <c r="Q957" s="123">
        <v>-3.1028993045533648E-2</v>
      </c>
      <c r="R957" s="90">
        <v>2.2824523787024195E-2</v>
      </c>
    </row>
    <row r="958" spans="1:18" x14ac:dyDescent="0.25">
      <c r="A958" s="194">
        <v>0.96166880882099004</v>
      </c>
      <c r="B958" s="195">
        <v>-2.2571765161517293E-2</v>
      </c>
      <c r="C958" s="195">
        <v>0.16744099300257245</v>
      </c>
      <c r="D958" s="196">
        <v>0.21597946990541453</v>
      </c>
      <c r="F958" s="123">
        <f>INDEX(A958:D966,,F951)</f>
        <v>0.96166880882099004</v>
      </c>
      <c r="G958" s="90">
        <f>INDEX(A952:D960,,G951)</f>
        <v>-2.2571765161517293E-2</v>
      </c>
      <c r="I958" s="123">
        <f t="shared" si="301"/>
        <v>0.92429741327667525</v>
      </c>
      <c r="J958" s="37">
        <f t="shared" si="302"/>
        <v>-4.3413125031726917E-2</v>
      </c>
      <c r="K958" s="37">
        <f t="shared" si="303"/>
        <v>0.85244100876493267</v>
      </c>
      <c r="L958" s="90">
        <f t="shared" si="300"/>
        <v>-4.0126639169082066E-2</v>
      </c>
      <c r="Q958" s="123">
        <v>0.96166741525595378</v>
      </c>
      <c r="R958" s="90">
        <v>-2.2631059997747172E-2</v>
      </c>
    </row>
    <row r="959" spans="1:18" x14ac:dyDescent="0.25">
      <c r="A959" s="194">
        <v>0.67505563991120554</v>
      </c>
      <c r="B959" s="195">
        <v>-0.22040826459599316</v>
      </c>
      <c r="C959" s="195">
        <v>0.56879395426716584</v>
      </c>
      <c r="D959" s="196">
        <v>0.41496206755675519</v>
      </c>
      <c r="F959" s="123">
        <f>INDEX(A959:D967,,F951)</f>
        <v>0.67505563991120554</v>
      </c>
      <c r="G959" s="90">
        <f>INDEX(A952:D960,,G951)</f>
        <v>-0.22040826459599316</v>
      </c>
      <c r="I959" s="123">
        <f t="shared" si="301"/>
        <v>0.40712031387370989</v>
      </c>
      <c r="J959" s="37">
        <f t="shared" si="302"/>
        <v>-0.29757568419713293</v>
      </c>
      <c r="K959" s="37">
        <f t="shared" si="303"/>
        <v>7.7195662143236282E-2</v>
      </c>
      <c r="L959" s="90">
        <f t="shared" si="300"/>
        <v>-0.12114910595152073</v>
      </c>
      <c r="Q959" s="123">
        <v>0.67504204862562034</v>
      </c>
      <c r="R959" s="90">
        <v>-0.22044988697087178</v>
      </c>
    </row>
    <row r="960" spans="1:18" x14ac:dyDescent="0.25">
      <c r="A960" s="200">
        <v>6.9878279150220726E-2</v>
      </c>
      <c r="B960" s="201">
        <v>-0.92632891258735084</v>
      </c>
      <c r="C960" s="201">
        <v>-0.20311339272564966</v>
      </c>
      <c r="D960" s="202">
        <v>0.30947814382152455</v>
      </c>
      <c r="F960" s="91">
        <f>INDEX(A960:D968,,F951)</f>
        <v>6.9878279150220726E-2</v>
      </c>
      <c r="G960" s="93">
        <f>INDEX(A952:D960,,G951)</f>
        <v>-0.92632891258735084</v>
      </c>
      <c r="I960" s="91">
        <f t="shared" si="301"/>
        <v>-0.85320228039826762</v>
      </c>
      <c r="J960" s="92">
        <f t="shared" si="302"/>
        <v>-0.12946054067739862</v>
      </c>
      <c r="K960" s="92">
        <f t="shared" si="303"/>
        <v>0.71119409968431968</v>
      </c>
      <c r="L960" s="93">
        <f t="shared" si="300"/>
        <v>0.1104560285275492</v>
      </c>
      <c r="Q960" s="91">
        <v>6.9821163136738265E-2</v>
      </c>
      <c r="R960" s="93">
        <v>-0.92633321940352176</v>
      </c>
    </row>
    <row r="961" spans="1:14" x14ac:dyDescent="0.25">
      <c r="I961">
        <f>SUM(I952:I960)</f>
        <v>1.0375812758812404</v>
      </c>
      <c r="J961">
        <f>SUM(J952:J960)</f>
        <v>-1.0792574774107815</v>
      </c>
      <c r="K961">
        <f>SUM(K952:K960)</f>
        <v>2.2307873549150536</v>
      </c>
      <c r="L961">
        <f>SUM(L952:L960)</f>
        <v>-0.24829569611250979</v>
      </c>
    </row>
    <row r="962" spans="1:14" x14ac:dyDescent="0.25">
      <c r="A962" s="47" t="s">
        <v>53</v>
      </c>
      <c r="B962">
        <f>COUNT(A952:A960)</f>
        <v>9</v>
      </c>
      <c r="I962" s="47" t="s">
        <v>462</v>
      </c>
      <c r="J962" s="47" t="s">
        <v>389</v>
      </c>
      <c r="K962" s="47" t="s">
        <v>469</v>
      </c>
      <c r="L962" s="47" t="s">
        <v>470</v>
      </c>
      <c r="N962" s="47"/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/>
  <dimension ref="A1:L46"/>
  <sheetViews>
    <sheetView workbookViewId="0"/>
  </sheetViews>
  <sheetFormatPr defaultRowHeight="15" x14ac:dyDescent="0.25"/>
  <sheetData>
    <row r="1" spans="1:11" ht="14.45" x14ac:dyDescent="0.35">
      <c r="A1" s="42" t="s">
        <v>471</v>
      </c>
    </row>
    <row r="2" spans="1:11" ht="14.45" x14ac:dyDescent="0.35">
      <c r="A2" s="42"/>
    </row>
    <row r="3" spans="1:11" ht="14.45" x14ac:dyDescent="0.35">
      <c r="A3" s="46" t="s">
        <v>472</v>
      </c>
    </row>
    <row r="5" spans="1:11" s="32" customFormat="1" ht="14.45" x14ac:dyDescent="0.35">
      <c r="B5" s="32" t="str">
        <f t="array" ref="B5:J5">Factor!B5:J5</f>
        <v>Expect</v>
      </c>
      <c r="C5" s="32" t="str">
        <v>Entertain</v>
      </c>
      <c r="D5" s="32" t="str">
        <v>Comm</v>
      </c>
      <c r="E5" s="32" t="str">
        <v>Expert</v>
      </c>
      <c r="F5" s="32" t="str">
        <v>Motivate</v>
      </c>
      <c r="G5" s="32" t="str">
        <v>Caring</v>
      </c>
      <c r="H5" s="32" t="str">
        <v>Charisma</v>
      </c>
      <c r="I5" s="32" t="str">
        <v>Passion</v>
      </c>
      <c r="J5" s="32" t="str">
        <v>Friendly</v>
      </c>
    </row>
    <row r="6" spans="1:11" ht="14.45" x14ac:dyDescent="0.35">
      <c r="A6" t="str">
        <f t="array" ref="A6:A14">TRANSPOSE(B5:J5)</f>
        <v>Expect</v>
      </c>
      <c r="B6" s="156">
        <f t="array" ref="B6:J14">Factor!B6:J14</f>
        <v>0.99999999999999833</v>
      </c>
      <c r="C6" s="157">
        <v>-0.17658022821634106</v>
      </c>
      <c r="D6" s="157">
        <v>7.9472348910152368E-2</v>
      </c>
      <c r="E6" s="157">
        <v>0.12053127811168438</v>
      </c>
      <c r="F6" s="157">
        <v>-0.1472071906836242</v>
      </c>
      <c r="G6" s="157">
        <v>-0.1052452402704131</v>
      </c>
      <c r="H6" s="157">
        <v>-2.189090621599556E-2</v>
      </c>
      <c r="I6" s="157">
        <v>-0.12979427946395597</v>
      </c>
      <c r="J6" s="158">
        <v>-0.34401036690229408</v>
      </c>
    </row>
    <row r="7" spans="1:11" ht="14.45" x14ac:dyDescent="0.35">
      <c r="A7" t="str">
        <v>Entertain</v>
      </c>
      <c r="B7" s="123">
        <v>-0.17658022821634106</v>
      </c>
      <c r="C7" s="37">
        <v>1.0000000000000011</v>
      </c>
      <c r="D7" s="37">
        <v>0.44692051174421527</v>
      </c>
      <c r="E7" s="37">
        <v>4.8459487091569518E-2</v>
      </c>
      <c r="F7" s="37">
        <v>0.24412158026310946</v>
      </c>
      <c r="G7" s="37">
        <v>0.11666737388326598</v>
      </c>
      <c r="H7" s="37">
        <v>0.45068677465590851</v>
      </c>
      <c r="I7" s="37">
        <v>0.37925969237500351</v>
      </c>
      <c r="J7" s="90">
        <v>0.40086949354334672</v>
      </c>
    </row>
    <row r="8" spans="1:11" ht="14.45" x14ac:dyDescent="0.35">
      <c r="A8" t="str">
        <v>Comm</v>
      </c>
      <c r="B8" s="123">
        <v>7.9472348910152368E-2</v>
      </c>
      <c r="C8" s="37">
        <v>0.44692051174421527</v>
      </c>
      <c r="D8" s="37">
        <v>1.0000000000000007</v>
      </c>
      <c r="E8" s="37">
        <v>0.15224383453637197</v>
      </c>
      <c r="F8" s="37">
        <v>0.28642393294527835</v>
      </c>
      <c r="G8" s="37">
        <v>0.10626504883200415</v>
      </c>
      <c r="H8" s="37">
        <v>0.74875752234637871</v>
      </c>
      <c r="I8" s="37">
        <v>0.3683592382753193</v>
      </c>
      <c r="J8" s="90">
        <v>6.9273962356187456E-3</v>
      </c>
    </row>
    <row r="9" spans="1:11" ht="14.45" x14ac:dyDescent="0.35">
      <c r="A9" t="str">
        <v>Expert</v>
      </c>
      <c r="B9" s="123">
        <v>0.12053127811168438</v>
      </c>
      <c r="C9" s="37">
        <v>4.8459487091569518E-2</v>
      </c>
      <c r="D9" s="37">
        <v>0.15224383453637197</v>
      </c>
      <c r="E9" s="37">
        <v>1.0000000000000009</v>
      </c>
      <c r="F9" s="37">
        <v>0.19428606575437976</v>
      </c>
      <c r="G9" s="37">
        <v>4.610935721914871E-2</v>
      </c>
      <c r="H9" s="37">
        <v>0.24731764508778434</v>
      </c>
      <c r="I9" s="37">
        <v>0.25800736545459846</v>
      </c>
      <c r="J9" s="90">
        <v>0.18590615055713855</v>
      </c>
    </row>
    <row r="10" spans="1:11" ht="14.45" x14ac:dyDescent="0.35">
      <c r="A10" t="str">
        <v>Motivate</v>
      </c>
      <c r="B10" s="123">
        <v>-0.1472071906836242</v>
      </c>
      <c r="C10" s="37">
        <v>0.24412158026310946</v>
      </c>
      <c r="D10" s="37">
        <v>0.28642393294527835</v>
      </c>
      <c r="E10" s="37">
        <v>0.19428606575437976</v>
      </c>
      <c r="F10" s="37">
        <v>1.0000000000000009</v>
      </c>
      <c r="G10" s="37">
        <v>0.28436745486873366</v>
      </c>
      <c r="H10" s="37">
        <v>0.34434258129116857</v>
      </c>
      <c r="I10" s="37">
        <v>0.32646573442580362</v>
      </c>
      <c r="J10" s="90">
        <v>3.7341657013804541E-2</v>
      </c>
    </row>
    <row r="11" spans="1:11" ht="14.45" x14ac:dyDescent="0.35">
      <c r="A11" t="str">
        <v>Caring</v>
      </c>
      <c r="B11" s="123">
        <v>-0.1052452402704131</v>
      </c>
      <c r="C11" s="37">
        <v>0.11666737388326598</v>
      </c>
      <c r="D11" s="37">
        <v>0.10626504883200415</v>
      </c>
      <c r="E11" s="37">
        <v>4.610935721914871E-2</v>
      </c>
      <c r="F11" s="37">
        <v>0.28436745486873366</v>
      </c>
      <c r="G11" s="37">
        <v>1.0000000000000018</v>
      </c>
      <c r="H11" s="37">
        <v>0.10231072687883692</v>
      </c>
      <c r="I11" s="37">
        <v>0.19515460623774106</v>
      </c>
      <c r="J11" s="90">
        <v>-5.5294628532650346E-2</v>
      </c>
    </row>
    <row r="12" spans="1:11" ht="14.45" x14ac:dyDescent="0.35">
      <c r="A12" t="str">
        <v>Charisma</v>
      </c>
      <c r="B12" s="123">
        <v>-2.189090621599556E-2</v>
      </c>
      <c r="C12" s="37">
        <v>0.45068677465590851</v>
      </c>
      <c r="D12" s="37">
        <v>0.74875752234637871</v>
      </c>
      <c r="E12" s="37">
        <v>0.24731764508778434</v>
      </c>
      <c r="F12" s="37">
        <v>0.34434258129116857</v>
      </c>
      <c r="G12" s="37">
        <v>0.10231072687883692</v>
      </c>
      <c r="H12" s="37">
        <v>1.0000000000000009</v>
      </c>
      <c r="I12" s="37">
        <v>0.43880478206893986</v>
      </c>
      <c r="J12" s="90">
        <v>0.10313209036584842</v>
      </c>
    </row>
    <row r="13" spans="1:11" ht="14.45" x14ac:dyDescent="0.35">
      <c r="A13" t="str">
        <v>Passion</v>
      </c>
      <c r="B13" s="123">
        <v>-0.12979427946395597</v>
      </c>
      <c r="C13" s="37">
        <v>0.37925969237500351</v>
      </c>
      <c r="D13" s="37">
        <v>0.3683592382753193</v>
      </c>
      <c r="E13" s="37">
        <v>0.25800736545459846</v>
      </c>
      <c r="F13" s="37">
        <v>0.32646573442580362</v>
      </c>
      <c r="G13" s="37">
        <v>0.19515460623774106</v>
      </c>
      <c r="H13" s="37">
        <v>0.43880478206893986</v>
      </c>
      <c r="I13" s="37">
        <v>0.99999999999999967</v>
      </c>
      <c r="J13" s="90">
        <v>8.8479441977978163E-2</v>
      </c>
    </row>
    <row r="14" spans="1:11" ht="14.45" x14ac:dyDescent="0.35">
      <c r="A14" t="str">
        <v>Friendly</v>
      </c>
      <c r="B14" s="91">
        <v>-0.34401036690229408</v>
      </c>
      <c r="C14" s="92">
        <v>0.40086949354334672</v>
      </c>
      <c r="D14" s="92">
        <v>6.9273962356187456E-3</v>
      </c>
      <c r="E14" s="92">
        <v>0.18590615055713855</v>
      </c>
      <c r="F14" s="92">
        <v>3.7341657013804541E-2</v>
      </c>
      <c r="G14" s="92">
        <v>-5.5294628532650346E-2</v>
      </c>
      <c r="H14" s="92">
        <v>0.10313209036584842</v>
      </c>
      <c r="I14" s="92">
        <v>8.8479441977978163E-2</v>
      </c>
      <c r="J14" s="93">
        <v>1.0000000000000009</v>
      </c>
    </row>
    <row r="15" spans="1:11" ht="14.45" x14ac:dyDescent="0.35">
      <c r="B15">
        <f>SUMSQ(B6:B14)-1</f>
        <v>0.22043963712278303</v>
      </c>
      <c r="C15">
        <f>SUMSQ(C6:C14)-1</f>
        <v>0.81412629874662956</v>
      </c>
      <c r="D15">
        <f t="shared" ref="D15:J15" si="0">SUMSQ(D6:D14)-1</f>
        <v>1.0189372576921238</v>
      </c>
      <c r="E15">
        <f t="shared" si="0"/>
        <v>0.2422223592317958</v>
      </c>
      <c r="F15">
        <f t="shared" si="0"/>
        <v>0.50846198543078347</v>
      </c>
      <c r="G15">
        <f t="shared" si="0"/>
        <v>0.17058132065819831</v>
      </c>
      <c r="H15">
        <f t="shared" si="0"/>
        <v>1.1576267884213003</v>
      </c>
      <c r="I15">
        <f t="shared" si="0"/>
        <v>0.70798424280283645</v>
      </c>
      <c r="J15">
        <f t="shared" si="0"/>
        <v>0.3365653040325951</v>
      </c>
      <c r="K15">
        <f>SUM(B15:J15)</f>
        <v>5.1769451941390452</v>
      </c>
    </row>
    <row r="17" spans="1:12" ht="16.5" x14ac:dyDescent="0.35">
      <c r="A17" t="s">
        <v>473</v>
      </c>
    </row>
    <row r="19" spans="1:12" s="32" customFormat="1" ht="14.45" x14ac:dyDescent="0.35">
      <c r="B19" s="32" t="str">
        <f t="array" ref="B19:J19">B5:J5</f>
        <v>Expect</v>
      </c>
      <c r="C19" s="32" t="str">
        <v>Entertain</v>
      </c>
      <c r="D19" s="32" t="str">
        <v>Comm</v>
      </c>
      <c r="E19" s="32" t="str">
        <v>Expert</v>
      </c>
      <c r="F19" s="32" t="str">
        <v>Motivate</v>
      </c>
      <c r="G19" s="32" t="str">
        <v>Caring</v>
      </c>
      <c r="H19" s="32" t="str">
        <v>Charisma</v>
      </c>
      <c r="I19" s="32" t="str">
        <v>Passion</v>
      </c>
      <c r="J19" s="32" t="str">
        <v>Friendly</v>
      </c>
      <c r="L19" s="32" t="s">
        <v>474</v>
      </c>
    </row>
    <row r="20" spans="1:12" ht="14.45" x14ac:dyDescent="0.35">
      <c r="A20" t="str">
        <f t="array" ref="A20:A28">A6:A14</f>
        <v>Expect</v>
      </c>
      <c r="B20" s="156">
        <f t="array" ref="B20:J28">MINVERSE(B6:J14)</f>
        <v>1.286264778805037</v>
      </c>
      <c r="C20" s="157">
        <v>-2.2988566810562866E-3</v>
      </c>
      <c r="D20" s="157">
        <v>-0.26283115472222746</v>
      </c>
      <c r="E20" s="157">
        <v>-0.31554543843253663</v>
      </c>
      <c r="F20" s="157">
        <v>0.18513144145075158</v>
      </c>
      <c r="G20" s="157">
        <v>0.1066790493085548</v>
      </c>
      <c r="H20" s="157">
        <v>0.10220522181390651</v>
      </c>
      <c r="I20" s="157">
        <v>0.17777486299581205</v>
      </c>
      <c r="J20" s="158">
        <v>0.47660813810741892</v>
      </c>
      <c r="L20" s="172">
        <f t="array" ref="L20:L28">SQRT([1]!DIAG(B20:J28))</f>
        <v>1.1341361376858763</v>
      </c>
    </row>
    <row r="21" spans="1:12" ht="14.45" x14ac:dyDescent="0.35">
      <c r="A21" t="str">
        <v>Entertain</v>
      </c>
      <c r="B21" s="123">
        <v>-2.2988566810562472E-3</v>
      </c>
      <c r="C21" s="37">
        <v>1.7535779957431996</v>
      </c>
      <c r="D21" s="37">
        <v>-0.48271020356459532</v>
      </c>
      <c r="E21" s="37">
        <v>0.29008922936116777</v>
      </c>
      <c r="F21" s="37">
        <v>-0.10275190461535938</v>
      </c>
      <c r="G21" s="37">
        <v>-8.4674990614936052E-2</v>
      </c>
      <c r="H21" s="37">
        <v>-0.23131630923176738</v>
      </c>
      <c r="I21" s="37">
        <v>-0.34884591795130793</v>
      </c>
      <c r="J21" s="90">
        <v>-0.70045551978317655</v>
      </c>
      <c r="L21" s="173">
        <v>1.3242273202676342</v>
      </c>
    </row>
    <row r="22" spans="1:12" ht="14.45" x14ac:dyDescent="0.35">
      <c r="A22" t="str">
        <v>Comm</v>
      </c>
      <c r="B22" s="123">
        <v>-0.2628311547222274</v>
      </c>
      <c r="C22" s="37">
        <v>-0.48271020356459521</v>
      </c>
      <c r="D22" s="37">
        <v>2.5101944742139133</v>
      </c>
      <c r="E22" s="37">
        <v>6.5761730864781084E-2</v>
      </c>
      <c r="F22" s="37">
        <v>-6.3049251939945081E-2</v>
      </c>
      <c r="G22" s="37">
        <v>-2.7723995073408184E-2</v>
      </c>
      <c r="H22" s="37">
        <v>-1.6584964436859573</v>
      </c>
      <c r="I22" s="37">
        <v>-6.1097423397641348E-2</v>
      </c>
      <c r="J22" s="90">
        <v>0.25074397743347854</v>
      </c>
      <c r="L22" s="173">
        <v>1.5843593261043762</v>
      </c>
    </row>
    <row r="23" spans="1:12" ht="14.45" x14ac:dyDescent="0.35">
      <c r="A23" t="str">
        <v>Expert</v>
      </c>
      <c r="B23" s="123">
        <v>-0.31554543843253657</v>
      </c>
      <c r="C23" s="37">
        <v>0.29008922936116777</v>
      </c>
      <c r="D23" s="37">
        <v>6.5761730864781126E-2</v>
      </c>
      <c r="E23" s="37">
        <v>1.26417078448905</v>
      </c>
      <c r="F23" s="37">
        <v>-0.17405972839978645</v>
      </c>
      <c r="G23" s="37">
        <v>-2.154762970191491E-2</v>
      </c>
      <c r="H23" s="37">
        <v>-0.27040432609499265</v>
      </c>
      <c r="I23" s="37">
        <v>-0.2861291060471825</v>
      </c>
      <c r="J23" s="90">
        <v>-0.40179938873535875</v>
      </c>
      <c r="L23" s="173">
        <v>1.1243534962319679</v>
      </c>
    </row>
    <row r="24" spans="1:12" ht="14.45" x14ac:dyDescent="0.35">
      <c r="A24" t="str">
        <v>Motivate</v>
      </c>
      <c r="B24" s="123">
        <v>0.18513144145075167</v>
      </c>
      <c r="C24" s="37">
        <v>-0.10275190461535937</v>
      </c>
      <c r="D24" s="37">
        <v>-6.3049251939945275E-2</v>
      </c>
      <c r="E24" s="37">
        <v>-0.17405972839978653</v>
      </c>
      <c r="F24" s="37">
        <v>1.3031191024025841</v>
      </c>
      <c r="G24" s="37">
        <v>-0.2652181660383473</v>
      </c>
      <c r="H24" s="37">
        <v>-0.22501603613813564</v>
      </c>
      <c r="I24" s="37">
        <v>-0.15362912326167955</v>
      </c>
      <c r="J24" s="90">
        <v>0.11114640701603698</v>
      </c>
      <c r="L24" s="173">
        <v>1.1415424225155122</v>
      </c>
    </row>
    <row r="25" spans="1:12" ht="14.45" x14ac:dyDescent="0.35">
      <c r="A25" t="str">
        <v>Caring</v>
      </c>
      <c r="B25" s="123">
        <v>0.10667904930855475</v>
      </c>
      <c r="C25" s="37">
        <v>-8.467499061493608E-2</v>
      </c>
      <c r="D25" s="37">
        <v>-2.7723995073408135E-2</v>
      </c>
      <c r="E25" s="37">
        <v>-2.1547629701914914E-2</v>
      </c>
      <c r="F25" s="37">
        <v>-0.26521816603834736</v>
      </c>
      <c r="G25" s="37">
        <v>1.1238156967035202</v>
      </c>
      <c r="H25" s="37">
        <v>7.987305324240028E-2</v>
      </c>
      <c r="I25" s="37">
        <v>-0.11925087888368882</v>
      </c>
      <c r="J25" s="90">
        <v>0.1491986450402801</v>
      </c>
      <c r="L25" s="173">
        <v>1.0601017388456262</v>
      </c>
    </row>
    <row r="26" spans="1:12" ht="14.45" x14ac:dyDescent="0.35">
      <c r="A26" t="str">
        <v>Charisma</v>
      </c>
      <c r="B26" s="123">
        <v>0.10220522181390655</v>
      </c>
      <c r="C26" s="37">
        <v>-0.23131630923176719</v>
      </c>
      <c r="D26" s="37">
        <v>-1.6584964436859573</v>
      </c>
      <c r="E26" s="37">
        <v>-0.27040432609499271</v>
      </c>
      <c r="F26" s="37">
        <v>-0.22501603613813578</v>
      </c>
      <c r="G26" s="37">
        <v>7.9873053242400308E-2</v>
      </c>
      <c r="H26" s="37">
        <v>2.6239560750183957</v>
      </c>
      <c r="I26" s="37">
        <v>-0.30823189765931713</v>
      </c>
      <c r="J26" s="90">
        <v>-4.0876669322539645E-2</v>
      </c>
      <c r="L26" s="173">
        <v>1.6198629803222233</v>
      </c>
    </row>
    <row r="27" spans="1:12" ht="14.45" x14ac:dyDescent="0.35">
      <c r="A27" t="str">
        <v>Passion</v>
      </c>
      <c r="B27" s="123">
        <v>0.17777486299581202</v>
      </c>
      <c r="C27" s="37">
        <v>-0.34884591795130798</v>
      </c>
      <c r="D27" s="37">
        <v>-6.1097423397641473E-2</v>
      </c>
      <c r="E27" s="37">
        <v>-0.28612910604718256</v>
      </c>
      <c r="F27" s="37">
        <v>-0.15362912326167955</v>
      </c>
      <c r="G27" s="37">
        <v>-0.11925087888368885</v>
      </c>
      <c r="H27" s="37">
        <v>-0.30823189765931708</v>
      </c>
      <c r="I27" s="37">
        <v>1.4464459260990281</v>
      </c>
      <c r="J27" s="90">
        <v>0.157565193536016</v>
      </c>
      <c r="L27" s="173">
        <v>1.2026828036099244</v>
      </c>
    </row>
    <row r="28" spans="1:12" ht="14.45" x14ac:dyDescent="0.35">
      <c r="A28" t="str">
        <v>Friendly</v>
      </c>
      <c r="B28" s="91">
        <v>0.47660813810741898</v>
      </c>
      <c r="C28" s="92">
        <v>-0.70045551978317644</v>
      </c>
      <c r="D28" s="92">
        <v>0.25074397743347843</v>
      </c>
      <c r="E28" s="92">
        <v>-0.40179938873535881</v>
      </c>
      <c r="F28" s="92">
        <v>0.11114640701603695</v>
      </c>
      <c r="G28" s="92">
        <v>0.14919864504028013</v>
      </c>
      <c r="H28" s="92">
        <v>-4.0876669322539583E-2</v>
      </c>
      <c r="I28" s="92">
        <v>0.15756519353601603</v>
      </c>
      <c r="J28" s="93">
        <v>1.5120832732958756</v>
      </c>
      <c r="L28" s="174">
        <v>1.2296679524554079</v>
      </c>
    </row>
    <row r="30" spans="1:12" ht="14.45" x14ac:dyDescent="0.35">
      <c r="A30" t="s">
        <v>475</v>
      </c>
    </row>
    <row r="32" spans="1:12" s="32" customFormat="1" ht="14.45" x14ac:dyDescent="0.35">
      <c r="B32" s="32" t="str">
        <f t="array" ref="B32:J32">B19:J19</f>
        <v>Expect</v>
      </c>
      <c r="C32" s="32" t="str">
        <v>Entertain</v>
      </c>
      <c r="D32" s="32" t="str">
        <v>Comm</v>
      </c>
      <c r="E32" s="32" t="str">
        <v>Expert</v>
      </c>
      <c r="F32" s="32" t="str">
        <v>Motivate</v>
      </c>
      <c r="G32" s="32" t="str">
        <v>Caring</v>
      </c>
      <c r="H32" s="32" t="str">
        <v>Charisma</v>
      </c>
      <c r="I32" s="32" t="str">
        <v>Passion</v>
      </c>
      <c r="J32" s="32" t="str">
        <v>Friendly</v>
      </c>
    </row>
    <row r="33" spans="1:11" x14ac:dyDescent="0.25">
      <c r="A33" t="str">
        <f t="array" ref="A33:A41">A20:A28</f>
        <v>Expect</v>
      </c>
      <c r="B33" s="156">
        <f t="array" ref="B33:J41">-B20:J28/MMULT(L20:L28,TRANSPOSE(L20:L28))+2*[1]!IDENTITY()</f>
        <v>1</v>
      </c>
      <c r="C33" s="157">
        <v>1.53067914166366E-3</v>
      </c>
      <c r="D33" s="157">
        <v>0.14627091213270429</v>
      </c>
      <c r="E33" s="157">
        <v>0.24745363783327509</v>
      </c>
      <c r="F33" s="157">
        <v>-0.14299568686551481</v>
      </c>
      <c r="G33" s="157">
        <v>-8.872916632149204E-2</v>
      </c>
      <c r="H33" s="157">
        <v>-5.5632633133580092E-2</v>
      </c>
      <c r="I33" s="157">
        <v>-0.13033290111535403</v>
      </c>
      <c r="J33" s="158">
        <v>-0.34174991104256275</v>
      </c>
    </row>
    <row r="34" spans="1:11" x14ac:dyDescent="0.25">
      <c r="A34" t="str">
        <v>Entertain</v>
      </c>
      <c r="B34" s="123">
        <v>1.5306791416636336E-3</v>
      </c>
      <c r="C34" s="37">
        <v>1</v>
      </c>
      <c r="D34" s="37">
        <v>0.23007543448860512</v>
      </c>
      <c r="E34" s="37">
        <v>-0.19483464565442801</v>
      </c>
      <c r="F34" s="37">
        <v>6.7972818998370307E-2</v>
      </c>
      <c r="G34" s="37">
        <v>6.0317740804007251E-2</v>
      </c>
      <c r="H34" s="37">
        <v>0.10783641225608949</v>
      </c>
      <c r="I34" s="37">
        <v>0.21903826990456729</v>
      </c>
      <c r="J34" s="90">
        <v>0.43016013895883903</v>
      </c>
    </row>
    <row r="35" spans="1:11" x14ac:dyDescent="0.25">
      <c r="A35" t="str">
        <v>Comm</v>
      </c>
      <c r="B35" s="123">
        <v>0.14627091213270427</v>
      </c>
      <c r="C35" s="37">
        <v>0.23007543448860507</v>
      </c>
      <c r="D35" s="37">
        <v>1</v>
      </c>
      <c r="E35" s="37">
        <v>-3.6916173303528914E-2</v>
      </c>
      <c r="F35" s="37">
        <v>3.4860547048718049E-2</v>
      </c>
      <c r="G35" s="37">
        <v>1.6506484238149401E-2</v>
      </c>
      <c r="H35" s="37">
        <v>0.64622325077528375</v>
      </c>
      <c r="I35" s="37">
        <v>3.2064030253751298E-2</v>
      </c>
      <c r="J35" s="90">
        <v>-0.12870308924887999</v>
      </c>
    </row>
    <row r="36" spans="1:11" x14ac:dyDescent="0.25">
      <c r="A36" t="str">
        <v>Expert</v>
      </c>
      <c r="B36" s="123">
        <v>0.24745363783327504</v>
      </c>
      <c r="C36" s="37">
        <v>-0.19483464565442801</v>
      </c>
      <c r="D36" s="37">
        <v>-3.6916173303528935E-2</v>
      </c>
      <c r="E36" s="37">
        <v>1</v>
      </c>
      <c r="F36" s="37">
        <v>0.13561363945414798</v>
      </c>
      <c r="G36" s="37">
        <v>1.8077945883194679E-2</v>
      </c>
      <c r="H36" s="37">
        <v>0.14846787083780399</v>
      </c>
      <c r="I36" s="37">
        <v>0.21159629643773292</v>
      </c>
      <c r="J36" s="90">
        <v>0.29061534521487786</v>
      </c>
    </row>
    <row r="37" spans="1:11" x14ac:dyDescent="0.25">
      <c r="A37" t="str">
        <v>Motivate</v>
      </c>
      <c r="B37" s="123">
        <v>-0.14299568686551486</v>
      </c>
      <c r="C37" s="37">
        <v>6.7972818998370294E-2</v>
      </c>
      <c r="D37" s="37">
        <v>3.486054704871816E-2</v>
      </c>
      <c r="E37" s="37">
        <v>0.13561363945414806</v>
      </c>
      <c r="F37" s="37">
        <v>1</v>
      </c>
      <c r="G37" s="37">
        <v>0.21916119771145781</v>
      </c>
      <c r="H37" s="37">
        <v>0.12168670568839408</v>
      </c>
      <c r="I37" s="37">
        <v>0.11190007953664212</v>
      </c>
      <c r="J37" s="90">
        <v>-7.9180003717641875E-2</v>
      </c>
    </row>
    <row r="38" spans="1:11" x14ac:dyDescent="0.25">
      <c r="A38" t="str">
        <v>Caring</v>
      </c>
      <c r="B38" s="123">
        <v>-8.8729166321491998E-2</v>
      </c>
      <c r="C38" s="37">
        <v>6.0317740804007272E-2</v>
      </c>
      <c r="D38" s="37">
        <v>1.650648423814937E-2</v>
      </c>
      <c r="E38" s="37">
        <v>1.8077945883194682E-2</v>
      </c>
      <c r="F38" s="37">
        <v>0.21916119771145784</v>
      </c>
      <c r="G38" s="37">
        <v>1</v>
      </c>
      <c r="H38" s="37">
        <v>-4.6513011500561724E-2</v>
      </c>
      <c r="I38" s="37">
        <v>9.3532585649153885E-2</v>
      </c>
      <c r="J38" s="90">
        <v>-0.11445360530997695</v>
      </c>
    </row>
    <row r="39" spans="1:11" x14ac:dyDescent="0.25">
      <c r="A39" t="str">
        <v>Charisma</v>
      </c>
      <c r="B39" s="123">
        <v>-5.563263313358012E-2</v>
      </c>
      <c r="C39" s="37">
        <v>0.10783641225608941</v>
      </c>
      <c r="D39" s="37">
        <v>0.64622325077528375</v>
      </c>
      <c r="E39" s="37">
        <v>0.14846787083780402</v>
      </c>
      <c r="F39" s="37">
        <v>0.12168670568839415</v>
      </c>
      <c r="G39" s="37">
        <v>-4.6513011500561745E-2</v>
      </c>
      <c r="H39" s="37">
        <v>1</v>
      </c>
      <c r="I39" s="37">
        <v>0.15821519775784637</v>
      </c>
      <c r="J39" s="90">
        <v>2.0521512514576307E-2</v>
      </c>
    </row>
    <row r="40" spans="1:11" x14ac:dyDescent="0.25">
      <c r="A40" t="str">
        <v>Passion</v>
      </c>
      <c r="B40" s="123">
        <v>-0.13033290111535401</v>
      </c>
      <c r="C40" s="37">
        <v>0.21903826990456732</v>
      </c>
      <c r="D40" s="37">
        <v>3.2064030253751367E-2</v>
      </c>
      <c r="E40" s="37">
        <v>0.21159629643773295</v>
      </c>
      <c r="F40" s="37">
        <v>0.11190007953664212</v>
      </c>
      <c r="G40" s="37">
        <v>9.3532585649153899E-2</v>
      </c>
      <c r="H40" s="37">
        <v>0.15821519775784632</v>
      </c>
      <c r="I40" s="37">
        <v>1</v>
      </c>
      <c r="J40" s="90">
        <v>-0.10654211928081929</v>
      </c>
    </row>
    <row r="41" spans="1:11" x14ac:dyDescent="0.25">
      <c r="A41" t="str">
        <v>Friendly</v>
      </c>
      <c r="B41" s="91">
        <v>-0.3417499110425628</v>
      </c>
      <c r="C41" s="92">
        <v>0.43016013895883898</v>
      </c>
      <c r="D41" s="92">
        <v>-0.12870308924887994</v>
      </c>
      <c r="E41" s="92">
        <v>0.29061534521487792</v>
      </c>
      <c r="F41" s="92">
        <v>-7.9180003717641861E-2</v>
      </c>
      <c r="G41" s="92">
        <v>-0.11445360530997696</v>
      </c>
      <c r="H41" s="92">
        <v>2.0521512514576276E-2</v>
      </c>
      <c r="I41" s="92">
        <v>-0.1065421192808193</v>
      </c>
      <c r="J41" s="93">
        <v>0.99999999999999978</v>
      </c>
    </row>
    <row r="42" spans="1:11" x14ac:dyDescent="0.25">
      <c r="B42">
        <f>SUMSQ(B33:B41)-1</f>
        <v>0.2478261136900568</v>
      </c>
      <c r="C42">
        <f>SUMSQ(C33:C41)-1</f>
        <v>0.34380032229946522</v>
      </c>
      <c r="D42">
        <f t="shared" ref="D42:J42" si="1">SUMSQ(D33:D41)-1</f>
        <v>0.51237748796596416</v>
      </c>
      <c r="E42">
        <f t="shared" si="1"/>
        <v>0.27054749742057815</v>
      </c>
      <c r="F42">
        <f t="shared" si="1"/>
        <v>0.12630477324390843</v>
      </c>
      <c r="G42">
        <f t="shared" si="1"/>
        <v>8.4153434128906968E-2</v>
      </c>
      <c r="H42">
        <f t="shared" si="1"/>
        <v>0.49679517604891243</v>
      </c>
      <c r="I42">
        <f t="shared" si="1"/>
        <v>0.16841876785913512</v>
      </c>
      <c r="J42">
        <f t="shared" si="1"/>
        <v>0.43399396731716644</v>
      </c>
      <c r="K42">
        <f>SUM(B42:J42)</f>
        <v>2.6842175399740937</v>
      </c>
    </row>
    <row r="44" spans="1:11" x14ac:dyDescent="0.25">
      <c r="A44" t="s">
        <v>471</v>
      </c>
    </row>
    <row r="45" spans="1:11" s="32" customFormat="1" x14ac:dyDescent="0.25">
      <c r="B45" s="32" t="str">
        <f t="array" ref="B45:J45">B32:J32</f>
        <v>Expect</v>
      </c>
      <c r="C45" s="32" t="str">
        <v>Entertain</v>
      </c>
      <c r="D45" s="32" t="str">
        <v>Comm</v>
      </c>
      <c r="E45" s="32" t="str">
        <v>Expert</v>
      </c>
      <c r="F45" s="32" t="str">
        <v>Motivate</v>
      </c>
      <c r="G45" s="32" t="str">
        <v>Caring</v>
      </c>
      <c r="H45" s="32" t="str">
        <v>Charisma</v>
      </c>
      <c r="I45" s="32" t="str">
        <v>Passion</v>
      </c>
      <c r="J45" s="32" t="str">
        <v>Friendly</v>
      </c>
      <c r="K45" s="32" t="s">
        <v>471</v>
      </c>
    </row>
    <row r="46" spans="1:11" x14ac:dyDescent="0.25">
      <c r="B46" s="160">
        <f>B15/(B15+B42)</f>
        <v>0.47075754897754651</v>
      </c>
      <c r="C46" s="161">
        <f>C15/(C15+C42)</f>
        <v>0.70308971566016076</v>
      </c>
      <c r="D46" s="161">
        <f t="shared" ref="D46:J46" si="2">D15/(D15+D42)</f>
        <v>0.6654002781474111</v>
      </c>
      <c r="E46" s="161">
        <f t="shared" si="2"/>
        <v>0.47238026200125777</v>
      </c>
      <c r="F46" s="161">
        <f t="shared" si="2"/>
        <v>0.8010217587518037</v>
      </c>
      <c r="G46" s="161">
        <f t="shared" si="2"/>
        <v>0.66964290287268324</v>
      </c>
      <c r="H46" s="161">
        <f t="shared" si="2"/>
        <v>0.6997167671138852</v>
      </c>
      <c r="I46" s="161">
        <f t="shared" si="2"/>
        <v>0.80782954210537938</v>
      </c>
      <c r="J46" s="162">
        <f t="shared" si="2"/>
        <v>0.4367805521865249</v>
      </c>
      <c r="K46" s="162">
        <f>K15/(K15+K42)</f>
        <v>0.65854700751505113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9"/>
  <dimension ref="B1:O49"/>
  <sheetViews>
    <sheetView workbookViewId="0"/>
  </sheetViews>
  <sheetFormatPr defaultRowHeight="15" x14ac:dyDescent="0.25"/>
  <cols>
    <col min="1" max="1" width="1.42578125" customWidth="1"/>
    <col min="2" max="3" width="7.5703125" style="32" customWidth="1"/>
    <col min="4" max="4" width="2.85546875" style="32" customWidth="1"/>
    <col min="5" max="5" width="6.85546875" style="32" customWidth="1"/>
    <col min="6" max="6" width="6.5703125" customWidth="1"/>
    <col min="7" max="7" width="9.140625" customWidth="1"/>
    <col min="10" max="10" width="6.42578125" customWidth="1"/>
    <col min="14" max="14" width="4.42578125" customWidth="1"/>
    <col min="15" max="15" width="7.28515625" style="32" customWidth="1"/>
  </cols>
  <sheetData>
    <row r="1" spans="2:15" ht="14.45" x14ac:dyDescent="0.35">
      <c r="B1" s="273" t="s">
        <v>726</v>
      </c>
    </row>
    <row r="3" spans="2:15" ht="14.45" x14ac:dyDescent="0.35">
      <c r="B3" s="32" t="s">
        <v>390</v>
      </c>
      <c r="C3" s="32" t="s">
        <v>392</v>
      </c>
      <c r="E3" s="32" t="s">
        <v>727</v>
      </c>
      <c r="G3" t="s">
        <v>728</v>
      </c>
      <c r="H3" s="47">
        <v>1</v>
      </c>
      <c r="I3" s="47">
        <v>2</v>
      </c>
      <c r="K3" s="47" t="s">
        <v>729</v>
      </c>
      <c r="L3">
        <v>1</v>
      </c>
      <c r="M3">
        <v>2</v>
      </c>
      <c r="O3" s="32" t="s">
        <v>727</v>
      </c>
    </row>
    <row r="4" spans="2:15" ht="14.45" x14ac:dyDescent="0.35">
      <c r="B4" s="274">
        <v>5</v>
      </c>
      <c r="C4" s="275">
        <v>0</v>
      </c>
      <c r="E4" s="276">
        <v>1</v>
      </c>
      <c r="G4" t="s">
        <v>390</v>
      </c>
      <c r="H4" s="138">
        <f>AVERAGEIF(E4:E13,H3,B4:B13)</f>
        <v>2.6</v>
      </c>
      <c r="I4" s="140">
        <f>AVERAGEIF(E4:E13,I3,B4:B13)</f>
        <v>3.2</v>
      </c>
      <c r="K4">
        <f>MIN(L4:M4)</f>
        <v>7.72</v>
      </c>
      <c r="L4" s="138">
        <f>(B4-H4)^2+(C4-H5)^2</f>
        <v>7.72</v>
      </c>
      <c r="M4" s="140">
        <f>(B4-I4)^2+(C4-I5)^2</f>
        <v>12.239999999999998</v>
      </c>
      <c r="O4" s="276">
        <f>IF(L4&lt;=M4,1,2)</f>
        <v>1</v>
      </c>
    </row>
    <row r="5" spans="2:15" ht="14.45" x14ac:dyDescent="0.35">
      <c r="B5" s="277">
        <v>5</v>
      </c>
      <c r="C5" s="247">
        <v>2</v>
      </c>
      <c r="E5" s="278">
        <v>2</v>
      </c>
      <c r="G5" t="s">
        <v>392</v>
      </c>
      <c r="H5" s="91">
        <f>AVERAGEIF(E4:E13,H3,C4:C13)</f>
        <v>1.4</v>
      </c>
      <c r="I5" s="93">
        <f>AVERAGEIF(E4:E13,I3,C4:C13)</f>
        <v>3</v>
      </c>
      <c r="K5">
        <f t="shared" ref="K5:K13" si="0">MIN(L5:M5)</f>
        <v>4.2399999999999993</v>
      </c>
      <c r="L5" s="36">
        <f>(B5-H4)^2+(C5-H5)^2</f>
        <v>6.12</v>
      </c>
      <c r="M5" s="90">
        <f>(B5-I4)^2+(C5-I5)^2</f>
        <v>4.2399999999999993</v>
      </c>
      <c r="O5" s="279">
        <f t="shared" ref="O5:O13" si="1">IF(L5&lt;=M5,1,2)</f>
        <v>2</v>
      </c>
    </row>
    <row r="6" spans="2:15" ht="14.45" x14ac:dyDescent="0.35">
      <c r="B6" s="44">
        <v>3</v>
      </c>
      <c r="C6" s="247">
        <v>1</v>
      </c>
      <c r="E6" s="279">
        <v>1</v>
      </c>
      <c r="K6">
        <f t="shared" si="0"/>
        <v>0.31999999999999984</v>
      </c>
      <c r="L6" s="36">
        <f>(B6-H4)^2+(C6-H5)^2</f>
        <v>0.31999999999999984</v>
      </c>
      <c r="M6" s="90">
        <f>(B6-I4)^2+(C6-I5)^2</f>
        <v>4.04</v>
      </c>
      <c r="O6" s="279">
        <f t="shared" si="1"/>
        <v>1</v>
      </c>
    </row>
    <row r="7" spans="2:15" ht="14.45" x14ac:dyDescent="0.35">
      <c r="B7" s="44">
        <v>0</v>
      </c>
      <c r="C7" s="247">
        <v>4</v>
      </c>
      <c r="E7" s="279">
        <v>2</v>
      </c>
      <c r="G7" t="s">
        <v>730</v>
      </c>
      <c r="H7" s="280">
        <f>SUM(K4:K13)</f>
        <v>36.920000000000009</v>
      </c>
      <c r="K7">
        <f t="shared" si="0"/>
        <v>11.240000000000002</v>
      </c>
      <c r="L7" s="36">
        <f>(B7-H4)^2+(C7-H5)^2</f>
        <v>13.520000000000001</v>
      </c>
      <c r="M7" s="90">
        <f>(B7-I4)^2+(C7-I5)^2</f>
        <v>11.240000000000002</v>
      </c>
      <c r="O7" s="279">
        <f t="shared" si="1"/>
        <v>2</v>
      </c>
    </row>
    <row r="8" spans="2:15" ht="14.45" x14ac:dyDescent="0.35">
      <c r="B8" s="44">
        <v>2</v>
      </c>
      <c r="C8" s="247">
        <v>1</v>
      </c>
      <c r="E8" s="279">
        <v>1</v>
      </c>
      <c r="K8">
        <f t="shared" si="0"/>
        <v>0.52</v>
      </c>
      <c r="L8" s="36">
        <f>(B8-H4)^2+(C8-H5)^2</f>
        <v>0.52</v>
      </c>
      <c r="M8" s="90">
        <f>(B8-I4)^2+(C8-I5)^2</f>
        <v>5.44</v>
      </c>
      <c r="O8" s="279">
        <f t="shared" si="1"/>
        <v>1</v>
      </c>
    </row>
    <row r="9" spans="2:15" ht="14.45" x14ac:dyDescent="0.35">
      <c r="B9" s="44">
        <v>4</v>
      </c>
      <c r="C9" s="247">
        <v>2</v>
      </c>
      <c r="E9" s="279">
        <v>2</v>
      </c>
      <c r="G9" t="s">
        <v>731</v>
      </c>
      <c r="H9" s="280" t="b">
        <f t="array" ref="H9">AND(E4:E13=O4:O13)</f>
        <v>0</v>
      </c>
      <c r="K9">
        <f t="shared" si="0"/>
        <v>1.6399999999999997</v>
      </c>
      <c r="L9" s="36">
        <f>(B9-H4)^2+(C9-H5)^2</f>
        <v>2.3199999999999998</v>
      </c>
      <c r="M9" s="90">
        <f>(B9-I4)^2+(C9-I5)^2</f>
        <v>1.6399999999999997</v>
      </c>
      <c r="O9" s="279">
        <f t="shared" si="1"/>
        <v>2</v>
      </c>
    </row>
    <row r="10" spans="2:15" ht="14.45" x14ac:dyDescent="0.35">
      <c r="B10" s="44">
        <v>2</v>
      </c>
      <c r="C10" s="247">
        <v>2</v>
      </c>
      <c r="E10" s="279">
        <v>1</v>
      </c>
      <c r="K10">
        <f t="shared" si="0"/>
        <v>0.7200000000000002</v>
      </c>
      <c r="L10" s="36">
        <f>(B10-H4)^2+(C10-H5)^2</f>
        <v>0.7200000000000002</v>
      </c>
      <c r="M10" s="90">
        <f>(B10-I4)^2+(C10-I5)^2</f>
        <v>2.4400000000000004</v>
      </c>
      <c r="O10" s="279">
        <f t="shared" si="1"/>
        <v>1</v>
      </c>
    </row>
    <row r="11" spans="2:15" ht="14.45" x14ac:dyDescent="0.35">
      <c r="B11" s="44">
        <v>2</v>
      </c>
      <c r="C11" s="247">
        <v>3</v>
      </c>
      <c r="E11" s="279">
        <v>2</v>
      </c>
      <c r="K11">
        <f t="shared" si="0"/>
        <v>1.4400000000000004</v>
      </c>
      <c r="L11" s="36">
        <f>(B11-H4)^2+(C11-H5)^2</f>
        <v>2.9200000000000008</v>
      </c>
      <c r="M11" s="90">
        <f>(B11-I4)^2+(C11-I5)^2</f>
        <v>1.4400000000000004</v>
      </c>
      <c r="O11" s="279">
        <f t="shared" si="1"/>
        <v>2</v>
      </c>
    </row>
    <row r="12" spans="2:15" ht="14.45" x14ac:dyDescent="0.35">
      <c r="B12" s="44">
        <v>1</v>
      </c>
      <c r="C12" s="247">
        <v>3</v>
      </c>
      <c r="E12" s="279">
        <v>1</v>
      </c>
      <c r="K12">
        <f t="shared" si="0"/>
        <v>4.8400000000000007</v>
      </c>
      <c r="L12" s="36">
        <f>(B12-H4)^2+(C12-H5)^2</f>
        <v>5.120000000000001</v>
      </c>
      <c r="M12" s="90">
        <f>(B12-I4)^2+(C12-I5)^2</f>
        <v>4.8400000000000007</v>
      </c>
      <c r="O12" s="279">
        <f t="shared" si="1"/>
        <v>2</v>
      </c>
    </row>
    <row r="13" spans="2:15" ht="14.45" x14ac:dyDescent="0.35">
      <c r="B13" s="281">
        <v>5</v>
      </c>
      <c r="C13" s="250">
        <v>4</v>
      </c>
      <c r="E13" s="282">
        <v>2</v>
      </c>
      <c r="K13">
        <f t="shared" si="0"/>
        <v>4.2399999999999993</v>
      </c>
      <c r="L13" s="91">
        <f>(B13-H4)^2+(C13-H5)^2</f>
        <v>12.52</v>
      </c>
      <c r="M13" s="93">
        <f>(B13-I4)^2+(C13-I5)^2</f>
        <v>4.2399999999999993</v>
      </c>
      <c r="O13" s="282">
        <f t="shared" si="1"/>
        <v>2</v>
      </c>
    </row>
    <row r="15" spans="2:15" ht="14.45" x14ac:dyDescent="0.35">
      <c r="B15" s="32" t="s">
        <v>390</v>
      </c>
      <c r="C15" s="32" t="s">
        <v>392</v>
      </c>
      <c r="E15" s="32" t="s">
        <v>727</v>
      </c>
      <c r="G15" t="s">
        <v>728</v>
      </c>
      <c r="H15" s="47">
        <v>1</v>
      </c>
      <c r="I15" s="47">
        <v>2</v>
      </c>
      <c r="K15" s="47" t="s">
        <v>729</v>
      </c>
      <c r="L15">
        <v>1</v>
      </c>
      <c r="M15">
        <v>2</v>
      </c>
      <c r="O15" s="32" t="s">
        <v>727</v>
      </c>
    </row>
    <row r="16" spans="2:15" ht="14.45" x14ac:dyDescent="0.35">
      <c r="B16" s="274">
        <v>5</v>
      </c>
      <c r="C16" s="275">
        <v>0</v>
      </c>
      <c r="E16" s="276">
        <f>O4</f>
        <v>1</v>
      </c>
      <c r="G16" t="s">
        <v>390</v>
      </c>
      <c r="H16" s="138">
        <f>AVERAGEIF(E16:E25,H15,B16:B25)</f>
        <v>3</v>
      </c>
      <c r="I16" s="140">
        <f>AVERAGEIF(E16:E25,I15,B16:B25)</f>
        <v>2.8333333333333335</v>
      </c>
      <c r="K16">
        <f>MIN(L16:M16)</f>
        <v>5</v>
      </c>
      <c r="L16" s="138">
        <f>(B16-H16)^2+(C16-H17)^2</f>
        <v>5</v>
      </c>
      <c r="M16" s="140">
        <f>(B16-I16)^2+(C16-I17)^2</f>
        <v>13.694444444444443</v>
      </c>
      <c r="O16" s="276">
        <f>IF(L16&lt;=M16,1,2)</f>
        <v>1</v>
      </c>
    </row>
    <row r="17" spans="2:15" ht="14.45" x14ac:dyDescent="0.35">
      <c r="B17" s="44">
        <v>5</v>
      </c>
      <c r="C17" s="247">
        <v>2</v>
      </c>
      <c r="E17" s="279">
        <f t="shared" ref="E17:E25" si="2">O5</f>
        <v>2</v>
      </c>
      <c r="G17" t="s">
        <v>392</v>
      </c>
      <c r="H17" s="91">
        <f>AVERAGEIF(E16:E25,H15,C16:C25)</f>
        <v>1</v>
      </c>
      <c r="I17" s="93">
        <f>AVERAGEIF(E16:E25,I15,C16:C25)</f>
        <v>3</v>
      </c>
      <c r="K17">
        <f t="shared" ref="K17:K25" si="3">MIN(L17:M17)</f>
        <v>5</v>
      </c>
      <c r="L17" s="36">
        <f>(B17-H16)^2+(C17-H17)^2</f>
        <v>5</v>
      </c>
      <c r="M17" s="90">
        <f>(B17-I16)^2+(C17-I17)^2</f>
        <v>5.6944444444444438</v>
      </c>
      <c r="O17" s="279">
        <f t="shared" ref="O17:O25" si="4">IF(L17&lt;=M17,1,2)</f>
        <v>1</v>
      </c>
    </row>
    <row r="18" spans="2:15" ht="14.45" x14ac:dyDescent="0.35">
      <c r="B18" s="44">
        <v>3</v>
      </c>
      <c r="C18" s="247">
        <v>1</v>
      </c>
      <c r="E18" s="279">
        <f t="shared" si="2"/>
        <v>1</v>
      </c>
      <c r="K18">
        <f t="shared" si="3"/>
        <v>0</v>
      </c>
      <c r="L18" s="36">
        <f>(B18-H16)^2+(C18-H17)^2</f>
        <v>0</v>
      </c>
      <c r="M18" s="90">
        <f>(B18-I16)^2+(C18-I17)^2</f>
        <v>4.0277777777777777</v>
      </c>
      <c r="O18" s="279">
        <f t="shared" si="4"/>
        <v>1</v>
      </c>
    </row>
    <row r="19" spans="2:15" ht="14.45" x14ac:dyDescent="0.35">
      <c r="B19" s="44">
        <v>0</v>
      </c>
      <c r="C19" s="247">
        <v>4</v>
      </c>
      <c r="E19" s="279">
        <f t="shared" si="2"/>
        <v>2</v>
      </c>
      <c r="G19" t="s">
        <v>730</v>
      </c>
      <c r="H19" s="280">
        <f>SUM(K16:K25)</f>
        <v>33.472222222222221</v>
      </c>
      <c r="K19">
        <f t="shared" si="3"/>
        <v>9.0277777777777786</v>
      </c>
      <c r="L19" s="36">
        <f>(B19-H16)^2+(C19-H17)^2</f>
        <v>18</v>
      </c>
      <c r="M19" s="90">
        <f>(B19-I16)^2+(C19-I17)^2</f>
        <v>9.0277777777777786</v>
      </c>
      <c r="O19" s="279">
        <f t="shared" si="4"/>
        <v>2</v>
      </c>
    </row>
    <row r="20" spans="2:15" ht="14.45" x14ac:dyDescent="0.35">
      <c r="B20" s="44">
        <v>2</v>
      </c>
      <c r="C20" s="247">
        <v>1</v>
      </c>
      <c r="E20" s="279">
        <f t="shared" si="2"/>
        <v>1</v>
      </c>
      <c r="K20">
        <f t="shared" si="3"/>
        <v>1</v>
      </c>
      <c r="L20" s="36">
        <f>(B20-H16)^2+(C20-H17)^2</f>
        <v>1</v>
      </c>
      <c r="M20" s="90">
        <f>(B20-I16)^2+(C20-I17)^2</f>
        <v>4.6944444444444446</v>
      </c>
      <c r="O20" s="279">
        <f t="shared" si="4"/>
        <v>1</v>
      </c>
    </row>
    <row r="21" spans="2:15" ht="14.45" x14ac:dyDescent="0.35">
      <c r="B21" s="44">
        <v>4</v>
      </c>
      <c r="C21" s="247">
        <v>2</v>
      </c>
      <c r="E21" s="279">
        <f t="shared" si="2"/>
        <v>2</v>
      </c>
      <c r="G21" t="s">
        <v>731</v>
      </c>
      <c r="H21" s="280" t="b">
        <f t="array" ref="H21">AND(E16:E25=O16:O25)</f>
        <v>0</v>
      </c>
      <c r="K21">
        <f t="shared" si="3"/>
        <v>2</v>
      </c>
      <c r="L21" s="36">
        <f>(B21-H16)^2+(C21-H17)^2</f>
        <v>2</v>
      </c>
      <c r="M21" s="90">
        <f>(B21-I16)^2+(C21-I17)^2</f>
        <v>2.3611111111111107</v>
      </c>
      <c r="O21" s="279">
        <f t="shared" si="4"/>
        <v>1</v>
      </c>
    </row>
    <row r="22" spans="2:15" ht="14.45" x14ac:dyDescent="0.35">
      <c r="B22" s="44">
        <v>2</v>
      </c>
      <c r="C22" s="247">
        <v>2</v>
      </c>
      <c r="E22" s="279">
        <f t="shared" si="2"/>
        <v>1</v>
      </c>
      <c r="K22">
        <f t="shared" si="3"/>
        <v>1.6944444444444446</v>
      </c>
      <c r="L22" s="36">
        <f>(B22-H16)^2+(C22-H17)^2</f>
        <v>2</v>
      </c>
      <c r="M22" s="90">
        <f>(B22-I16)^2+(C22-I17)^2</f>
        <v>1.6944444444444446</v>
      </c>
      <c r="O22" s="279">
        <f t="shared" si="4"/>
        <v>2</v>
      </c>
    </row>
    <row r="23" spans="2:15" ht="14.45" x14ac:dyDescent="0.35">
      <c r="B23" s="44">
        <v>2</v>
      </c>
      <c r="C23" s="247">
        <v>3</v>
      </c>
      <c r="E23" s="279">
        <f t="shared" si="2"/>
        <v>2</v>
      </c>
      <c r="K23">
        <f t="shared" si="3"/>
        <v>0.69444444444444464</v>
      </c>
      <c r="L23" s="36">
        <f>(B23-H16)^2+(C23-H17)^2</f>
        <v>5</v>
      </c>
      <c r="M23" s="90">
        <f>(B23-I16)^2+(C23-I17)^2</f>
        <v>0.69444444444444464</v>
      </c>
      <c r="O23" s="279">
        <f t="shared" si="4"/>
        <v>2</v>
      </c>
    </row>
    <row r="24" spans="2:15" ht="14.45" x14ac:dyDescent="0.35">
      <c r="B24" s="44">
        <v>1</v>
      </c>
      <c r="C24" s="247">
        <v>3</v>
      </c>
      <c r="E24" s="279">
        <f t="shared" si="2"/>
        <v>2</v>
      </c>
      <c r="K24">
        <f t="shared" si="3"/>
        <v>3.3611111111111116</v>
      </c>
      <c r="L24" s="36">
        <f>(B24-H16)^2+(C24-H17)^2</f>
        <v>8</v>
      </c>
      <c r="M24" s="90">
        <f>(B24-I16)^2+(C24-I17)^2</f>
        <v>3.3611111111111116</v>
      </c>
      <c r="O24" s="279">
        <f t="shared" si="4"/>
        <v>2</v>
      </c>
    </row>
    <row r="25" spans="2:15" ht="14.45" x14ac:dyDescent="0.35">
      <c r="B25" s="281">
        <v>5</v>
      </c>
      <c r="C25" s="250">
        <v>4</v>
      </c>
      <c r="E25" s="282">
        <f t="shared" si="2"/>
        <v>2</v>
      </c>
      <c r="K25">
        <f t="shared" si="3"/>
        <v>5.6944444444444438</v>
      </c>
      <c r="L25" s="91">
        <f>(B25-H16)^2+(C25-H17)^2</f>
        <v>13</v>
      </c>
      <c r="M25" s="93">
        <f>(B25-I16)^2+(C25-I17)^2</f>
        <v>5.6944444444444438</v>
      </c>
      <c r="O25" s="282">
        <f t="shared" si="4"/>
        <v>2</v>
      </c>
    </row>
    <row r="27" spans="2:15" ht="14.45" x14ac:dyDescent="0.35">
      <c r="B27" s="32" t="s">
        <v>390</v>
      </c>
      <c r="C27" s="32" t="s">
        <v>392</v>
      </c>
      <c r="E27" s="32" t="s">
        <v>727</v>
      </c>
      <c r="G27" t="s">
        <v>728</v>
      </c>
      <c r="H27" s="47">
        <v>1</v>
      </c>
      <c r="I27" s="47">
        <v>2</v>
      </c>
      <c r="K27" s="47" t="s">
        <v>729</v>
      </c>
      <c r="L27">
        <v>1</v>
      </c>
      <c r="M27">
        <v>2</v>
      </c>
      <c r="O27" s="32" t="s">
        <v>727</v>
      </c>
    </row>
    <row r="28" spans="2:15" ht="14.45" x14ac:dyDescent="0.35">
      <c r="B28" s="274">
        <v>5</v>
      </c>
      <c r="C28" s="275">
        <v>0</v>
      </c>
      <c r="E28" s="276">
        <f>O16</f>
        <v>1</v>
      </c>
      <c r="G28" t="s">
        <v>390</v>
      </c>
      <c r="H28" s="138">
        <f>AVERAGEIF(E28:E37,H27,B28:B37)</f>
        <v>3.8</v>
      </c>
      <c r="I28" s="140">
        <f>AVERAGEIF(E28:E37,I27,B28:B37)</f>
        <v>2</v>
      </c>
      <c r="K28">
        <f>MIN(L28:M28)</f>
        <v>2.8800000000000003</v>
      </c>
      <c r="L28" s="138">
        <f>(B28-H28)^2+(C28-H29)^2</f>
        <v>2.8800000000000003</v>
      </c>
      <c r="M28" s="140">
        <f>(B28-I28)^2+(C28-I29)^2</f>
        <v>19.240000000000002</v>
      </c>
      <c r="O28" s="276">
        <f>IF(L28&lt;=M28,1,2)</f>
        <v>1</v>
      </c>
    </row>
    <row r="29" spans="2:15" ht="14.45" x14ac:dyDescent="0.35">
      <c r="B29" s="44">
        <v>5</v>
      </c>
      <c r="C29" s="247">
        <v>2</v>
      </c>
      <c r="E29" s="279">
        <f t="shared" ref="E29:E37" si="5">O17</f>
        <v>1</v>
      </c>
      <c r="G29" t="s">
        <v>392</v>
      </c>
      <c r="H29" s="91">
        <f>AVERAGEIF(E28:E37,H27,C28:C37)</f>
        <v>1.2</v>
      </c>
      <c r="I29" s="93">
        <f>AVERAGEIF(E28:E37,I27,C28:C37)</f>
        <v>3.2</v>
      </c>
      <c r="K29">
        <f t="shared" ref="K29:K37" si="6">MIN(L29:M29)</f>
        <v>2.0800000000000005</v>
      </c>
      <c r="L29" s="36">
        <f>(B29-H28)^2+(C29-H29)^2</f>
        <v>2.0800000000000005</v>
      </c>
      <c r="M29" s="90">
        <f>(B29-I28)^2+(C29-I29)^2</f>
        <v>10.440000000000001</v>
      </c>
      <c r="O29" s="279">
        <f t="shared" ref="O29:O37" si="7">IF(L29&lt;=M29,1,2)</f>
        <v>1</v>
      </c>
    </row>
    <row r="30" spans="2:15" ht="14.45" x14ac:dyDescent="0.35">
      <c r="B30" s="44">
        <v>3</v>
      </c>
      <c r="C30" s="247">
        <v>1</v>
      </c>
      <c r="E30" s="279">
        <f t="shared" si="5"/>
        <v>1</v>
      </c>
      <c r="K30">
        <f t="shared" si="6"/>
        <v>0.67999999999999972</v>
      </c>
      <c r="L30" s="36">
        <f>(B30-H28)^2+(C30-H29)^2</f>
        <v>0.67999999999999972</v>
      </c>
      <c r="M30" s="90">
        <f>(B30-I28)^2+(C30-I29)^2</f>
        <v>5.8400000000000007</v>
      </c>
      <c r="O30" s="279">
        <f t="shared" si="7"/>
        <v>1</v>
      </c>
    </row>
    <row r="31" spans="2:15" ht="14.45" x14ac:dyDescent="0.35">
      <c r="B31" s="44">
        <v>0</v>
      </c>
      <c r="C31" s="247">
        <v>4</v>
      </c>
      <c r="E31" s="279">
        <f t="shared" si="5"/>
        <v>2</v>
      </c>
      <c r="G31" t="s">
        <v>730</v>
      </c>
      <c r="H31" s="280">
        <f>SUM(K28:K37)</f>
        <v>26.04</v>
      </c>
      <c r="K31">
        <f t="shared" si="6"/>
        <v>4.6399999999999997</v>
      </c>
      <c r="L31" s="36">
        <f>(B31-H28)^2+(C31-H29)^2</f>
        <v>22.279999999999998</v>
      </c>
      <c r="M31" s="90">
        <f>(B31-I28)^2+(C31-I29)^2</f>
        <v>4.6399999999999997</v>
      </c>
      <c r="O31" s="279">
        <f t="shared" si="7"/>
        <v>2</v>
      </c>
    </row>
    <row r="32" spans="2:15" x14ac:dyDescent="0.25">
      <c r="B32" s="44">
        <v>2</v>
      </c>
      <c r="C32" s="247">
        <v>1</v>
      </c>
      <c r="E32" s="279">
        <f t="shared" si="5"/>
        <v>1</v>
      </c>
      <c r="K32">
        <f t="shared" si="6"/>
        <v>3.2799999999999994</v>
      </c>
      <c r="L32" s="36">
        <f>(B32-H28)^2+(C32-H29)^2</f>
        <v>3.2799999999999994</v>
      </c>
      <c r="M32" s="90">
        <f>(B32-I28)^2+(C32-I29)^2</f>
        <v>4.8400000000000007</v>
      </c>
      <c r="O32" s="279">
        <f t="shared" si="7"/>
        <v>1</v>
      </c>
    </row>
    <row r="33" spans="2:15" x14ac:dyDescent="0.25">
      <c r="B33" s="44">
        <v>4</v>
      </c>
      <c r="C33" s="247">
        <v>2</v>
      </c>
      <c r="E33" s="279">
        <f t="shared" si="5"/>
        <v>1</v>
      </c>
      <c r="G33" t="s">
        <v>731</v>
      </c>
      <c r="H33" s="280" t="b">
        <f t="array" ref="H33">AND(E28:E37=O28:O37)</f>
        <v>0</v>
      </c>
      <c r="K33">
        <f t="shared" si="6"/>
        <v>0.68000000000000016</v>
      </c>
      <c r="L33" s="36">
        <f>(B33-H28)^2+(C33-H29)^2</f>
        <v>0.68000000000000016</v>
      </c>
      <c r="M33" s="90">
        <f>(B33-I28)^2+(C33-I29)^2</f>
        <v>5.44</v>
      </c>
      <c r="O33" s="279">
        <f t="shared" si="7"/>
        <v>1</v>
      </c>
    </row>
    <row r="34" spans="2:15" x14ac:dyDescent="0.25">
      <c r="B34" s="44">
        <v>2</v>
      </c>
      <c r="C34" s="247">
        <v>2</v>
      </c>
      <c r="E34" s="279">
        <f t="shared" si="5"/>
        <v>2</v>
      </c>
      <c r="K34">
        <f t="shared" si="6"/>
        <v>1.4400000000000004</v>
      </c>
      <c r="L34" s="36">
        <f>(B34-H28)^2+(C34-H29)^2</f>
        <v>3.8799999999999994</v>
      </c>
      <c r="M34" s="90">
        <f>(B34-I28)^2+(C34-I29)^2</f>
        <v>1.4400000000000004</v>
      </c>
      <c r="O34" s="279">
        <f t="shared" si="7"/>
        <v>2</v>
      </c>
    </row>
    <row r="35" spans="2:15" x14ac:dyDescent="0.25">
      <c r="B35" s="44">
        <v>2</v>
      </c>
      <c r="C35" s="247">
        <v>3</v>
      </c>
      <c r="E35" s="279">
        <f t="shared" si="5"/>
        <v>2</v>
      </c>
      <c r="K35">
        <f t="shared" si="6"/>
        <v>4.000000000000007E-2</v>
      </c>
      <c r="L35" s="36">
        <f>(B35-H28)^2+(C35-H29)^2</f>
        <v>6.4799999999999995</v>
      </c>
      <c r="M35" s="90">
        <f>(B35-I28)^2+(C35-I29)^2</f>
        <v>4.000000000000007E-2</v>
      </c>
      <c r="O35" s="279">
        <f t="shared" si="7"/>
        <v>2</v>
      </c>
    </row>
    <row r="36" spans="2:15" x14ac:dyDescent="0.25">
      <c r="B36" s="44">
        <v>1</v>
      </c>
      <c r="C36" s="247">
        <v>3</v>
      </c>
      <c r="E36" s="279">
        <f t="shared" si="5"/>
        <v>2</v>
      </c>
      <c r="K36">
        <f t="shared" si="6"/>
        <v>1.04</v>
      </c>
      <c r="L36" s="36">
        <f>(B36-H28)^2+(C36-H29)^2</f>
        <v>11.079999999999998</v>
      </c>
      <c r="M36" s="90">
        <f>(B36-I28)^2+(C36-I29)^2</f>
        <v>1.04</v>
      </c>
      <c r="O36" s="279">
        <f t="shared" si="7"/>
        <v>2</v>
      </c>
    </row>
    <row r="37" spans="2:15" x14ac:dyDescent="0.25">
      <c r="B37" s="281">
        <v>5</v>
      </c>
      <c r="C37" s="250">
        <v>4</v>
      </c>
      <c r="E37" s="282">
        <f t="shared" si="5"/>
        <v>2</v>
      </c>
      <c r="K37">
        <f t="shared" si="6"/>
        <v>9.2799999999999994</v>
      </c>
      <c r="L37" s="91">
        <f>(B37-H28)^2+(C37-H29)^2</f>
        <v>9.2799999999999994</v>
      </c>
      <c r="M37" s="93">
        <f>(B37-I28)^2+(C37-I29)^2</f>
        <v>9.64</v>
      </c>
      <c r="O37" s="282">
        <f t="shared" si="7"/>
        <v>1</v>
      </c>
    </row>
    <row r="39" spans="2:15" x14ac:dyDescent="0.25">
      <c r="B39" s="32" t="s">
        <v>390</v>
      </c>
      <c r="C39" s="32" t="s">
        <v>392</v>
      </c>
      <c r="E39" s="32" t="s">
        <v>727</v>
      </c>
      <c r="G39" t="s">
        <v>728</v>
      </c>
      <c r="H39" s="47">
        <v>1</v>
      </c>
      <c r="I39" s="47">
        <v>2</v>
      </c>
      <c r="K39" s="47" t="s">
        <v>729</v>
      </c>
      <c r="L39">
        <v>1</v>
      </c>
      <c r="M39">
        <v>2</v>
      </c>
      <c r="O39" s="32" t="s">
        <v>727</v>
      </c>
    </row>
    <row r="40" spans="2:15" x14ac:dyDescent="0.25">
      <c r="B40" s="274">
        <v>5</v>
      </c>
      <c r="C40" s="275">
        <v>0</v>
      </c>
      <c r="E40" s="276">
        <f>O28</f>
        <v>1</v>
      </c>
      <c r="G40" t="s">
        <v>390</v>
      </c>
      <c r="H40" s="138">
        <f>AVERAGEIF(E40:E49,H39,B40:B49)</f>
        <v>4</v>
      </c>
      <c r="I40" s="140">
        <f>AVERAGEIF(E40:E49,I39,B40:B49)</f>
        <v>1.25</v>
      </c>
      <c r="K40">
        <f>MIN(L40:M40)</f>
        <v>3.7777777777777781</v>
      </c>
      <c r="L40" s="138">
        <f>(B40-H40)^2+(C40-H41)^2</f>
        <v>3.7777777777777781</v>
      </c>
      <c r="M40" s="140">
        <f>(B40-I40)^2+(C40-I41)^2</f>
        <v>23.0625</v>
      </c>
      <c r="O40" s="276">
        <f>IF(L40&lt;=M40,1,2)</f>
        <v>1</v>
      </c>
    </row>
    <row r="41" spans="2:15" x14ac:dyDescent="0.25">
      <c r="B41" s="44">
        <v>5</v>
      </c>
      <c r="C41" s="247">
        <v>2</v>
      </c>
      <c r="E41" s="279">
        <f t="shared" ref="E41:E49" si="8">O29</f>
        <v>1</v>
      </c>
      <c r="G41" t="s">
        <v>392</v>
      </c>
      <c r="H41" s="91">
        <f>AVERAGEIF(E40:E49,H39,C40:C49)</f>
        <v>1.6666666666666667</v>
      </c>
      <c r="I41" s="93">
        <f>AVERAGEIF(E40:E49,I39,C40:C49)</f>
        <v>3</v>
      </c>
      <c r="K41">
        <f t="shared" ref="K41:K49" si="9">MIN(L41:M41)</f>
        <v>1.1111111111111112</v>
      </c>
      <c r="L41" s="36">
        <f>(B41-H40)^2+(C41-H41)^2</f>
        <v>1.1111111111111112</v>
      </c>
      <c r="M41" s="90">
        <f>(B41-I40)^2+(C41-I41)^2</f>
        <v>15.0625</v>
      </c>
      <c r="O41" s="279">
        <f t="shared" ref="O41:O49" si="10">IF(L41&lt;=M41,1,2)</f>
        <v>1</v>
      </c>
    </row>
    <row r="42" spans="2:15" x14ac:dyDescent="0.25">
      <c r="B42" s="44">
        <v>3</v>
      </c>
      <c r="C42" s="247">
        <v>1</v>
      </c>
      <c r="E42" s="279">
        <f t="shared" si="8"/>
        <v>1</v>
      </c>
      <c r="K42">
        <f t="shared" si="9"/>
        <v>1.4444444444444446</v>
      </c>
      <c r="L42" s="36">
        <f>(B42-H40)^2+(C42-H41)^2</f>
        <v>1.4444444444444446</v>
      </c>
      <c r="M42" s="90">
        <f>(B42-I40)^2+(C42-I41)^2</f>
        <v>7.0625</v>
      </c>
      <c r="O42" s="279">
        <f t="shared" si="10"/>
        <v>1</v>
      </c>
    </row>
    <row r="43" spans="2:15" x14ac:dyDescent="0.25">
      <c r="B43" s="44">
        <v>0</v>
      </c>
      <c r="C43" s="247">
        <v>4</v>
      </c>
      <c r="E43" s="279">
        <f t="shared" si="8"/>
        <v>2</v>
      </c>
      <c r="G43" t="s">
        <v>730</v>
      </c>
      <c r="H43" s="280">
        <f>SUM(K40:K49)</f>
        <v>22.083333333333332</v>
      </c>
      <c r="K43">
        <f t="shared" si="9"/>
        <v>2.5625</v>
      </c>
      <c r="L43" s="36">
        <f>(B43-H40)^2+(C43-H41)^2</f>
        <v>21.444444444444443</v>
      </c>
      <c r="M43" s="90">
        <f>(B43-I40)^2+(C43-I41)^2</f>
        <v>2.5625</v>
      </c>
      <c r="O43" s="279">
        <f t="shared" si="10"/>
        <v>2</v>
      </c>
    </row>
    <row r="44" spans="2:15" x14ac:dyDescent="0.25">
      <c r="B44" s="44">
        <v>2</v>
      </c>
      <c r="C44" s="247">
        <v>1</v>
      </c>
      <c r="E44" s="279">
        <f t="shared" si="8"/>
        <v>1</v>
      </c>
      <c r="K44">
        <f t="shared" si="9"/>
        <v>4.4444444444444446</v>
      </c>
      <c r="L44" s="36">
        <f>(B44-H40)^2+(C44-H41)^2</f>
        <v>4.4444444444444446</v>
      </c>
      <c r="M44" s="90">
        <f>(B44-I40)^2+(C44-I41)^2</f>
        <v>4.5625</v>
      </c>
      <c r="O44" s="279">
        <f t="shared" si="10"/>
        <v>1</v>
      </c>
    </row>
    <row r="45" spans="2:15" x14ac:dyDescent="0.25">
      <c r="B45" s="44">
        <v>4</v>
      </c>
      <c r="C45" s="247">
        <v>2</v>
      </c>
      <c r="E45" s="279">
        <f t="shared" si="8"/>
        <v>1</v>
      </c>
      <c r="G45" t="s">
        <v>731</v>
      </c>
      <c r="H45" s="280" t="b">
        <f t="array" ref="H45">AND(E40:E49=O40:O49)</f>
        <v>1</v>
      </c>
      <c r="K45">
        <f t="shared" si="9"/>
        <v>0.11111111111111106</v>
      </c>
      <c r="L45" s="36">
        <f>(B45-H40)^2+(C45-H41)^2</f>
        <v>0.11111111111111106</v>
      </c>
      <c r="M45" s="90">
        <f>(B45-I40)^2+(C45-I41)^2</f>
        <v>8.5625</v>
      </c>
      <c r="O45" s="279">
        <f t="shared" si="10"/>
        <v>1</v>
      </c>
    </row>
    <row r="46" spans="2:15" x14ac:dyDescent="0.25">
      <c r="B46" s="44">
        <v>2</v>
      </c>
      <c r="C46" s="247">
        <v>2</v>
      </c>
      <c r="E46" s="279">
        <f t="shared" si="8"/>
        <v>2</v>
      </c>
      <c r="K46">
        <f t="shared" si="9"/>
        <v>1.5625</v>
      </c>
      <c r="L46" s="36">
        <f>(B46-H40)^2+(C46-H41)^2</f>
        <v>4.1111111111111107</v>
      </c>
      <c r="M46" s="90">
        <f>(B46-I40)^2+(C46-I41)^2</f>
        <v>1.5625</v>
      </c>
      <c r="O46" s="279">
        <f t="shared" si="10"/>
        <v>2</v>
      </c>
    </row>
    <row r="47" spans="2:15" x14ac:dyDescent="0.25">
      <c r="B47" s="44">
        <v>2</v>
      </c>
      <c r="C47" s="247">
        <v>3</v>
      </c>
      <c r="E47" s="279">
        <f t="shared" si="8"/>
        <v>2</v>
      </c>
      <c r="K47">
        <f t="shared" si="9"/>
        <v>0.5625</v>
      </c>
      <c r="L47" s="36">
        <f>(B47-H40)^2+(C47-H41)^2</f>
        <v>5.7777777777777777</v>
      </c>
      <c r="M47" s="90">
        <f>(B47-I40)^2+(C47-I41)^2</f>
        <v>0.5625</v>
      </c>
      <c r="O47" s="279">
        <f t="shared" si="10"/>
        <v>2</v>
      </c>
    </row>
    <row r="48" spans="2:15" x14ac:dyDescent="0.25">
      <c r="B48" s="44">
        <v>1</v>
      </c>
      <c r="C48" s="247">
        <v>3</v>
      </c>
      <c r="E48" s="279">
        <f t="shared" si="8"/>
        <v>2</v>
      </c>
      <c r="K48">
        <f t="shared" si="9"/>
        <v>6.25E-2</v>
      </c>
      <c r="L48" s="36">
        <f>(B48-H40)^2+(C48-H41)^2</f>
        <v>10.777777777777779</v>
      </c>
      <c r="M48" s="90">
        <f>(B48-I40)^2+(C48-I41)^2</f>
        <v>6.25E-2</v>
      </c>
      <c r="O48" s="279">
        <f t="shared" si="10"/>
        <v>2</v>
      </c>
    </row>
    <row r="49" spans="2:15" x14ac:dyDescent="0.25">
      <c r="B49" s="281">
        <v>5</v>
      </c>
      <c r="C49" s="250">
        <v>4</v>
      </c>
      <c r="E49" s="282">
        <f t="shared" si="8"/>
        <v>1</v>
      </c>
      <c r="K49">
        <f t="shared" si="9"/>
        <v>6.4444444444444429</v>
      </c>
      <c r="L49" s="91">
        <f>(B49-H40)^2+(C49-H41)^2</f>
        <v>6.4444444444444429</v>
      </c>
      <c r="M49" s="93">
        <f>(B49-I40)^2+(C49-I41)^2</f>
        <v>15.0625</v>
      </c>
      <c r="O49" s="282">
        <f t="shared" si="10"/>
        <v>1</v>
      </c>
    </row>
  </sheetData>
  <pageMargins left="0.7" right="0.7" top="0.75" bottom="0.75" header="0.3" footer="0.3"/>
  <drawing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7"/>
  <dimension ref="B1:P13"/>
  <sheetViews>
    <sheetView workbookViewId="0">
      <selection activeCell="B1" sqref="B1"/>
    </sheetView>
  </sheetViews>
  <sheetFormatPr defaultRowHeight="15" x14ac:dyDescent="0.25"/>
  <cols>
    <col min="1" max="1" width="1.85546875" customWidth="1"/>
    <col min="2" max="3" width="7.7109375" customWidth="1"/>
    <col min="4" max="4" width="3.7109375" customWidth="1"/>
    <col min="5" max="5" width="7.7109375" customWidth="1"/>
  </cols>
  <sheetData>
    <row r="1" spans="2:16" x14ac:dyDescent="0.35">
      <c r="B1" s="42" t="s">
        <v>732</v>
      </c>
    </row>
    <row r="3" spans="2:16" x14ac:dyDescent="0.35">
      <c r="B3" s="32" t="s">
        <v>390</v>
      </c>
      <c r="C3" s="32" t="s">
        <v>392</v>
      </c>
      <c r="E3" s="32" t="s">
        <v>727</v>
      </c>
      <c r="H3" s="47" t="s">
        <v>727</v>
      </c>
      <c r="J3" t="s">
        <v>728</v>
      </c>
      <c r="K3">
        <v>1</v>
      </c>
      <c r="L3">
        <f>K3+1</f>
        <v>2</v>
      </c>
      <c r="N3">
        <v>1</v>
      </c>
      <c r="O3">
        <f>N3+1</f>
        <v>2</v>
      </c>
      <c r="P3" s="47" t="s">
        <v>729</v>
      </c>
    </row>
    <row r="4" spans="2:16" x14ac:dyDescent="0.35">
      <c r="B4" s="274">
        <v>5</v>
      </c>
      <c r="C4" s="275">
        <v>0</v>
      </c>
      <c r="E4" s="276">
        <v>1</v>
      </c>
      <c r="G4">
        <v>1</v>
      </c>
      <c r="H4" s="132">
        <f t="array" ref="H4:H13">[1]!CLUST(B4:C13,K7,E4:E13)</f>
        <v>1</v>
      </c>
      <c r="J4" t="str">
        <f t="array" ref="J4:J5">TRANSPOSE(B3:C3)</f>
        <v>X</v>
      </c>
      <c r="K4" s="149">
        <f>AVERAGEIF($H$4:$H$13,K$3,$B$4:$B$13)</f>
        <v>4</v>
      </c>
      <c r="L4" s="82">
        <f>AVERAGEIF($H$4:$H$13,L$3,$B$4:$B$13)</f>
        <v>1.25</v>
      </c>
      <c r="N4" s="149">
        <f>SUMXMY2($B4:$C4,K$4:K$5)</f>
        <v>3.7777777777777781</v>
      </c>
      <c r="O4" s="82">
        <f>SUMXMY2($B4:$C4,L$4:L$5)</f>
        <v>23.0625</v>
      </c>
      <c r="P4" s="132">
        <f>MIN(N4:O4)</f>
        <v>3.7777777777777781</v>
      </c>
    </row>
    <row r="5" spans="2:16" x14ac:dyDescent="0.35">
      <c r="B5" s="44">
        <v>5</v>
      </c>
      <c r="C5" s="247">
        <v>2</v>
      </c>
      <c r="E5" s="279">
        <v>2</v>
      </c>
      <c r="G5">
        <f>G4+1</f>
        <v>2</v>
      </c>
      <c r="H5" s="98">
        <v>1</v>
      </c>
      <c r="J5" t="str">
        <v>Y</v>
      </c>
      <c r="K5" s="85">
        <f>AVERAGEIF($H$4:$H$13,K$3,$C$4:$C$13)</f>
        <v>1.6666666666666667</v>
      </c>
      <c r="L5" s="87">
        <f>AVERAGEIF($H$4:$H$13,L$3,$C$4:$C$13)</f>
        <v>3</v>
      </c>
      <c r="N5" s="83">
        <f t="shared" ref="N5:O13" si="0">SUMXMY2($B5:$C5,K$4:K$5)</f>
        <v>1.1111111111111112</v>
      </c>
      <c r="O5" s="84">
        <f t="shared" si="0"/>
        <v>15.0625</v>
      </c>
      <c r="P5" s="98">
        <f t="shared" ref="P5:P13" si="1">MIN(N5:O5)</f>
        <v>1.1111111111111112</v>
      </c>
    </row>
    <row r="6" spans="2:16" x14ac:dyDescent="0.35">
      <c r="B6" s="44">
        <v>3</v>
      </c>
      <c r="C6" s="283">
        <v>1</v>
      </c>
      <c r="E6" s="279">
        <v>1</v>
      </c>
      <c r="G6">
        <f t="shared" ref="G6:G13" si="2">G5+1</f>
        <v>3</v>
      </c>
      <c r="H6" s="98">
        <v>1</v>
      </c>
      <c r="N6" s="83">
        <f t="shared" si="0"/>
        <v>1.4444444444444446</v>
      </c>
      <c r="O6" s="84">
        <f t="shared" si="0"/>
        <v>7.0625</v>
      </c>
      <c r="P6" s="98">
        <f t="shared" si="1"/>
        <v>1.4444444444444446</v>
      </c>
    </row>
    <row r="7" spans="2:16" x14ac:dyDescent="0.35">
      <c r="B7" s="44">
        <v>0</v>
      </c>
      <c r="C7" s="283">
        <v>4</v>
      </c>
      <c r="E7" s="279">
        <v>2</v>
      </c>
      <c r="G7">
        <f t="shared" si="2"/>
        <v>4</v>
      </c>
      <c r="H7" s="98">
        <v>2</v>
      </c>
      <c r="J7" t="s">
        <v>53</v>
      </c>
      <c r="K7" s="137">
        <v>2</v>
      </c>
      <c r="N7" s="83">
        <f t="shared" si="0"/>
        <v>21.444444444444443</v>
      </c>
      <c r="O7" s="84">
        <f t="shared" si="0"/>
        <v>2.5625</v>
      </c>
      <c r="P7" s="98">
        <f t="shared" si="1"/>
        <v>2.5625</v>
      </c>
    </row>
    <row r="8" spans="2:16" x14ac:dyDescent="0.35">
      <c r="B8" s="44">
        <v>2</v>
      </c>
      <c r="C8" s="283">
        <v>1</v>
      </c>
      <c r="E8" s="279">
        <v>1</v>
      </c>
      <c r="G8">
        <f t="shared" si="2"/>
        <v>5</v>
      </c>
      <c r="H8" s="98">
        <v>1</v>
      </c>
      <c r="N8" s="83">
        <f t="shared" si="0"/>
        <v>4.4444444444444446</v>
      </c>
      <c r="O8" s="84">
        <f t="shared" si="0"/>
        <v>4.5625</v>
      </c>
      <c r="P8" s="98">
        <f t="shared" si="1"/>
        <v>4.4444444444444446</v>
      </c>
    </row>
    <row r="9" spans="2:16" x14ac:dyDescent="0.35">
      <c r="B9" s="44">
        <v>4</v>
      </c>
      <c r="C9" s="283">
        <v>2</v>
      </c>
      <c r="E9" s="279">
        <v>2</v>
      </c>
      <c r="G9">
        <f t="shared" si="2"/>
        <v>6</v>
      </c>
      <c r="H9" s="98">
        <v>1</v>
      </c>
      <c r="J9" t="s">
        <v>733</v>
      </c>
      <c r="K9" s="137">
        <v>10</v>
      </c>
      <c r="N9" s="83">
        <f t="shared" si="0"/>
        <v>0.11111111111111106</v>
      </c>
      <c r="O9" s="84">
        <f t="shared" si="0"/>
        <v>8.5625</v>
      </c>
      <c r="P9" s="98">
        <f t="shared" si="1"/>
        <v>0.11111111111111106</v>
      </c>
    </row>
    <row r="10" spans="2:16" x14ac:dyDescent="0.35">
      <c r="B10" s="44">
        <v>2</v>
      </c>
      <c r="C10" s="283">
        <v>2</v>
      </c>
      <c r="E10" s="279">
        <v>1</v>
      </c>
      <c r="G10">
        <f t="shared" si="2"/>
        <v>7</v>
      </c>
      <c r="H10" s="98">
        <v>2</v>
      </c>
      <c r="N10" s="83">
        <f t="shared" si="0"/>
        <v>4.1111111111111107</v>
      </c>
      <c r="O10" s="84">
        <f t="shared" si="0"/>
        <v>1.5625</v>
      </c>
      <c r="P10" s="98">
        <f t="shared" si="1"/>
        <v>1.5625</v>
      </c>
    </row>
    <row r="11" spans="2:16" x14ac:dyDescent="0.35">
      <c r="B11" s="44">
        <v>2</v>
      </c>
      <c r="C11" s="283">
        <v>3</v>
      </c>
      <c r="E11" s="279">
        <v>2</v>
      </c>
      <c r="G11">
        <f t="shared" si="2"/>
        <v>8</v>
      </c>
      <c r="H11" s="98">
        <v>2</v>
      </c>
      <c r="J11" t="s">
        <v>730</v>
      </c>
      <c r="K11" s="137">
        <f>SUM(P4:P13)</f>
        <v>22.083333333333332</v>
      </c>
      <c r="N11" s="83">
        <f t="shared" si="0"/>
        <v>5.7777777777777777</v>
      </c>
      <c r="O11" s="84">
        <f t="shared" si="0"/>
        <v>0.5625</v>
      </c>
      <c r="P11" s="98">
        <f t="shared" si="1"/>
        <v>0.5625</v>
      </c>
    </row>
    <row r="12" spans="2:16" x14ac:dyDescent="0.35">
      <c r="B12" s="44">
        <v>1</v>
      </c>
      <c r="C12" s="283">
        <v>3</v>
      </c>
      <c r="E12" s="279">
        <v>1</v>
      </c>
      <c r="G12">
        <f t="shared" si="2"/>
        <v>9</v>
      </c>
      <c r="H12" s="98">
        <v>2</v>
      </c>
      <c r="N12" s="83">
        <f t="shared" si="0"/>
        <v>10.777777777777779</v>
      </c>
      <c r="O12" s="84">
        <f t="shared" si="0"/>
        <v>6.25E-2</v>
      </c>
      <c r="P12" s="98">
        <f t="shared" si="1"/>
        <v>6.25E-2</v>
      </c>
    </row>
    <row r="13" spans="2:16" x14ac:dyDescent="0.35">
      <c r="B13" s="45">
        <v>5</v>
      </c>
      <c r="C13" s="284">
        <v>4</v>
      </c>
      <c r="E13" s="285">
        <v>2</v>
      </c>
      <c r="G13">
        <f t="shared" si="2"/>
        <v>10</v>
      </c>
      <c r="H13" s="99">
        <v>1</v>
      </c>
      <c r="N13" s="85">
        <f t="shared" si="0"/>
        <v>6.4444444444444429</v>
      </c>
      <c r="O13" s="87">
        <f t="shared" si="0"/>
        <v>15.0625</v>
      </c>
      <c r="P13" s="99">
        <f t="shared" si="1"/>
        <v>6.4444444444444429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8"/>
  <dimension ref="B1:T18"/>
  <sheetViews>
    <sheetView workbookViewId="0"/>
  </sheetViews>
  <sheetFormatPr defaultRowHeight="15" x14ac:dyDescent="0.25"/>
  <cols>
    <col min="1" max="1" width="1.42578125" customWidth="1"/>
    <col min="2" max="5" width="7.28515625" customWidth="1"/>
    <col min="6" max="6" width="4.85546875" customWidth="1"/>
    <col min="7" max="7" width="7.28515625" customWidth="1"/>
    <col min="11" max="11" width="5.28515625" customWidth="1"/>
    <col min="16" max="16" width="5.42578125" customWidth="1"/>
  </cols>
  <sheetData>
    <row r="1" spans="2:20" x14ac:dyDescent="0.35">
      <c r="B1" s="42" t="s">
        <v>732</v>
      </c>
    </row>
    <row r="3" spans="2:20" x14ac:dyDescent="0.35">
      <c r="B3" s="32" t="s">
        <v>278</v>
      </c>
      <c r="C3" s="32" t="s">
        <v>390</v>
      </c>
      <c r="D3" s="32" t="s">
        <v>392</v>
      </c>
      <c r="E3" s="32" t="s">
        <v>734</v>
      </c>
      <c r="F3" s="32"/>
      <c r="G3" s="32" t="s">
        <v>727</v>
      </c>
      <c r="J3" s="47" t="s">
        <v>727</v>
      </c>
      <c r="L3" t="s">
        <v>728</v>
      </c>
      <c r="M3">
        <v>1</v>
      </c>
      <c r="N3">
        <f>M3+1</f>
        <v>2</v>
      </c>
      <c r="O3">
        <f>N3+1</f>
        <v>3</v>
      </c>
      <c r="Q3">
        <v>1</v>
      </c>
      <c r="R3">
        <f>Q3+1</f>
        <v>2</v>
      </c>
      <c r="S3">
        <f>R3+1</f>
        <v>3</v>
      </c>
      <c r="T3" s="47" t="s">
        <v>729</v>
      </c>
    </row>
    <row r="4" spans="2:20" x14ac:dyDescent="0.35">
      <c r="B4" s="274">
        <v>1</v>
      </c>
      <c r="C4" s="145">
        <v>4</v>
      </c>
      <c r="D4" s="145">
        <v>0</v>
      </c>
      <c r="E4" s="275">
        <v>3</v>
      </c>
      <c r="F4" s="32"/>
      <c r="G4" s="276">
        <v>1</v>
      </c>
      <c r="I4">
        <v>1</v>
      </c>
      <c r="J4" s="132">
        <f t="array" ref="J4:J18">[1]!CLUST(B4:E18,M9,G4:G18)</f>
        <v>2</v>
      </c>
      <c r="L4" t="str">
        <f t="array" ref="L4:L7">TRANSPOSE(B3:E3)</f>
        <v>W</v>
      </c>
      <c r="M4" s="149">
        <f>AVERAGEIF($J$4:$J$18,M$3,$B$4:$B$18)</f>
        <v>4.25</v>
      </c>
      <c r="N4" s="286">
        <f>AVERAGEIF($J$4:$J$18,N$3,$B$4:$B$18)</f>
        <v>1.5</v>
      </c>
      <c r="O4" s="82">
        <f>AVERAGEIF($J$4:$J$18,O$3,$B$4:$B$18)</f>
        <v>3</v>
      </c>
      <c r="Q4" s="149">
        <f>SUMXMY2($B4:$E4,M$4:M$7)</f>
        <v>20.8125</v>
      </c>
      <c r="R4" s="286">
        <f t="shared" ref="R4:S18" si="0">SUMXMY2($B4:$E4,N$4:N$7)</f>
        <v>7.9444444444444446</v>
      </c>
      <c r="S4" s="82">
        <f t="shared" si="0"/>
        <v>25.24</v>
      </c>
      <c r="T4" s="132">
        <f>MIN(Q4:S4)</f>
        <v>7.9444444444444446</v>
      </c>
    </row>
    <row r="5" spans="2:20" x14ac:dyDescent="0.35">
      <c r="B5" s="44">
        <v>2</v>
      </c>
      <c r="C5" s="73">
        <v>5</v>
      </c>
      <c r="D5" s="73">
        <v>3</v>
      </c>
      <c r="E5" s="247">
        <v>4</v>
      </c>
      <c r="F5" s="32"/>
      <c r="G5" s="279">
        <v>2</v>
      </c>
      <c r="I5">
        <f>I4+1</f>
        <v>2</v>
      </c>
      <c r="J5" s="98">
        <v>2</v>
      </c>
      <c r="L5" t="str">
        <v>X</v>
      </c>
      <c r="M5" s="83">
        <f>AVERAGEIF($J$4:$J$18,M$3,$C$4:$C$18)</f>
        <v>2</v>
      </c>
      <c r="N5" s="37">
        <f>AVERAGEIF($J$4:$J$18,N$3,$C$4:$C$18)</f>
        <v>3.3333333333333335</v>
      </c>
      <c r="O5" s="84">
        <f>AVERAGEIF($J$4:$J$18,O$3,$C$4:$C$18)</f>
        <v>2.2000000000000002</v>
      </c>
      <c r="Q5" s="83">
        <f t="shared" ref="Q5:Q18" si="1">SUMXMY2($B5:$E5,M$4:M$7)</f>
        <v>21.3125</v>
      </c>
      <c r="R5" s="37">
        <f t="shared" si="0"/>
        <v>3.2777777777777772</v>
      </c>
      <c r="S5" s="84">
        <f t="shared" si="0"/>
        <v>10.440000000000001</v>
      </c>
      <c r="T5" s="98">
        <f t="shared" ref="T5:T18" si="2">MIN(Q5:S5)</f>
        <v>3.2777777777777772</v>
      </c>
    </row>
    <row r="6" spans="2:20" x14ac:dyDescent="0.35">
      <c r="B6" s="44">
        <v>4</v>
      </c>
      <c r="C6" s="73">
        <v>2</v>
      </c>
      <c r="D6" s="73">
        <v>1</v>
      </c>
      <c r="E6" s="283">
        <v>2</v>
      </c>
      <c r="F6" s="32"/>
      <c r="G6" s="279">
        <v>3</v>
      </c>
      <c r="I6">
        <f t="shared" ref="I6:I18" si="3">I5+1</f>
        <v>3</v>
      </c>
      <c r="J6" s="98">
        <v>1</v>
      </c>
      <c r="L6" t="str">
        <v>Y</v>
      </c>
      <c r="M6" s="83">
        <f>AVERAGEIF($J$4:$J$18,M$3,$D$4:$D$18)</f>
        <v>2</v>
      </c>
      <c r="N6" s="37">
        <f>AVERAGEIF($J$4:$J$18,N$3,$D$4:$D$18)</f>
        <v>2.5</v>
      </c>
      <c r="O6" s="84">
        <f>AVERAGEIF($J$4:$J$18,O$3,$D$4:$D$18)</f>
        <v>4.2</v>
      </c>
      <c r="Q6" s="83">
        <f t="shared" si="1"/>
        <v>1.3125</v>
      </c>
      <c r="R6" s="37">
        <f t="shared" si="0"/>
        <v>14.277777777777779</v>
      </c>
      <c r="S6" s="84">
        <f t="shared" si="0"/>
        <v>13.840000000000002</v>
      </c>
      <c r="T6" s="98">
        <f t="shared" si="2"/>
        <v>1.3125</v>
      </c>
    </row>
    <row r="7" spans="2:20" x14ac:dyDescent="0.35">
      <c r="B7" s="44">
        <v>1</v>
      </c>
      <c r="C7" s="73">
        <v>0</v>
      </c>
      <c r="D7" s="73">
        <v>5</v>
      </c>
      <c r="E7" s="287">
        <v>3</v>
      </c>
      <c r="F7" s="32"/>
      <c r="G7" s="279">
        <v>1</v>
      </c>
      <c r="I7">
        <f t="shared" si="3"/>
        <v>4</v>
      </c>
      <c r="J7" s="98">
        <v>3</v>
      </c>
      <c r="L7" t="str">
        <v>Z</v>
      </c>
      <c r="M7" s="85">
        <f>AVERAGEIF($J$4:$J$18,M$3,$E$4:$E$18)</f>
        <v>1.5</v>
      </c>
      <c r="N7" s="86">
        <f>AVERAGEIF($J$4:$J$18,N$3,$E$4:$E$18)</f>
        <v>4</v>
      </c>
      <c r="O7" s="87">
        <f>AVERAGEIF($J$4:$J$18,O$3,$E$4:$E$18)</f>
        <v>3.6</v>
      </c>
      <c r="Q7" s="83">
        <f t="shared" si="1"/>
        <v>25.8125</v>
      </c>
      <c r="R7" s="37">
        <f t="shared" si="0"/>
        <v>18.611111111111114</v>
      </c>
      <c r="S7" s="84">
        <f t="shared" si="0"/>
        <v>9.84</v>
      </c>
      <c r="T7" s="98">
        <f t="shared" si="2"/>
        <v>9.84</v>
      </c>
    </row>
    <row r="8" spans="2:20" x14ac:dyDescent="0.35">
      <c r="B8" s="44">
        <v>2</v>
      </c>
      <c r="C8" s="73">
        <v>1</v>
      </c>
      <c r="D8" s="73">
        <v>1</v>
      </c>
      <c r="E8" s="287">
        <v>4</v>
      </c>
      <c r="F8" s="32"/>
      <c r="G8" s="279">
        <v>2</v>
      </c>
      <c r="I8">
        <f t="shared" si="3"/>
        <v>5</v>
      </c>
      <c r="J8" s="98">
        <v>2</v>
      </c>
      <c r="Q8" s="83">
        <f t="shared" si="1"/>
        <v>13.3125</v>
      </c>
      <c r="R8" s="37">
        <f t="shared" si="0"/>
        <v>7.9444444444444455</v>
      </c>
      <c r="S8" s="84">
        <f t="shared" si="0"/>
        <v>12.840000000000003</v>
      </c>
      <c r="T8" s="98">
        <f t="shared" si="2"/>
        <v>7.9444444444444455</v>
      </c>
    </row>
    <row r="9" spans="2:20" x14ac:dyDescent="0.35">
      <c r="B9" s="44">
        <v>4</v>
      </c>
      <c r="C9" s="73">
        <v>3</v>
      </c>
      <c r="D9" s="73">
        <v>3</v>
      </c>
      <c r="E9" s="287">
        <v>0</v>
      </c>
      <c r="F9" s="32"/>
      <c r="G9" s="279">
        <v>3</v>
      </c>
      <c r="I9">
        <f t="shared" si="3"/>
        <v>6</v>
      </c>
      <c r="J9" s="98">
        <v>1</v>
      </c>
      <c r="L9" t="s">
        <v>53</v>
      </c>
      <c r="M9" s="137">
        <v>3</v>
      </c>
      <c r="Q9" s="83">
        <f t="shared" si="1"/>
        <v>4.3125</v>
      </c>
      <c r="R9" s="37">
        <f t="shared" si="0"/>
        <v>22.611111111111111</v>
      </c>
      <c r="S9" s="84">
        <f t="shared" si="0"/>
        <v>16.04</v>
      </c>
      <c r="T9" s="98">
        <f t="shared" si="2"/>
        <v>4.3125</v>
      </c>
    </row>
    <row r="10" spans="2:20" x14ac:dyDescent="0.35">
      <c r="B10" s="44">
        <v>5</v>
      </c>
      <c r="C10" s="73">
        <v>2</v>
      </c>
      <c r="D10" s="73">
        <v>2</v>
      </c>
      <c r="E10" s="287">
        <v>1</v>
      </c>
      <c r="F10" s="32"/>
      <c r="G10" s="279">
        <v>1</v>
      </c>
      <c r="I10">
        <f t="shared" si="3"/>
        <v>7</v>
      </c>
      <c r="J10" s="98">
        <v>1</v>
      </c>
      <c r="Q10" s="83">
        <f t="shared" si="1"/>
        <v>0.8125</v>
      </c>
      <c r="R10" s="37">
        <f t="shared" si="0"/>
        <v>23.277777777777779</v>
      </c>
      <c r="S10" s="84">
        <f t="shared" si="0"/>
        <v>15.64</v>
      </c>
      <c r="T10" s="98">
        <f t="shared" si="2"/>
        <v>0.8125</v>
      </c>
    </row>
    <row r="11" spans="2:20" x14ac:dyDescent="0.35">
      <c r="B11" s="44">
        <v>1</v>
      </c>
      <c r="C11" s="73">
        <v>2</v>
      </c>
      <c r="D11" s="73">
        <v>4</v>
      </c>
      <c r="E11" s="287">
        <v>5</v>
      </c>
      <c r="F11" s="32"/>
      <c r="G11" s="279">
        <v>2</v>
      </c>
      <c r="I11">
        <f t="shared" si="3"/>
        <v>8</v>
      </c>
      <c r="J11" s="98">
        <v>2</v>
      </c>
      <c r="L11" t="s">
        <v>733</v>
      </c>
      <c r="M11" s="137">
        <v>10</v>
      </c>
      <c r="Q11" s="83">
        <f t="shared" si="1"/>
        <v>26.8125</v>
      </c>
      <c r="R11" s="37">
        <f t="shared" si="0"/>
        <v>5.2777777777777786</v>
      </c>
      <c r="S11" s="84">
        <f t="shared" si="0"/>
        <v>6.04</v>
      </c>
      <c r="T11" s="98">
        <f t="shared" si="2"/>
        <v>5.2777777777777786</v>
      </c>
    </row>
    <row r="12" spans="2:20" x14ac:dyDescent="0.35">
      <c r="B12" s="44">
        <v>2</v>
      </c>
      <c r="C12" s="73">
        <v>1</v>
      </c>
      <c r="D12" s="73">
        <v>3</v>
      </c>
      <c r="E12" s="287">
        <v>4</v>
      </c>
      <c r="F12" s="32"/>
      <c r="G12" s="279">
        <v>3</v>
      </c>
      <c r="I12">
        <f t="shared" si="3"/>
        <v>9</v>
      </c>
      <c r="J12" s="98">
        <v>3</v>
      </c>
      <c r="Q12" s="83">
        <f t="shared" si="1"/>
        <v>13.3125</v>
      </c>
      <c r="R12" s="37">
        <f t="shared" si="0"/>
        <v>5.9444444444444455</v>
      </c>
      <c r="S12" s="84">
        <f t="shared" si="0"/>
        <v>4.0400000000000009</v>
      </c>
      <c r="T12" s="98">
        <f t="shared" si="2"/>
        <v>4.0400000000000009</v>
      </c>
    </row>
    <row r="13" spans="2:20" x14ac:dyDescent="0.35">
      <c r="B13" s="44">
        <v>4</v>
      </c>
      <c r="C13" s="73">
        <v>5</v>
      </c>
      <c r="D13" s="73">
        <v>4</v>
      </c>
      <c r="E13" s="287">
        <v>2</v>
      </c>
      <c r="F13" s="32"/>
      <c r="G13" s="279">
        <v>1</v>
      </c>
      <c r="I13">
        <f t="shared" si="3"/>
        <v>10</v>
      </c>
      <c r="J13" s="98">
        <v>3</v>
      </c>
      <c r="L13" t="s">
        <v>730</v>
      </c>
      <c r="M13" s="137">
        <f>SUM(T4:T18)</f>
        <v>80.88333333333334</v>
      </c>
      <c r="Q13" s="83">
        <f t="shared" si="1"/>
        <v>13.3125</v>
      </c>
      <c r="R13" s="37">
        <f t="shared" si="0"/>
        <v>15.277777777777777</v>
      </c>
      <c r="S13" s="84">
        <f t="shared" si="0"/>
        <v>11.440000000000001</v>
      </c>
      <c r="T13" s="98">
        <f t="shared" si="2"/>
        <v>11.440000000000001</v>
      </c>
    </row>
    <row r="14" spans="2:20" x14ac:dyDescent="0.35">
      <c r="B14" s="44">
        <v>3</v>
      </c>
      <c r="C14" s="186">
        <v>3</v>
      </c>
      <c r="D14" s="186">
        <v>2</v>
      </c>
      <c r="E14" s="283">
        <v>4</v>
      </c>
      <c r="F14" s="32"/>
      <c r="G14" s="279">
        <v>2</v>
      </c>
      <c r="I14">
        <f t="shared" si="3"/>
        <v>11</v>
      </c>
      <c r="J14" s="98">
        <v>2</v>
      </c>
      <c r="Q14" s="83">
        <f t="shared" si="1"/>
        <v>8.8125</v>
      </c>
      <c r="R14" s="37">
        <f t="shared" si="0"/>
        <v>2.6111111111111112</v>
      </c>
      <c r="S14" s="84">
        <f t="shared" si="0"/>
        <v>5.6400000000000006</v>
      </c>
      <c r="T14" s="98">
        <f t="shared" si="2"/>
        <v>2.6111111111111112</v>
      </c>
    </row>
    <row r="15" spans="2:20" x14ac:dyDescent="0.35">
      <c r="B15" s="44">
        <v>3</v>
      </c>
      <c r="C15" s="186">
        <v>3</v>
      </c>
      <c r="D15" s="186">
        <v>5</v>
      </c>
      <c r="E15" s="283">
        <v>4</v>
      </c>
      <c r="F15" s="32"/>
      <c r="G15" s="279">
        <v>3</v>
      </c>
      <c r="I15">
        <f t="shared" si="3"/>
        <v>12</v>
      </c>
      <c r="J15" s="98">
        <v>3</v>
      </c>
      <c r="Q15" s="83">
        <f t="shared" si="1"/>
        <v>17.8125</v>
      </c>
      <c r="R15" s="37">
        <f t="shared" si="0"/>
        <v>8.6111111111111107</v>
      </c>
      <c r="S15" s="84">
        <f t="shared" si="0"/>
        <v>1.4399999999999993</v>
      </c>
      <c r="T15" s="98">
        <f t="shared" si="2"/>
        <v>1.4399999999999993</v>
      </c>
    </row>
    <row r="16" spans="2:20" x14ac:dyDescent="0.35">
      <c r="B16" s="44">
        <v>4</v>
      </c>
      <c r="C16" s="186">
        <v>1</v>
      </c>
      <c r="D16" s="186">
        <v>2</v>
      </c>
      <c r="E16" s="283">
        <v>3</v>
      </c>
      <c r="F16" s="32"/>
      <c r="G16" s="279">
        <v>1</v>
      </c>
      <c r="I16">
        <f t="shared" si="3"/>
        <v>13</v>
      </c>
      <c r="J16" s="98">
        <v>1</v>
      </c>
      <c r="Q16" s="83">
        <f t="shared" si="1"/>
        <v>3.3125</v>
      </c>
      <c r="R16" s="37">
        <f t="shared" si="0"/>
        <v>12.944444444444446</v>
      </c>
      <c r="S16" s="84">
        <f t="shared" si="0"/>
        <v>7.6400000000000015</v>
      </c>
      <c r="T16" s="98">
        <f t="shared" si="2"/>
        <v>3.3125</v>
      </c>
    </row>
    <row r="17" spans="2:20" x14ac:dyDescent="0.35">
      <c r="B17" s="44">
        <v>0</v>
      </c>
      <c r="C17" s="186">
        <v>5</v>
      </c>
      <c r="D17" s="186">
        <v>5</v>
      </c>
      <c r="E17" s="283">
        <v>4</v>
      </c>
      <c r="F17" s="32"/>
      <c r="G17" s="279">
        <v>2</v>
      </c>
      <c r="I17">
        <f t="shared" si="3"/>
        <v>14</v>
      </c>
      <c r="J17" s="98">
        <v>2</v>
      </c>
      <c r="Q17" s="83">
        <f t="shared" si="1"/>
        <v>42.3125</v>
      </c>
      <c r="R17" s="37">
        <f t="shared" si="0"/>
        <v>11.277777777777777</v>
      </c>
      <c r="S17" s="84">
        <f t="shared" si="0"/>
        <v>17.64</v>
      </c>
      <c r="T17" s="98">
        <f t="shared" si="2"/>
        <v>11.277777777777777</v>
      </c>
    </row>
    <row r="18" spans="2:20" x14ac:dyDescent="0.35">
      <c r="B18" s="45">
        <v>5</v>
      </c>
      <c r="C18" s="74">
        <v>2</v>
      </c>
      <c r="D18" s="74">
        <v>4</v>
      </c>
      <c r="E18" s="284">
        <v>5</v>
      </c>
      <c r="F18" s="32"/>
      <c r="G18" s="285">
        <v>3</v>
      </c>
      <c r="I18">
        <f t="shared" si="3"/>
        <v>15</v>
      </c>
      <c r="J18" s="99">
        <v>3</v>
      </c>
      <c r="Q18" s="85">
        <f t="shared" si="1"/>
        <v>16.8125</v>
      </c>
      <c r="R18" s="86">
        <f t="shared" si="0"/>
        <v>17.277777777777779</v>
      </c>
      <c r="S18" s="87">
        <f t="shared" si="0"/>
        <v>6.04</v>
      </c>
      <c r="T18" s="99">
        <f t="shared" si="2"/>
        <v>6.04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6"/>
  <dimension ref="A1:M21"/>
  <sheetViews>
    <sheetView workbookViewId="0"/>
  </sheetViews>
  <sheetFormatPr defaultRowHeight="15" x14ac:dyDescent="0.25"/>
  <cols>
    <col min="1" max="1" width="4" customWidth="1"/>
    <col min="2" max="5" width="8.28515625" customWidth="1"/>
    <col min="6" max="6" width="4.85546875" customWidth="1"/>
    <col min="10" max="11" width="7" customWidth="1"/>
  </cols>
  <sheetData>
    <row r="1" spans="1:13" ht="14.45" x14ac:dyDescent="0.35">
      <c r="B1" s="42" t="s">
        <v>735</v>
      </c>
    </row>
    <row r="3" spans="1:13" ht="16.5" x14ac:dyDescent="0.45">
      <c r="B3" s="32" t="s">
        <v>278</v>
      </c>
      <c r="C3" s="32" t="s">
        <v>390</v>
      </c>
      <c r="D3" s="32" t="s">
        <v>392</v>
      </c>
      <c r="E3" s="32" t="s">
        <v>734</v>
      </c>
      <c r="F3" s="32"/>
      <c r="G3" s="47" t="s">
        <v>736</v>
      </c>
      <c r="H3" s="47" t="s">
        <v>737</v>
      </c>
      <c r="J3" s="47" t="s">
        <v>738</v>
      </c>
      <c r="K3" s="47" t="s">
        <v>739</v>
      </c>
      <c r="L3" s="47" t="s">
        <v>740</v>
      </c>
      <c r="M3" s="47" t="s">
        <v>737</v>
      </c>
    </row>
    <row r="4" spans="1:13" ht="14.45" x14ac:dyDescent="0.35">
      <c r="A4">
        <v>1</v>
      </c>
      <c r="B4" s="274">
        <v>1</v>
      </c>
      <c r="C4" s="145">
        <v>4</v>
      </c>
      <c r="D4" s="145">
        <v>0</v>
      </c>
      <c r="E4" s="275">
        <v>3</v>
      </c>
      <c r="F4" s="32"/>
      <c r="G4" s="146">
        <f>SUMXMY2(B4:E4,B$6:E$6)</f>
        <v>15</v>
      </c>
      <c r="H4" s="146">
        <f>G4</f>
        <v>15</v>
      </c>
      <c r="J4" s="138">
        <f>SUMXMY2(B4:E4,B$6:E$6)</f>
        <v>15</v>
      </c>
      <c r="K4" s="139">
        <f>SUMXMY2(B4:E4,B$17:E$17)</f>
        <v>28</v>
      </c>
      <c r="L4" s="146">
        <f>MIN(J4:K4)</f>
        <v>15</v>
      </c>
      <c r="M4" s="146">
        <f>L4</f>
        <v>15</v>
      </c>
    </row>
    <row r="5" spans="1:13" ht="14.45" x14ac:dyDescent="0.35">
      <c r="A5">
        <f>A4+1</f>
        <v>2</v>
      </c>
      <c r="B5" s="44">
        <v>2</v>
      </c>
      <c r="C5" s="73">
        <v>5</v>
      </c>
      <c r="D5" s="73">
        <v>3</v>
      </c>
      <c r="E5" s="283">
        <v>4</v>
      </c>
      <c r="F5" s="32"/>
      <c r="G5" s="49">
        <f>SUMXMY2(B5:E5,B$6:E$6)</f>
        <v>21</v>
      </c>
      <c r="H5" s="49">
        <f t="shared" ref="H5:H18" si="0">H4+G5</f>
        <v>36</v>
      </c>
      <c r="J5" s="36">
        <f t="shared" ref="J5:J18" si="1">SUMXMY2(B5:E5,B$6:E$6)</f>
        <v>21</v>
      </c>
      <c r="K5" s="37">
        <f t="shared" ref="K5:K18" si="2">SUMXMY2(B5:E5,B$17:E$17)</f>
        <v>8</v>
      </c>
      <c r="L5" s="49">
        <f t="shared" ref="L5:L18" si="3">MIN(J5:K5)</f>
        <v>8</v>
      </c>
      <c r="M5" s="49">
        <f t="shared" ref="M5:M18" si="4">M4+L5</f>
        <v>23</v>
      </c>
    </row>
    <row r="6" spans="1:13" ht="14.45" x14ac:dyDescent="0.35">
      <c r="A6">
        <f t="shared" ref="A6:A18" si="5">A5+1</f>
        <v>3</v>
      </c>
      <c r="B6" s="44">
        <v>4</v>
      </c>
      <c r="C6" s="73">
        <v>2</v>
      </c>
      <c r="D6" s="73">
        <v>1</v>
      </c>
      <c r="E6" s="283">
        <v>2</v>
      </c>
      <c r="F6" s="32"/>
      <c r="G6" s="49">
        <f>SUMXMY2(B6:E6,B$6:E$6)</f>
        <v>0</v>
      </c>
      <c r="H6" s="49">
        <f t="shared" si="0"/>
        <v>36</v>
      </c>
      <c r="J6" s="36">
        <f t="shared" si="1"/>
        <v>0</v>
      </c>
      <c r="K6" s="37">
        <f t="shared" si="2"/>
        <v>45</v>
      </c>
      <c r="L6" s="49">
        <f t="shared" si="3"/>
        <v>0</v>
      </c>
      <c r="M6" s="49">
        <f t="shared" si="4"/>
        <v>23</v>
      </c>
    </row>
    <row r="7" spans="1:13" ht="14.45" x14ac:dyDescent="0.35">
      <c r="A7">
        <f t="shared" si="5"/>
        <v>4</v>
      </c>
      <c r="B7" s="44">
        <v>1</v>
      </c>
      <c r="C7" s="73">
        <v>0</v>
      </c>
      <c r="D7" s="73">
        <v>5</v>
      </c>
      <c r="E7" s="287">
        <v>3</v>
      </c>
      <c r="F7" s="32"/>
      <c r="G7" s="49">
        <f t="shared" ref="G7:G18" si="6">SUMXMY2(B7:E7,B$6:E$6)</f>
        <v>30</v>
      </c>
      <c r="H7" s="49">
        <f t="shared" si="0"/>
        <v>66</v>
      </c>
      <c r="J7" s="36">
        <f t="shared" si="1"/>
        <v>30</v>
      </c>
      <c r="K7" s="37">
        <f t="shared" si="2"/>
        <v>27</v>
      </c>
      <c r="L7" s="49">
        <f t="shared" si="3"/>
        <v>27</v>
      </c>
      <c r="M7" s="49">
        <f t="shared" si="4"/>
        <v>50</v>
      </c>
    </row>
    <row r="8" spans="1:13" ht="14.45" x14ac:dyDescent="0.35">
      <c r="A8">
        <f t="shared" si="5"/>
        <v>5</v>
      </c>
      <c r="B8" s="44">
        <v>2</v>
      </c>
      <c r="C8" s="73">
        <v>1</v>
      </c>
      <c r="D8" s="73">
        <v>1</v>
      </c>
      <c r="E8" s="287">
        <v>4</v>
      </c>
      <c r="F8" s="32"/>
      <c r="G8" s="49">
        <f t="shared" si="6"/>
        <v>9</v>
      </c>
      <c r="H8" s="49">
        <f t="shared" si="0"/>
        <v>75</v>
      </c>
      <c r="J8" s="36">
        <f t="shared" si="1"/>
        <v>9</v>
      </c>
      <c r="K8" s="37">
        <f t="shared" si="2"/>
        <v>36</v>
      </c>
      <c r="L8" s="49">
        <f t="shared" si="3"/>
        <v>9</v>
      </c>
      <c r="M8" s="49">
        <f t="shared" si="4"/>
        <v>59</v>
      </c>
    </row>
    <row r="9" spans="1:13" ht="14.45" x14ac:dyDescent="0.35">
      <c r="A9">
        <f t="shared" si="5"/>
        <v>6</v>
      </c>
      <c r="B9" s="44">
        <v>4</v>
      </c>
      <c r="C9" s="73">
        <v>3</v>
      </c>
      <c r="D9" s="73">
        <v>3</v>
      </c>
      <c r="E9" s="287">
        <v>0</v>
      </c>
      <c r="F9" s="32"/>
      <c r="G9" s="49">
        <f t="shared" si="6"/>
        <v>9</v>
      </c>
      <c r="H9" s="49">
        <f t="shared" si="0"/>
        <v>84</v>
      </c>
      <c r="J9" s="36">
        <f t="shared" si="1"/>
        <v>9</v>
      </c>
      <c r="K9" s="37">
        <f t="shared" si="2"/>
        <v>40</v>
      </c>
      <c r="L9" s="49">
        <f t="shared" si="3"/>
        <v>9</v>
      </c>
      <c r="M9" s="49">
        <f t="shared" si="4"/>
        <v>68</v>
      </c>
    </row>
    <row r="10" spans="1:13" ht="14.45" x14ac:dyDescent="0.35">
      <c r="A10">
        <f t="shared" si="5"/>
        <v>7</v>
      </c>
      <c r="B10" s="44">
        <v>5</v>
      </c>
      <c r="C10" s="73">
        <v>2</v>
      </c>
      <c r="D10" s="73">
        <v>2</v>
      </c>
      <c r="E10" s="287">
        <v>1</v>
      </c>
      <c r="F10" s="32"/>
      <c r="G10" s="49">
        <f t="shared" si="6"/>
        <v>3</v>
      </c>
      <c r="H10" s="49">
        <f t="shared" si="0"/>
        <v>87</v>
      </c>
      <c r="J10" s="36">
        <f t="shared" si="1"/>
        <v>3</v>
      </c>
      <c r="K10" s="37">
        <f t="shared" si="2"/>
        <v>52</v>
      </c>
      <c r="L10" s="49">
        <f t="shared" si="3"/>
        <v>3</v>
      </c>
      <c r="M10" s="49">
        <f t="shared" si="4"/>
        <v>71</v>
      </c>
    </row>
    <row r="11" spans="1:13" ht="14.45" x14ac:dyDescent="0.35">
      <c r="A11">
        <f t="shared" si="5"/>
        <v>8</v>
      </c>
      <c r="B11" s="44">
        <v>1</v>
      </c>
      <c r="C11" s="73">
        <v>2</v>
      </c>
      <c r="D11" s="73">
        <v>4</v>
      </c>
      <c r="E11" s="287">
        <v>5</v>
      </c>
      <c r="F11" s="32"/>
      <c r="G11" s="49">
        <f t="shared" si="6"/>
        <v>27</v>
      </c>
      <c r="H11" s="49">
        <f t="shared" si="0"/>
        <v>114</v>
      </c>
      <c r="J11" s="36">
        <f t="shared" si="1"/>
        <v>27</v>
      </c>
      <c r="K11" s="37">
        <f t="shared" si="2"/>
        <v>12</v>
      </c>
      <c r="L11" s="49">
        <f t="shared" si="3"/>
        <v>12</v>
      </c>
      <c r="M11" s="49">
        <f t="shared" si="4"/>
        <v>83</v>
      </c>
    </row>
    <row r="12" spans="1:13" ht="14.45" x14ac:dyDescent="0.35">
      <c r="A12">
        <f t="shared" si="5"/>
        <v>9</v>
      </c>
      <c r="B12" s="44">
        <v>2</v>
      </c>
      <c r="C12" s="73">
        <v>1</v>
      </c>
      <c r="D12" s="73">
        <v>3</v>
      </c>
      <c r="E12" s="287">
        <v>4</v>
      </c>
      <c r="F12" s="32"/>
      <c r="G12" s="49">
        <f t="shared" si="6"/>
        <v>13</v>
      </c>
      <c r="H12" s="49">
        <f t="shared" si="0"/>
        <v>127</v>
      </c>
      <c r="J12" s="36">
        <f t="shared" si="1"/>
        <v>13</v>
      </c>
      <c r="K12" s="37">
        <f t="shared" si="2"/>
        <v>24</v>
      </c>
      <c r="L12" s="49">
        <f t="shared" si="3"/>
        <v>13</v>
      </c>
      <c r="M12" s="49">
        <f t="shared" si="4"/>
        <v>96</v>
      </c>
    </row>
    <row r="13" spans="1:13" ht="14.45" x14ac:dyDescent="0.35">
      <c r="A13">
        <f t="shared" si="5"/>
        <v>10</v>
      </c>
      <c r="B13" s="44">
        <v>4</v>
      </c>
      <c r="C13" s="73">
        <v>5</v>
      </c>
      <c r="D13" s="73">
        <v>4</v>
      </c>
      <c r="E13" s="287">
        <v>2</v>
      </c>
      <c r="F13" s="32"/>
      <c r="G13" s="49">
        <f t="shared" si="6"/>
        <v>18</v>
      </c>
      <c r="H13" s="49">
        <f t="shared" si="0"/>
        <v>145</v>
      </c>
      <c r="J13" s="36">
        <f t="shared" si="1"/>
        <v>18</v>
      </c>
      <c r="K13" s="37">
        <f t="shared" si="2"/>
        <v>21</v>
      </c>
      <c r="L13" s="49">
        <f t="shared" si="3"/>
        <v>18</v>
      </c>
      <c r="M13" s="49">
        <f t="shared" si="4"/>
        <v>114</v>
      </c>
    </row>
    <row r="14" spans="1:13" ht="14.45" x14ac:dyDescent="0.35">
      <c r="A14">
        <f t="shared" si="5"/>
        <v>11</v>
      </c>
      <c r="B14" s="44">
        <v>3</v>
      </c>
      <c r="C14" s="186">
        <v>3</v>
      </c>
      <c r="D14" s="186">
        <v>2</v>
      </c>
      <c r="E14" s="283">
        <v>4</v>
      </c>
      <c r="F14" s="32"/>
      <c r="G14" s="49">
        <f t="shared" si="6"/>
        <v>7</v>
      </c>
      <c r="H14" s="49">
        <f t="shared" si="0"/>
        <v>152</v>
      </c>
      <c r="J14" s="36">
        <f t="shared" si="1"/>
        <v>7</v>
      </c>
      <c r="K14" s="37">
        <f t="shared" si="2"/>
        <v>22</v>
      </c>
      <c r="L14" s="49">
        <f t="shared" si="3"/>
        <v>7</v>
      </c>
      <c r="M14" s="49">
        <f t="shared" si="4"/>
        <v>121</v>
      </c>
    </row>
    <row r="15" spans="1:13" ht="14.45" x14ac:dyDescent="0.35">
      <c r="A15">
        <f t="shared" si="5"/>
        <v>12</v>
      </c>
      <c r="B15" s="44">
        <v>3</v>
      </c>
      <c r="C15" s="186">
        <v>3</v>
      </c>
      <c r="D15" s="186">
        <v>5</v>
      </c>
      <c r="E15" s="283">
        <v>4</v>
      </c>
      <c r="F15" s="32"/>
      <c r="G15" s="49">
        <f t="shared" si="6"/>
        <v>22</v>
      </c>
      <c r="H15" s="49">
        <f t="shared" si="0"/>
        <v>174</v>
      </c>
      <c r="J15" s="36">
        <f t="shared" si="1"/>
        <v>22</v>
      </c>
      <c r="K15" s="37">
        <f t="shared" si="2"/>
        <v>13</v>
      </c>
      <c r="L15" s="49">
        <f t="shared" si="3"/>
        <v>13</v>
      </c>
      <c r="M15" s="49">
        <f t="shared" si="4"/>
        <v>134</v>
      </c>
    </row>
    <row r="16" spans="1:13" ht="14.45" x14ac:dyDescent="0.35">
      <c r="A16">
        <f t="shared" si="5"/>
        <v>13</v>
      </c>
      <c r="B16" s="44">
        <v>4</v>
      </c>
      <c r="C16" s="186">
        <v>1</v>
      </c>
      <c r="D16" s="186">
        <v>2</v>
      </c>
      <c r="E16" s="283">
        <v>3</v>
      </c>
      <c r="F16" s="32"/>
      <c r="G16" s="49">
        <f t="shared" si="6"/>
        <v>3</v>
      </c>
      <c r="H16" s="49">
        <f t="shared" si="0"/>
        <v>177</v>
      </c>
      <c r="J16" s="36">
        <f t="shared" si="1"/>
        <v>3</v>
      </c>
      <c r="K16" s="37">
        <f t="shared" si="2"/>
        <v>42</v>
      </c>
      <c r="L16" s="49">
        <f t="shared" si="3"/>
        <v>3</v>
      </c>
      <c r="M16" s="49">
        <f t="shared" si="4"/>
        <v>137</v>
      </c>
    </row>
    <row r="17" spans="1:13" ht="14.45" x14ac:dyDescent="0.35">
      <c r="A17">
        <f t="shared" si="5"/>
        <v>14</v>
      </c>
      <c r="B17" s="44">
        <v>0</v>
      </c>
      <c r="C17" s="186">
        <v>5</v>
      </c>
      <c r="D17" s="186">
        <v>5</v>
      </c>
      <c r="E17" s="283">
        <v>4</v>
      </c>
      <c r="F17" s="32"/>
      <c r="G17" s="49">
        <f t="shared" si="6"/>
        <v>45</v>
      </c>
      <c r="H17" s="49">
        <f t="shared" si="0"/>
        <v>222</v>
      </c>
      <c r="J17" s="36">
        <f t="shared" si="1"/>
        <v>45</v>
      </c>
      <c r="K17" s="37">
        <f t="shared" si="2"/>
        <v>0</v>
      </c>
      <c r="L17" s="49">
        <f t="shared" si="3"/>
        <v>0</v>
      </c>
      <c r="M17" s="49">
        <f t="shared" si="4"/>
        <v>137</v>
      </c>
    </row>
    <row r="18" spans="1:13" ht="14.45" x14ac:dyDescent="0.35">
      <c r="A18">
        <f t="shared" si="5"/>
        <v>15</v>
      </c>
      <c r="B18" s="45">
        <v>5</v>
      </c>
      <c r="C18" s="74">
        <v>2</v>
      </c>
      <c r="D18" s="74">
        <v>4</v>
      </c>
      <c r="E18" s="284">
        <v>5</v>
      </c>
      <c r="F18" s="32"/>
      <c r="G18" s="52">
        <f t="shared" si="6"/>
        <v>19</v>
      </c>
      <c r="H18" s="52">
        <f t="shared" si="0"/>
        <v>241</v>
      </c>
      <c r="J18" s="39">
        <f t="shared" si="1"/>
        <v>19</v>
      </c>
      <c r="K18" s="40">
        <f t="shared" si="2"/>
        <v>36</v>
      </c>
      <c r="L18" s="52">
        <f t="shared" si="3"/>
        <v>19</v>
      </c>
      <c r="M18" s="52">
        <f t="shared" si="4"/>
        <v>156</v>
      </c>
    </row>
    <row r="20" spans="1:13" ht="14.45" x14ac:dyDescent="0.35">
      <c r="B20" t="s">
        <v>741</v>
      </c>
      <c r="C20" s="280">
        <f>[2]!RANDOM(1,A18,TRUE)</f>
        <v>0</v>
      </c>
      <c r="G20" t="s">
        <v>742</v>
      </c>
      <c r="H20">
        <f>[2]!RANDOM(1,H18,TRUE)</f>
        <v>0</v>
      </c>
      <c r="L20" t="s">
        <v>742</v>
      </c>
      <c r="M20">
        <f>[2]!RANDOM(1,M18,TRUE)</f>
        <v>0</v>
      </c>
    </row>
    <row r="21" spans="1:13" ht="14.45" x14ac:dyDescent="0.35">
      <c r="G21" t="s">
        <v>743</v>
      </c>
      <c r="H21" s="280">
        <f>IFERROR(MATCH(H20,H4:H18,0),IFERROR(MATCH(H20,H4:H18,1)+1,1))</f>
        <v>1</v>
      </c>
      <c r="L21" t="s">
        <v>744</v>
      </c>
      <c r="M21" s="280">
        <f>IFERROR(MATCH(M20,M4:M18,0),IFERROR(MATCH(M20,M4:M18,1)+1,1))</f>
        <v>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5"/>
  <dimension ref="A1:AG18"/>
  <sheetViews>
    <sheetView workbookViewId="0"/>
  </sheetViews>
  <sheetFormatPr defaultRowHeight="15" x14ac:dyDescent="0.25"/>
  <cols>
    <col min="1" max="1" width="4" customWidth="1"/>
    <col min="2" max="5" width="6.140625" customWidth="1"/>
    <col min="6" max="6" width="4.5703125" customWidth="1"/>
    <col min="7" max="8" width="7" customWidth="1"/>
    <col min="9" max="12" width="4.7109375" customWidth="1"/>
    <col min="13" max="13" width="4.140625" customWidth="1"/>
    <col min="14" max="14" width="5.140625" customWidth="1"/>
    <col min="15" max="17" width="6.5703125" customWidth="1"/>
    <col min="18" max="18" width="7.28515625" customWidth="1"/>
    <col min="19" max="19" width="5.85546875" customWidth="1"/>
    <col min="20" max="20" width="8.28515625" customWidth="1"/>
    <col min="23" max="23" width="6.85546875" customWidth="1"/>
  </cols>
  <sheetData>
    <row r="1" spans="1:33" x14ac:dyDescent="0.35">
      <c r="B1" s="42" t="s">
        <v>735</v>
      </c>
    </row>
    <row r="3" spans="1:33" x14ac:dyDescent="0.35">
      <c r="B3" s="32" t="s">
        <v>278</v>
      </c>
      <c r="C3" s="32" t="s">
        <v>390</v>
      </c>
      <c r="D3" s="32" t="s">
        <v>392</v>
      </c>
      <c r="E3" s="32" t="s">
        <v>734</v>
      </c>
      <c r="G3" s="32" t="s">
        <v>727</v>
      </c>
      <c r="H3" s="32" t="s">
        <v>745</v>
      </c>
      <c r="I3" s="32" t="s">
        <v>278</v>
      </c>
      <c r="J3" s="32" t="s">
        <v>390</v>
      </c>
      <c r="K3" s="32" t="s">
        <v>392</v>
      </c>
      <c r="L3" s="32" t="s">
        <v>734</v>
      </c>
      <c r="M3" s="32"/>
      <c r="O3">
        <v>1</v>
      </c>
      <c r="P3">
        <v>2</v>
      </c>
      <c r="Q3">
        <v>3</v>
      </c>
      <c r="R3" s="47" t="s">
        <v>746</v>
      </c>
      <c r="T3" s="32" t="s">
        <v>727</v>
      </c>
      <c r="W3" s="47" t="s">
        <v>727</v>
      </c>
      <c r="Y3" t="s">
        <v>728</v>
      </c>
      <c r="Z3">
        <v>1</v>
      </c>
      <c r="AA3">
        <f>Z3+1</f>
        <v>2</v>
      </c>
      <c r="AB3">
        <f>AA3+1</f>
        <v>3</v>
      </c>
      <c r="AD3">
        <v>1</v>
      </c>
      <c r="AE3">
        <f>AD3+1</f>
        <v>2</v>
      </c>
      <c r="AF3">
        <f>AE3+1</f>
        <v>3</v>
      </c>
      <c r="AG3" s="47" t="s">
        <v>729</v>
      </c>
    </row>
    <row r="4" spans="1:33" x14ac:dyDescent="0.35">
      <c r="A4">
        <v>1</v>
      </c>
      <c r="B4" s="274">
        <v>1</v>
      </c>
      <c r="C4" s="145">
        <v>4</v>
      </c>
      <c r="D4" s="145">
        <v>0</v>
      </c>
      <c r="E4" s="275">
        <v>3</v>
      </c>
      <c r="G4" s="186">
        <v>1</v>
      </c>
      <c r="H4" s="186">
        <v>3</v>
      </c>
      <c r="I4" s="274">
        <f t="shared" ref="I4:L6" si="0">INDEX(B$4:B$18,$H4)</f>
        <v>4</v>
      </c>
      <c r="J4" s="145">
        <f t="shared" si="0"/>
        <v>2</v>
      </c>
      <c r="K4" s="145">
        <f t="shared" si="0"/>
        <v>1</v>
      </c>
      <c r="L4" s="275">
        <f t="shared" si="0"/>
        <v>2</v>
      </c>
      <c r="M4" s="73"/>
      <c r="N4">
        <v>1</v>
      </c>
      <c r="O4" s="138">
        <f>SUMXMY2($B4:$E4,I$4:L$4)</f>
        <v>15</v>
      </c>
      <c r="P4" s="139">
        <f>SUMXMY2($B4:$E4,I$5:L$5)</f>
        <v>28</v>
      </c>
      <c r="Q4" s="140">
        <f>SUMXMY2($B4:$E4,I$6:L$6)</f>
        <v>28</v>
      </c>
      <c r="R4">
        <f>MIN(O4:Q4)</f>
        <v>15</v>
      </c>
      <c r="T4" s="276">
        <f>MATCH(R4,O4:Q4,0)</f>
        <v>1</v>
      </c>
      <c r="V4">
        <v>1</v>
      </c>
      <c r="W4" s="132">
        <f t="array" ref="W4:W18">[1]!CLUST(B4:E18,Z9,T4:T18)</f>
        <v>1</v>
      </c>
      <c r="Y4" t="str">
        <f t="array" ref="Y4:Y7">TRANSPOSE(B3:E3)</f>
        <v>W</v>
      </c>
      <c r="Z4" s="149">
        <f>AVERAGEIF($W$4:$W$18,Z$3,$B$4:$B$18)</f>
        <v>3</v>
      </c>
      <c r="AA4" s="286">
        <f>AVERAGEIF($W$4:$W$18,AA$3,$B$4:$B$18)</f>
        <v>1.4</v>
      </c>
      <c r="AB4" s="82">
        <f>AVERAGEIF($W$4:$W$18,AB$3,$B$4:$B$18)</f>
        <v>4.333333333333333</v>
      </c>
      <c r="AD4" s="149">
        <f>SUMXMY2($B4:$E4,Z$4:Z$7)</f>
        <v>11.775510204081634</v>
      </c>
      <c r="AE4" s="286">
        <f t="shared" ref="AE4:AF18" si="1">SUMXMY2($B4:$E4,AA$4:AA$7)</f>
        <v>21.520000000000003</v>
      </c>
      <c r="AF4" s="82">
        <f t="shared" si="1"/>
        <v>24.555555555555554</v>
      </c>
      <c r="AG4" s="132">
        <f>MIN(AD4:AF4)</f>
        <v>11.775510204081634</v>
      </c>
    </row>
    <row r="5" spans="1:33" x14ac:dyDescent="0.35">
      <c r="A5">
        <f>A4+1</f>
        <v>2</v>
      </c>
      <c r="B5" s="44">
        <v>2</v>
      </c>
      <c r="C5" s="73">
        <v>5</v>
      </c>
      <c r="D5" s="73">
        <v>3</v>
      </c>
      <c r="E5" s="283">
        <v>4</v>
      </c>
      <c r="G5" s="186">
        <v>2</v>
      </c>
      <c r="H5" s="186">
        <v>14</v>
      </c>
      <c r="I5" s="44">
        <f t="shared" si="0"/>
        <v>0</v>
      </c>
      <c r="J5" s="73">
        <f t="shared" si="0"/>
        <v>5</v>
      </c>
      <c r="K5" s="73">
        <f t="shared" si="0"/>
        <v>5</v>
      </c>
      <c r="L5" s="283">
        <f t="shared" si="0"/>
        <v>4</v>
      </c>
      <c r="M5" s="73"/>
      <c r="N5">
        <f>N4+1</f>
        <v>2</v>
      </c>
      <c r="O5" s="36">
        <f t="shared" ref="O5:O18" si="2">SUMXMY2($B5:$E5,I$4:L$4)</f>
        <v>21</v>
      </c>
      <c r="P5" s="37">
        <f t="shared" ref="P5:P18" si="3">SUMXMY2($B5:$E5,I$5:L$5)</f>
        <v>8</v>
      </c>
      <c r="Q5" s="38">
        <f t="shared" ref="Q5:Q18" si="4">SUMXMY2($B5:$E5,I$6:L$6)</f>
        <v>28</v>
      </c>
      <c r="R5">
        <f t="shared" ref="R5:R18" si="5">MIN(O5:Q5)</f>
        <v>8</v>
      </c>
      <c r="T5" s="279">
        <f t="shared" ref="T5:T18" si="6">MATCH(R5,O5:Q5,0)</f>
        <v>2</v>
      </c>
      <c r="V5">
        <f>V4+1</f>
        <v>2</v>
      </c>
      <c r="W5" s="98">
        <v>2</v>
      </c>
      <c r="Y5" t="str">
        <v>X</v>
      </c>
      <c r="Z5" s="83">
        <f>AVERAGEIF($W$4:$W$18,Z$3,$C$4:$C$18)</f>
        <v>2</v>
      </c>
      <c r="AA5" s="37">
        <f>AVERAGEIF($W$4:$W$18,AA$3,$C$4:$C$18)</f>
        <v>3</v>
      </c>
      <c r="AB5" s="84">
        <f>AVERAGEIF($W$4:$W$18,AB$3,$C$4:$C$18)</f>
        <v>3.3333333333333335</v>
      </c>
      <c r="AD5" s="83">
        <f t="shared" ref="AD5:AD18" si="7">SUMXMY2($B5:$E5,Z$4:Z$7)</f>
        <v>11.489795918367346</v>
      </c>
      <c r="AE5" s="37">
        <f t="shared" si="1"/>
        <v>6.3200000000000012</v>
      </c>
      <c r="AF5" s="84">
        <f t="shared" si="1"/>
        <v>17.222222222222221</v>
      </c>
      <c r="AG5" s="98">
        <f t="shared" ref="AG5:AG18" si="8">MIN(AD5:AF5)</f>
        <v>6.3200000000000012</v>
      </c>
    </row>
    <row r="6" spans="1:33" x14ac:dyDescent="0.35">
      <c r="A6">
        <f t="shared" ref="A6:A18" si="9">A5+1</f>
        <v>3</v>
      </c>
      <c r="B6" s="44">
        <v>4</v>
      </c>
      <c r="C6" s="73">
        <v>2</v>
      </c>
      <c r="D6" s="73">
        <v>1</v>
      </c>
      <c r="E6" s="283">
        <v>2</v>
      </c>
      <c r="G6" s="186">
        <v>3</v>
      </c>
      <c r="H6" s="186">
        <v>7</v>
      </c>
      <c r="I6" s="45">
        <f t="shared" si="0"/>
        <v>5</v>
      </c>
      <c r="J6" s="74">
        <f t="shared" si="0"/>
        <v>2</v>
      </c>
      <c r="K6" s="74">
        <f t="shared" si="0"/>
        <v>2</v>
      </c>
      <c r="L6" s="284">
        <f t="shared" si="0"/>
        <v>1</v>
      </c>
      <c r="M6" s="73"/>
      <c r="N6">
        <f t="shared" ref="N6:N18" si="10">N5+1</f>
        <v>3</v>
      </c>
      <c r="O6" s="36">
        <f t="shared" si="2"/>
        <v>0</v>
      </c>
      <c r="P6" s="37">
        <f t="shared" si="3"/>
        <v>45</v>
      </c>
      <c r="Q6" s="38">
        <f t="shared" si="4"/>
        <v>3</v>
      </c>
      <c r="R6">
        <f t="shared" si="5"/>
        <v>0</v>
      </c>
      <c r="T6" s="279">
        <f t="shared" si="6"/>
        <v>1</v>
      </c>
      <c r="V6">
        <f t="shared" ref="V6:V18" si="11">V5+1</f>
        <v>3</v>
      </c>
      <c r="W6" s="98">
        <v>1</v>
      </c>
      <c r="Y6" t="str">
        <v>Y</v>
      </c>
      <c r="Z6" s="83">
        <f>AVERAGEIF($W$4:$W$18,Z$3,$D$4:$D$18)</f>
        <v>1.8571428571428572</v>
      </c>
      <c r="AA6" s="37">
        <f>AVERAGEIF($W$4:$W$18,AA$3,$D$4:$D$18)</f>
        <v>4.4000000000000004</v>
      </c>
      <c r="AB6" s="84">
        <f>AVERAGEIF($W$4:$W$18,AB$3,$D$4:$D$18)</f>
        <v>3</v>
      </c>
      <c r="AD6" s="83">
        <f t="shared" si="7"/>
        <v>4.2040816326530619</v>
      </c>
      <c r="AE6" s="37">
        <f t="shared" si="1"/>
        <v>23.320000000000004</v>
      </c>
      <c r="AF6" s="84">
        <f t="shared" si="1"/>
        <v>6.8888888888888893</v>
      </c>
      <c r="AG6" s="98">
        <f t="shared" si="8"/>
        <v>4.2040816326530619</v>
      </c>
    </row>
    <row r="7" spans="1:33" x14ac:dyDescent="0.35">
      <c r="A7">
        <f t="shared" si="9"/>
        <v>4</v>
      </c>
      <c r="B7" s="44">
        <v>1</v>
      </c>
      <c r="C7" s="73">
        <v>0</v>
      </c>
      <c r="D7" s="73">
        <v>5</v>
      </c>
      <c r="E7" s="287">
        <v>3</v>
      </c>
      <c r="N7">
        <f t="shared" si="10"/>
        <v>4</v>
      </c>
      <c r="O7" s="36">
        <f t="shared" si="2"/>
        <v>30</v>
      </c>
      <c r="P7" s="37">
        <f t="shared" si="3"/>
        <v>27</v>
      </c>
      <c r="Q7" s="38">
        <f t="shared" si="4"/>
        <v>33</v>
      </c>
      <c r="R7">
        <f t="shared" si="5"/>
        <v>27</v>
      </c>
      <c r="T7" s="279">
        <f t="shared" si="6"/>
        <v>2</v>
      </c>
      <c r="V7">
        <f t="shared" si="11"/>
        <v>4</v>
      </c>
      <c r="W7" s="98">
        <v>2</v>
      </c>
      <c r="Y7" t="str">
        <v>Z</v>
      </c>
      <c r="Z7" s="85">
        <f>AVERAGEIF($W$4:$W$18,Z$3,$E$4:$E$18)</f>
        <v>3.5714285714285716</v>
      </c>
      <c r="AA7" s="86">
        <f>AVERAGEIF($W$4:$W$18,AA$3,$E$4:$E$18)</f>
        <v>4</v>
      </c>
      <c r="AB7" s="87">
        <f>AVERAGEIF($W$4:$W$18,AB$3,$E$4:$E$18)</f>
        <v>1</v>
      </c>
      <c r="AD7" s="83">
        <f t="shared" si="7"/>
        <v>18.204081632653061</v>
      </c>
      <c r="AE7" s="37">
        <f t="shared" si="1"/>
        <v>10.52</v>
      </c>
      <c r="AF7" s="84">
        <f t="shared" si="1"/>
        <v>30.222222222222221</v>
      </c>
      <c r="AG7" s="98">
        <f t="shared" si="8"/>
        <v>10.52</v>
      </c>
    </row>
    <row r="8" spans="1:33" x14ac:dyDescent="0.35">
      <c r="A8">
        <f t="shared" si="9"/>
        <v>5</v>
      </c>
      <c r="B8" s="44">
        <v>2</v>
      </c>
      <c r="C8" s="73">
        <v>1</v>
      </c>
      <c r="D8" s="73">
        <v>1</v>
      </c>
      <c r="E8" s="287">
        <v>4</v>
      </c>
      <c r="N8">
        <f t="shared" si="10"/>
        <v>5</v>
      </c>
      <c r="O8" s="36">
        <f t="shared" si="2"/>
        <v>9</v>
      </c>
      <c r="P8" s="37">
        <f t="shared" si="3"/>
        <v>36</v>
      </c>
      <c r="Q8" s="38">
        <f t="shared" si="4"/>
        <v>20</v>
      </c>
      <c r="R8">
        <f t="shared" si="5"/>
        <v>9</v>
      </c>
      <c r="T8" s="279">
        <f t="shared" si="6"/>
        <v>1</v>
      </c>
      <c r="V8">
        <f t="shared" si="11"/>
        <v>5</v>
      </c>
      <c r="W8" s="98">
        <v>1</v>
      </c>
      <c r="AD8" s="83">
        <f t="shared" si="7"/>
        <v>2.9183673469387754</v>
      </c>
      <c r="AE8" s="37">
        <f t="shared" si="1"/>
        <v>15.920000000000002</v>
      </c>
      <c r="AF8" s="84">
        <f t="shared" si="1"/>
        <v>23.888888888888889</v>
      </c>
      <c r="AG8" s="98">
        <f t="shared" si="8"/>
        <v>2.9183673469387754</v>
      </c>
    </row>
    <row r="9" spans="1:33" x14ac:dyDescent="0.35">
      <c r="A9">
        <f t="shared" si="9"/>
        <v>6</v>
      </c>
      <c r="B9" s="44">
        <v>4</v>
      </c>
      <c r="C9" s="73">
        <v>3</v>
      </c>
      <c r="D9" s="73">
        <v>3</v>
      </c>
      <c r="E9" s="287">
        <v>0</v>
      </c>
      <c r="N9">
        <f t="shared" si="10"/>
        <v>6</v>
      </c>
      <c r="O9" s="36">
        <f t="shared" si="2"/>
        <v>9</v>
      </c>
      <c r="P9" s="37">
        <f t="shared" si="3"/>
        <v>40</v>
      </c>
      <c r="Q9" s="38">
        <f t="shared" si="4"/>
        <v>4</v>
      </c>
      <c r="R9">
        <f t="shared" si="5"/>
        <v>4</v>
      </c>
      <c r="T9" s="279">
        <f t="shared" si="6"/>
        <v>3</v>
      </c>
      <c r="V9">
        <f t="shared" si="11"/>
        <v>6</v>
      </c>
      <c r="W9" s="98">
        <v>3</v>
      </c>
      <c r="Y9" t="s">
        <v>53</v>
      </c>
      <c r="Z9" s="137">
        <v>3</v>
      </c>
      <c r="AD9" s="83">
        <f t="shared" si="7"/>
        <v>16.061224489795919</v>
      </c>
      <c r="AE9" s="37">
        <f t="shared" si="1"/>
        <v>24.720000000000002</v>
      </c>
      <c r="AF9" s="84">
        <f t="shared" si="1"/>
        <v>1.2222222222222221</v>
      </c>
      <c r="AG9" s="98">
        <f t="shared" si="8"/>
        <v>1.2222222222222221</v>
      </c>
    </row>
    <row r="10" spans="1:33" x14ac:dyDescent="0.35">
      <c r="A10">
        <f t="shared" si="9"/>
        <v>7</v>
      </c>
      <c r="B10" s="44">
        <v>5</v>
      </c>
      <c r="C10" s="73">
        <v>2</v>
      </c>
      <c r="D10" s="73">
        <v>2</v>
      </c>
      <c r="E10" s="287">
        <v>1</v>
      </c>
      <c r="N10">
        <f t="shared" si="10"/>
        <v>7</v>
      </c>
      <c r="O10" s="36">
        <f t="shared" si="2"/>
        <v>3</v>
      </c>
      <c r="P10" s="37">
        <f t="shared" si="3"/>
        <v>52</v>
      </c>
      <c r="Q10" s="38">
        <f t="shared" si="4"/>
        <v>0</v>
      </c>
      <c r="R10">
        <f t="shared" si="5"/>
        <v>0</v>
      </c>
      <c r="T10" s="279">
        <f t="shared" si="6"/>
        <v>3</v>
      </c>
      <c r="V10">
        <f t="shared" si="11"/>
        <v>7</v>
      </c>
      <c r="W10" s="98">
        <v>3</v>
      </c>
      <c r="AD10" s="83">
        <f t="shared" si="7"/>
        <v>10.632653061224492</v>
      </c>
      <c r="AE10" s="37">
        <f t="shared" si="1"/>
        <v>28.720000000000002</v>
      </c>
      <c r="AF10" s="84">
        <f t="shared" si="1"/>
        <v>3.2222222222222232</v>
      </c>
      <c r="AG10" s="98">
        <f t="shared" si="8"/>
        <v>3.2222222222222232</v>
      </c>
    </row>
    <row r="11" spans="1:33" x14ac:dyDescent="0.35">
      <c r="A11">
        <f t="shared" si="9"/>
        <v>8</v>
      </c>
      <c r="B11" s="44">
        <v>1</v>
      </c>
      <c r="C11" s="73">
        <v>2</v>
      </c>
      <c r="D11" s="73">
        <v>4</v>
      </c>
      <c r="E11" s="287">
        <v>5</v>
      </c>
      <c r="N11">
        <f t="shared" si="10"/>
        <v>8</v>
      </c>
      <c r="O11" s="36">
        <f t="shared" si="2"/>
        <v>27</v>
      </c>
      <c r="P11" s="37">
        <f t="shared" si="3"/>
        <v>12</v>
      </c>
      <c r="Q11" s="38">
        <f t="shared" si="4"/>
        <v>36</v>
      </c>
      <c r="R11">
        <f t="shared" si="5"/>
        <v>12</v>
      </c>
      <c r="T11" s="279">
        <f t="shared" si="6"/>
        <v>2</v>
      </c>
      <c r="V11">
        <f t="shared" si="11"/>
        <v>8</v>
      </c>
      <c r="W11" s="98">
        <v>2</v>
      </c>
      <c r="Y11" t="s">
        <v>733</v>
      </c>
      <c r="Z11" s="137">
        <v>10</v>
      </c>
      <c r="AD11" s="83">
        <f t="shared" si="7"/>
        <v>10.63265306122449</v>
      </c>
      <c r="AE11" s="37">
        <f t="shared" si="1"/>
        <v>2.3200000000000003</v>
      </c>
      <c r="AF11" s="84">
        <f t="shared" si="1"/>
        <v>29.888888888888886</v>
      </c>
      <c r="AG11" s="98">
        <f t="shared" si="8"/>
        <v>2.3200000000000003</v>
      </c>
    </row>
    <row r="12" spans="1:33" x14ac:dyDescent="0.35">
      <c r="A12">
        <f t="shared" si="9"/>
        <v>9</v>
      </c>
      <c r="B12" s="44">
        <v>2</v>
      </c>
      <c r="C12" s="73">
        <v>1</v>
      </c>
      <c r="D12" s="73">
        <v>3</v>
      </c>
      <c r="E12" s="287">
        <v>4</v>
      </c>
      <c r="N12">
        <f t="shared" si="10"/>
        <v>9</v>
      </c>
      <c r="O12" s="36">
        <f t="shared" si="2"/>
        <v>13</v>
      </c>
      <c r="P12" s="37">
        <f t="shared" si="3"/>
        <v>24</v>
      </c>
      <c r="Q12" s="38">
        <f t="shared" si="4"/>
        <v>20</v>
      </c>
      <c r="R12">
        <f t="shared" si="5"/>
        <v>13</v>
      </c>
      <c r="T12" s="279">
        <f t="shared" si="6"/>
        <v>1</v>
      </c>
      <c r="V12">
        <f t="shared" si="11"/>
        <v>9</v>
      </c>
      <c r="W12" s="98">
        <v>1</v>
      </c>
      <c r="AD12" s="83">
        <f t="shared" si="7"/>
        <v>3.4897959183673466</v>
      </c>
      <c r="AE12" s="37">
        <f t="shared" si="1"/>
        <v>6.3200000000000012</v>
      </c>
      <c r="AF12" s="84">
        <f t="shared" si="1"/>
        <v>19.888888888888889</v>
      </c>
      <c r="AG12" s="98">
        <f t="shared" si="8"/>
        <v>3.4897959183673466</v>
      </c>
    </row>
    <row r="13" spans="1:33" x14ac:dyDescent="0.35">
      <c r="A13">
        <f t="shared" si="9"/>
        <v>10</v>
      </c>
      <c r="B13" s="44">
        <v>4</v>
      </c>
      <c r="C13" s="73">
        <v>5</v>
      </c>
      <c r="D13" s="73">
        <v>4</v>
      </c>
      <c r="E13" s="287">
        <v>2</v>
      </c>
      <c r="N13">
        <f t="shared" si="10"/>
        <v>10</v>
      </c>
      <c r="O13" s="36">
        <f t="shared" si="2"/>
        <v>18</v>
      </c>
      <c r="P13" s="37">
        <f t="shared" si="3"/>
        <v>21</v>
      </c>
      <c r="Q13" s="38">
        <f t="shared" si="4"/>
        <v>15</v>
      </c>
      <c r="R13">
        <f t="shared" si="5"/>
        <v>15</v>
      </c>
      <c r="T13" s="279">
        <f t="shared" si="6"/>
        <v>3</v>
      </c>
      <c r="V13">
        <f t="shared" si="11"/>
        <v>10</v>
      </c>
      <c r="W13" s="98">
        <v>3</v>
      </c>
      <c r="Y13" t="s">
        <v>730</v>
      </c>
      <c r="Z13" s="137">
        <f>SUM(AG4:AG18)</f>
        <v>74.304761904761904</v>
      </c>
      <c r="AD13" s="83">
        <f t="shared" si="7"/>
        <v>17.061224489795919</v>
      </c>
      <c r="AE13" s="37">
        <f t="shared" si="1"/>
        <v>14.920000000000002</v>
      </c>
      <c r="AF13" s="84">
        <f t="shared" si="1"/>
        <v>4.8888888888888875</v>
      </c>
      <c r="AG13" s="98">
        <f t="shared" si="8"/>
        <v>4.8888888888888875</v>
      </c>
    </row>
    <row r="14" spans="1:33" x14ac:dyDescent="0.35">
      <c r="A14">
        <f t="shared" si="9"/>
        <v>11</v>
      </c>
      <c r="B14" s="44">
        <v>3</v>
      </c>
      <c r="C14" s="186">
        <v>3</v>
      </c>
      <c r="D14" s="186">
        <v>2</v>
      </c>
      <c r="E14" s="283">
        <v>4</v>
      </c>
      <c r="N14">
        <f t="shared" si="10"/>
        <v>11</v>
      </c>
      <c r="O14" s="36">
        <f t="shared" si="2"/>
        <v>7</v>
      </c>
      <c r="P14" s="37">
        <f t="shared" si="3"/>
        <v>22</v>
      </c>
      <c r="Q14" s="38">
        <f t="shared" si="4"/>
        <v>14</v>
      </c>
      <c r="R14">
        <f t="shared" si="5"/>
        <v>7</v>
      </c>
      <c r="T14" s="279">
        <f t="shared" si="6"/>
        <v>1</v>
      </c>
      <c r="V14">
        <f t="shared" si="11"/>
        <v>11</v>
      </c>
      <c r="W14" s="98">
        <v>1</v>
      </c>
      <c r="AD14" s="83">
        <f t="shared" si="7"/>
        <v>1.204081632653061</v>
      </c>
      <c r="AE14" s="37">
        <f t="shared" si="1"/>
        <v>8.3200000000000021</v>
      </c>
      <c r="AF14" s="84">
        <f t="shared" si="1"/>
        <v>11.888888888888889</v>
      </c>
      <c r="AG14" s="98">
        <f t="shared" si="8"/>
        <v>1.204081632653061</v>
      </c>
    </row>
    <row r="15" spans="1:33" x14ac:dyDescent="0.35">
      <c r="A15">
        <f t="shared" si="9"/>
        <v>12</v>
      </c>
      <c r="B15" s="44">
        <v>3</v>
      </c>
      <c r="C15" s="186">
        <v>3</v>
      </c>
      <c r="D15" s="186">
        <v>5</v>
      </c>
      <c r="E15" s="283">
        <v>4</v>
      </c>
      <c r="N15">
        <f t="shared" si="10"/>
        <v>12</v>
      </c>
      <c r="O15" s="36">
        <f t="shared" si="2"/>
        <v>22</v>
      </c>
      <c r="P15" s="37">
        <f t="shared" si="3"/>
        <v>13</v>
      </c>
      <c r="Q15" s="38">
        <f t="shared" si="4"/>
        <v>23</v>
      </c>
      <c r="R15">
        <f t="shared" si="5"/>
        <v>13</v>
      </c>
      <c r="T15" s="279">
        <f t="shared" si="6"/>
        <v>2</v>
      </c>
      <c r="V15">
        <f t="shared" si="11"/>
        <v>12</v>
      </c>
      <c r="W15" s="98">
        <v>2</v>
      </c>
      <c r="AD15" s="83">
        <f t="shared" si="7"/>
        <v>11.061224489795917</v>
      </c>
      <c r="AE15" s="37">
        <f t="shared" si="1"/>
        <v>2.92</v>
      </c>
      <c r="AF15" s="84">
        <f t="shared" si="1"/>
        <v>14.888888888888889</v>
      </c>
      <c r="AG15" s="98">
        <f t="shared" si="8"/>
        <v>2.92</v>
      </c>
    </row>
    <row r="16" spans="1:33" x14ac:dyDescent="0.35">
      <c r="A16">
        <f t="shared" si="9"/>
        <v>13</v>
      </c>
      <c r="B16" s="44">
        <v>4</v>
      </c>
      <c r="C16" s="186">
        <v>1</v>
      </c>
      <c r="D16" s="186">
        <v>2</v>
      </c>
      <c r="E16" s="283">
        <v>3</v>
      </c>
      <c r="N16">
        <f t="shared" si="10"/>
        <v>13</v>
      </c>
      <c r="O16" s="36">
        <f t="shared" si="2"/>
        <v>3</v>
      </c>
      <c r="P16" s="37">
        <f t="shared" si="3"/>
        <v>42</v>
      </c>
      <c r="Q16" s="38">
        <f t="shared" si="4"/>
        <v>6</v>
      </c>
      <c r="R16">
        <f t="shared" si="5"/>
        <v>3</v>
      </c>
      <c r="T16" s="279">
        <f t="shared" si="6"/>
        <v>1</v>
      </c>
      <c r="V16">
        <f t="shared" si="11"/>
        <v>13</v>
      </c>
      <c r="W16" s="98">
        <v>1</v>
      </c>
      <c r="AD16" s="83">
        <f t="shared" si="7"/>
        <v>2.3469387755102042</v>
      </c>
      <c r="AE16" s="37">
        <f t="shared" si="1"/>
        <v>17.520000000000003</v>
      </c>
      <c r="AF16" s="84">
        <f t="shared" si="1"/>
        <v>10.555555555555557</v>
      </c>
      <c r="AG16" s="98">
        <f t="shared" si="8"/>
        <v>2.3469387755102042</v>
      </c>
    </row>
    <row r="17" spans="1:33" x14ac:dyDescent="0.35">
      <c r="A17">
        <f t="shared" si="9"/>
        <v>14</v>
      </c>
      <c r="B17" s="44">
        <v>0</v>
      </c>
      <c r="C17" s="186">
        <v>5</v>
      </c>
      <c r="D17" s="186">
        <v>5</v>
      </c>
      <c r="E17" s="283">
        <v>4</v>
      </c>
      <c r="N17">
        <f t="shared" si="10"/>
        <v>14</v>
      </c>
      <c r="O17" s="36">
        <f t="shared" si="2"/>
        <v>45</v>
      </c>
      <c r="P17" s="37">
        <f t="shared" si="3"/>
        <v>0</v>
      </c>
      <c r="Q17" s="38">
        <f t="shared" si="4"/>
        <v>52</v>
      </c>
      <c r="R17">
        <f t="shared" si="5"/>
        <v>0</v>
      </c>
      <c r="T17" s="279">
        <f t="shared" si="6"/>
        <v>2</v>
      </c>
      <c r="V17">
        <f t="shared" si="11"/>
        <v>14</v>
      </c>
      <c r="W17" s="98">
        <v>2</v>
      </c>
      <c r="AD17" s="83">
        <f t="shared" si="7"/>
        <v>28.061224489795919</v>
      </c>
      <c r="AE17" s="37">
        <f t="shared" si="1"/>
        <v>6.3199999999999994</v>
      </c>
      <c r="AF17" s="84">
        <f t="shared" si="1"/>
        <v>34.555555555555557</v>
      </c>
      <c r="AG17" s="98">
        <f t="shared" si="8"/>
        <v>6.3199999999999994</v>
      </c>
    </row>
    <row r="18" spans="1:33" x14ac:dyDescent="0.35">
      <c r="A18">
        <f t="shared" si="9"/>
        <v>15</v>
      </c>
      <c r="B18" s="45">
        <v>5</v>
      </c>
      <c r="C18" s="74">
        <v>2</v>
      </c>
      <c r="D18" s="74">
        <v>4</v>
      </c>
      <c r="E18" s="284">
        <v>5</v>
      </c>
      <c r="N18">
        <f t="shared" si="10"/>
        <v>15</v>
      </c>
      <c r="O18" s="39">
        <f t="shared" si="2"/>
        <v>19</v>
      </c>
      <c r="P18" s="40">
        <f t="shared" si="3"/>
        <v>36</v>
      </c>
      <c r="Q18" s="41">
        <f t="shared" si="4"/>
        <v>20</v>
      </c>
      <c r="R18">
        <f t="shared" si="5"/>
        <v>19</v>
      </c>
      <c r="T18" s="285">
        <f t="shared" si="6"/>
        <v>1</v>
      </c>
      <c r="V18">
        <f t="shared" si="11"/>
        <v>15</v>
      </c>
      <c r="W18" s="99">
        <v>1</v>
      </c>
      <c r="AD18" s="85">
        <f t="shared" si="7"/>
        <v>10.63265306122449</v>
      </c>
      <c r="AE18" s="86">
        <f t="shared" si="1"/>
        <v>15.120000000000001</v>
      </c>
      <c r="AF18" s="87">
        <f t="shared" si="1"/>
        <v>19.222222222222221</v>
      </c>
      <c r="AG18" s="99">
        <f t="shared" si="8"/>
        <v>10.63265306122449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4"/>
  <dimension ref="A1:R36"/>
  <sheetViews>
    <sheetView topLeftCell="A14" workbookViewId="0">
      <selection activeCell="H22" sqref="H22:H36"/>
    </sheetView>
  </sheetViews>
  <sheetFormatPr defaultRowHeight="15" x14ac:dyDescent="0.25"/>
  <cols>
    <col min="1" max="1" width="4" customWidth="1"/>
    <col min="2" max="5" width="6.140625" customWidth="1"/>
    <col min="6" max="6" width="5.42578125" customWidth="1"/>
    <col min="9" max="9" width="4.28515625" customWidth="1"/>
    <col min="14" max="14" width="5.140625" customWidth="1"/>
  </cols>
  <sheetData>
    <row r="1" spans="1:18" x14ac:dyDescent="0.35">
      <c r="B1" s="42" t="s">
        <v>735</v>
      </c>
    </row>
    <row r="3" spans="1:18" x14ac:dyDescent="0.35">
      <c r="B3" s="32" t="s">
        <v>278</v>
      </c>
      <c r="C3" s="32" t="s">
        <v>390</v>
      </c>
      <c r="D3" s="32" t="s">
        <v>392</v>
      </c>
      <c r="E3" s="32" t="s">
        <v>734</v>
      </c>
      <c r="H3" s="47" t="s">
        <v>727</v>
      </c>
      <c r="J3" t="s">
        <v>728</v>
      </c>
      <c r="K3">
        <v>1</v>
      </c>
      <c r="L3">
        <f>K3+1</f>
        <v>2</v>
      </c>
      <c r="M3">
        <f>L3+1</f>
        <v>3</v>
      </c>
      <c r="O3">
        <v>1</v>
      </c>
      <c r="P3">
        <f>O3+1</f>
        <v>2</v>
      </c>
      <c r="Q3">
        <f>P3+1</f>
        <v>3</v>
      </c>
      <c r="R3" s="47" t="s">
        <v>729</v>
      </c>
    </row>
    <row r="4" spans="1:18" x14ac:dyDescent="0.35">
      <c r="A4">
        <v>1</v>
      </c>
      <c r="B4" s="274">
        <v>1</v>
      </c>
      <c r="C4" s="145">
        <v>4</v>
      </c>
      <c r="D4" s="145">
        <v>0</v>
      </c>
      <c r="E4" s="275">
        <v>3</v>
      </c>
      <c r="G4">
        <v>1</v>
      </c>
      <c r="H4" s="132">
        <f t="array" aca="1" ref="H4:H18" ca="1">[1]!ClustAnal(B4:E18,K9,K11)</f>
        <v>2</v>
      </c>
      <c r="J4" t="str">
        <f t="array" ref="J4:J7">TRANSPOSE(B3:E3)</f>
        <v>W</v>
      </c>
      <c r="K4" s="149">
        <f ca="1">AVERAGEIF($H$4:$H$18,K$3,$B$4:$B$18)</f>
        <v>4.2</v>
      </c>
      <c r="L4" s="286">
        <f ca="1">AVERAGEIF($H$4:$H$18,L$3,$B$4:$B$18)</f>
        <v>1.5</v>
      </c>
      <c r="M4" s="82">
        <f ca="1">AVERAGEIF($H$4:$H$18,M$3,$B$4:$B$18)</f>
        <v>2.125</v>
      </c>
      <c r="O4" s="149">
        <f ca="1">SUMXMY2($B4:$E4,K$4:K$7)</f>
        <v>19.920000000000002</v>
      </c>
      <c r="P4" s="286">
        <f t="shared" ref="P4:Q18" ca="1" si="0">SUMXMY2($B4:$E4,L$4:L$7)</f>
        <v>3</v>
      </c>
      <c r="Q4" s="82">
        <f t="shared" ca="1" si="0"/>
        <v>19.4375</v>
      </c>
      <c r="R4" s="132">
        <f ca="1">MIN(O4:Q4)</f>
        <v>3</v>
      </c>
    </row>
    <row r="5" spans="1:18" x14ac:dyDescent="0.35">
      <c r="A5">
        <f>A4+1</f>
        <v>2</v>
      </c>
      <c r="B5" s="44">
        <v>2</v>
      </c>
      <c r="C5" s="73">
        <v>5</v>
      </c>
      <c r="D5" s="73">
        <v>3</v>
      </c>
      <c r="E5" s="283">
        <v>4</v>
      </c>
      <c r="G5">
        <f>G4+1</f>
        <v>2</v>
      </c>
      <c r="H5" s="98">
        <f ca="1"/>
        <v>3</v>
      </c>
      <c r="J5" t="str">
        <v>X</v>
      </c>
      <c r="K5" s="83">
        <f ca="1">AVERAGEIF($H$4:$H$18,K$3,$C$4:$C$18)</f>
        <v>2.6</v>
      </c>
      <c r="L5" s="37">
        <f ca="1">AVERAGEIF($H$4:$H$18,L$3,$C$4:$C$18)</f>
        <v>2.5</v>
      </c>
      <c r="M5" s="84">
        <f ca="1">AVERAGEIF($H$4:$H$18,M$3,$C$4:$C$18)</f>
        <v>2.625</v>
      </c>
      <c r="O5" s="83">
        <f t="shared" ref="O5:O18" ca="1" si="1">SUMXMY2($B5:$E5,K$4:K$7)</f>
        <v>16.72</v>
      </c>
      <c r="P5" s="37">
        <f t="shared" ca="1" si="0"/>
        <v>13</v>
      </c>
      <c r="Q5" s="84">
        <f t="shared" ca="1" si="0"/>
        <v>6.4375</v>
      </c>
      <c r="R5" s="98">
        <f t="shared" ref="R5:R18" ca="1" si="2">MIN(O5:Q5)</f>
        <v>6.4375</v>
      </c>
    </row>
    <row r="6" spans="1:18" x14ac:dyDescent="0.35">
      <c r="A6">
        <f t="shared" ref="A6:A18" si="3">A5+1</f>
        <v>3</v>
      </c>
      <c r="B6" s="44">
        <v>4</v>
      </c>
      <c r="C6" s="73">
        <v>2</v>
      </c>
      <c r="D6" s="73">
        <v>1</v>
      </c>
      <c r="E6" s="283">
        <v>2</v>
      </c>
      <c r="G6">
        <f t="shared" ref="G6:G18" si="4">G5+1</f>
        <v>3</v>
      </c>
      <c r="H6" s="98">
        <f ca="1"/>
        <v>1</v>
      </c>
      <c r="J6" t="str">
        <v>Y</v>
      </c>
      <c r="K6" s="83">
        <f ca="1">AVERAGEIF($H$4:$H$18,K$3,$D$4:$D$18)</f>
        <v>2.4</v>
      </c>
      <c r="L6" s="37">
        <f ca="1">AVERAGEIF($H$4:$H$18,L$3,$D$4:$D$18)</f>
        <v>0.5</v>
      </c>
      <c r="M6" s="84">
        <f ca="1">AVERAGEIF($H$4:$H$18,M$3,$D$4:$D$18)</f>
        <v>3.875</v>
      </c>
      <c r="O6" s="83">
        <f t="shared" ca="1" si="1"/>
        <v>2.5199999999999996</v>
      </c>
      <c r="P6" s="37">
        <f t="shared" ca="1" si="0"/>
        <v>9</v>
      </c>
      <c r="Q6" s="84">
        <f t="shared" ca="1" si="0"/>
        <v>16.6875</v>
      </c>
      <c r="R6" s="98">
        <f t="shared" ca="1" si="2"/>
        <v>2.5199999999999996</v>
      </c>
    </row>
    <row r="7" spans="1:18" x14ac:dyDescent="0.35">
      <c r="A7">
        <f t="shared" si="3"/>
        <v>4</v>
      </c>
      <c r="B7" s="44">
        <v>1</v>
      </c>
      <c r="C7" s="73">
        <v>0</v>
      </c>
      <c r="D7" s="73">
        <v>5</v>
      </c>
      <c r="E7" s="287">
        <v>3</v>
      </c>
      <c r="G7">
        <f t="shared" si="4"/>
        <v>4</v>
      </c>
      <c r="H7" s="98">
        <f ca="1"/>
        <v>3</v>
      </c>
      <c r="J7" t="str">
        <v>Z</v>
      </c>
      <c r="K7" s="85">
        <f ca="1">AVERAGEIF($H$4:$H$18,K$3,$E$4:$E$18)</f>
        <v>1.6</v>
      </c>
      <c r="L7" s="86">
        <f ca="1">AVERAGEIF($H$4:$H$18,L$3,$E$4:$E$18)</f>
        <v>3.5</v>
      </c>
      <c r="M7" s="87">
        <f ca="1">AVERAGEIF($H$4:$H$18,M$3,$E$4:$E$18)</f>
        <v>4.125</v>
      </c>
      <c r="O7" s="83">
        <f t="shared" ca="1" si="1"/>
        <v>25.720000000000006</v>
      </c>
      <c r="P7" s="37">
        <f t="shared" ca="1" si="0"/>
        <v>27</v>
      </c>
      <c r="Q7" s="84">
        <f t="shared" ca="1" si="0"/>
        <v>10.6875</v>
      </c>
      <c r="R7" s="98">
        <f t="shared" ca="1" si="2"/>
        <v>10.6875</v>
      </c>
    </row>
    <row r="8" spans="1:18" x14ac:dyDescent="0.35">
      <c r="A8">
        <f t="shared" si="3"/>
        <v>5</v>
      </c>
      <c r="B8" s="44">
        <v>2</v>
      </c>
      <c r="C8" s="73">
        <v>1</v>
      </c>
      <c r="D8" s="73">
        <v>1</v>
      </c>
      <c r="E8" s="287">
        <v>4</v>
      </c>
      <c r="G8">
        <f t="shared" si="4"/>
        <v>5</v>
      </c>
      <c r="H8" s="98">
        <f ca="1"/>
        <v>2</v>
      </c>
      <c r="O8" s="83">
        <f t="shared" ca="1" si="1"/>
        <v>15.120000000000001</v>
      </c>
      <c r="P8" s="37">
        <f t="shared" ca="1" si="0"/>
        <v>3</v>
      </c>
      <c r="Q8" s="84">
        <f t="shared" ca="1" si="0"/>
        <v>10.9375</v>
      </c>
      <c r="R8" s="98">
        <f t="shared" ca="1" si="2"/>
        <v>3</v>
      </c>
    </row>
    <row r="9" spans="1:18" x14ac:dyDescent="0.35">
      <c r="A9">
        <f t="shared" si="3"/>
        <v>6</v>
      </c>
      <c r="B9" s="44">
        <v>4</v>
      </c>
      <c r="C9" s="73">
        <v>3</v>
      </c>
      <c r="D9" s="73">
        <v>3</v>
      </c>
      <c r="E9" s="287">
        <v>0</v>
      </c>
      <c r="G9">
        <f t="shared" si="4"/>
        <v>6</v>
      </c>
      <c r="H9" s="98">
        <f ca="1"/>
        <v>1</v>
      </c>
      <c r="J9" t="s">
        <v>53</v>
      </c>
      <c r="K9" s="137">
        <v>3</v>
      </c>
      <c r="O9" s="83">
        <f t="shared" ca="1" si="1"/>
        <v>3.1200000000000006</v>
      </c>
      <c r="P9" s="37">
        <f t="shared" ca="1" si="0"/>
        <v>25</v>
      </c>
      <c r="Q9" s="84">
        <f t="shared" ca="1" si="0"/>
        <v>21.4375</v>
      </c>
      <c r="R9" s="98">
        <f t="shared" ca="1" si="2"/>
        <v>3.1200000000000006</v>
      </c>
    </row>
    <row r="10" spans="1:18" x14ac:dyDescent="0.35">
      <c r="A10">
        <f t="shared" si="3"/>
        <v>7</v>
      </c>
      <c r="B10" s="44">
        <v>5</v>
      </c>
      <c r="C10" s="73">
        <v>2</v>
      </c>
      <c r="D10" s="73">
        <v>2</v>
      </c>
      <c r="E10" s="287">
        <v>1</v>
      </c>
      <c r="G10">
        <f t="shared" si="4"/>
        <v>7</v>
      </c>
      <c r="H10" s="98">
        <f ca="1"/>
        <v>1</v>
      </c>
      <c r="O10" s="83">
        <f t="shared" ca="1" si="1"/>
        <v>1.5199999999999998</v>
      </c>
      <c r="P10" s="37">
        <f t="shared" ca="1" si="0"/>
        <v>21</v>
      </c>
      <c r="Q10" s="84">
        <f t="shared" ca="1" si="0"/>
        <v>21.9375</v>
      </c>
      <c r="R10" s="98">
        <f t="shared" ca="1" si="2"/>
        <v>1.5199999999999998</v>
      </c>
    </row>
    <row r="11" spans="1:18" x14ac:dyDescent="0.35">
      <c r="A11">
        <f t="shared" si="3"/>
        <v>8</v>
      </c>
      <c r="B11" s="44">
        <v>1</v>
      </c>
      <c r="C11" s="73">
        <v>2</v>
      </c>
      <c r="D11" s="73">
        <v>4</v>
      </c>
      <c r="E11" s="287">
        <v>5</v>
      </c>
      <c r="G11">
        <f t="shared" si="4"/>
        <v>8</v>
      </c>
      <c r="H11" s="98">
        <f ca="1"/>
        <v>3</v>
      </c>
      <c r="J11" t="s">
        <v>733</v>
      </c>
      <c r="K11" s="137">
        <v>10</v>
      </c>
      <c r="O11" s="83">
        <f t="shared" ca="1" si="1"/>
        <v>24.72</v>
      </c>
      <c r="P11" s="37">
        <f t="shared" ca="1" si="0"/>
        <v>15</v>
      </c>
      <c r="Q11" s="84">
        <f t="shared" ca="1" si="0"/>
        <v>2.4375</v>
      </c>
      <c r="R11" s="98">
        <f t="shared" ca="1" si="2"/>
        <v>2.4375</v>
      </c>
    </row>
    <row r="12" spans="1:18" x14ac:dyDescent="0.35">
      <c r="A12">
        <f t="shared" si="3"/>
        <v>9</v>
      </c>
      <c r="B12" s="44">
        <v>2</v>
      </c>
      <c r="C12" s="73">
        <v>1</v>
      </c>
      <c r="D12" s="73">
        <v>3</v>
      </c>
      <c r="E12" s="287">
        <v>4</v>
      </c>
      <c r="G12">
        <f t="shared" si="4"/>
        <v>9</v>
      </c>
      <c r="H12" s="98">
        <f ca="1"/>
        <v>3</v>
      </c>
      <c r="O12" s="83">
        <f t="shared" ca="1" si="1"/>
        <v>13.520000000000001</v>
      </c>
      <c r="P12" s="37">
        <f t="shared" ca="1" si="0"/>
        <v>9</v>
      </c>
      <c r="Q12" s="84">
        <f t="shared" ca="1" si="0"/>
        <v>3.4375</v>
      </c>
      <c r="R12" s="98">
        <f t="shared" ca="1" si="2"/>
        <v>3.4375</v>
      </c>
    </row>
    <row r="13" spans="1:18" x14ac:dyDescent="0.35">
      <c r="A13">
        <f t="shared" si="3"/>
        <v>10</v>
      </c>
      <c r="B13" s="44">
        <v>4</v>
      </c>
      <c r="C13" s="73">
        <v>5</v>
      </c>
      <c r="D13" s="73">
        <v>4</v>
      </c>
      <c r="E13" s="287">
        <v>2</v>
      </c>
      <c r="G13">
        <f t="shared" si="4"/>
        <v>10</v>
      </c>
      <c r="H13" s="98">
        <f ca="1"/>
        <v>1</v>
      </c>
      <c r="J13" t="s">
        <v>730</v>
      </c>
      <c r="K13" s="137">
        <f ca="1">SUM(R4:R18)</f>
        <v>76.899999999999991</v>
      </c>
      <c r="O13" s="83">
        <f t="shared" ca="1" si="1"/>
        <v>8.52</v>
      </c>
      <c r="P13" s="37">
        <f t="shared" ca="1" si="0"/>
        <v>27</v>
      </c>
      <c r="Q13" s="84">
        <f t="shared" ca="1" si="0"/>
        <v>13.6875</v>
      </c>
      <c r="R13" s="98">
        <f t="shared" ca="1" si="2"/>
        <v>8.52</v>
      </c>
    </row>
    <row r="14" spans="1:18" x14ac:dyDescent="0.35">
      <c r="A14">
        <f t="shared" si="3"/>
        <v>11</v>
      </c>
      <c r="B14" s="44">
        <v>3</v>
      </c>
      <c r="C14" s="186">
        <v>3</v>
      </c>
      <c r="D14" s="186">
        <v>2</v>
      </c>
      <c r="E14" s="283">
        <v>4</v>
      </c>
      <c r="G14">
        <f t="shared" si="4"/>
        <v>11</v>
      </c>
      <c r="H14" s="98">
        <f ca="1"/>
        <v>3</v>
      </c>
      <c r="O14" s="83">
        <f t="shared" ca="1" si="1"/>
        <v>7.52</v>
      </c>
      <c r="P14" s="37">
        <f t="shared" ca="1" si="0"/>
        <v>5</v>
      </c>
      <c r="Q14" s="84">
        <f t="shared" ca="1" si="0"/>
        <v>4.4375</v>
      </c>
      <c r="R14" s="98">
        <f t="shared" ca="1" si="2"/>
        <v>4.4375</v>
      </c>
    </row>
    <row r="15" spans="1:18" x14ac:dyDescent="0.35">
      <c r="A15">
        <f t="shared" si="3"/>
        <v>12</v>
      </c>
      <c r="B15" s="44">
        <v>3</v>
      </c>
      <c r="C15" s="186">
        <v>3</v>
      </c>
      <c r="D15" s="186">
        <v>5</v>
      </c>
      <c r="E15" s="283">
        <v>4</v>
      </c>
      <c r="G15">
        <f t="shared" si="4"/>
        <v>12</v>
      </c>
      <c r="H15" s="98">
        <f ca="1"/>
        <v>3</v>
      </c>
      <c r="O15" s="83">
        <f t="shared" ca="1" si="1"/>
        <v>14.120000000000001</v>
      </c>
      <c r="P15" s="37">
        <f t="shared" ca="1" si="0"/>
        <v>23</v>
      </c>
      <c r="Q15" s="84">
        <f t="shared" ca="1" si="0"/>
        <v>2.1875</v>
      </c>
      <c r="R15" s="98">
        <f t="shared" ca="1" si="2"/>
        <v>2.1875</v>
      </c>
    </row>
    <row r="16" spans="1:18" x14ac:dyDescent="0.35">
      <c r="A16">
        <f t="shared" si="3"/>
        <v>13</v>
      </c>
      <c r="B16" s="44">
        <v>4</v>
      </c>
      <c r="C16" s="186">
        <v>1</v>
      </c>
      <c r="D16" s="186">
        <v>2</v>
      </c>
      <c r="E16" s="283">
        <v>3</v>
      </c>
      <c r="G16">
        <f t="shared" si="4"/>
        <v>13</v>
      </c>
      <c r="H16" s="98">
        <f ca="1"/>
        <v>1</v>
      </c>
      <c r="O16" s="83">
        <f t="shared" ca="1" si="1"/>
        <v>4.7200000000000006</v>
      </c>
      <c r="P16" s="37">
        <f t="shared" ca="1" si="0"/>
        <v>11</v>
      </c>
      <c r="Q16" s="84">
        <f t="shared" ca="1" si="0"/>
        <v>10.9375</v>
      </c>
      <c r="R16" s="98">
        <f t="shared" ca="1" si="2"/>
        <v>4.7200000000000006</v>
      </c>
    </row>
    <row r="17" spans="1:18" x14ac:dyDescent="0.35">
      <c r="A17">
        <f t="shared" si="3"/>
        <v>14</v>
      </c>
      <c r="B17" s="44">
        <v>0</v>
      </c>
      <c r="C17" s="186">
        <v>5</v>
      </c>
      <c r="D17" s="186">
        <v>5</v>
      </c>
      <c r="E17" s="283">
        <v>4</v>
      </c>
      <c r="G17">
        <f t="shared" si="4"/>
        <v>14</v>
      </c>
      <c r="H17" s="98">
        <f ca="1"/>
        <v>3</v>
      </c>
      <c r="O17" s="83">
        <f t="shared" ca="1" si="1"/>
        <v>35.92</v>
      </c>
      <c r="P17" s="37">
        <f t="shared" ca="1" si="0"/>
        <v>29</v>
      </c>
      <c r="Q17" s="84">
        <f t="shared" ca="1" si="0"/>
        <v>11.4375</v>
      </c>
      <c r="R17" s="98">
        <f t="shared" ca="1" si="2"/>
        <v>11.4375</v>
      </c>
    </row>
    <row r="18" spans="1:18" x14ac:dyDescent="0.35">
      <c r="A18">
        <f t="shared" si="3"/>
        <v>15</v>
      </c>
      <c r="B18" s="45">
        <v>5</v>
      </c>
      <c r="C18" s="74">
        <v>2</v>
      </c>
      <c r="D18" s="74">
        <v>4</v>
      </c>
      <c r="E18" s="284">
        <v>5</v>
      </c>
      <c r="G18">
        <f t="shared" si="4"/>
        <v>15</v>
      </c>
      <c r="H18" s="99">
        <f ca="1"/>
        <v>3</v>
      </c>
      <c r="O18" s="85">
        <f t="shared" ca="1" si="1"/>
        <v>15.12</v>
      </c>
      <c r="P18" s="86">
        <f t="shared" ca="1" si="0"/>
        <v>27</v>
      </c>
      <c r="Q18" s="87">
        <f t="shared" ca="1" si="0"/>
        <v>9.4375</v>
      </c>
      <c r="R18" s="99">
        <f t="shared" ca="1" si="2"/>
        <v>9.4375</v>
      </c>
    </row>
    <row r="21" spans="1:18" x14ac:dyDescent="0.35">
      <c r="H21" s="47" t="s">
        <v>727</v>
      </c>
      <c r="J21" t="s">
        <v>728</v>
      </c>
      <c r="K21">
        <v>1</v>
      </c>
      <c r="L21">
        <f>K21+1</f>
        <v>2</v>
      </c>
      <c r="M21">
        <f>L21+1</f>
        <v>3</v>
      </c>
      <c r="O21">
        <v>1</v>
      </c>
      <c r="P21">
        <f>O21+1</f>
        <v>2</v>
      </c>
      <c r="Q21">
        <f>P21+1</f>
        <v>3</v>
      </c>
      <c r="R21" s="47" t="s">
        <v>729</v>
      </c>
    </row>
    <row r="22" spans="1:18" x14ac:dyDescent="0.35">
      <c r="G22">
        <v>1</v>
      </c>
      <c r="H22" s="132">
        <f t="array" aca="1" ref="H22:H36" ca="1">[1]!ClustAnal(B4:E18,K27,K29)</f>
        <v>2</v>
      </c>
      <c r="J22" t="str">
        <f t="array" ref="J22:J25">TRANSPOSE(B3:E3)</f>
        <v>W</v>
      </c>
      <c r="K22" s="149">
        <f ca="1">AVERAGEIF($H$22:$H$36,K$21,$B$4:$B$18)</f>
        <v>2.4285714285714284</v>
      </c>
      <c r="L22" s="286">
        <f ca="1">AVERAGEIF($H$22:$H$36,L$21,$B$4:$B$18)</f>
        <v>3.6</v>
      </c>
      <c r="M22" s="82">
        <f ca="1">AVERAGEIF($H$22:$H$36,M$21,$B$4:$B$18)</f>
        <v>2</v>
      </c>
      <c r="O22" s="149">
        <f ca="1">SUMXMY2($B4:$E4,K$22:K$25)</f>
        <v>20.326530612244898</v>
      </c>
      <c r="P22" s="286">
        <f t="shared" ref="P22:Q36" ca="1" si="5">SUMXMY2($B4:$E4,L$22:L$25)</f>
        <v>13.32</v>
      </c>
      <c r="Q22" s="82">
        <f t="shared" ca="1" si="5"/>
        <v>18.111111111111111</v>
      </c>
      <c r="R22" s="132">
        <f ca="1">MIN(O22:Q22)</f>
        <v>13.32</v>
      </c>
    </row>
    <row r="23" spans="1:18" x14ac:dyDescent="0.35">
      <c r="G23">
        <f>G22+1</f>
        <v>2</v>
      </c>
      <c r="H23" s="98">
        <f ca="1"/>
        <v>3</v>
      </c>
      <c r="J23" t="str">
        <v>X</v>
      </c>
      <c r="K23" s="83">
        <f ca="1">AVERAGEIF($H$22:$H$36,K$21,$C$4:$C$18)</f>
        <v>1.7142857142857142</v>
      </c>
      <c r="L23" s="37">
        <f ca="1">AVERAGEIF($H$22:$H$36,L$21,$C$4:$C$18)</f>
        <v>2.4</v>
      </c>
      <c r="M23" s="84">
        <f ca="1">AVERAGEIF($H$22:$H$36,M$21,$C$4:$C$18)</f>
        <v>5</v>
      </c>
      <c r="O23" s="83">
        <f t="shared" ref="O23:O36" ca="1" si="6">SUMXMY2($B5:$E5,K$22:K$25)</f>
        <v>11.183673469387752</v>
      </c>
      <c r="P23" s="37">
        <f t="shared" ca="1" si="5"/>
        <v>16.12</v>
      </c>
      <c r="Q23" s="84">
        <f t="shared" ca="1" si="5"/>
        <v>1.4444444444444442</v>
      </c>
      <c r="R23" s="98">
        <f t="shared" ref="R23:R36" ca="1" si="7">MIN(O23:Q23)</f>
        <v>1.4444444444444442</v>
      </c>
    </row>
    <row r="24" spans="1:18" x14ac:dyDescent="0.35">
      <c r="G24">
        <f t="shared" ref="G24:G36" si="8">G23+1</f>
        <v>3</v>
      </c>
      <c r="H24" s="98">
        <f ca="1"/>
        <v>2</v>
      </c>
      <c r="J24" t="str">
        <v>Y</v>
      </c>
      <c r="K24" s="83">
        <f ca="1">AVERAGEIF($H$22:$H$36,K$21,$D$4:$D$18)</f>
        <v>3.4285714285714284</v>
      </c>
      <c r="L24" s="37">
        <f ca="1">AVERAGEIF($H$22:$H$36,L$21,$D$4:$D$18)</f>
        <v>1.6</v>
      </c>
      <c r="M24" s="84">
        <f ca="1">AVERAGEIF($H$22:$H$36,M$21,$D$4:$D$18)</f>
        <v>4</v>
      </c>
      <c r="O24" s="83">
        <f t="shared" ca="1" si="6"/>
        <v>13.040816326530614</v>
      </c>
      <c r="P24" s="37">
        <f t="shared" ca="1" si="5"/>
        <v>0.72</v>
      </c>
      <c r="Q24" s="84">
        <f t="shared" ca="1" si="5"/>
        <v>23.777777777777779</v>
      </c>
      <c r="R24" s="98">
        <f t="shared" ca="1" si="7"/>
        <v>0.72</v>
      </c>
    </row>
    <row r="25" spans="1:18" x14ac:dyDescent="0.35">
      <c r="G25">
        <f t="shared" si="8"/>
        <v>4</v>
      </c>
      <c r="H25" s="98">
        <f ca="1"/>
        <v>1</v>
      </c>
      <c r="J25" t="str">
        <v>Z</v>
      </c>
      <c r="K25" s="85">
        <f ca="1">AVERAGEIF($H$22:$H$36,K$21,$E$4:$E$18)</f>
        <v>4.1428571428571432</v>
      </c>
      <c r="L25" s="86">
        <f ca="1">AVERAGEIF($H$22:$H$36,L$21,$E$4:$E$18)</f>
        <v>1.8</v>
      </c>
      <c r="M25" s="87">
        <f ca="1">AVERAGEIF($H$22:$H$36,M$21,$E$4:$E$18)</f>
        <v>3.3333333333333335</v>
      </c>
      <c r="O25" s="83">
        <f t="shared" ca="1" si="6"/>
        <v>8.7551020408163271</v>
      </c>
      <c r="P25" s="37">
        <f t="shared" ca="1" si="5"/>
        <v>25.52</v>
      </c>
      <c r="Q25" s="84">
        <f t="shared" ca="1" si="5"/>
        <v>27.111111111111111</v>
      </c>
      <c r="R25" s="98">
        <f t="shared" ca="1" si="7"/>
        <v>8.7551020408163271</v>
      </c>
    </row>
    <row r="26" spans="1:18" x14ac:dyDescent="0.35">
      <c r="G26">
        <f t="shared" si="8"/>
        <v>5</v>
      </c>
      <c r="H26" s="98">
        <f ca="1"/>
        <v>1</v>
      </c>
      <c r="O26" s="83">
        <f t="shared" ca="1" si="6"/>
        <v>6.6122448979591821</v>
      </c>
      <c r="P26" s="37">
        <f t="shared" ca="1" si="5"/>
        <v>9.7200000000000024</v>
      </c>
      <c r="Q26" s="84">
        <f t="shared" ca="1" si="5"/>
        <v>25.444444444444443</v>
      </c>
      <c r="R26" s="98">
        <f t="shared" ca="1" si="7"/>
        <v>6.6122448979591821</v>
      </c>
    </row>
    <row r="27" spans="1:18" x14ac:dyDescent="0.35">
      <c r="G27">
        <f t="shared" si="8"/>
        <v>6</v>
      </c>
      <c r="H27" s="98">
        <f ca="1"/>
        <v>2</v>
      </c>
      <c r="J27" t="s">
        <v>53</v>
      </c>
      <c r="K27" s="137">
        <v>3</v>
      </c>
      <c r="O27" s="83">
        <f t="shared" ca="1" si="6"/>
        <v>21.469387755102044</v>
      </c>
      <c r="P27" s="37">
        <f t="shared" ca="1" si="5"/>
        <v>5.72</v>
      </c>
      <c r="Q27" s="84">
        <f t="shared" ca="1" si="5"/>
        <v>20.111111111111114</v>
      </c>
      <c r="R27" s="98">
        <f t="shared" ca="1" si="7"/>
        <v>5.72</v>
      </c>
    </row>
    <row r="28" spans="1:18" x14ac:dyDescent="0.35">
      <c r="G28">
        <f t="shared" si="8"/>
        <v>7</v>
      </c>
      <c r="H28" s="98">
        <f ca="1"/>
        <v>2</v>
      </c>
      <c r="O28" s="83">
        <f t="shared" ca="1" si="6"/>
        <v>18.612244897959187</v>
      </c>
      <c r="P28" s="37">
        <f t="shared" ca="1" si="5"/>
        <v>2.9199999999999995</v>
      </c>
      <c r="Q28" s="84">
        <f t="shared" ca="1" si="5"/>
        <v>27.444444444444446</v>
      </c>
      <c r="R28" s="98">
        <f t="shared" ca="1" si="7"/>
        <v>2.9199999999999995</v>
      </c>
    </row>
    <row r="29" spans="1:18" x14ac:dyDescent="0.35">
      <c r="G29">
        <f t="shared" si="8"/>
        <v>8</v>
      </c>
      <c r="H29" s="98">
        <f ca="1"/>
        <v>1</v>
      </c>
      <c r="J29" t="s">
        <v>733</v>
      </c>
      <c r="K29" s="137">
        <v>50</v>
      </c>
      <c r="O29" s="83">
        <f t="shared" ca="1" si="6"/>
        <v>3.1836734693877546</v>
      </c>
      <c r="P29" s="37">
        <f t="shared" ca="1" si="5"/>
        <v>22.92</v>
      </c>
      <c r="Q29" s="84">
        <f t="shared" ca="1" si="5"/>
        <v>12.777777777777777</v>
      </c>
      <c r="R29" s="98">
        <f t="shared" ca="1" si="7"/>
        <v>3.1836734693877546</v>
      </c>
    </row>
    <row r="30" spans="1:18" x14ac:dyDescent="0.35">
      <c r="G30">
        <f t="shared" si="8"/>
        <v>9</v>
      </c>
      <c r="H30" s="98">
        <f ca="1"/>
        <v>1</v>
      </c>
      <c r="O30" s="83">
        <f t="shared" ca="1" si="6"/>
        <v>0.89795918367346916</v>
      </c>
      <c r="P30" s="37">
        <f t="shared" ca="1" si="5"/>
        <v>11.32</v>
      </c>
      <c r="Q30" s="84">
        <f t="shared" ca="1" si="5"/>
        <v>17.444444444444443</v>
      </c>
      <c r="R30" s="98">
        <f t="shared" ca="1" si="7"/>
        <v>0.89795918367346916</v>
      </c>
    </row>
    <row r="31" spans="1:18" x14ac:dyDescent="0.35">
      <c r="G31">
        <f t="shared" si="8"/>
        <v>10</v>
      </c>
      <c r="H31" s="98">
        <f ca="1"/>
        <v>3</v>
      </c>
      <c r="J31" t="s">
        <v>730</v>
      </c>
      <c r="K31" s="137">
        <f ca="1">SUM(R22:R36)</f>
        <v>74.780952380952385</v>
      </c>
      <c r="O31" s="83">
        <f t="shared" ca="1" si="6"/>
        <v>18.183673469387756</v>
      </c>
      <c r="P31" s="37">
        <f t="shared" ca="1" si="5"/>
        <v>12.719999999999999</v>
      </c>
      <c r="Q31" s="84">
        <f t="shared" ca="1" si="5"/>
        <v>5.7777777777777786</v>
      </c>
      <c r="R31" s="98">
        <f t="shared" ca="1" si="7"/>
        <v>5.7777777777777786</v>
      </c>
    </row>
    <row r="32" spans="1:18" x14ac:dyDescent="0.35">
      <c r="G32">
        <f t="shared" si="8"/>
        <v>11</v>
      </c>
      <c r="H32" s="98">
        <f ca="1"/>
        <v>1</v>
      </c>
      <c r="O32" s="83">
        <f t="shared" ca="1" si="6"/>
        <v>4.0408163265306118</v>
      </c>
      <c r="P32" s="37">
        <f t="shared" ca="1" si="5"/>
        <v>5.7200000000000006</v>
      </c>
      <c r="Q32" s="84">
        <f t="shared" ca="1" si="5"/>
        <v>9.4444444444444446</v>
      </c>
      <c r="R32" s="98">
        <f t="shared" ca="1" si="7"/>
        <v>4.0408163265306118</v>
      </c>
    </row>
    <row r="33" spans="7:18" x14ac:dyDescent="0.35">
      <c r="G33">
        <f t="shared" si="8"/>
        <v>12</v>
      </c>
      <c r="H33" s="98">
        <f ca="1"/>
        <v>1</v>
      </c>
      <c r="O33" s="83">
        <f t="shared" ca="1" si="6"/>
        <v>4.4693877551020416</v>
      </c>
      <c r="P33" s="37">
        <f t="shared" ca="1" si="5"/>
        <v>17.12</v>
      </c>
      <c r="Q33" s="84">
        <f t="shared" ca="1" si="5"/>
        <v>6.4444444444444446</v>
      </c>
      <c r="R33" s="98">
        <f t="shared" ca="1" si="7"/>
        <v>4.4693877551020416</v>
      </c>
    </row>
    <row r="34" spans="7:18" x14ac:dyDescent="0.35">
      <c r="G34">
        <f t="shared" si="8"/>
        <v>13</v>
      </c>
      <c r="H34" s="98">
        <f ca="1"/>
        <v>2</v>
      </c>
      <c r="O34" s="83">
        <f t="shared" ca="1" si="6"/>
        <v>6.3265306122448992</v>
      </c>
      <c r="P34" s="37">
        <f t="shared" ca="1" si="5"/>
        <v>3.7199999999999993</v>
      </c>
      <c r="Q34" s="84">
        <f t="shared" ca="1" si="5"/>
        <v>24.111111111111111</v>
      </c>
      <c r="R34" s="98">
        <f t="shared" ca="1" si="7"/>
        <v>3.7199999999999993</v>
      </c>
    </row>
    <row r="35" spans="7:18" x14ac:dyDescent="0.35">
      <c r="G35">
        <f t="shared" si="8"/>
        <v>14</v>
      </c>
      <c r="H35" s="98">
        <f ca="1"/>
        <v>3</v>
      </c>
      <c r="O35" s="83">
        <f t="shared" ca="1" si="6"/>
        <v>19.183673469387752</v>
      </c>
      <c r="P35" s="37">
        <f t="shared" ca="1" si="5"/>
        <v>36.120000000000005</v>
      </c>
      <c r="Q35" s="84">
        <f t="shared" ca="1" si="5"/>
        <v>5.4444444444444446</v>
      </c>
      <c r="R35" s="98">
        <f t="shared" ca="1" si="7"/>
        <v>5.4444444444444446</v>
      </c>
    </row>
    <row r="36" spans="7:18" x14ac:dyDescent="0.35">
      <c r="G36">
        <f t="shared" si="8"/>
        <v>15</v>
      </c>
      <c r="H36" s="99">
        <f ca="1"/>
        <v>1</v>
      </c>
      <c r="O36" s="85">
        <f t="shared" ca="1" si="6"/>
        <v>7.7551020408163271</v>
      </c>
      <c r="P36" s="86">
        <f t="shared" ca="1" si="5"/>
        <v>18.12</v>
      </c>
      <c r="Q36" s="87">
        <f t="shared" ca="1" si="5"/>
        <v>20.777777777777779</v>
      </c>
      <c r="R36" s="99">
        <f t="shared" ca="1" si="7"/>
        <v>7.7551020408163271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2"/>
  <dimension ref="B1:AA7"/>
  <sheetViews>
    <sheetView workbookViewId="0"/>
  </sheetViews>
  <sheetFormatPr defaultRowHeight="15" x14ac:dyDescent="0.25"/>
  <cols>
    <col min="1" max="1" width="2.28515625" customWidth="1"/>
    <col min="2" max="24" width="5" customWidth="1"/>
    <col min="25" max="25" width="5.5703125" customWidth="1"/>
    <col min="26" max="26" width="6.5703125" customWidth="1"/>
    <col min="27" max="27" width="6.28515625" customWidth="1"/>
  </cols>
  <sheetData>
    <row r="1" spans="2:27" ht="14.45" x14ac:dyDescent="0.35">
      <c r="B1" s="42" t="s">
        <v>755</v>
      </c>
    </row>
    <row r="3" spans="2:27" ht="14.45" x14ac:dyDescent="0.35">
      <c r="B3" s="138">
        <v>5</v>
      </c>
      <c r="C3" s="139">
        <v>8</v>
      </c>
      <c r="D3" s="140">
        <v>9</v>
      </c>
      <c r="F3" s="138">
        <v>5</v>
      </c>
      <c r="G3" s="139">
        <v>8</v>
      </c>
      <c r="H3" s="140">
        <v>12</v>
      </c>
      <c r="J3" s="138">
        <v>5</v>
      </c>
      <c r="K3" s="139">
        <v>8</v>
      </c>
      <c r="L3" s="140">
        <v>15</v>
      </c>
      <c r="N3" s="138">
        <v>5</v>
      </c>
      <c r="O3" s="139">
        <v>9</v>
      </c>
      <c r="P3" s="140">
        <v>12</v>
      </c>
      <c r="R3" s="138">
        <v>5</v>
      </c>
      <c r="S3" s="139">
        <v>9</v>
      </c>
      <c r="T3" s="140">
        <v>15</v>
      </c>
      <c r="V3" s="138">
        <v>5</v>
      </c>
      <c r="W3" s="139">
        <v>12</v>
      </c>
      <c r="X3" s="140">
        <v>15</v>
      </c>
      <c r="Z3" t="s">
        <v>468</v>
      </c>
      <c r="AA3" s="146">
        <f>DEVSQ(B3:D5)</f>
        <v>58.8</v>
      </c>
    </row>
    <row r="4" spans="2:27" x14ac:dyDescent="0.35">
      <c r="B4" s="123"/>
      <c r="C4" s="37"/>
      <c r="D4" s="90">
        <v>12</v>
      </c>
      <c r="F4" s="123"/>
      <c r="G4" s="37">
        <v>9</v>
      </c>
      <c r="H4" s="90">
        <v>15</v>
      </c>
      <c r="J4" s="123"/>
      <c r="K4" s="37">
        <v>9</v>
      </c>
      <c r="L4" s="90"/>
      <c r="N4" s="123">
        <v>8</v>
      </c>
      <c r="O4" s="288"/>
      <c r="P4" s="90">
        <v>15</v>
      </c>
      <c r="R4" s="123">
        <v>8</v>
      </c>
      <c r="S4" s="37">
        <v>12</v>
      </c>
      <c r="T4" s="90"/>
      <c r="V4" s="123">
        <v>8</v>
      </c>
      <c r="W4" s="37"/>
      <c r="X4" s="90"/>
      <c r="Z4" t="s">
        <v>760</v>
      </c>
      <c r="AA4" s="173">
        <f>MIN(D7,H7,L7,P7,T7,X7)</f>
        <v>5</v>
      </c>
    </row>
    <row r="5" spans="2:27" ht="14.45" x14ac:dyDescent="0.35">
      <c r="B5" s="91"/>
      <c r="C5" s="92"/>
      <c r="D5" s="93">
        <v>15</v>
      </c>
      <c r="F5" s="91"/>
      <c r="G5" s="92"/>
      <c r="H5" s="93"/>
      <c r="J5" s="91"/>
      <c r="K5" s="92">
        <v>12</v>
      </c>
      <c r="L5" s="93"/>
      <c r="N5" s="91"/>
      <c r="O5" s="92"/>
      <c r="P5" s="93"/>
      <c r="R5" s="91"/>
      <c r="S5" s="92"/>
      <c r="T5" s="93"/>
      <c r="V5" s="91">
        <v>9</v>
      </c>
      <c r="W5" s="92"/>
      <c r="X5" s="93"/>
      <c r="Z5" t="s">
        <v>761</v>
      </c>
      <c r="AA5" s="174">
        <f>1-AA4/AA3</f>
        <v>0.91496598639455784</v>
      </c>
    </row>
    <row r="6" spans="2:27" ht="14.45" x14ac:dyDescent="0.35">
      <c r="B6">
        <f>DEVSQ(B3:B5)</f>
        <v>0</v>
      </c>
      <c r="C6">
        <f>DEVSQ(C3:C5)</f>
        <v>0</v>
      </c>
      <c r="D6">
        <f>DEVSQ(D3:D5)</f>
        <v>18</v>
      </c>
      <c r="F6">
        <f>DEVSQ(F3:F5)</f>
        <v>0</v>
      </c>
      <c r="G6">
        <f>DEVSQ(G3:G5)</f>
        <v>0.5</v>
      </c>
      <c r="H6">
        <f>DEVSQ(H3:H5)</f>
        <v>4.5</v>
      </c>
      <c r="J6">
        <f>DEVSQ(J3:J5)</f>
        <v>0</v>
      </c>
      <c r="K6">
        <f>DEVSQ(K3:K5)</f>
        <v>8.6666666666666679</v>
      </c>
      <c r="L6">
        <f>DEVSQ(L3:L5)</f>
        <v>0</v>
      </c>
      <c r="N6">
        <f>DEVSQ(N3:N5)</f>
        <v>4.5</v>
      </c>
      <c r="O6">
        <f>DEVSQ(O3:O5)</f>
        <v>0</v>
      </c>
      <c r="P6">
        <f>DEVSQ(P3:P5)</f>
        <v>4.5</v>
      </c>
      <c r="R6">
        <f>DEVSQ(R3:R5)</f>
        <v>4.5</v>
      </c>
      <c r="S6">
        <f>DEVSQ(S3:S5)</f>
        <v>4.5</v>
      </c>
      <c r="T6">
        <f>DEVSQ(T3:T5)</f>
        <v>0</v>
      </c>
      <c r="V6">
        <f>DEVSQ(V3:V5)</f>
        <v>8.6666666666666661</v>
      </c>
      <c r="W6">
        <f>DEVSQ(W3:W5)</f>
        <v>0</v>
      </c>
      <c r="X6">
        <f>DEVSQ(X3:X5)</f>
        <v>0</v>
      </c>
    </row>
    <row r="7" spans="2:27" ht="14.45" x14ac:dyDescent="0.35">
      <c r="D7" s="289">
        <f>SUM(B6:D6)</f>
        <v>18</v>
      </c>
      <c r="H7" s="289">
        <f>SUM(F6:H6)</f>
        <v>5</v>
      </c>
      <c r="L7" s="289">
        <f>SUM(J6:L6)</f>
        <v>8.6666666666666679</v>
      </c>
      <c r="P7" s="289">
        <f>SUM(N6:P6)</f>
        <v>9</v>
      </c>
      <c r="T7" s="289">
        <f>SUM(R6:T6)</f>
        <v>9</v>
      </c>
      <c r="X7" s="289">
        <f>SUM(V6:X6)</f>
        <v>8.6666666666666661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1"/>
  <dimension ref="B1:W28"/>
  <sheetViews>
    <sheetView workbookViewId="0">
      <selection activeCell="N18" sqref="N18"/>
    </sheetView>
  </sheetViews>
  <sheetFormatPr defaultRowHeight="15" x14ac:dyDescent="0.25"/>
  <cols>
    <col min="1" max="1" width="3" customWidth="1"/>
    <col min="11" max="11" width="6.85546875" customWidth="1"/>
    <col min="16" max="16" width="5.85546875" customWidth="1"/>
  </cols>
  <sheetData>
    <row r="1" spans="2:23" x14ac:dyDescent="0.35">
      <c r="B1" s="42" t="s">
        <v>755</v>
      </c>
    </row>
    <row r="2" spans="2:23" x14ac:dyDescent="0.35">
      <c r="L2" s="47" t="s">
        <v>762</v>
      </c>
      <c r="M2" s="47" t="s">
        <v>763</v>
      </c>
      <c r="N2" s="47" t="s">
        <v>167</v>
      </c>
      <c r="Q2" s="47" t="s">
        <v>762</v>
      </c>
      <c r="R2" s="47" t="s">
        <v>763</v>
      </c>
      <c r="S2" s="47" t="s">
        <v>167</v>
      </c>
    </row>
    <row r="3" spans="2:23" x14ac:dyDescent="0.35">
      <c r="B3" s="290">
        <v>87.7</v>
      </c>
      <c r="C3" s="291">
        <v>56.8</v>
      </c>
      <c r="D3" s="291">
        <v>67.2</v>
      </c>
      <c r="E3" s="291">
        <v>74.400000000000006</v>
      </c>
      <c r="F3" s="291">
        <v>43.6</v>
      </c>
      <c r="G3" s="291">
        <v>87.8</v>
      </c>
      <c r="H3" s="291">
        <v>83.8</v>
      </c>
      <c r="I3" s="292">
        <v>61.900000000000006</v>
      </c>
      <c r="K3">
        <f t="array" ref="K3:N7">[1]!JENKS(B3:I22,,TRUE)</f>
        <v>1</v>
      </c>
      <c r="L3" s="138">
        <v>28.9</v>
      </c>
      <c r="M3" s="139">
        <v>54.2</v>
      </c>
      <c r="N3" s="140">
        <v>18</v>
      </c>
      <c r="P3">
        <f t="array" aca="1" ref="P3:S7" ca="1">[1]!JENKS(B3:I22,,TRUE,-1)</f>
        <v>1</v>
      </c>
      <c r="Q3" s="138">
        <f ca="1"/>
        <v>28.9</v>
      </c>
      <c r="R3" s="139">
        <f ca="1"/>
        <v>53.599999999999994</v>
      </c>
      <c r="S3" s="140">
        <f ca="1"/>
        <v>17</v>
      </c>
    </row>
    <row r="4" spans="2:23" x14ac:dyDescent="0.35">
      <c r="B4" s="102">
        <v>85.4</v>
      </c>
      <c r="C4" s="103">
        <v>73.400000000000006</v>
      </c>
      <c r="D4" s="103">
        <v>68.3</v>
      </c>
      <c r="E4" s="103">
        <v>70.3</v>
      </c>
      <c r="F4" s="103">
        <v>81.2</v>
      </c>
      <c r="G4" s="103">
        <v>94.7</v>
      </c>
      <c r="H4" s="103">
        <v>76.7</v>
      </c>
      <c r="I4" s="104">
        <v>61.400000000000006</v>
      </c>
      <c r="K4">
        <v>2</v>
      </c>
      <c r="L4" s="123">
        <v>55.8</v>
      </c>
      <c r="M4" s="37">
        <v>68.3</v>
      </c>
      <c r="N4" s="90">
        <v>44</v>
      </c>
      <c r="P4">
        <f ca="1"/>
        <v>2</v>
      </c>
      <c r="Q4" s="123">
        <f ca="1"/>
        <v>54.2</v>
      </c>
      <c r="R4" s="37">
        <f ca="1"/>
        <v>68.3</v>
      </c>
      <c r="S4" s="90">
        <f ca="1"/>
        <v>45</v>
      </c>
    </row>
    <row r="5" spans="2:23" x14ac:dyDescent="0.35">
      <c r="B5" s="102">
        <v>78.5</v>
      </c>
      <c r="C5" s="103">
        <v>69.400000000000006</v>
      </c>
      <c r="D5" s="103">
        <v>61.099999999999994</v>
      </c>
      <c r="E5" s="103">
        <v>52.099999999999994</v>
      </c>
      <c r="F5" s="103">
        <v>66.8</v>
      </c>
      <c r="G5" s="103">
        <v>87.1</v>
      </c>
      <c r="H5" s="103">
        <v>83.4</v>
      </c>
      <c r="I5" s="104">
        <v>64.599999999999994</v>
      </c>
      <c r="K5">
        <v>3</v>
      </c>
      <c r="L5" s="123">
        <v>69.400000000000006</v>
      </c>
      <c r="M5" s="37">
        <v>79.900000000000006</v>
      </c>
      <c r="N5" s="90">
        <v>57</v>
      </c>
      <c r="P5">
        <f ca="1"/>
        <v>3</v>
      </c>
      <c r="Q5" s="123">
        <f ca="1"/>
        <v>69.400000000000006</v>
      </c>
      <c r="R5" s="37">
        <f ca="1"/>
        <v>80.7</v>
      </c>
      <c r="S5" s="90">
        <f ca="1"/>
        <v>59</v>
      </c>
    </row>
    <row r="6" spans="2:23" x14ac:dyDescent="0.35">
      <c r="B6" s="102">
        <v>73.400000000000006</v>
      </c>
      <c r="C6" s="103">
        <v>71.2</v>
      </c>
      <c r="D6" s="103">
        <v>69.8</v>
      </c>
      <c r="E6" s="103">
        <v>85.8</v>
      </c>
      <c r="F6" s="103">
        <v>65.400000000000006</v>
      </c>
      <c r="G6" s="103">
        <v>42.7</v>
      </c>
      <c r="H6" s="103">
        <v>67.400000000000006</v>
      </c>
      <c r="I6" s="104">
        <v>65.900000000000006</v>
      </c>
      <c r="K6">
        <v>4</v>
      </c>
      <c r="L6" s="91">
        <v>80.7</v>
      </c>
      <c r="M6" s="92">
        <v>99.2</v>
      </c>
      <c r="N6" s="93">
        <v>41</v>
      </c>
      <c r="P6">
        <f ca="1"/>
        <v>4</v>
      </c>
      <c r="Q6" s="91">
        <f ca="1"/>
        <v>81.2</v>
      </c>
      <c r="R6" s="92">
        <f ca="1"/>
        <v>99.2</v>
      </c>
      <c r="S6" s="93">
        <f ca="1"/>
        <v>39</v>
      </c>
    </row>
    <row r="7" spans="2:23" x14ac:dyDescent="0.35">
      <c r="B7" s="102">
        <v>82.8</v>
      </c>
      <c r="C7" s="103">
        <v>97.8</v>
      </c>
      <c r="D7" s="103">
        <v>45.8</v>
      </c>
      <c r="E7" s="103">
        <v>65.8</v>
      </c>
      <c r="F7" s="103">
        <v>64.2</v>
      </c>
      <c r="G7" s="103">
        <v>48.599999999999994</v>
      </c>
      <c r="H7" s="103">
        <v>75.599999999999994</v>
      </c>
      <c r="I7" s="104">
        <v>78.599999999999994</v>
      </c>
      <c r="K7" s="47" t="str">
        <v>GVF</v>
      </c>
      <c r="L7">
        <v>3107.1020088239457</v>
      </c>
      <c r="M7">
        <v>27504.594937500005</v>
      </c>
      <c r="N7">
        <v>0.88703334785026422</v>
      </c>
      <c r="P7" s="47" t="str">
        <f ca="1"/>
        <v>GVF</v>
      </c>
      <c r="Q7">
        <f ca="1"/>
        <v>3117.6582503773388</v>
      </c>
      <c r="R7">
        <f ca="1"/>
        <v>27504.594937500005</v>
      </c>
      <c r="S7">
        <f ca="1"/>
        <v>0.88664954864953505</v>
      </c>
    </row>
    <row r="8" spans="2:23" x14ac:dyDescent="0.35">
      <c r="B8" s="102">
        <v>79.8</v>
      </c>
      <c r="C8" s="103">
        <v>51</v>
      </c>
      <c r="D8" s="103">
        <v>49</v>
      </c>
      <c r="E8" s="103">
        <v>63.599999999999994</v>
      </c>
      <c r="F8" s="103">
        <v>88.9</v>
      </c>
      <c r="G8" s="103">
        <v>82.1</v>
      </c>
      <c r="H8" s="103">
        <v>72.5</v>
      </c>
      <c r="I8" s="104">
        <v>71.2</v>
      </c>
    </row>
    <row r="9" spans="2:23" x14ac:dyDescent="0.35">
      <c r="B9" s="102">
        <v>57.7</v>
      </c>
      <c r="C9" s="103">
        <v>52.400000000000006</v>
      </c>
      <c r="D9" s="103">
        <v>38.6</v>
      </c>
      <c r="E9" s="103">
        <v>75.400000000000006</v>
      </c>
      <c r="F9" s="103">
        <v>79.2</v>
      </c>
      <c r="G9" s="103">
        <v>83.6</v>
      </c>
      <c r="H9" s="103">
        <v>70.599999999999994</v>
      </c>
      <c r="I9" s="104">
        <v>76.400000000000006</v>
      </c>
      <c r="Q9" s="47" t="s">
        <v>762</v>
      </c>
      <c r="R9" s="47" t="s">
        <v>763</v>
      </c>
      <c r="S9" s="47" t="s">
        <v>167</v>
      </c>
    </row>
    <row r="10" spans="2:23" x14ac:dyDescent="0.35">
      <c r="B10" s="102">
        <v>64.7</v>
      </c>
      <c r="C10" s="103">
        <v>40.700000000000003</v>
      </c>
      <c r="D10" s="103">
        <v>85.2</v>
      </c>
      <c r="E10" s="103">
        <v>81.400000000000006</v>
      </c>
      <c r="F10" s="103">
        <v>78.5</v>
      </c>
      <c r="G10" s="103">
        <v>33.5</v>
      </c>
      <c r="H10" s="103">
        <v>57.9</v>
      </c>
      <c r="I10" s="104">
        <v>56.4</v>
      </c>
      <c r="P10">
        <f t="array" aca="1" ref="P10:S14" ca="1">[1]!JENKS(B3:I22,,TRUE,100000)</f>
        <v>1</v>
      </c>
      <c r="Q10" s="138">
        <f ca="1"/>
        <v>28.9</v>
      </c>
      <c r="R10" s="139">
        <f ca="1"/>
        <v>54.2</v>
      </c>
      <c r="S10" s="140">
        <f ca="1"/>
        <v>18</v>
      </c>
      <c r="U10" s="146">
        <f ca="1">R10</f>
        <v>54.2</v>
      </c>
      <c r="W10" s="146">
        <f t="array" aca="1" ref="W10:W13" ca="1">[1]!JENKS(B3:I22,4,,100000)</f>
        <v>54.2</v>
      </c>
    </row>
    <row r="11" spans="2:23" x14ac:dyDescent="0.35">
      <c r="B11" s="102">
        <v>73</v>
      </c>
      <c r="C11" s="103">
        <v>79.8</v>
      </c>
      <c r="D11" s="103">
        <v>87.7</v>
      </c>
      <c r="E11" s="103">
        <v>72</v>
      </c>
      <c r="F11" s="103">
        <v>78.3</v>
      </c>
      <c r="G11" s="103">
        <v>80.7</v>
      </c>
      <c r="H11" s="103">
        <v>90.3</v>
      </c>
      <c r="I11" s="104">
        <v>58.3</v>
      </c>
      <c r="P11">
        <f ca="1"/>
        <v>2</v>
      </c>
      <c r="Q11" s="123">
        <f ca="1"/>
        <v>55.8</v>
      </c>
      <c r="R11" s="37">
        <f ca="1"/>
        <v>68.3</v>
      </c>
      <c r="S11" s="90">
        <f ca="1"/>
        <v>44</v>
      </c>
      <c r="U11" s="173">
        <f ca="1">R11</f>
        <v>68.3</v>
      </c>
      <c r="W11" s="173">
        <f ca="1"/>
        <v>68.3</v>
      </c>
    </row>
    <row r="12" spans="2:23" x14ac:dyDescent="0.35">
      <c r="B12" s="102">
        <v>82.3</v>
      </c>
      <c r="C12" s="103">
        <v>84</v>
      </c>
      <c r="D12" s="103">
        <v>83</v>
      </c>
      <c r="E12" s="103">
        <v>66.2</v>
      </c>
      <c r="F12" s="103">
        <v>93.1</v>
      </c>
      <c r="G12" s="103">
        <v>68.2</v>
      </c>
      <c r="H12" s="103">
        <v>95.7</v>
      </c>
      <c r="I12" s="104">
        <v>60.099999999999994</v>
      </c>
      <c r="P12">
        <f ca="1"/>
        <v>3</v>
      </c>
      <c r="Q12" s="123">
        <f ca="1"/>
        <v>69.400000000000006</v>
      </c>
      <c r="R12" s="37">
        <f ca="1"/>
        <v>79.900000000000006</v>
      </c>
      <c r="S12" s="90">
        <f ca="1"/>
        <v>57</v>
      </c>
      <c r="U12" s="174">
        <f ca="1">R12</f>
        <v>79.900000000000006</v>
      </c>
      <c r="W12" s="52">
        <f ca="1"/>
        <v>79.900000000000006</v>
      </c>
    </row>
    <row r="13" spans="2:23" x14ac:dyDescent="0.35">
      <c r="B13" s="102">
        <v>63.099999999999994</v>
      </c>
      <c r="C13" s="103">
        <v>62.7</v>
      </c>
      <c r="D13" s="103">
        <v>89.3</v>
      </c>
      <c r="E13" s="103">
        <v>52.2</v>
      </c>
      <c r="F13" s="103">
        <v>62.5</v>
      </c>
      <c r="G13" s="103">
        <v>73</v>
      </c>
      <c r="H13" s="103">
        <v>81.5</v>
      </c>
      <c r="I13" s="104">
        <v>67.2</v>
      </c>
      <c r="P13">
        <f ca="1"/>
        <v>4</v>
      </c>
      <c r="Q13" s="91">
        <f ca="1"/>
        <v>80.7</v>
      </c>
      <c r="R13" s="92">
        <f ca="1"/>
        <v>99.2</v>
      </c>
      <c r="S13" s="93">
        <f ca="1"/>
        <v>41</v>
      </c>
      <c r="U13">
        <f ca="1">[1]!GVF(B3:I22,U10:U12)</f>
        <v>0.88703334785026866</v>
      </c>
      <c r="W13">
        <f ca="1"/>
        <v>0.88703334785026289</v>
      </c>
    </row>
    <row r="14" spans="2:23" x14ac:dyDescent="0.35">
      <c r="B14" s="102">
        <v>99.2</v>
      </c>
      <c r="C14" s="103">
        <v>66.400000000000006</v>
      </c>
      <c r="D14" s="103">
        <v>79.2</v>
      </c>
      <c r="E14" s="103">
        <v>73</v>
      </c>
      <c r="F14" s="103">
        <v>74.2</v>
      </c>
      <c r="G14" s="103">
        <v>28.9</v>
      </c>
      <c r="H14" s="103">
        <v>80.7</v>
      </c>
      <c r="I14" s="104">
        <v>71.2</v>
      </c>
      <c r="P14" s="47" t="str">
        <f ca="1"/>
        <v>GVF</v>
      </c>
      <c r="Q14">
        <f ca="1"/>
        <v>3107.102008823982</v>
      </c>
      <c r="R14">
        <f ca="1"/>
        <v>27504.594937500005</v>
      </c>
      <c r="S14">
        <f ca="1"/>
        <v>0.887033347850263</v>
      </c>
    </row>
    <row r="15" spans="2:23" x14ac:dyDescent="0.35">
      <c r="B15" s="102">
        <v>71.8</v>
      </c>
      <c r="C15" s="103">
        <v>64.7</v>
      </c>
      <c r="D15" s="103">
        <v>73.2</v>
      </c>
      <c r="E15" s="103">
        <v>71.900000000000006</v>
      </c>
      <c r="F15" s="103">
        <v>83.3</v>
      </c>
      <c r="G15" s="103">
        <v>67</v>
      </c>
      <c r="H15" s="103">
        <v>79.900000000000006</v>
      </c>
      <c r="I15" s="104">
        <v>79.2</v>
      </c>
    </row>
    <row r="16" spans="2:23" x14ac:dyDescent="0.35">
      <c r="B16" s="102">
        <v>77.599999999999994</v>
      </c>
      <c r="C16" s="103">
        <v>88.3</v>
      </c>
      <c r="D16" s="103">
        <v>69.5</v>
      </c>
      <c r="E16" s="103">
        <v>72.3</v>
      </c>
      <c r="F16" s="103">
        <v>72</v>
      </c>
      <c r="G16" s="103">
        <v>74.400000000000006</v>
      </c>
      <c r="H16" s="103">
        <v>86.3</v>
      </c>
      <c r="I16" s="104">
        <v>70.2</v>
      </c>
      <c r="Q16" s="47" t="s">
        <v>762</v>
      </c>
      <c r="R16" s="47" t="s">
        <v>763</v>
      </c>
      <c r="S16" s="47" t="s">
        <v>167</v>
      </c>
      <c r="T16" s="47" t="s">
        <v>764</v>
      </c>
    </row>
    <row r="17" spans="2:20" x14ac:dyDescent="0.35">
      <c r="B17" s="102">
        <v>78.7</v>
      </c>
      <c r="C17" s="103">
        <v>82.2</v>
      </c>
      <c r="D17" s="103">
        <v>78.900000000000006</v>
      </c>
      <c r="E17" s="103">
        <v>87.5</v>
      </c>
      <c r="F17" s="103">
        <v>55.8</v>
      </c>
      <c r="G17" s="103">
        <v>83.1</v>
      </c>
      <c r="H17" s="103">
        <v>77.3</v>
      </c>
      <c r="I17" s="104">
        <v>76</v>
      </c>
      <c r="P17">
        <v>1</v>
      </c>
      <c r="Q17" s="138">
        <f>SMALL($B$3:$I$22,40*(P17-1)+1)</f>
        <v>28.9</v>
      </c>
      <c r="R17" s="268">
        <f>SMALL($B$3:$I$22,40*P17)</f>
        <v>64.2</v>
      </c>
      <c r="S17" s="269">
        <f>COUNTIFS($B$3:$I$22,"&gt;="&amp;Q17,$B$3:$I$22,"&lt;="&amp;R17)</f>
        <v>40</v>
      </c>
      <c r="T17" s="146">
        <f t="array" ref="T17">DEVSQ(IF($B$3:$I$22&gt;=Q17,IF($B$3:$I$22&lt;=R17,$B$3:$I$22,""),""))</f>
        <v>3071.2137500000003</v>
      </c>
    </row>
    <row r="18" spans="2:20" x14ac:dyDescent="0.35">
      <c r="B18" s="102">
        <v>48.2</v>
      </c>
      <c r="C18" s="103">
        <v>82.4</v>
      </c>
      <c r="D18" s="103">
        <v>76.3</v>
      </c>
      <c r="E18" s="103">
        <v>36.1</v>
      </c>
      <c r="F18" s="103">
        <v>53.599999999999994</v>
      </c>
      <c r="G18" s="103">
        <v>67</v>
      </c>
      <c r="H18" s="103">
        <v>74.900000000000006</v>
      </c>
      <c r="I18" s="104">
        <v>76.3</v>
      </c>
      <c r="P18">
        <v>2</v>
      </c>
      <c r="Q18" s="123">
        <f>SMALL($B$3:$I$22,40*(P18-1)+1)</f>
        <v>64.3</v>
      </c>
      <c r="R18" s="37">
        <f>SMALL($B$3:$I$22,40*P18)</f>
        <v>72.5</v>
      </c>
      <c r="S18" s="90">
        <f>COUNTIFS($B$3:$I$22,"&gt;="&amp;Q18,$B$3:$I$22,"&lt;="&amp;R18)</f>
        <v>40</v>
      </c>
      <c r="T18" s="49">
        <f t="array" ref="T18">DEVSQ(IF($B$3:$I$22&gt;=Q18,IF($B$3:$I$22&lt;=R18,$B$3:$I$22,""),""))</f>
        <v>280.07899999999995</v>
      </c>
    </row>
    <row r="19" spans="2:20" x14ac:dyDescent="0.35">
      <c r="B19" s="102">
        <v>54.2</v>
      </c>
      <c r="C19" s="103">
        <v>72</v>
      </c>
      <c r="D19" s="103">
        <v>83.8</v>
      </c>
      <c r="E19" s="103">
        <v>77.7</v>
      </c>
      <c r="F19" s="103">
        <v>52.2</v>
      </c>
      <c r="G19" s="103">
        <v>73</v>
      </c>
      <c r="H19" s="103">
        <v>68.2</v>
      </c>
      <c r="I19" s="104">
        <v>58.2</v>
      </c>
      <c r="P19">
        <v>3</v>
      </c>
      <c r="Q19" s="123">
        <f>SMALL($B$3:$I$22,40*(P19-1)+1)</f>
        <v>72.599999999999994</v>
      </c>
      <c r="R19" s="37">
        <f>SMALL($B$3:$I$22,40*P19-1)</f>
        <v>79.900000000000006</v>
      </c>
      <c r="S19" s="90">
        <f>COUNTIFS($B$3:$I$22,"&gt;="&amp;Q19,$B$3:$I$22,"&lt;="&amp;R19)</f>
        <v>39</v>
      </c>
      <c r="T19" s="49">
        <f t="array" ref="T19">DEVSQ(IF($B$3:$I$22&gt;=Q19,IF($B$3:$I$22&lt;=R19,$B$3:$I$22,""),""))</f>
        <v>213.81589743589723</v>
      </c>
    </row>
    <row r="20" spans="2:20" x14ac:dyDescent="0.35">
      <c r="B20" s="102">
        <v>70.5</v>
      </c>
      <c r="C20" s="103">
        <v>73.400000000000006</v>
      </c>
      <c r="D20" s="103">
        <v>82</v>
      </c>
      <c r="E20" s="103">
        <v>84.2</v>
      </c>
      <c r="F20" s="103">
        <v>76.3</v>
      </c>
      <c r="G20" s="103">
        <v>64.8</v>
      </c>
      <c r="H20" s="103">
        <v>74.900000000000006</v>
      </c>
      <c r="I20" s="104">
        <v>58.400000000000006</v>
      </c>
      <c r="P20">
        <v>4</v>
      </c>
      <c r="Q20" s="91">
        <f>SMALL($B$3:$I$22,40*(P20-1))</f>
        <v>80.7</v>
      </c>
      <c r="R20" s="92">
        <f>SMALL($B$3:$I$22,40*P20)</f>
        <v>99.2</v>
      </c>
      <c r="S20" s="93">
        <f>COUNTIFS($B$3:$I$22,"&gt;="&amp;Q20,$B$3:$I$22,"&lt;="&amp;R20)</f>
        <v>41</v>
      </c>
      <c r="T20" s="174">
        <f t="array" ref="T20">DEVSQ(IF($B$3:$I$22&gt;=Q20,IF($B$3:$I$22&lt;=R20,$B$3:$I$22,""),""))</f>
        <v>931.84878048780502</v>
      </c>
    </row>
    <row r="21" spans="2:20" x14ac:dyDescent="0.35">
      <c r="B21" s="102">
        <v>67.099999999999994</v>
      </c>
      <c r="C21" s="103">
        <v>55.8</v>
      </c>
      <c r="D21" s="103">
        <v>64.400000000000006</v>
      </c>
      <c r="E21" s="103">
        <v>86.1</v>
      </c>
      <c r="F21" s="103">
        <v>56.8</v>
      </c>
      <c r="G21" s="103">
        <v>77.2</v>
      </c>
      <c r="H21" s="103">
        <v>64.3</v>
      </c>
      <c r="I21" s="104">
        <v>62.099999999999994</v>
      </c>
      <c r="P21" s="47"/>
      <c r="T21" s="60">
        <f>SUM(T17:T20)</f>
        <v>4496.9574279237022</v>
      </c>
    </row>
    <row r="22" spans="2:20" x14ac:dyDescent="0.35">
      <c r="B22" s="105">
        <v>60.099999999999994</v>
      </c>
      <c r="C22" s="106">
        <v>66.599999999999994</v>
      </c>
      <c r="D22" s="106">
        <v>60.2</v>
      </c>
      <c r="E22" s="106">
        <v>94.2</v>
      </c>
      <c r="F22" s="106">
        <v>81.8</v>
      </c>
      <c r="G22" s="106">
        <v>71.2</v>
      </c>
      <c r="H22" s="106">
        <v>74</v>
      </c>
      <c r="I22" s="107">
        <v>72.599999999999994</v>
      </c>
    </row>
    <row r="23" spans="2:20" x14ac:dyDescent="0.35">
      <c r="Q23" s="47" t="s">
        <v>762</v>
      </c>
      <c r="R23" s="47" t="s">
        <v>763</v>
      </c>
      <c r="S23" s="47" t="s">
        <v>167</v>
      </c>
      <c r="T23" s="47" t="s">
        <v>764</v>
      </c>
    </row>
    <row r="24" spans="2:20" x14ac:dyDescent="0.35">
      <c r="P24">
        <v>1</v>
      </c>
      <c r="Q24" s="138">
        <f t="shared" ref="Q24:S27" si="0">L3</f>
        <v>28.9</v>
      </c>
      <c r="R24" s="268">
        <f t="shared" si="0"/>
        <v>54.2</v>
      </c>
      <c r="S24" s="269">
        <f t="shared" si="0"/>
        <v>18</v>
      </c>
      <c r="T24" s="146">
        <f t="array" ref="T24">DEVSQ(IF($B$3:$I$22&gt;=Q24,IF($B$3:$I$22&lt;=R24,$B$3:$I$22,""),""))</f>
        <v>970.68444444444447</v>
      </c>
    </row>
    <row r="25" spans="2:20" x14ac:dyDescent="0.35">
      <c r="P25">
        <v>2</v>
      </c>
      <c r="Q25" s="36">
        <f t="shared" si="0"/>
        <v>55.8</v>
      </c>
      <c r="R25" s="37">
        <f t="shared" si="0"/>
        <v>68.3</v>
      </c>
      <c r="S25" s="90">
        <f t="shared" si="0"/>
        <v>44</v>
      </c>
      <c r="T25" s="49">
        <f t="array" ref="T25">DEVSQ(IF($B$3:$I$22&gt;=Q25,IF($B$3:$I$22&lt;=R25,$B$3:$I$22,""),""))</f>
        <v>651.53159090909116</v>
      </c>
    </row>
    <row r="26" spans="2:20" x14ac:dyDescent="0.35">
      <c r="P26">
        <v>3</v>
      </c>
      <c r="Q26" s="36">
        <f t="shared" si="0"/>
        <v>69.400000000000006</v>
      </c>
      <c r="R26" s="37">
        <f t="shared" si="0"/>
        <v>79.900000000000006</v>
      </c>
      <c r="S26" s="90">
        <f t="shared" si="0"/>
        <v>57</v>
      </c>
      <c r="T26" s="49">
        <f t="array" ref="T26">DEVSQ(IF($B$3:$I$22&gt;=Q26,IF($B$3:$I$22&lt;=R26,$B$3:$I$22,""),""))</f>
        <v>553.03719298245596</v>
      </c>
    </row>
    <row r="27" spans="2:20" x14ac:dyDescent="0.35">
      <c r="P27">
        <v>4</v>
      </c>
      <c r="Q27" s="91">
        <f t="shared" si="0"/>
        <v>80.7</v>
      </c>
      <c r="R27" s="92">
        <f t="shared" si="0"/>
        <v>99.2</v>
      </c>
      <c r="S27" s="93">
        <f t="shared" si="0"/>
        <v>41</v>
      </c>
      <c r="T27" s="174">
        <f t="array" ref="T27">DEVSQ(IF($B$3:$I$22&gt;=Q27,IF($B$3:$I$22&lt;=R27,$B$3:$I$22,""),""))</f>
        <v>931.84878048780502</v>
      </c>
    </row>
    <row r="28" spans="2:20" x14ac:dyDescent="0.35">
      <c r="P28" s="47"/>
      <c r="T28" s="60">
        <f>SUM(T24:T27)</f>
        <v>3107.1020088237965</v>
      </c>
    </row>
  </sheetData>
  <pageMargins left="0.7" right="0.7" top="0.75" bottom="0.75" header="0.3" footer="0.3"/>
  <ignoredErrors>
    <ignoredError sqref="R19" formula="1"/>
  </ignoredErrors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0"/>
  <dimension ref="B1:N22"/>
  <sheetViews>
    <sheetView workbookViewId="0">
      <selection activeCell="B1" sqref="B1"/>
    </sheetView>
  </sheetViews>
  <sheetFormatPr defaultRowHeight="15" x14ac:dyDescent="0.25"/>
  <cols>
    <col min="1" max="1" width="3.140625" customWidth="1"/>
  </cols>
  <sheetData>
    <row r="1" spans="2:14" x14ac:dyDescent="0.35">
      <c r="B1" s="42" t="s">
        <v>755</v>
      </c>
    </row>
    <row r="2" spans="2:14" x14ac:dyDescent="0.35">
      <c r="L2" s="47" t="s">
        <v>762</v>
      </c>
      <c r="M2" s="47" t="s">
        <v>763</v>
      </c>
      <c r="N2" s="47" t="s">
        <v>167</v>
      </c>
    </row>
    <row r="3" spans="2:14" x14ac:dyDescent="0.35">
      <c r="B3" s="290">
        <v>87.7</v>
      </c>
      <c r="C3" s="291">
        <v>56.8</v>
      </c>
      <c r="D3" s="291">
        <v>67.2</v>
      </c>
      <c r="E3" s="291">
        <v>74.400000000000006</v>
      </c>
      <c r="F3" s="291">
        <v>43.6</v>
      </c>
      <c r="G3" s="291">
        <v>87.8</v>
      </c>
      <c r="H3" s="291">
        <v>83.8</v>
      </c>
      <c r="I3" s="292">
        <v>61.900000000000006</v>
      </c>
      <c r="K3">
        <f t="array" ref="K3:N7">[1]!JENKS(B3:I22,,TRUE)</f>
        <v>1</v>
      </c>
      <c r="L3" s="293">
        <v>28.9</v>
      </c>
      <c r="M3" s="294">
        <v>54.2</v>
      </c>
      <c r="N3" s="295">
        <v>18</v>
      </c>
    </row>
    <row r="4" spans="2:14" x14ac:dyDescent="0.35">
      <c r="B4" s="102">
        <v>85.4</v>
      </c>
      <c r="C4" s="103">
        <v>73.400000000000006</v>
      </c>
      <c r="D4" s="103">
        <v>68.3</v>
      </c>
      <c r="E4" s="103">
        <v>70.3</v>
      </c>
      <c r="F4" s="103">
        <v>81.2</v>
      </c>
      <c r="G4" s="103">
        <v>94.7</v>
      </c>
      <c r="H4" s="103">
        <v>76.7</v>
      </c>
      <c r="I4" s="104">
        <v>61.400000000000006</v>
      </c>
      <c r="K4">
        <v>2</v>
      </c>
      <c r="L4" s="296">
        <v>55.8</v>
      </c>
      <c r="M4" s="297">
        <v>68.3</v>
      </c>
      <c r="N4" s="298">
        <v>44</v>
      </c>
    </row>
    <row r="5" spans="2:14" x14ac:dyDescent="0.35">
      <c r="B5" s="102">
        <v>78.5</v>
      </c>
      <c r="C5" s="103">
        <v>69.400000000000006</v>
      </c>
      <c r="D5" s="103">
        <v>61.099999999999994</v>
      </c>
      <c r="E5" s="103">
        <v>52.099999999999994</v>
      </c>
      <c r="F5" s="103">
        <v>66.8</v>
      </c>
      <c r="G5" s="103">
        <v>87.1</v>
      </c>
      <c r="H5" s="103">
        <v>83.4</v>
      </c>
      <c r="I5" s="104">
        <v>64.599999999999994</v>
      </c>
      <c r="K5">
        <v>3</v>
      </c>
      <c r="L5" s="299">
        <v>69.400000000000006</v>
      </c>
      <c r="M5" s="300">
        <v>79.900000000000006</v>
      </c>
      <c r="N5" s="301">
        <v>57</v>
      </c>
    </row>
    <row r="6" spans="2:14" x14ac:dyDescent="0.35">
      <c r="B6" s="102">
        <v>73.400000000000006</v>
      </c>
      <c r="C6" s="103">
        <v>71.2</v>
      </c>
      <c r="D6" s="103">
        <v>69.8</v>
      </c>
      <c r="E6" s="103">
        <v>85.8</v>
      </c>
      <c r="F6" s="103">
        <v>65.400000000000006</v>
      </c>
      <c r="G6" s="103">
        <v>42.7</v>
      </c>
      <c r="H6" s="103">
        <v>67.400000000000006</v>
      </c>
      <c r="I6" s="104">
        <v>65.900000000000006</v>
      </c>
      <c r="K6">
        <v>4</v>
      </c>
      <c r="L6" s="302">
        <v>80.7</v>
      </c>
      <c r="M6" s="303">
        <v>99.2</v>
      </c>
      <c r="N6" s="304">
        <v>41</v>
      </c>
    </row>
    <row r="7" spans="2:14" x14ac:dyDescent="0.35">
      <c r="B7" s="102">
        <v>82.8</v>
      </c>
      <c r="C7" s="103">
        <v>97.8</v>
      </c>
      <c r="D7" s="103">
        <v>45.8</v>
      </c>
      <c r="E7" s="103">
        <v>65.8</v>
      </c>
      <c r="F7" s="103">
        <v>64.2</v>
      </c>
      <c r="G7" s="103">
        <v>48.599999999999994</v>
      </c>
      <c r="H7" s="103">
        <v>75.599999999999994</v>
      </c>
      <c r="I7" s="104">
        <v>78.599999999999994</v>
      </c>
      <c r="K7" s="47" t="str">
        <v>GVF</v>
      </c>
      <c r="L7">
        <v>3107.1020088239457</v>
      </c>
      <c r="M7">
        <v>27504.594937500005</v>
      </c>
      <c r="N7">
        <v>0.88703334785026422</v>
      </c>
    </row>
    <row r="8" spans="2:14" x14ac:dyDescent="0.35">
      <c r="B8" s="102">
        <v>79.8</v>
      </c>
      <c r="C8" s="103">
        <v>51</v>
      </c>
      <c r="D8" s="103">
        <v>49</v>
      </c>
      <c r="E8" s="103">
        <v>63.599999999999994</v>
      </c>
      <c r="F8" s="103">
        <v>88.9</v>
      </c>
      <c r="G8" s="103">
        <v>82.1</v>
      </c>
      <c r="H8" s="103">
        <v>72.5</v>
      </c>
      <c r="I8" s="104">
        <v>71.2</v>
      </c>
    </row>
    <row r="9" spans="2:14" x14ac:dyDescent="0.35">
      <c r="B9" s="102">
        <v>57.7</v>
      </c>
      <c r="C9" s="103">
        <v>52.400000000000006</v>
      </c>
      <c r="D9" s="103">
        <v>38.6</v>
      </c>
      <c r="E9" s="103">
        <v>75.400000000000006</v>
      </c>
      <c r="F9" s="103">
        <v>79.2</v>
      </c>
      <c r="G9" s="103">
        <v>83.6</v>
      </c>
      <c r="H9" s="103">
        <v>70.599999999999994</v>
      </c>
      <c r="I9" s="104">
        <v>76.400000000000006</v>
      </c>
    </row>
    <row r="10" spans="2:14" x14ac:dyDescent="0.35">
      <c r="B10" s="102">
        <v>64.7</v>
      </c>
      <c r="C10" s="103">
        <v>40.700000000000003</v>
      </c>
      <c r="D10" s="103">
        <v>85.2</v>
      </c>
      <c r="E10" s="103">
        <v>81.400000000000006</v>
      </c>
      <c r="F10" s="103">
        <v>78.5</v>
      </c>
      <c r="G10" s="103">
        <v>33.5</v>
      </c>
      <c r="H10" s="103">
        <v>57.9</v>
      </c>
      <c r="I10" s="104">
        <v>56.4</v>
      </c>
    </row>
    <row r="11" spans="2:14" x14ac:dyDescent="0.35">
      <c r="B11" s="102">
        <v>73</v>
      </c>
      <c r="C11" s="103">
        <v>79.8</v>
      </c>
      <c r="D11" s="103">
        <v>87.7</v>
      </c>
      <c r="E11" s="103">
        <v>72</v>
      </c>
      <c r="F11" s="103">
        <v>78.3</v>
      </c>
      <c r="G11" s="103">
        <v>80.7</v>
      </c>
      <c r="H11" s="103">
        <v>90.3</v>
      </c>
      <c r="I11" s="104">
        <v>58.3</v>
      </c>
    </row>
    <row r="12" spans="2:14" x14ac:dyDescent="0.35">
      <c r="B12" s="102">
        <v>82.3</v>
      </c>
      <c r="C12" s="103">
        <v>84</v>
      </c>
      <c r="D12" s="103">
        <v>83</v>
      </c>
      <c r="E12" s="103">
        <v>66.2</v>
      </c>
      <c r="F12" s="103">
        <v>93.1</v>
      </c>
      <c r="G12" s="103">
        <v>68.2</v>
      </c>
      <c r="H12" s="103">
        <v>95.7</v>
      </c>
      <c r="I12" s="104">
        <v>60.099999999999994</v>
      </c>
    </row>
    <row r="13" spans="2:14" x14ac:dyDescent="0.35">
      <c r="B13" s="102">
        <v>63.099999999999994</v>
      </c>
      <c r="C13" s="103">
        <v>62.7</v>
      </c>
      <c r="D13" s="103">
        <v>89.3</v>
      </c>
      <c r="E13" s="103">
        <v>52.2</v>
      </c>
      <c r="F13" s="103">
        <v>62.5</v>
      </c>
      <c r="G13" s="103">
        <v>73</v>
      </c>
      <c r="H13" s="103">
        <v>81.5</v>
      </c>
      <c r="I13" s="104">
        <v>67.2</v>
      </c>
    </row>
    <row r="14" spans="2:14" x14ac:dyDescent="0.35">
      <c r="B14" s="102">
        <v>99.2</v>
      </c>
      <c r="C14" s="103">
        <v>66.400000000000006</v>
      </c>
      <c r="D14" s="103">
        <v>79.2</v>
      </c>
      <c r="E14" s="103">
        <v>73</v>
      </c>
      <c r="F14" s="103">
        <v>74.2</v>
      </c>
      <c r="G14" s="103">
        <v>28.9</v>
      </c>
      <c r="H14" s="103">
        <v>80.7</v>
      </c>
      <c r="I14" s="104">
        <v>71.2</v>
      </c>
    </row>
    <row r="15" spans="2:14" x14ac:dyDescent="0.35">
      <c r="B15" s="102">
        <v>71.8</v>
      </c>
      <c r="C15" s="103">
        <v>64.7</v>
      </c>
      <c r="D15" s="103">
        <v>73.2</v>
      </c>
      <c r="E15" s="103">
        <v>71.900000000000006</v>
      </c>
      <c r="F15" s="103">
        <v>83.3</v>
      </c>
      <c r="G15" s="103">
        <v>67</v>
      </c>
      <c r="H15" s="103">
        <v>79.900000000000006</v>
      </c>
      <c r="I15" s="104">
        <v>79.2</v>
      </c>
    </row>
    <row r="16" spans="2:14" x14ac:dyDescent="0.35">
      <c r="B16" s="102">
        <v>77.599999999999994</v>
      </c>
      <c r="C16" s="103">
        <v>88.3</v>
      </c>
      <c r="D16" s="103">
        <v>69.5</v>
      </c>
      <c r="E16" s="103">
        <v>72.3</v>
      </c>
      <c r="F16" s="103">
        <v>72</v>
      </c>
      <c r="G16" s="103">
        <v>74.400000000000006</v>
      </c>
      <c r="H16" s="103">
        <v>86.3</v>
      </c>
      <c r="I16" s="104">
        <v>70.2</v>
      </c>
    </row>
    <row r="17" spans="2:9" x14ac:dyDescent="0.35">
      <c r="B17" s="102">
        <v>78.7</v>
      </c>
      <c r="C17" s="103">
        <v>82.2</v>
      </c>
      <c r="D17" s="103">
        <v>78.900000000000006</v>
      </c>
      <c r="E17" s="103">
        <v>87.5</v>
      </c>
      <c r="F17" s="103">
        <v>55.8</v>
      </c>
      <c r="G17" s="103">
        <v>83.1</v>
      </c>
      <c r="H17" s="103">
        <v>77.3</v>
      </c>
      <c r="I17" s="104">
        <v>76</v>
      </c>
    </row>
    <row r="18" spans="2:9" x14ac:dyDescent="0.35">
      <c r="B18" s="102">
        <v>48.2</v>
      </c>
      <c r="C18" s="103">
        <v>82.4</v>
      </c>
      <c r="D18" s="103">
        <v>76.3</v>
      </c>
      <c r="E18" s="103">
        <v>36.1</v>
      </c>
      <c r="F18" s="103">
        <v>53.599999999999994</v>
      </c>
      <c r="G18" s="103">
        <v>67</v>
      </c>
      <c r="H18" s="103">
        <v>74.900000000000006</v>
      </c>
      <c r="I18" s="104">
        <v>76.3</v>
      </c>
    </row>
    <row r="19" spans="2:9" x14ac:dyDescent="0.35">
      <c r="B19" s="102">
        <v>54.2</v>
      </c>
      <c r="C19" s="103">
        <v>72</v>
      </c>
      <c r="D19" s="103">
        <v>83.8</v>
      </c>
      <c r="E19" s="103">
        <v>77.7</v>
      </c>
      <c r="F19" s="103">
        <v>52.2</v>
      </c>
      <c r="G19" s="103">
        <v>73</v>
      </c>
      <c r="H19" s="103">
        <v>68.2</v>
      </c>
      <c r="I19" s="104">
        <v>58.2</v>
      </c>
    </row>
    <row r="20" spans="2:9" x14ac:dyDescent="0.35">
      <c r="B20" s="102">
        <v>70.5</v>
      </c>
      <c r="C20" s="103">
        <v>73.400000000000006</v>
      </c>
      <c r="D20" s="103">
        <v>82</v>
      </c>
      <c r="E20" s="103">
        <v>84.2</v>
      </c>
      <c r="F20" s="103">
        <v>76.3</v>
      </c>
      <c r="G20" s="103">
        <v>64.8</v>
      </c>
      <c r="H20" s="103">
        <v>74.900000000000006</v>
      </c>
      <c r="I20" s="104">
        <v>58.400000000000006</v>
      </c>
    </row>
    <row r="21" spans="2:9" x14ac:dyDescent="0.35">
      <c r="B21" s="102">
        <v>67.099999999999994</v>
      </c>
      <c r="C21" s="103">
        <v>55.8</v>
      </c>
      <c r="D21" s="103">
        <v>64.400000000000006</v>
      </c>
      <c r="E21" s="103">
        <v>86.1</v>
      </c>
      <c r="F21" s="103">
        <v>56.8</v>
      </c>
      <c r="G21" s="103">
        <v>77.2</v>
      </c>
      <c r="H21" s="103">
        <v>64.3</v>
      </c>
      <c r="I21" s="104">
        <v>62.099999999999994</v>
      </c>
    </row>
    <row r="22" spans="2:9" x14ac:dyDescent="0.35">
      <c r="B22" s="105">
        <v>60.099999999999994</v>
      </c>
      <c r="C22" s="106">
        <v>66.599999999999994</v>
      </c>
      <c r="D22" s="106">
        <v>60.2</v>
      </c>
      <c r="E22" s="106">
        <v>94.2</v>
      </c>
      <c r="F22" s="106">
        <v>81.8</v>
      </c>
      <c r="G22" s="106">
        <v>71.2</v>
      </c>
      <c r="H22" s="106">
        <v>74</v>
      </c>
      <c r="I22" s="107">
        <v>72.599999999999994</v>
      </c>
    </row>
  </sheetData>
  <conditionalFormatting sqref="B3:I22">
    <cfRule type="expression" dxfId="3" priority="1">
      <formula>AND(B3&gt;=$L$6,B3&lt;=$M$6)</formula>
    </cfRule>
    <cfRule type="expression" dxfId="2" priority="2">
      <formula>AND(B3&gt;=$L$5,B3&lt;=$M$5)</formula>
    </cfRule>
    <cfRule type="expression" dxfId="1" priority="3">
      <formula>AND(B3&gt;=$L$4,B3&lt;=$M$4)</formula>
    </cfRule>
    <cfRule type="expression" dxfId="0" priority="4">
      <formula>AND(B3&gt;=$L$3,B3&lt;=$M$3)</formula>
    </cfRule>
  </conditionalFormatting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3"/>
  <dimension ref="B1:N22"/>
  <sheetViews>
    <sheetView workbookViewId="0"/>
  </sheetViews>
  <sheetFormatPr defaultRowHeight="15" x14ac:dyDescent="0.25"/>
  <cols>
    <col min="1" max="1" width="3" customWidth="1"/>
  </cols>
  <sheetData>
    <row r="1" spans="2:14" ht="14.45" x14ac:dyDescent="0.35">
      <c r="B1" s="42" t="s">
        <v>755</v>
      </c>
      <c r="K1" t="s">
        <v>755</v>
      </c>
    </row>
    <row r="2" spans="2:14" thickBot="1" x14ac:dyDescent="0.4"/>
    <row r="3" spans="2:14" thickTop="1" x14ac:dyDescent="0.35">
      <c r="B3" s="290">
        <v>87.7</v>
      </c>
      <c r="C3" s="291">
        <v>56.8</v>
      </c>
      <c r="D3" s="291">
        <v>67.2</v>
      </c>
      <c r="E3" s="291">
        <v>74.400000000000006</v>
      </c>
      <c r="F3" s="291">
        <v>43.6</v>
      </c>
      <c r="G3" s="291">
        <v>87.8</v>
      </c>
      <c r="H3" s="291">
        <v>83.8</v>
      </c>
      <c r="I3" s="292">
        <v>61.900000000000006</v>
      </c>
      <c r="K3" s="94" t="s">
        <v>765</v>
      </c>
      <c r="L3" s="94" t="s">
        <v>66</v>
      </c>
      <c r="M3" s="94" t="s">
        <v>67</v>
      </c>
      <c r="N3" s="94" t="s">
        <v>167</v>
      </c>
    </row>
    <row r="4" spans="2:14" ht="14.45" x14ac:dyDescent="0.35">
      <c r="B4" s="102">
        <v>85.4</v>
      </c>
      <c r="C4" s="103">
        <v>73.400000000000006</v>
      </c>
      <c r="D4" s="103">
        <v>68.3</v>
      </c>
      <c r="E4" s="103">
        <v>70.3</v>
      </c>
      <c r="F4" s="103">
        <v>81.2</v>
      </c>
      <c r="G4" s="103">
        <v>94.7</v>
      </c>
      <c r="H4" s="103">
        <v>76.7</v>
      </c>
      <c r="I4" s="104">
        <v>61.400000000000006</v>
      </c>
      <c r="K4" s="32">
        <f t="array" ref="K4:N8">[1]!JENKS(B3:I22,4,TRUE)</f>
        <v>1</v>
      </c>
      <c r="L4">
        <v>28.9</v>
      </c>
      <c r="M4">
        <v>54.2</v>
      </c>
      <c r="N4">
        <v>18</v>
      </c>
    </row>
    <row r="5" spans="2:14" ht="14.45" x14ac:dyDescent="0.35">
      <c r="B5" s="102">
        <v>78.5</v>
      </c>
      <c r="C5" s="103">
        <v>69.400000000000006</v>
      </c>
      <c r="D5" s="103">
        <v>61.099999999999994</v>
      </c>
      <c r="E5" s="103">
        <v>52.099999999999994</v>
      </c>
      <c r="F5" s="103">
        <v>66.8</v>
      </c>
      <c r="G5" s="103">
        <v>87.1</v>
      </c>
      <c r="H5" s="103">
        <v>83.4</v>
      </c>
      <c r="I5" s="104">
        <v>64.599999999999994</v>
      </c>
      <c r="K5" s="32">
        <v>2</v>
      </c>
      <c r="L5">
        <v>55.8</v>
      </c>
      <c r="M5">
        <v>68.3</v>
      </c>
      <c r="N5">
        <v>44</v>
      </c>
    </row>
    <row r="6" spans="2:14" ht="14.45" x14ac:dyDescent="0.35">
      <c r="B6" s="102">
        <v>73.400000000000006</v>
      </c>
      <c r="C6" s="103">
        <v>71.2</v>
      </c>
      <c r="D6" s="103">
        <v>69.8</v>
      </c>
      <c r="E6" s="103">
        <v>85.8</v>
      </c>
      <c r="F6" s="103">
        <v>65.400000000000006</v>
      </c>
      <c r="G6" s="103">
        <v>42.7</v>
      </c>
      <c r="H6" s="103">
        <v>67.400000000000006</v>
      </c>
      <c r="I6" s="104">
        <v>65.900000000000006</v>
      </c>
      <c r="K6" s="32">
        <v>3</v>
      </c>
      <c r="L6">
        <v>69.400000000000006</v>
      </c>
      <c r="M6">
        <v>79.900000000000006</v>
      </c>
      <c r="N6">
        <v>57</v>
      </c>
    </row>
    <row r="7" spans="2:14" ht="14.45" x14ac:dyDescent="0.35">
      <c r="B7" s="102">
        <v>82.8</v>
      </c>
      <c r="C7" s="103">
        <v>97.8</v>
      </c>
      <c r="D7" s="103">
        <v>45.8</v>
      </c>
      <c r="E7" s="103">
        <v>65.8</v>
      </c>
      <c r="F7" s="103">
        <v>64.2</v>
      </c>
      <c r="G7" s="103">
        <v>48.599999999999994</v>
      </c>
      <c r="H7" s="103">
        <v>75.599999999999994</v>
      </c>
      <c r="I7" s="104">
        <v>78.599999999999994</v>
      </c>
      <c r="K7" s="305">
        <v>4</v>
      </c>
      <c r="L7" s="92">
        <v>80.7</v>
      </c>
      <c r="M7" s="92">
        <v>99.2</v>
      </c>
      <c r="N7" s="92">
        <v>41</v>
      </c>
    </row>
    <row r="8" spans="2:14" ht="14.45" x14ac:dyDescent="0.35">
      <c r="B8" s="102">
        <v>79.8</v>
      </c>
      <c r="C8" s="103">
        <v>51</v>
      </c>
      <c r="D8" s="103">
        <v>49</v>
      </c>
      <c r="E8" s="103">
        <v>63.599999999999994</v>
      </c>
      <c r="F8" s="103">
        <v>88.9</v>
      </c>
      <c r="G8" s="103">
        <v>82.1</v>
      </c>
      <c r="H8" s="103">
        <v>72.5</v>
      </c>
      <c r="I8" s="104">
        <v>71.2</v>
      </c>
      <c r="K8" s="306" t="str">
        <v>GVF</v>
      </c>
      <c r="L8" s="147">
        <v>3107.1020088239457</v>
      </c>
      <c r="M8" s="147">
        <v>27504.594937500005</v>
      </c>
      <c r="N8" s="147">
        <v>0.88703334785026422</v>
      </c>
    </row>
    <row r="9" spans="2:14" ht="14.45" x14ac:dyDescent="0.35">
      <c r="B9" s="102">
        <v>57.7</v>
      </c>
      <c r="C9" s="103">
        <v>52.400000000000006</v>
      </c>
      <c r="D9" s="103">
        <v>38.6</v>
      </c>
      <c r="E9" s="103">
        <v>75.400000000000006</v>
      </c>
      <c r="F9" s="103">
        <v>79.2</v>
      </c>
      <c r="G9" s="103">
        <v>83.6</v>
      </c>
      <c r="H9" s="103">
        <v>70.599999999999994</v>
      </c>
      <c r="I9" s="104">
        <v>76.400000000000006</v>
      </c>
    </row>
    <row r="10" spans="2:14" ht="14.45" x14ac:dyDescent="0.35">
      <c r="B10" s="102">
        <v>64.7</v>
      </c>
      <c r="C10" s="103">
        <v>40.700000000000003</v>
      </c>
      <c r="D10" s="103">
        <v>85.2</v>
      </c>
      <c r="E10" s="103">
        <v>81.400000000000006</v>
      </c>
      <c r="F10" s="103">
        <v>78.5</v>
      </c>
      <c r="G10" s="103">
        <v>33.5</v>
      </c>
      <c r="H10" s="103">
        <v>57.9</v>
      </c>
      <c r="I10" s="104">
        <v>56.4</v>
      </c>
    </row>
    <row r="11" spans="2:14" ht="14.45" x14ac:dyDescent="0.35">
      <c r="B11" s="102">
        <v>73</v>
      </c>
      <c r="C11" s="103">
        <v>79.8</v>
      </c>
      <c r="D11" s="103">
        <v>87.7</v>
      </c>
      <c r="E11" s="103">
        <v>72</v>
      </c>
      <c r="F11" s="103">
        <v>78.3</v>
      </c>
      <c r="G11" s="103">
        <v>80.7</v>
      </c>
      <c r="H11" s="103">
        <v>90.3</v>
      </c>
      <c r="I11" s="104">
        <v>58.3</v>
      </c>
      <c r="K11" t="s">
        <v>755</v>
      </c>
    </row>
    <row r="12" spans="2:14" thickBot="1" x14ac:dyDescent="0.4">
      <c r="B12" s="102">
        <v>82.3</v>
      </c>
      <c r="C12" s="103">
        <v>84</v>
      </c>
      <c r="D12" s="103">
        <v>83</v>
      </c>
      <c r="E12" s="103">
        <v>66.2</v>
      </c>
      <c r="F12" s="103">
        <v>93.1</v>
      </c>
      <c r="G12" s="103">
        <v>68.2</v>
      </c>
      <c r="H12" s="103">
        <v>95.7</v>
      </c>
      <c r="I12" s="104">
        <v>60.099999999999994</v>
      </c>
    </row>
    <row r="13" spans="2:14" thickTop="1" x14ac:dyDescent="0.35">
      <c r="B13" s="102">
        <v>63.099999999999994</v>
      </c>
      <c r="C13" s="103">
        <v>62.7</v>
      </c>
      <c r="D13" s="103">
        <v>89.3</v>
      </c>
      <c r="E13" s="103">
        <v>52.2</v>
      </c>
      <c r="F13" s="103">
        <v>62.5</v>
      </c>
      <c r="G13" s="103">
        <v>73</v>
      </c>
      <c r="H13" s="103">
        <v>81.5</v>
      </c>
      <c r="I13" s="104">
        <v>67.2</v>
      </c>
      <c r="K13" s="94" t="s">
        <v>765</v>
      </c>
      <c r="L13" s="94" t="s">
        <v>66</v>
      </c>
      <c r="M13" s="94" t="s">
        <v>67</v>
      </c>
      <c r="N13" s="94" t="s">
        <v>167</v>
      </c>
    </row>
    <row r="14" spans="2:14" ht="14.45" x14ac:dyDescent="0.35">
      <c r="B14" s="102">
        <v>99.2</v>
      </c>
      <c r="C14" s="103">
        <v>66.400000000000006</v>
      </c>
      <c r="D14" s="103">
        <v>79.2</v>
      </c>
      <c r="E14" s="103">
        <v>73</v>
      </c>
      <c r="F14" s="103">
        <v>74.2</v>
      </c>
      <c r="G14" s="103">
        <v>28.9</v>
      </c>
      <c r="H14" s="103">
        <v>80.7</v>
      </c>
      <c r="I14" s="104">
        <v>71.2</v>
      </c>
      <c r="K14" s="32">
        <f t="array" aca="1" ref="K14:N18" ca="1">[1]!JENKS(B3:I22,4,TRUE,10000)</f>
        <v>1</v>
      </c>
      <c r="L14">
        <f ca="1"/>
        <v>28.9</v>
      </c>
      <c r="M14">
        <f ca="1"/>
        <v>52.400000000000006</v>
      </c>
      <c r="N14">
        <f ca="1"/>
        <v>16</v>
      </c>
    </row>
    <row r="15" spans="2:14" ht="14.45" x14ac:dyDescent="0.35">
      <c r="B15" s="102">
        <v>71.8</v>
      </c>
      <c r="C15" s="103">
        <v>64.7</v>
      </c>
      <c r="D15" s="103">
        <v>73.2</v>
      </c>
      <c r="E15" s="103">
        <v>71.900000000000006</v>
      </c>
      <c r="F15" s="103">
        <v>83.3</v>
      </c>
      <c r="G15" s="103">
        <v>67</v>
      </c>
      <c r="H15" s="103">
        <v>79.900000000000006</v>
      </c>
      <c r="I15" s="104">
        <v>79.2</v>
      </c>
      <c r="K15" s="32">
        <f ca="1"/>
        <v>2</v>
      </c>
      <c r="L15">
        <f ca="1"/>
        <v>53.599999999999994</v>
      </c>
      <c r="M15">
        <f ca="1"/>
        <v>68.3</v>
      </c>
      <c r="N15">
        <f ca="1"/>
        <v>46</v>
      </c>
    </row>
    <row r="16" spans="2:14" ht="14.45" x14ac:dyDescent="0.35">
      <c r="B16" s="102">
        <v>77.599999999999994</v>
      </c>
      <c r="C16" s="103">
        <v>88.3</v>
      </c>
      <c r="D16" s="103">
        <v>69.5</v>
      </c>
      <c r="E16" s="103">
        <v>72.3</v>
      </c>
      <c r="F16" s="103">
        <v>72</v>
      </c>
      <c r="G16" s="103">
        <v>74.400000000000006</v>
      </c>
      <c r="H16" s="103">
        <v>86.3</v>
      </c>
      <c r="I16" s="104">
        <v>70.2</v>
      </c>
      <c r="K16" s="32">
        <f ca="1"/>
        <v>3</v>
      </c>
      <c r="L16">
        <f ca="1"/>
        <v>69.400000000000006</v>
      </c>
      <c r="M16">
        <f ca="1"/>
        <v>81.2</v>
      </c>
      <c r="N16">
        <f ca="1"/>
        <v>60</v>
      </c>
    </row>
    <row r="17" spans="2:14" ht="14.45" x14ac:dyDescent="0.35">
      <c r="B17" s="102">
        <v>78.7</v>
      </c>
      <c r="C17" s="103">
        <v>82.2</v>
      </c>
      <c r="D17" s="103">
        <v>78.900000000000006</v>
      </c>
      <c r="E17" s="103">
        <v>87.5</v>
      </c>
      <c r="F17" s="103">
        <v>55.8</v>
      </c>
      <c r="G17" s="103">
        <v>83.1</v>
      </c>
      <c r="H17" s="103">
        <v>77.3</v>
      </c>
      <c r="I17" s="104">
        <v>76</v>
      </c>
      <c r="K17" s="305">
        <f ca="1"/>
        <v>4</v>
      </c>
      <c r="L17" s="92">
        <f ca="1"/>
        <v>81.400000000000006</v>
      </c>
      <c r="M17" s="92">
        <f ca="1"/>
        <v>99.2</v>
      </c>
      <c r="N17" s="92">
        <f ca="1"/>
        <v>38</v>
      </c>
    </row>
    <row r="18" spans="2:14" ht="14.45" x14ac:dyDescent="0.35">
      <c r="B18" s="102">
        <v>48.2</v>
      </c>
      <c r="C18" s="103">
        <v>82.4</v>
      </c>
      <c r="D18" s="103">
        <v>76.3</v>
      </c>
      <c r="E18" s="103">
        <v>36.1</v>
      </c>
      <c r="F18" s="103">
        <v>53.599999999999994</v>
      </c>
      <c r="G18" s="103">
        <v>67</v>
      </c>
      <c r="H18" s="103">
        <v>74.900000000000006</v>
      </c>
      <c r="I18" s="104">
        <v>76.3</v>
      </c>
      <c r="K18" s="306" t="str">
        <f ca="1"/>
        <v>GVF</v>
      </c>
      <c r="L18" s="147">
        <f ca="1"/>
        <v>3139.3431571320652</v>
      </c>
      <c r="M18" s="147">
        <f ca="1"/>
        <v>27504.594937500005</v>
      </c>
      <c r="N18" s="147">
        <f ca="1"/>
        <v>0.88586113832013369</v>
      </c>
    </row>
    <row r="19" spans="2:14" ht="14.45" x14ac:dyDescent="0.35">
      <c r="B19" s="102">
        <v>54.2</v>
      </c>
      <c r="C19" s="103">
        <v>72</v>
      </c>
      <c r="D19" s="103">
        <v>83.8</v>
      </c>
      <c r="E19" s="103">
        <v>77.7</v>
      </c>
      <c r="F19" s="103">
        <v>52.2</v>
      </c>
      <c r="G19" s="103">
        <v>73</v>
      </c>
      <c r="H19" s="103">
        <v>68.2</v>
      </c>
      <c r="I19" s="104">
        <v>58.2</v>
      </c>
    </row>
    <row r="20" spans="2:14" ht="14.45" x14ac:dyDescent="0.35">
      <c r="B20" s="102">
        <v>70.5</v>
      </c>
      <c r="C20" s="103">
        <v>73.400000000000006</v>
      </c>
      <c r="D20" s="103">
        <v>82</v>
      </c>
      <c r="E20" s="103">
        <v>84.2</v>
      </c>
      <c r="F20" s="103">
        <v>76.3</v>
      </c>
      <c r="G20" s="103">
        <v>64.8</v>
      </c>
      <c r="H20" s="103">
        <v>74.900000000000006</v>
      </c>
      <c r="I20" s="104">
        <v>58.400000000000006</v>
      </c>
    </row>
    <row r="21" spans="2:14" ht="14.45" x14ac:dyDescent="0.35">
      <c r="B21" s="102">
        <v>67.099999999999994</v>
      </c>
      <c r="C21" s="103">
        <v>55.8</v>
      </c>
      <c r="D21" s="103">
        <v>64.400000000000006</v>
      </c>
      <c r="E21" s="103">
        <v>86.1</v>
      </c>
      <c r="F21" s="103">
        <v>56.8</v>
      </c>
      <c r="G21" s="103">
        <v>77.2</v>
      </c>
      <c r="H21" s="103">
        <v>64.3</v>
      </c>
      <c r="I21" s="104">
        <v>62.099999999999994</v>
      </c>
    </row>
    <row r="22" spans="2:14" ht="14.45" x14ac:dyDescent="0.35">
      <c r="B22" s="105">
        <v>60.099999999999994</v>
      </c>
      <c r="C22" s="106">
        <v>66.599999999999994</v>
      </c>
      <c r="D22" s="106">
        <v>60.2</v>
      </c>
      <c r="E22" s="106">
        <v>94.2</v>
      </c>
      <c r="F22" s="106">
        <v>81.8</v>
      </c>
      <c r="G22" s="106">
        <v>71.2</v>
      </c>
      <c r="H22" s="106">
        <v>74</v>
      </c>
      <c r="I22" s="107">
        <v>72.599999999999994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5"/>
  <dimension ref="A1:AG39"/>
  <sheetViews>
    <sheetView workbookViewId="0">
      <selection activeCell="AC4" sqref="AC4"/>
    </sheetView>
  </sheetViews>
  <sheetFormatPr defaultRowHeight="15" x14ac:dyDescent="0.25"/>
  <cols>
    <col min="2" max="4" width="9.140625" customWidth="1"/>
    <col min="5" max="5" width="2.85546875" customWidth="1"/>
    <col min="9" max="9" width="3.85546875" customWidth="1"/>
    <col min="18" max="18" width="9.140625" customWidth="1"/>
    <col min="22" max="25" width="9.140625" customWidth="1"/>
    <col min="27" max="27" width="3.85546875" customWidth="1"/>
    <col min="28" max="28" width="6.85546875" customWidth="1"/>
    <col min="33" max="33" width="6" customWidth="1"/>
  </cols>
  <sheetData>
    <row r="1" spans="1:33" ht="14.45" x14ac:dyDescent="0.35">
      <c r="A1" s="42" t="s">
        <v>790</v>
      </c>
      <c r="R1" t="s">
        <v>791</v>
      </c>
      <c r="AB1" t="s">
        <v>792</v>
      </c>
    </row>
    <row r="3" spans="1:33" ht="14.45" x14ac:dyDescent="0.35">
      <c r="B3" s="47" t="s">
        <v>144</v>
      </c>
      <c r="C3" s="47" t="s">
        <v>145</v>
      </c>
      <c r="D3" s="47" t="s">
        <v>146</v>
      </c>
      <c r="F3" s="70" t="s">
        <v>108</v>
      </c>
      <c r="J3" t="s">
        <v>125</v>
      </c>
      <c r="O3" t="s">
        <v>793</v>
      </c>
      <c r="S3" s="32" t="s">
        <v>144</v>
      </c>
      <c r="T3" s="32" t="s">
        <v>145</v>
      </c>
      <c r="U3" s="32" t="s">
        <v>146</v>
      </c>
      <c r="V3" s="32" t="str">
        <f t="array" ref="V3:Y3">TRANSPOSE(J14:J17)</f>
        <v>loam</v>
      </c>
      <c r="W3" s="32" t="str">
        <v>sandy</v>
      </c>
      <c r="X3" s="32" t="str">
        <v>salty</v>
      </c>
      <c r="Y3" s="32" t="str">
        <v>clay</v>
      </c>
      <c r="Z3" t="s">
        <v>794</v>
      </c>
      <c r="AC3" s="32" t="str">
        <f t="array" ref="AC3:AF3">TRANSPOSE(J14:J17)</f>
        <v>loam</v>
      </c>
      <c r="AD3" s="32" t="str">
        <v>sandy</v>
      </c>
      <c r="AE3" s="32" t="str">
        <v>salty</v>
      </c>
      <c r="AF3" s="32" t="str">
        <v>clay</v>
      </c>
    </row>
    <row r="4" spans="1:33" ht="14.45" x14ac:dyDescent="0.35">
      <c r="A4" t="s">
        <v>158</v>
      </c>
      <c r="B4" s="290">
        <v>76.7</v>
      </c>
      <c r="C4" s="291">
        <v>29.5</v>
      </c>
      <c r="D4" s="292">
        <v>7.5</v>
      </c>
      <c r="R4" t="s">
        <v>158</v>
      </c>
      <c r="S4" s="290">
        <v>76.7</v>
      </c>
      <c r="T4" s="291">
        <v>29.5</v>
      </c>
      <c r="U4" s="292">
        <v>7.5</v>
      </c>
      <c r="V4" s="308">
        <f t="shared" ref="V4:V35" si="0">$K$14+SUMPRODUCT(S4:U4,$L$14:$N$14)+$P$6</f>
        <v>42.157675651290241</v>
      </c>
      <c r="W4" s="309">
        <f t="shared" ref="W4:W35" si="1">$K$15+SUMPRODUCT(S4:U4,$L$15:$N$15)+$P$7</f>
        <v>39.391123339019593</v>
      </c>
      <c r="X4" s="309">
        <f t="shared" ref="X4:X35" si="2">$K$16+SUMPRODUCT(S4:U4,$L$16:$N$16)+$P$8</f>
        <v>36.442913243286505</v>
      </c>
      <c r="Y4" s="310">
        <f t="shared" ref="Y4:Y35" si="3">$K$17+SUMPRODUCT(S4:U4,$L$17:$N$17)+$P$9</f>
        <v>37.416799573969449</v>
      </c>
      <c r="Z4" s="276" t="str">
        <f>INDEX($V$3:$Y$3,,MATCH(MAX(V4:Y4),V4:Y4,0))</f>
        <v>loam</v>
      </c>
      <c r="AB4" t="str">
        <f>J6</f>
        <v>loam</v>
      </c>
      <c r="AC4" s="138">
        <f>COUNTIFS($R$4:$R$35,$AB4,$Z$4:$Z$35,AC$3)</f>
        <v>6</v>
      </c>
      <c r="AD4" s="139">
        <f t="shared" ref="AD4:AF7" si="4">COUNTIFS($R$4:$R$35,$AB4,$Z$4:$Z$35,AD$3)</f>
        <v>2</v>
      </c>
      <c r="AE4" s="139">
        <f t="shared" si="4"/>
        <v>0</v>
      </c>
      <c r="AF4" s="140">
        <f t="shared" si="4"/>
        <v>0</v>
      </c>
      <c r="AG4">
        <f>SUM(AC4:AF4)</f>
        <v>8</v>
      </c>
    </row>
    <row r="5" spans="1:33" x14ac:dyDescent="0.25">
      <c r="A5" t="s">
        <v>158</v>
      </c>
      <c r="B5" s="102">
        <v>60.5</v>
      </c>
      <c r="C5" s="103">
        <v>32.1</v>
      </c>
      <c r="D5" s="104">
        <v>6.3</v>
      </c>
      <c r="F5" t="s">
        <v>65</v>
      </c>
      <c r="G5" s="311">
        <f>[1]!BOXTEST(A4:D35)</f>
        <v>0.84797393932472176</v>
      </c>
      <c r="K5" s="32" t="s">
        <v>144</v>
      </c>
      <c r="L5" s="32" t="s">
        <v>145</v>
      </c>
      <c r="M5" s="32" t="s">
        <v>146</v>
      </c>
      <c r="O5" s="233" t="s">
        <v>795</v>
      </c>
      <c r="P5" s="32" t="s">
        <v>796</v>
      </c>
      <c r="R5" t="s">
        <v>158</v>
      </c>
      <c r="S5" s="102">
        <v>60.5</v>
      </c>
      <c r="T5" s="103">
        <v>32.1</v>
      </c>
      <c r="U5" s="104">
        <v>6.3</v>
      </c>
      <c r="V5" s="312">
        <f t="shared" si="0"/>
        <v>26.870145866061439</v>
      </c>
      <c r="W5" s="313">
        <f t="shared" si="1"/>
        <v>26.759041358034807</v>
      </c>
      <c r="X5" s="313">
        <f t="shared" si="2"/>
        <v>25.901363773588049</v>
      </c>
      <c r="Y5" s="314">
        <f t="shared" si="3"/>
        <v>26.27789013188719</v>
      </c>
      <c r="Z5" s="278" t="str">
        <f t="shared" ref="Z5:Z35" si="5">INDEX($V$3:$Y$3,,MATCH(MAX(V5:Y5),V5:Y5,0))</f>
        <v>loam</v>
      </c>
      <c r="AB5" t="str">
        <f>J7</f>
        <v>sandy</v>
      </c>
      <c r="AC5" s="123">
        <f t="shared" ref="AC5:AC7" si="6">COUNTIFS($R$4:$R$35,$AB5,$Z$4:$Z$35,AC$3)</f>
        <v>1</v>
      </c>
      <c r="AD5" s="37">
        <f t="shared" si="4"/>
        <v>4</v>
      </c>
      <c r="AE5" s="37">
        <f t="shared" si="4"/>
        <v>1</v>
      </c>
      <c r="AF5" s="90">
        <f t="shared" si="4"/>
        <v>2</v>
      </c>
      <c r="AG5">
        <f t="shared" ref="AG5:AG7" si="7">SUM(AC5:AF5)</f>
        <v>8</v>
      </c>
    </row>
    <row r="6" spans="1:33" ht="14.45" x14ac:dyDescent="0.35">
      <c r="A6" t="s">
        <v>158</v>
      </c>
      <c r="B6" s="102">
        <v>96.1</v>
      </c>
      <c r="C6" s="103">
        <v>40.700000000000003</v>
      </c>
      <c r="D6" s="104">
        <v>4.2</v>
      </c>
      <c r="J6" t="s">
        <v>158</v>
      </c>
      <c r="K6" s="138">
        <f t="shared" ref="K6:M9" si="8">AVERAGEIF($A$4:$A$35,$J6,B$4:B$35)</f>
        <v>69.712500000000006</v>
      </c>
      <c r="L6" s="139">
        <f t="shared" si="8"/>
        <v>32.737499999999997</v>
      </c>
      <c r="M6" s="140">
        <f t="shared" si="8"/>
        <v>6.3874999999999984</v>
      </c>
      <c r="O6" s="138">
        <v>0.25</v>
      </c>
      <c r="P6" s="140">
        <f>LN(O6)</f>
        <v>-1.3862943611198906</v>
      </c>
      <c r="R6" t="s">
        <v>158</v>
      </c>
      <c r="S6" s="102">
        <v>96.1</v>
      </c>
      <c r="T6" s="103">
        <v>40.700000000000003</v>
      </c>
      <c r="U6" s="104">
        <v>4.2</v>
      </c>
      <c r="V6" s="312">
        <f t="shared" si="0"/>
        <v>44.967563742316365</v>
      </c>
      <c r="W6" s="313">
        <f t="shared" si="1"/>
        <v>42.911188799345929</v>
      </c>
      <c r="X6" s="313">
        <f t="shared" si="2"/>
        <v>40.300226071628863</v>
      </c>
      <c r="Y6" s="314">
        <f t="shared" si="3"/>
        <v>41.603843412068507</v>
      </c>
      <c r="Z6" s="278" t="str">
        <f t="shared" si="5"/>
        <v>loam</v>
      </c>
      <c r="AB6" t="str">
        <f>J8</f>
        <v>salty</v>
      </c>
      <c r="AC6" s="123">
        <f t="shared" si="6"/>
        <v>1</v>
      </c>
      <c r="AD6" s="37">
        <f t="shared" si="4"/>
        <v>1</v>
      </c>
      <c r="AE6" s="37">
        <f t="shared" si="4"/>
        <v>5</v>
      </c>
      <c r="AF6" s="90">
        <f t="shared" si="4"/>
        <v>1</v>
      </c>
      <c r="AG6">
        <f t="shared" si="7"/>
        <v>8</v>
      </c>
    </row>
    <row r="7" spans="1:33" ht="14.45" x14ac:dyDescent="0.35">
      <c r="A7" t="s">
        <v>158</v>
      </c>
      <c r="B7" s="102">
        <v>88.1</v>
      </c>
      <c r="C7" s="103">
        <v>45.1</v>
      </c>
      <c r="D7" s="104">
        <v>4.9000000000000004</v>
      </c>
      <c r="F7" t="s">
        <v>797</v>
      </c>
      <c r="J7" t="s">
        <v>159</v>
      </c>
      <c r="K7" s="123">
        <f t="shared" si="8"/>
        <v>62.575000000000003</v>
      </c>
      <c r="L7" s="37">
        <f t="shared" si="8"/>
        <v>28.2</v>
      </c>
      <c r="M7" s="90">
        <f t="shared" si="8"/>
        <v>4.3500000000000005</v>
      </c>
      <c r="O7" s="123">
        <v>0.25</v>
      </c>
      <c r="P7" s="90">
        <f t="shared" ref="P7:P9" si="9">LN(O7)</f>
        <v>-1.3862943611198906</v>
      </c>
      <c r="R7" t="s">
        <v>158</v>
      </c>
      <c r="S7" s="102">
        <v>88.1</v>
      </c>
      <c r="T7" s="103">
        <v>45.1</v>
      </c>
      <c r="U7" s="104">
        <v>4.9000000000000004</v>
      </c>
      <c r="V7" s="312">
        <f t="shared" si="0"/>
        <v>41.679593829618433</v>
      </c>
      <c r="W7" s="313">
        <f t="shared" si="1"/>
        <v>39.978127397641892</v>
      </c>
      <c r="X7" s="313">
        <f t="shared" si="2"/>
        <v>38.073808940807922</v>
      </c>
      <c r="Y7" s="314">
        <f t="shared" si="3"/>
        <v>39.268995622934987</v>
      </c>
      <c r="Z7" s="278" t="str">
        <f t="shared" si="5"/>
        <v>loam</v>
      </c>
      <c r="AB7" t="str">
        <f>J9</f>
        <v>clay</v>
      </c>
      <c r="AC7" s="91">
        <f t="shared" si="6"/>
        <v>0</v>
      </c>
      <c r="AD7" s="92">
        <f t="shared" si="4"/>
        <v>2</v>
      </c>
      <c r="AE7" s="92">
        <f t="shared" si="4"/>
        <v>3</v>
      </c>
      <c r="AF7" s="93">
        <f t="shared" si="4"/>
        <v>3</v>
      </c>
      <c r="AG7">
        <f t="shared" si="7"/>
        <v>8</v>
      </c>
    </row>
    <row r="8" spans="1:33" ht="14.45" x14ac:dyDescent="0.35">
      <c r="A8" t="s">
        <v>158</v>
      </c>
      <c r="B8" s="102">
        <v>50.2</v>
      </c>
      <c r="C8" s="103">
        <v>34.1</v>
      </c>
      <c r="D8" s="104">
        <v>11.7</v>
      </c>
      <c r="J8" t="s">
        <v>161</v>
      </c>
      <c r="K8" s="123">
        <f t="shared" si="8"/>
        <v>55.3125</v>
      </c>
      <c r="L8" s="37">
        <f t="shared" si="8"/>
        <v>30.637499999999996</v>
      </c>
      <c r="M8" s="90">
        <f t="shared" si="8"/>
        <v>3.8624999999999998</v>
      </c>
      <c r="O8" s="123">
        <v>0.25</v>
      </c>
      <c r="P8" s="90">
        <f t="shared" si="9"/>
        <v>-1.3862943611198906</v>
      </c>
      <c r="R8" t="s">
        <v>158</v>
      </c>
      <c r="S8" s="102">
        <v>50.2</v>
      </c>
      <c r="T8" s="103">
        <v>34.1</v>
      </c>
      <c r="U8" s="104">
        <v>11.7</v>
      </c>
      <c r="V8" s="312">
        <f t="shared" si="0"/>
        <v>37.400900980555967</v>
      </c>
      <c r="W8" s="313">
        <f t="shared" si="1"/>
        <v>34.200851179647252</v>
      </c>
      <c r="X8" s="313">
        <f t="shared" si="2"/>
        <v>32.190628042369447</v>
      </c>
      <c r="Y8" s="314">
        <f t="shared" si="3"/>
        <v>32.908784604983076</v>
      </c>
      <c r="Z8" s="278" t="str">
        <f t="shared" si="5"/>
        <v>loam</v>
      </c>
      <c r="AC8">
        <f>SUM(AC4:AC7)</f>
        <v>8</v>
      </c>
      <c r="AD8">
        <f t="shared" ref="AD8:AG8" si="10">SUM(AD4:AD7)</f>
        <v>9</v>
      </c>
      <c r="AE8">
        <f t="shared" si="10"/>
        <v>9</v>
      </c>
      <c r="AF8">
        <f t="shared" si="10"/>
        <v>6</v>
      </c>
      <c r="AG8">
        <f t="shared" si="10"/>
        <v>32</v>
      </c>
    </row>
    <row r="9" spans="1:33" ht="14.45" x14ac:dyDescent="0.35">
      <c r="A9" t="s">
        <v>158</v>
      </c>
      <c r="B9" s="102">
        <v>55</v>
      </c>
      <c r="C9" s="103">
        <v>31.1</v>
      </c>
      <c r="D9" s="104">
        <v>6.9</v>
      </c>
      <c r="F9" s="138">
        <f t="array" ref="F9:H11">[1]!COVPooled(A4:D35)</f>
        <v>144.90897321428568</v>
      </c>
      <c r="G9" s="139">
        <v>25.489866071428565</v>
      </c>
      <c r="H9" s="140">
        <v>-9.7375446428571433</v>
      </c>
      <c r="J9" t="s">
        <v>160</v>
      </c>
      <c r="K9" s="91">
        <f t="shared" si="8"/>
        <v>58.837499999999999</v>
      </c>
      <c r="L9" s="92">
        <f t="shared" si="8"/>
        <v>33.087500000000006</v>
      </c>
      <c r="M9" s="93">
        <f t="shared" si="8"/>
        <v>4.0875000000000004</v>
      </c>
      <c r="O9" s="91">
        <v>0.25</v>
      </c>
      <c r="P9" s="93">
        <f t="shared" si="9"/>
        <v>-1.3862943611198906</v>
      </c>
      <c r="R9" t="s">
        <v>158</v>
      </c>
      <c r="S9" s="102">
        <v>55</v>
      </c>
      <c r="T9" s="103">
        <v>31.1</v>
      </c>
      <c r="U9" s="104">
        <v>6.9</v>
      </c>
      <c r="V9" s="312">
        <f t="shared" si="0"/>
        <v>24.98110917720928</v>
      </c>
      <c r="W9" s="313">
        <f t="shared" si="1"/>
        <v>24.961619560201122</v>
      </c>
      <c r="X9" s="313">
        <f t="shared" si="2"/>
        <v>24.283893577252922</v>
      </c>
      <c r="Y9" s="314">
        <f t="shared" si="3"/>
        <v>24.553073942041635</v>
      </c>
      <c r="Z9" s="278" t="str">
        <f t="shared" si="5"/>
        <v>loam</v>
      </c>
    </row>
    <row r="10" spans="1:33" ht="14.45" x14ac:dyDescent="0.35">
      <c r="A10" t="s">
        <v>158</v>
      </c>
      <c r="B10" s="102">
        <v>65.400000000000006</v>
      </c>
      <c r="C10" s="103">
        <v>21.6</v>
      </c>
      <c r="D10" s="104">
        <v>4.3</v>
      </c>
      <c r="F10" s="123">
        <v>25.489866071428565</v>
      </c>
      <c r="G10" s="37">
        <v>101.21379464285714</v>
      </c>
      <c r="H10" s="90">
        <v>4.3819196428571425</v>
      </c>
      <c r="O10">
        <f>SUM(O6:O9)</f>
        <v>1</v>
      </c>
      <c r="R10" t="s">
        <v>158</v>
      </c>
      <c r="S10" s="102">
        <v>65.400000000000006</v>
      </c>
      <c r="T10" s="103">
        <v>21.6</v>
      </c>
      <c r="U10" s="104">
        <v>4.3</v>
      </c>
      <c r="V10" s="312">
        <f t="shared" si="0"/>
        <v>23.685235128239487</v>
      </c>
      <c r="W10" s="313">
        <f t="shared" si="1"/>
        <v>24.459241425810212</v>
      </c>
      <c r="X10" s="313">
        <f t="shared" si="2"/>
        <v>23.307559619700488</v>
      </c>
      <c r="Y10" s="314">
        <f t="shared" si="3"/>
        <v>23.477185918983487</v>
      </c>
      <c r="Z10" s="278" t="str">
        <f t="shared" si="5"/>
        <v>sandy</v>
      </c>
      <c r="AB10" t="s">
        <v>798</v>
      </c>
    </row>
    <row r="11" spans="1:33" ht="14.45" x14ac:dyDescent="0.35">
      <c r="A11" t="s">
        <v>158</v>
      </c>
      <c r="B11" s="102">
        <v>65.7</v>
      </c>
      <c r="C11" s="103">
        <v>27.7</v>
      </c>
      <c r="D11" s="104">
        <v>5.3</v>
      </c>
      <c r="F11" s="91">
        <v>-9.7375446428571433</v>
      </c>
      <c r="G11" s="92">
        <v>4.3819196428571425</v>
      </c>
      <c r="H11" s="93">
        <v>4.0155803571428557</v>
      </c>
      <c r="J11" t="s">
        <v>799</v>
      </c>
      <c r="R11" t="s">
        <v>158</v>
      </c>
      <c r="S11" s="102">
        <v>65.7</v>
      </c>
      <c r="T11" s="103">
        <v>27.7</v>
      </c>
      <c r="U11" s="104">
        <v>5.3</v>
      </c>
      <c r="V11" s="312">
        <f t="shared" si="0"/>
        <v>27.209514838751961</v>
      </c>
      <c r="W11" s="313">
        <f t="shared" si="1"/>
        <v>27.267595188253949</v>
      </c>
      <c r="X11" s="313">
        <f t="shared" si="2"/>
        <v>26.073456128130491</v>
      </c>
      <c r="Y11" s="314">
        <f t="shared" si="3"/>
        <v>26.439181883603432</v>
      </c>
      <c r="Z11" s="278" t="str">
        <f t="shared" si="5"/>
        <v>sandy</v>
      </c>
    </row>
    <row r="12" spans="1:33" ht="14.45" x14ac:dyDescent="0.35">
      <c r="A12" t="s">
        <v>159</v>
      </c>
      <c r="B12" s="102">
        <v>67.3</v>
      </c>
      <c r="C12" s="103">
        <v>48.3</v>
      </c>
      <c r="D12" s="104">
        <v>5.5</v>
      </c>
      <c r="R12" t="s">
        <v>159</v>
      </c>
      <c r="S12" s="102">
        <v>67.3</v>
      </c>
      <c r="T12" s="103">
        <v>48.3</v>
      </c>
      <c r="U12" s="104">
        <v>5.5</v>
      </c>
      <c r="V12" s="312">
        <f t="shared" si="0"/>
        <v>29.084121115850269</v>
      </c>
      <c r="W12" s="313">
        <f t="shared" si="1"/>
        <v>29.128828260603015</v>
      </c>
      <c r="X12" s="313">
        <f t="shared" si="2"/>
        <v>29.030050750991922</v>
      </c>
      <c r="Y12" s="314">
        <f t="shared" si="3"/>
        <v>29.705853204001649</v>
      </c>
      <c r="Z12" s="278" t="str">
        <f t="shared" si="5"/>
        <v>clay</v>
      </c>
      <c r="AC12" s="32" t="s">
        <v>800</v>
      </c>
      <c r="AD12" s="32" t="s">
        <v>216</v>
      </c>
      <c r="AE12" s="32" t="s">
        <v>801</v>
      </c>
      <c r="AF12" s="32" t="s">
        <v>802</v>
      </c>
    </row>
    <row r="13" spans="1:33" ht="14.45" x14ac:dyDescent="0.35">
      <c r="A13" t="s">
        <v>159</v>
      </c>
      <c r="B13" s="102">
        <v>61.3</v>
      </c>
      <c r="C13" s="103">
        <v>28.9</v>
      </c>
      <c r="D13" s="104">
        <v>6.9</v>
      </c>
      <c r="F13" t="s">
        <v>803</v>
      </c>
      <c r="K13" s="32" t="s">
        <v>804</v>
      </c>
      <c r="L13" s="32" t="s">
        <v>144</v>
      </c>
      <c r="M13" s="32" t="s">
        <v>145</v>
      </c>
      <c r="N13" s="32" t="s">
        <v>146</v>
      </c>
      <c r="R13" t="s">
        <v>159</v>
      </c>
      <c r="S13" s="102">
        <v>61.3</v>
      </c>
      <c r="T13" s="103">
        <v>28.9</v>
      </c>
      <c r="U13" s="104">
        <v>6.9</v>
      </c>
      <c r="V13" s="312">
        <f t="shared" si="0"/>
        <v>29.387452797841991</v>
      </c>
      <c r="W13" s="313">
        <f t="shared" si="1"/>
        <v>28.679631929170732</v>
      </c>
      <c r="X13" s="313">
        <f t="shared" si="2"/>
        <v>27.302425634224949</v>
      </c>
      <c r="Y13" s="314">
        <f t="shared" si="3"/>
        <v>27.735817776858816</v>
      </c>
      <c r="Z13" s="278" t="str">
        <f t="shared" si="5"/>
        <v>loam</v>
      </c>
      <c r="AB13" t="str">
        <f>AB4</f>
        <v>loam</v>
      </c>
      <c r="AC13" s="138">
        <f t="array" ref="AC13:AC16">[1]!DIAG(AC4:AF7)</f>
        <v>6</v>
      </c>
      <c r="AD13" s="139">
        <f>AG4</f>
        <v>8</v>
      </c>
      <c r="AE13" s="315">
        <f>AC13/AD13</f>
        <v>0.75</v>
      </c>
      <c r="AF13" s="316">
        <f>1-AE13</f>
        <v>0.25</v>
      </c>
    </row>
    <row r="14" spans="1:33" ht="14.45" x14ac:dyDescent="0.35">
      <c r="A14" t="s">
        <v>159</v>
      </c>
      <c r="B14" s="102">
        <v>58.2</v>
      </c>
      <c r="C14" s="103">
        <v>42.5</v>
      </c>
      <c r="D14" s="104">
        <v>4.8</v>
      </c>
      <c r="J14" t="s">
        <v>158</v>
      </c>
      <c r="K14" s="138">
        <f t="array" ref="K14">-0.5*MMULT(K6:M6,MMULT($F$15:$H$17,TRANSPOSE(K6:M6)))</f>
        <v>-35.005261762875293</v>
      </c>
      <c r="L14" s="139">
        <f t="array" ref="L14:N14">MMULT(K6:M6,$F$15:$H$17)</f>
        <v>0.70104389557747449</v>
      </c>
      <c r="M14" s="139">
        <v>4.6513279569926069E-3</v>
      </c>
      <c r="N14" s="140">
        <v>3.2855934413015797</v>
      </c>
      <c r="R14" t="s">
        <v>159</v>
      </c>
      <c r="S14" s="102">
        <v>58.2</v>
      </c>
      <c r="T14" s="103">
        <v>42.5</v>
      </c>
      <c r="U14" s="104">
        <v>4.8</v>
      </c>
      <c r="V14" s="312">
        <f t="shared" si="0"/>
        <v>20.377728555033595</v>
      </c>
      <c r="W14" s="313">
        <f t="shared" si="1"/>
        <v>21.825541002590057</v>
      </c>
      <c r="X14" s="313">
        <f t="shared" si="2"/>
        <v>22.446900461649225</v>
      </c>
      <c r="Y14" s="314">
        <f t="shared" si="3"/>
        <v>22.700029476401468</v>
      </c>
      <c r="Z14" s="278" t="str">
        <f t="shared" si="5"/>
        <v>clay</v>
      </c>
      <c r="AB14" t="str">
        <f t="shared" ref="AB14:AB16" si="11">AB5</f>
        <v>sandy</v>
      </c>
      <c r="AC14" s="123">
        <v>4</v>
      </c>
      <c r="AD14" s="37">
        <f t="shared" ref="AD14:AD16" si="12">AG5</f>
        <v>8</v>
      </c>
      <c r="AE14" s="167">
        <f t="shared" ref="AE14:AE17" si="13">AC14/AD14</f>
        <v>0.5</v>
      </c>
      <c r="AF14" s="317">
        <f t="shared" ref="AF14:AF17" si="14">1-AE14</f>
        <v>0.5</v>
      </c>
    </row>
    <row r="15" spans="1:33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  <c r="F15" s="138">
        <f t="array" ref="F15:H17">MINVERSE(F9:H11)</f>
        <v>9.2790264636699732E-3</v>
      </c>
      <c r="G15" s="139">
        <v>-3.4751815848439076E-3</v>
      </c>
      <c r="H15" s="140">
        <v>2.6293310428604132E-2</v>
      </c>
      <c r="J15" t="s">
        <v>159</v>
      </c>
      <c r="K15" s="123">
        <f t="array" ref="K15">-0.5*MMULT(K7:M7,MMULT($F$15:$H$17,TRANSPOSE(K7:M7)))</f>
        <v>-24.413927791695304</v>
      </c>
      <c r="L15" s="37">
        <f t="array" ref="L15:N15">MMULT(K7:M7,$F$15:$H$17)</f>
        <v>0.59701086063597841</v>
      </c>
      <c r="M15" s="37">
        <v>1.9616387744113534E-2</v>
      </c>
      <c r="N15" s="90">
        <v>2.5095905390138511</v>
      </c>
      <c r="R15" t="s">
        <v>159</v>
      </c>
      <c r="S15" s="102">
        <v>76.900000000000006</v>
      </c>
      <c r="T15" s="103">
        <v>20.399999999999999</v>
      </c>
      <c r="U15" s="104">
        <v>3</v>
      </c>
      <c r="V15" s="312">
        <f t="shared" si="0"/>
        <v>27.47038686014</v>
      </c>
      <c r="W15" s="313">
        <f t="shared" si="1"/>
        <v>28.038858957113021</v>
      </c>
      <c r="X15" s="313">
        <f t="shared" si="2"/>
        <v>26.318747593969793</v>
      </c>
      <c r="Y15" s="314">
        <f t="shared" si="3"/>
        <v>26.669413350697077</v>
      </c>
      <c r="Z15" s="278" t="str">
        <f t="shared" si="5"/>
        <v>sandy</v>
      </c>
      <c r="AB15" t="str">
        <f t="shared" si="11"/>
        <v>salty</v>
      </c>
      <c r="AC15" s="123">
        <v>5</v>
      </c>
      <c r="AD15" s="37">
        <f t="shared" si="12"/>
        <v>8</v>
      </c>
      <c r="AE15" s="167">
        <f t="shared" si="13"/>
        <v>0.625</v>
      </c>
      <c r="AF15" s="317">
        <f t="shared" si="14"/>
        <v>0.375</v>
      </c>
    </row>
    <row r="16" spans="1:33" ht="14.45" x14ac:dyDescent="0.35">
      <c r="A16" t="s">
        <v>159</v>
      </c>
      <c r="B16" s="102">
        <v>66.900000000000006</v>
      </c>
      <c r="C16" s="103">
        <v>23.9</v>
      </c>
      <c r="D16" s="104">
        <v>1.1000000000000001</v>
      </c>
      <c r="F16" s="123">
        <v>-3.4751815848439072E-3</v>
      </c>
      <c r="G16" s="37">
        <v>1.167151454629288E-2</v>
      </c>
      <c r="H16" s="90">
        <v>-2.1163410296491526E-2</v>
      </c>
      <c r="J16" t="s">
        <v>161</v>
      </c>
      <c r="K16" s="123">
        <f t="array" ref="K16">-0.5*MMULT(K8:M8,MMULT($F$15:$H$17,TRANSPOSE(K8:M8)))</f>
        <v>-19.401574665723302</v>
      </c>
      <c r="L16" s="37">
        <f t="array" ref="L16:N16">MMULT(K8:M8,$F$15:$H$17)</f>
        <v>0.5083331869965737</v>
      </c>
      <c r="M16" s="37">
        <v>8.3621373230170881E-2</v>
      </c>
      <c r="N16" s="90">
        <v>2.103306175626992</v>
      </c>
      <c r="R16" t="s">
        <v>159</v>
      </c>
      <c r="S16" s="102">
        <v>66.900000000000006</v>
      </c>
      <c r="T16" s="103">
        <v>23.9</v>
      </c>
      <c r="U16" s="104">
        <v>1.1000000000000001</v>
      </c>
      <c r="V16" s="312">
        <f t="shared" si="0"/>
        <v>14.233600013741725</v>
      </c>
      <c r="W16" s="313">
        <f t="shared" si="1"/>
        <v>17.369185683731324</v>
      </c>
      <c r="X16" s="313">
        <f t="shared" si="2"/>
        <v>17.531808796618368</v>
      </c>
      <c r="Y16" s="314">
        <f t="shared" si="3"/>
        <v>17.400738746074225</v>
      </c>
      <c r="Z16" s="278" t="str">
        <f t="shared" si="5"/>
        <v>salty</v>
      </c>
      <c r="AB16" t="str">
        <f t="shared" si="11"/>
        <v>clay</v>
      </c>
      <c r="AC16" s="91">
        <v>3</v>
      </c>
      <c r="AD16" s="92">
        <f t="shared" si="12"/>
        <v>8</v>
      </c>
      <c r="AE16" s="169">
        <f t="shared" si="13"/>
        <v>0.375</v>
      </c>
      <c r="AF16" s="318">
        <f t="shared" si="14"/>
        <v>0.625</v>
      </c>
    </row>
    <row r="17" spans="1:32" ht="14.45" x14ac:dyDescent="0.35">
      <c r="A17" t="s">
        <v>159</v>
      </c>
      <c r="B17" s="102">
        <v>55.4</v>
      </c>
      <c r="C17" s="103">
        <v>29.1</v>
      </c>
      <c r="D17" s="104">
        <v>5</v>
      </c>
      <c r="F17" s="91">
        <v>2.6293310428604128E-2</v>
      </c>
      <c r="G17" s="92">
        <v>-2.1163410296491526E-2</v>
      </c>
      <c r="H17" s="93">
        <v>0.33588386420804789</v>
      </c>
      <c r="J17" t="s">
        <v>160</v>
      </c>
      <c r="K17" s="91">
        <f t="array" ref="K17">-0.5*MMULT(K9:M9,MMULT($F$15:$H$17,TRANSPOSE(K9:M9)))</f>
        <v>-21.951920463707996</v>
      </c>
      <c r="L17" s="92">
        <f t="array" ref="L17:N17">MMULT(K9:M9,$F$15:$H$17)</f>
        <v>0.53844355524457854</v>
      </c>
      <c r="M17" s="92">
        <v>9.5204801465303218E-2</v>
      </c>
      <c r="N17" s="93">
        <v>2.2197136091082279</v>
      </c>
      <c r="R17" t="s">
        <v>159</v>
      </c>
      <c r="S17" s="102">
        <v>55.4</v>
      </c>
      <c r="T17" s="103">
        <v>29.1</v>
      </c>
      <c r="U17" s="104">
        <v>5</v>
      </c>
      <c r="V17" s="312">
        <f t="shared" si="0"/>
        <v>19.009596541053288</v>
      </c>
      <c r="W17" s="313">
        <f t="shared" si="1"/>
        <v>20.392969104840972</v>
      </c>
      <c r="X17" s="313">
        <f t="shared" si="2"/>
        <v>20.323702371899923</v>
      </c>
      <c r="Y17" s="314">
        <f t="shared" si="3"/>
        <v>20.360585903903228</v>
      </c>
      <c r="Z17" s="278" t="str">
        <f t="shared" si="5"/>
        <v>sandy</v>
      </c>
      <c r="AB17" t="s">
        <v>216</v>
      </c>
      <c r="AC17">
        <f>SUM(AC13:AC16)</f>
        <v>18</v>
      </c>
      <c r="AD17">
        <f>SUM(AD13:AD16)</f>
        <v>32</v>
      </c>
      <c r="AE17" s="319">
        <f t="shared" si="13"/>
        <v>0.5625</v>
      </c>
      <c r="AF17" s="319">
        <f t="shared" si="14"/>
        <v>0.4375</v>
      </c>
    </row>
    <row r="18" spans="1:32" ht="14.45" x14ac:dyDescent="0.35">
      <c r="A18" t="s">
        <v>159</v>
      </c>
      <c r="B18" s="102">
        <v>50.5</v>
      </c>
      <c r="C18" s="103">
        <v>18</v>
      </c>
      <c r="D18" s="104">
        <v>4.8</v>
      </c>
      <c r="R18" t="s">
        <v>159</v>
      </c>
      <c r="S18" s="102">
        <v>50.5</v>
      </c>
      <c r="T18" s="103">
        <v>18</v>
      </c>
      <c r="U18" s="104">
        <v>4.8</v>
      </c>
      <c r="V18" s="312">
        <f t="shared" si="0"/>
        <v>14.865733024140727</v>
      </c>
      <c r="W18" s="313">
        <f t="shared" si="1"/>
        <v>16.747955875962241</v>
      </c>
      <c r="X18" s="313">
        <f t="shared" si="2"/>
        <v>16.484011277636416</v>
      </c>
      <c r="Y18" s="314">
        <f t="shared" si="3"/>
        <v>16.221496465118278</v>
      </c>
      <c r="Z18" s="278" t="str">
        <f t="shared" si="5"/>
        <v>sandy</v>
      </c>
    </row>
    <row r="19" spans="1:32" ht="14.45" x14ac:dyDescent="0.35">
      <c r="A19" t="s">
        <v>159</v>
      </c>
      <c r="B19" s="102">
        <v>64.099999999999994</v>
      </c>
      <c r="C19" s="103">
        <v>14.5</v>
      </c>
      <c r="D19" s="104">
        <v>3.7</v>
      </c>
      <c r="R19" t="s">
        <v>159</v>
      </c>
      <c r="S19" s="102">
        <v>64.099999999999994</v>
      </c>
      <c r="T19" s="103">
        <v>14.5</v>
      </c>
      <c r="U19" s="104">
        <v>3.7</v>
      </c>
      <c r="V19" s="312">
        <f t="shared" si="0"/>
        <v>20.769497570713167</v>
      </c>
      <c r="W19" s="313">
        <f t="shared" si="1"/>
        <v>22.038096630591916</v>
      </c>
      <c r="X19" s="313">
        <f t="shared" si="2"/>
        <v>20.791031021294526</v>
      </c>
      <c r="Y19" s="314">
        <f t="shared" si="3"/>
        <v>20.769427041296936</v>
      </c>
      <c r="Z19" s="278" t="str">
        <f t="shared" si="5"/>
        <v>sandy</v>
      </c>
    </row>
    <row r="20" spans="1:32" ht="14.45" x14ac:dyDescent="0.35">
      <c r="A20" t="s">
        <v>161</v>
      </c>
      <c r="B20" s="102">
        <v>62.8</v>
      </c>
      <c r="C20" s="103">
        <v>25.9</v>
      </c>
      <c r="D20" s="104">
        <v>2.9</v>
      </c>
      <c r="R20" t="s">
        <v>161</v>
      </c>
      <c r="S20" s="102">
        <v>62.8</v>
      </c>
      <c r="T20" s="103">
        <v>25.9</v>
      </c>
      <c r="U20" s="104">
        <v>2.9</v>
      </c>
      <c r="V20" s="312">
        <f t="shared" si="0"/>
        <v>17.282690892130898</v>
      </c>
      <c r="W20" s="313">
        <f t="shared" si="1"/>
        <v>19.477936900836951</v>
      </c>
      <c r="X20" s="313">
        <f t="shared" si="2"/>
        <v>19.400836592521333</v>
      </c>
      <c r="Y20" s="314">
        <f t="shared" si="3"/>
        <v>19.37901426889686</v>
      </c>
      <c r="Z20" s="278" t="str">
        <f t="shared" si="5"/>
        <v>sandy</v>
      </c>
    </row>
    <row r="21" spans="1:32" ht="14.45" x14ac:dyDescent="0.35">
      <c r="A21" t="s">
        <v>161</v>
      </c>
      <c r="B21" s="102">
        <v>45</v>
      </c>
      <c r="C21" s="103">
        <v>15.9</v>
      </c>
      <c r="D21" s="104">
        <v>1.2</v>
      </c>
      <c r="R21" t="s">
        <v>161</v>
      </c>
      <c r="S21" s="102">
        <v>45</v>
      </c>
      <c r="T21" s="103">
        <v>15.9</v>
      </c>
      <c r="U21" s="104">
        <v>1.2</v>
      </c>
      <c r="V21" s="312">
        <f t="shared" si="0"/>
        <v>-0.82791257893075332</v>
      </c>
      <c r="W21" s="313">
        <f t="shared" si="1"/>
        <v>4.3886757877518612</v>
      </c>
      <c r="X21" s="313">
        <f t="shared" si="2"/>
        <v>5.9406716331147322</v>
      </c>
      <c r="Y21" s="314">
        <f t="shared" si="3"/>
        <v>5.0691578354063438</v>
      </c>
      <c r="Z21" s="278" t="str">
        <f t="shared" si="5"/>
        <v>salty</v>
      </c>
    </row>
    <row r="22" spans="1:32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  <c r="R22" t="s">
        <v>161</v>
      </c>
      <c r="S22" s="102">
        <v>47.8</v>
      </c>
      <c r="T22" s="103">
        <v>36.1</v>
      </c>
      <c r="U22" s="104">
        <v>4.0999999999999996</v>
      </c>
      <c r="V22" s="312">
        <f t="shared" si="0"/>
        <v>10.757188133192013</v>
      </c>
      <c r="W22" s="313">
        <f t="shared" si="1"/>
        <v>13.734369793103859</v>
      </c>
      <c r="X22" s="313">
        <f t="shared" si="2"/>
        <v>15.152744205272864</v>
      </c>
      <c r="Y22" s="314">
        <f t="shared" si="3"/>
        <v>14.937106246104143</v>
      </c>
      <c r="Z22" s="278" t="str">
        <f t="shared" si="5"/>
        <v>salty</v>
      </c>
    </row>
    <row r="23" spans="1:32" ht="14.45" x14ac:dyDescent="0.35">
      <c r="A23" t="s">
        <v>161</v>
      </c>
      <c r="B23" s="102">
        <v>75.599999999999994</v>
      </c>
      <c r="C23" s="103">
        <v>27.7</v>
      </c>
      <c r="D23" s="104">
        <v>6.3</v>
      </c>
      <c r="R23" t="s">
        <v>161</v>
      </c>
      <c r="S23" s="102">
        <v>75.599999999999994</v>
      </c>
      <c r="T23" s="103">
        <v>27.7</v>
      </c>
      <c r="U23" s="104">
        <v>6.3</v>
      </c>
      <c r="V23" s="312">
        <f t="shared" si="0"/>
        <v>37.435442846270526</v>
      </c>
      <c r="W23" s="313">
        <f t="shared" si="1"/>
        <v>35.687593247563989</v>
      </c>
      <c r="X23" s="313">
        <f t="shared" si="2"/>
        <v>33.209260855023565</v>
      </c>
      <c r="Y23" s="314">
        <f t="shared" si="3"/>
        <v>33.98948668963299</v>
      </c>
      <c r="Z23" s="278" t="str">
        <f t="shared" si="5"/>
        <v>loam</v>
      </c>
    </row>
    <row r="24" spans="1:32" ht="14.45" x14ac:dyDescent="0.35">
      <c r="A24" t="s">
        <v>161</v>
      </c>
      <c r="B24" s="102">
        <v>46.6</v>
      </c>
      <c r="C24" s="103">
        <v>46.9</v>
      </c>
      <c r="D24" s="104">
        <v>3.6</v>
      </c>
      <c r="R24" t="s">
        <v>161</v>
      </c>
      <c r="S24" s="102">
        <v>46.6</v>
      </c>
      <c r="T24" s="103">
        <v>46.9</v>
      </c>
      <c r="U24" s="104">
        <v>3.6</v>
      </c>
      <c r="V24" s="312">
        <f t="shared" si="0"/>
        <v>8.3233730797837673</v>
      </c>
      <c r="W24" s="313">
        <f t="shared" si="1"/>
        <v>11.97501847847019</v>
      </c>
      <c r="X24" s="313">
        <f t="shared" si="2"/>
        <v>14.394202123949324</v>
      </c>
      <c r="Y24" s="314">
        <f t="shared" si="3"/>
        <v>14.209329031081815</v>
      </c>
      <c r="Z24" s="278" t="str">
        <f t="shared" si="5"/>
        <v>salty</v>
      </c>
    </row>
    <row r="25" spans="1:32" ht="14.45" x14ac:dyDescent="0.35">
      <c r="A25" t="s">
        <v>161</v>
      </c>
      <c r="B25" s="102">
        <v>50.6</v>
      </c>
      <c r="C25" s="103">
        <v>29.7</v>
      </c>
      <c r="D25" s="104">
        <v>4.7</v>
      </c>
      <c r="R25" t="s">
        <v>161</v>
      </c>
      <c r="S25" s="102">
        <v>50.6</v>
      </c>
      <c r="T25" s="103">
        <v>29.7</v>
      </c>
      <c r="U25" s="104">
        <v>4.7</v>
      </c>
      <c r="V25" s="312">
        <f t="shared" si="0"/>
        <v>14.661698606665137</v>
      </c>
      <c r="W25" s="313">
        <f t="shared" si="1"/>
        <v>16.78620964473059</v>
      </c>
      <c r="X25" s="313">
        <f t="shared" si="2"/>
        <v>17.302884045566376</v>
      </c>
      <c r="Y25" s="314">
        <f t="shared" si="3"/>
        <v>17.167265636875968</v>
      </c>
      <c r="Z25" s="278" t="str">
        <f t="shared" si="5"/>
        <v>salty</v>
      </c>
    </row>
    <row r="26" spans="1:32" ht="14.45" x14ac:dyDescent="0.35">
      <c r="A26" t="s">
        <v>161</v>
      </c>
      <c r="B26" s="102">
        <v>45.7</v>
      </c>
      <c r="C26" s="103">
        <v>27.6</v>
      </c>
      <c r="D26" s="104">
        <v>6.2</v>
      </c>
      <c r="R26" t="s">
        <v>161</v>
      </c>
      <c r="S26" s="102">
        <v>45.7</v>
      </c>
      <c r="T26" s="103">
        <v>27.6</v>
      </c>
      <c r="U26" s="104">
        <v>6.2</v>
      </c>
      <c r="V26" s="312">
        <f t="shared" si="0"/>
        <v>16.14520589157819</v>
      </c>
      <c r="W26" s="313">
        <f t="shared" si="1"/>
        <v>17.584047821872431</v>
      </c>
      <c r="X26" s="313">
        <f t="shared" si="2"/>
        <v>17.791405808940294</v>
      </c>
      <c r="Y26" s="314">
        <f t="shared" si="3"/>
        <v>17.658532546762736</v>
      </c>
      <c r="Z26" s="278" t="str">
        <f t="shared" si="5"/>
        <v>salty</v>
      </c>
    </row>
    <row r="27" spans="1:32" ht="14.45" x14ac:dyDescent="0.35">
      <c r="A27" t="s">
        <v>161</v>
      </c>
      <c r="B27" s="102">
        <v>68.400000000000006</v>
      </c>
      <c r="C27" s="103">
        <v>35.299999999999997</v>
      </c>
      <c r="D27" s="104">
        <v>1.9</v>
      </c>
      <c r="R27" t="s">
        <v>161</v>
      </c>
      <c r="S27" s="102">
        <v>68.400000000000006</v>
      </c>
      <c r="T27" s="103">
        <v>35.299999999999997</v>
      </c>
      <c r="U27" s="104">
        <v>1.9</v>
      </c>
      <c r="V27" s="312">
        <f t="shared" si="0"/>
        <v>17.966665748858912</v>
      </c>
      <c r="W27" s="313">
        <f t="shared" si="1"/>
        <v>20.496001226179253</v>
      </c>
      <c r="X27" s="313">
        <f t="shared" si="2"/>
        <v>20.930237172438762</v>
      </c>
      <c r="Y27" s="314">
        <f t="shared" si="3"/>
        <v>21.069509702932123</v>
      </c>
      <c r="Z27" s="278" t="str">
        <f t="shared" si="5"/>
        <v>clay</v>
      </c>
    </row>
    <row r="28" spans="1:32" ht="14.45" x14ac:dyDescent="0.35">
      <c r="A28" t="s">
        <v>160</v>
      </c>
      <c r="B28" s="102">
        <v>52.5</v>
      </c>
      <c r="C28" s="103">
        <v>39</v>
      </c>
      <c r="D28" s="104">
        <v>3.1</v>
      </c>
      <c r="R28" t="s">
        <v>160</v>
      </c>
      <c r="S28" s="102">
        <v>52.5</v>
      </c>
      <c r="T28" s="103">
        <v>39</v>
      </c>
      <c r="U28" s="104">
        <v>3.1</v>
      </c>
      <c r="V28" s="312">
        <f t="shared" si="0"/>
        <v>10.779989852179835</v>
      </c>
      <c r="W28" s="313">
        <f t="shared" si="1"/>
        <v>14.087617823537038</v>
      </c>
      <c r="X28" s="313">
        <f t="shared" si="2"/>
        <v>15.681105990897269</v>
      </c>
      <c r="Y28" s="314">
        <f t="shared" si="3"/>
        <v>15.524171270894819</v>
      </c>
      <c r="Z28" s="278" t="str">
        <f t="shared" si="5"/>
        <v>salty</v>
      </c>
    </row>
    <row r="29" spans="1:32" ht="14.45" x14ac:dyDescent="0.35">
      <c r="A29" t="s">
        <v>160</v>
      </c>
      <c r="B29" s="102">
        <v>80</v>
      </c>
      <c r="C29" s="103">
        <v>54.2</v>
      </c>
      <c r="D29" s="104">
        <v>4</v>
      </c>
      <c r="R29" t="s">
        <v>160</v>
      </c>
      <c r="S29" s="102">
        <v>80</v>
      </c>
      <c r="T29" s="103">
        <v>54.2</v>
      </c>
      <c r="U29" s="104">
        <v>4</v>
      </c>
      <c r="V29" s="312">
        <f t="shared" si="0"/>
        <v>33.086431262678097</v>
      </c>
      <c r="W29" s="313">
        <f t="shared" si="1"/>
        <v>33.062217069849446</v>
      </c>
      <c r="X29" s="313">
        <f t="shared" si="2"/>
        <v>32.824289064465937</v>
      </c>
      <c r="Y29" s="314">
        <f t="shared" si="3"/>
        <v>33.776224270590738</v>
      </c>
      <c r="Z29" s="278" t="str">
        <f t="shared" si="5"/>
        <v>clay</v>
      </c>
    </row>
    <row r="30" spans="1:32" ht="14.45" x14ac:dyDescent="0.35">
      <c r="A30" t="s">
        <v>160</v>
      </c>
      <c r="B30" s="102">
        <v>54.7</v>
      </c>
      <c r="C30" s="103">
        <v>32.1</v>
      </c>
      <c r="D30" s="104">
        <v>5.7</v>
      </c>
      <c r="R30" t="s">
        <v>160</v>
      </c>
      <c r="S30" s="102">
        <v>54.7</v>
      </c>
      <c r="T30" s="103">
        <v>32.1</v>
      </c>
      <c r="U30" s="104">
        <v>5.7</v>
      </c>
      <c r="V30" s="312">
        <f t="shared" si="0"/>
        <v>20.832735206931137</v>
      </c>
      <c r="W30" s="313">
        <f t="shared" si="1"/>
        <v>21.790624042937822</v>
      </c>
      <c r="X30" s="313">
        <f t="shared" si="2"/>
        <v>21.691047583631732</v>
      </c>
      <c r="Y30" s="314">
        <f t="shared" si="3"/>
        <v>21.823089346003691</v>
      </c>
      <c r="Z30" s="278" t="str">
        <f t="shared" si="5"/>
        <v>clay</v>
      </c>
    </row>
    <row r="31" spans="1:32" ht="14.45" x14ac:dyDescent="0.35">
      <c r="A31" t="s">
        <v>160</v>
      </c>
      <c r="B31" s="102">
        <v>63.5</v>
      </c>
      <c r="C31" s="103">
        <v>25.6</v>
      </c>
      <c r="D31" s="104">
        <v>3</v>
      </c>
      <c r="R31" t="s">
        <v>160</v>
      </c>
      <c r="S31" s="102">
        <v>63.5</v>
      </c>
      <c r="T31" s="103">
        <v>25.6</v>
      </c>
      <c r="U31" s="104">
        <v>3</v>
      </c>
      <c r="V31" s="312">
        <f t="shared" si="0"/>
        <v>18.100585564778203</v>
      </c>
      <c r="W31" s="313">
        <f t="shared" si="1"/>
        <v>20.140918640860292</v>
      </c>
      <c r="X31" s="313">
        <f t="shared" si="2"/>
        <v>19.941914029012583</v>
      </c>
      <c r="Y31" s="314">
        <f t="shared" si="3"/>
        <v>19.949334678039293</v>
      </c>
      <c r="Z31" s="278" t="str">
        <f t="shared" si="5"/>
        <v>sandy</v>
      </c>
    </row>
    <row r="32" spans="1:32" x14ac:dyDescent="0.25">
      <c r="A32" t="s">
        <v>160</v>
      </c>
      <c r="B32" s="102">
        <v>46.3</v>
      </c>
      <c r="C32" s="103">
        <v>31.8</v>
      </c>
      <c r="D32" s="104">
        <v>7.4</v>
      </c>
      <c r="R32" t="s">
        <v>160</v>
      </c>
      <c r="S32" s="102">
        <v>46.3</v>
      </c>
      <c r="T32" s="103">
        <v>31.8</v>
      </c>
      <c r="U32" s="104">
        <v>7.4</v>
      </c>
      <c r="V32" s="312">
        <f t="shared" si="0"/>
        <v>20.528079935905939</v>
      </c>
      <c r="W32" s="313">
        <f t="shared" si="1"/>
        <v>21.036151813595907</v>
      </c>
      <c r="X32" s="313">
        <f t="shared" si="2"/>
        <v>20.971582899457342</v>
      </c>
      <c r="Y32" s="314">
        <f t="shared" si="3"/>
        <v>21.045115176993626</v>
      </c>
      <c r="Z32" s="278" t="str">
        <f t="shared" si="5"/>
        <v>clay</v>
      </c>
    </row>
    <row r="33" spans="1:26" x14ac:dyDescent="0.25">
      <c r="A33" t="s">
        <v>160</v>
      </c>
      <c r="B33" s="102">
        <v>61.5</v>
      </c>
      <c r="C33" s="103">
        <v>16.8</v>
      </c>
      <c r="D33" s="104">
        <v>1.9</v>
      </c>
      <c r="R33" t="s">
        <v>160</v>
      </c>
      <c r="S33" s="102">
        <v>61.5</v>
      </c>
      <c r="T33" s="103">
        <v>16.8</v>
      </c>
      <c r="U33" s="104">
        <v>1.9</v>
      </c>
      <c r="V33" s="312">
        <f t="shared" si="0"/>
        <v>13.043413302169977</v>
      </c>
      <c r="W33" s="313">
        <f t="shared" si="1"/>
        <v>16.0137231145249</v>
      </c>
      <c r="X33" s="313">
        <f t="shared" si="2"/>
        <v>15.875742777404245</v>
      </c>
      <c r="Y33" s="314">
        <f t="shared" si="3"/>
        <v>15.592960344636417</v>
      </c>
      <c r="Z33" s="278" t="str">
        <f t="shared" si="5"/>
        <v>sandy</v>
      </c>
    </row>
    <row r="34" spans="1:26" x14ac:dyDescent="0.25">
      <c r="A34" t="s">
        <v>160</v>
      </c>
      <c r="B34" s="102">
        <v>62.9</v>
      </c>
      <c r="C34" s="103">
        <v>25.8</v>
      </c>
      <c r="D34" s="104">
        <v>2.4</v>
      </c>
      <c r="R34" t="s">
        <v>160</v>
      </c>
      <c r="S34" s="102">
        <v>62.9</v>
      </c>
      <c r="T34" s="103">
        <v>25.8</v>
      </c>
      <c r="U34" s="104">
        <v>2.4</v>
      </c>
      <c r="V34" s="312">
        <f t="shared" si="0"/>
        <v>15.709533428242157</v>
      </c>
      <c r="W34" s="313">
        <f t="shared" si="1"/>
        <v>18.280881078619217</v>
      </c>
      <c r="X34" s="313">
        <f t="shared" si="2"/>
        <v>18.391654686084483</v>
      </c>
      <c r="Y34" s="314">
        <f t="shared" si="3"/>
        <v>18.313481339720667</v>
      </c>
      <c r="Z34" s="278" t="str">
        <f t="shared" si="5"/>
        <v>salty</v>
      </c>
    </row>
    <row r="35" spans="1:26" x14ac:dyDescent="0.25">
      <c r="A35" t="s">
        <v>160</v>
      </c>
      <c r="B35" s="105">
        <v>49.3</v>
      </c>
      <c r="C35" s="106">
        <v>39.4</v>
      </c>
      <c r="D35" s="107">
        <v>5.2</v>
      </c>
      <c r="R35" t="s">
        <v>160</v>
      </c>
      <c r="S35" s="105">
        <v>49.3</v>
      </c>
      <c r="T35" s="106">
        <v>39.4</v>
      </c>
      <c r="U35" s="107">
        <v>5.2</v>
      </c>
      <c r="V35" s="320">
        <f t="shared" si="0"/>
        <v>15.438256144248033</v>
      </c>
      <c r="W35" s="321">
        <f t="shared" si="1"/>
        <v>17.45516975652864</v>
      </c>
      <c r="X35" s="321">
        <f t="shared" si="2"/>
        <v>18.504831310616982</v>
      </c>
      <c r="Y35" s="322">
        <f t="shared" si="3"/>
        <v>18.500632393825569</v>
      </c>
      <c r="Z35" s="282" t="str">
        <f t="shared" si="5"/>
        <v>salty</v>
      </c>
    </row>
    <row r="37" spans="1:26" x14ac:dyDescent="0.25">
      <c r="S37" s="32" t="s">
        <v>144</v>
      </c>
      <c r="T37" s="32" t="s">
        <v>145</v>
      </c>
      <c r="U37" s="32" t="s">
        <v>146</v>
      </c>
      <c r="V37" s="32" t="str">
        <f>V3</f>
        <v>loam</v>
      </c>
      <c r="W37" s="32" t="str">
        <f t="shared" ref="W37:Y37" si="15">W3</f>
        <v>sandy</v>
      </c>
      <c r="X37" s="32" t="str">
        <f t="shared" si="15"/>
        <v>salty</v>
      </c>
      <c r="Y37" s="32" t="str">
        <f t="shared" si="15"/>
        <v>clay</v>
      </c>
      <c r="Z37" t="s">
        <v>794</v>
      </c>
    </row>
    <row r="38" spans="1:26" x14ac:dyDescent="0.25">
      <c r="S38" s="114">
        <v>60</v>
      </c>
      <c r="T38" s="323">
        <v>25</v>
      </c>
      <c r="U38" s="323">
        <v>6</v>
      </c>
      <c r="V38" s="308">
        <f>$K$14+SUMPRODUCT(S38:U38,$L$14:$N$14)+$P$6</f>
        <v>25.50092145738758</v>
      </c>
      <c r="W38" s="309">
        <f>$K$15+SUMPRODUCT(S38:U38,$L$15:$N$15)+$P$7</f>
        <v>25.568382413029454</v>
      </c>
      <c r="X38" s="309">
        <f>$K$16+SUMPRODUCT(S38:U38,$L$16:$N$16)+$P$8</f>
        <v>24.422493577467453</v>
      </c>
      <c r="Y38" s="310">
        <f>$K$17+SUMPRODUCT(S38:U38,$L$17:$N$17)+$P$9</f>
        <v>24.666800181128778</v>
      </c>
      <c r="Z38" s="324" t="str">
        <f>INDEX($V$3:$Y$3,,MATCH(MAX(V38:Y38),V38:Y38,0))</f>
        <v>sandy</v>
      </c>
    </row>
    <row r="39" spans="1:26" x14ac:dyDescent="0.25">
      <c r="V39" s="325">
        <f>EXP(V$38)/SUMPRODUCT(EXP($V$38:$Y$38))</f>
        <v>0.35159590128557366</v>
      </c>
      <c r="W39" s="169">
        <f t="shared" ref="W39:Y39" si="16">EXP(W$38)/SUMPRODUCT(EXP($V$38:$Y$38))</f>
        <v>0.3761332481779544</v>
      </c>
      <c r="X39" s="169">
        <f t="shared" si="16"/>
        <v>0.1195882543001321</v>
      </c>
      <c r="Y39" s="318">
        <f t="shared" si="16"/>
        <v>0.15268259623633967</v>
      </c>
      <c r="Z39" s="326"/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6"/>
  <dimension ref="A1:AR52"/>
  <sheetViews>
    <sheetView workbookViewId="0">
      <selection activeCell="AE4" sqref="AE4"/>
    </sheetView>
  </sheetViews>
  <sheetFormatPr defaultRowHeight="15" x14ac:dyDescent="0.25"/>
  <cols>
    <col min="2" max="5" width="5.85546875" style="32" customWidth="1"/>
    <col min="6" max="6" width="2.85546875" customWidth="1"/>
    <col min="11" max="11" width="3.7109375" customWidth="1"/>
    <col min="16" max="16" width="3.85546875" customWidth="1"/>
    <col min="18" max="18" width="9.140625" customWidth="1"/>
    <col min="26" max="26" width="8" customWidth="1"/>
    <col min="27" max="30" width="5.85546875" style="32" customWidth="1"/>
    <col min="31" max="35" width="9.140625" customWidth="1"/>
    <col min="36" max="36" width="8.42578125" customWidth="1"/>
    <col min="37" max="37" width="3.85546875" customWidth="1"/>
    <col min="38" max="38" width="8.140625" customWidth="1"/>
    <col min="39" max="43" width="9" customWidth="1"/>
    <col min="44" max="44" width="6" customWidth="1"/>
  </cols>
  <sheetData>
    <row r="1" spans="1:44" ht="14.45" x14ac:dyDescent="0.35">
      <c r="A1" s="42" t="s">
        <v>806</v>
      </c>
      <c r="Z1" t="s">
        <v>791</v>
      </c>
      <c r="AL1" t="s">
        <v>792</v>
      </c>
    </row>
    <row r="3" spans="1:44" ht="14.45" x14ac:dyDescent="0.35">
      <c r="B3" s="32" t="s">
        <v>462</v>
      </c>
      <c r="C3" s="32" t="s">
        <v>389</v>
      </c>
      <c r="D3" s="32" t="s">
        <v>469</v>
      </c>
      <c r="E3" s="32" t="s">
        <v>470</v>
      </c>
      <c r="G3" t="s">
        <v>233</v>
      </c>
      <c r="L3" t="s">
        <v>807</v>
      </c>
      <c r="Q3" t="s">
        <v>125</v>
      </c>
      <c r="AA3" s="32" t="s">
        <v>462</v>
      </c>
      <c r="AB3" s="32" t="s">
        <v>389</v>
      </c>
      <c r="AC3" s="32" t="s">
        <v>469</v>
      </c>
      <c r="AD3" s="32" t="s">
        <v>470</v>
      </c>
      <c r="AE3" s="32" t="str">
        <f t="array" ref="AE3:AI3">TRANSPOSE(Q6:Q10)</f>
        <v>Iron</v>
      </c>
      <c r="AF3" s="32" t="str">
        <v>Copper</v>
      </c>
      <c r="AG3" s="32" t="str">
        <v>Zinc</v>
      </c>
      <c r="AH3" s="32" t="str">
        <v>Nickel</v>
      </c>
      <c r="AI3" s="32" t="str">
        <v>Tin</v>
      </c>
      <c r="AJ3" s="32" t="s">
        <v>794</v>
      </c>
      <c r="AM3" s="32" t="str">
        <f>AE3</f>
        <v>Iron</v>
      </c>
      <c r="AN3" s="32" t="str">
        <f t="shared" ref="AN3:AQ3" si="0">AF3</f>
        <v>Copper</v>
      </c>
      <c r="AO3" s="32" t="str">
        <f t="shared" si="0"/>
        <v>Zinc</v>
      </c>
      <c r="AP3" s="32" t="str">
        <f t="shared" si="0"/>
        <v>Nickel</v>
      </c>
      <c r="AQ3" s="32" t="str">
        <f t="shared" si="0"/>
        <v>Tin</v>
      </c>
    </row>
    <row r="4" spans="1:44" ht="14.45" x14ac:dyDescent="0.35">
      <c r="A4" t="s">
        <v>808</v>
      </c>
      <c r="B4" s="274">
        <v>31</v>
      </c>
      <c r="C4" s="145">
        <v>23</v>
      </c>
      <c r="D4" s="145">
        <v>38</v>
      </c>
      <c r="E4" s="275">
        <v>29</v>
      </c>
      <c r="Z4" t="str">
        <f>A4</f>
        <v>Iron</v>
      </c>
      <c r="AA4" s="274">
        <f t="shared" ref="AA4:AD19" si="1">B4</f>
        <v>31</v>
      </c>
      <c r="AB4" s="145">
        <f t="shared" si="1"/>
        <v>23</v>
      </c>
      <c r="AC4" s="145">
        <f t="shared" si="1"/>
        <v>38</v>
      </c>
      <c r="AD4" s="275">
        <f t="shared" si="1"/>
        <v>29</v>
      </c>
      <c r="AE4" s="308">
        <f t="array" ref="AE4">$W$15-$S$15/2-MMULT(AA4:AD4-$R$6:$U$6,MMULT($L$6:$O$9,TRANSPOSE(AA4:AD4-$R$6:$U$6)))/2</f>
        <v>-9.6728278001884682</v>
      </c>
      <c r="AF4" s="309">
        <f t="array" ref="AF4">$W$16-$S$16/2-MMULT(AA4:AD4-$R$7:$U$7,MMULT($L$12:$O$15,TRANSPOSE(AA4:AD4-$R$7:$U$7)))/2</f>
        <v>-20.058974589518638</v>
      </c>
      <c r="AG4" s="309">
        <f t="array" ref="AG4">$W$17-$S$17/2-MMULT(AA4:AD4-$R$8:$U$8,MMULT($L$18:$O$21,TRANSPOSE(AA4:AD4-$R$8:$U$8)))/2</f>
        <v>-78.890831244096191</v>
      </c>
      <c r="AH4" s="309">
        <f t="array" ref="AH4">$W$18-$S$18/2-MMULT(AA4:AD4-$R$9:$U$9,MMULT($L$24:$O$27,TRANSPOSE(AA4:AD4-$R$9:$U$9)))/2</f>
        <v>-12.132177188355596</v>
      </c>
      <c r="AI4" s="309">
        <f t="array" ref="AI4">$W$19-$S$19/2-MMULT(AA4:AD4-$R$10:$U$10,MMULT($L$30:$O$33,TRANSPOSE(AA4:AD4-$R$10:$U$10)))/2</f>
        <v>-14.621547521878082</v>
      </c>
      <c r="AJ4" s="276" t="str">
        <f>INDEX($AE$3:$AI$3,,MATCH(MAX(AE4:AI4),AE4:AI4,0))</f>
        <v>Iron</v>
      </c>
      <c r="AL4" t="str">
        <f>Q6</f>
        <v>Iron</v>
      </c>
      <c r="AM4" s="138">
        <f>COUNTIFS($Z$4:$Z$39,$AL4,$AJ$4:$AJ$39,AM$3)</f>
        <v>7</v>
      </c>
      <c r="AN4" s="139">
        <f t="shared" ref="AN4:AQ8" si="2">COUNTIFS($Z$4:$Z$39,$AL4,$AJ$4:$AJ$39,AN$3)</f>
        <v>0</v>
      </c>
      <c r="AO4" s="139">
        <f t="shared" si="2"/>
        <v>0</v>
      </c>
      <c r="AP4" s="139">
        <f t="shared" si="2"/>
        <v>0</v>
      </c>
      <c r="AQ4" s="140">
        <f t="shared" si="2"/>
        <v>0</v>
      </c>
      <c r="AR4">
        <f>SUM(AM4:AQ4)</f>
        <v>7</v>
      </c>
    </row>
    <row r="5" spans="1:44" ht="14.45" x14ac:dyDescent="0.35">
      <c r="A5" t="s">
        <v>808</v>
      </c>
      <c r="B5" s="277">
        <v>29</v>
      </c>
      <c r="C5" s="73">
        <v>19</v>
      </c>
      <c r="D5" s="73">
        <v>37</v>
      </c>
      <c r="E5" s="247">
        <v>25</v>
      </c>
      <c r="G5" t="str">
        <f>A4</f>
        <v>Iron</v>
      </c>
      <c r="R5" s="32" t="s">
        <v>462</v>
      </c>
      <c r="S5" s="32" t="s">
        <v>389</v>
      </c>
      <c r="T5" s="32" t="s">
        <v>469</v>
      </c>
      <c r="U5" s="32" t="s">
        <v>470</v>
      </c>
      <c r="Z5" t="str">
        <f t="shared" ref="Z5:AD39" si="3">A5</f>
        <v>Iron</v>
      </c>
      <c r="AA5" s="277">
        <f t="shared" si="1"/>
        <v>29</v>
      </c>
      <c r="AB5" s="73">
        <f t="shared" si="1"/>
        <v>19</v>
      </c>
      <c r="AC5" s="73">
        <f t="shared" si="1"/>
        <v>37</v>
      </c>
      <c r="AD5" s="247">
        <f t="shared" si="1"/>
        <v>25</v>
      </c>
      <c r="AE5" s="312">
        <f t="array" ref="AE5">$W$15-$S$15/2-MMULT(AA5:AD5-$R$6:$U$6,MMULT($L$6:$O$9,TRANSPOSE(AA5:AD5-$R$6:$U$6)))/2</f>
        <v>-7.5507692242441129</v>
      </c>
      <c r="AF5" s="313">
        <f t="array" ref="AF5">$W$16-$S$16/2-MMULT(AA5:AD5-$R$7:$U$7,MMULT($L$12:$O$15,TRANSPOSE(AA5:AD5-$R$7:$U$7)))/2</f>
        <v>-26.827073567755932</v>
      </c>
      <c r="AG5" s="313">
        <f t="array" ref="AG5">$W$17-$S$17/2-MMULT(AA5:AD5-$R$8:$U$8,MMULT($L$18:$O$21,TRANSPOSE(AA5:AD5-$R$8:$U$8)))/2</f>
        <v>-79.115824953903356</v>
      </c>
      <c r="AH5" s="313">
        <f t="array" ref="AH5">$W$18-$S$18/2-MMULT(AA5:AD5-$R$9:$U$9,MMULT($L$24:$O$27,TRANSPOSE(AA5:AD5-$R$9:$U$9)))/2</f>
        <v>-13.587799625863521</v>
      </c>
      <c r="AI5" s="313">
        <f t="array" ref="AI5">$W$19-$S$19/2-MMULT(AA5:AD5-$R$10:$U$10,MMULT($L$30:$O$33,TRANSPOSE(AA5:AD5-$R$10:$U$10)))/2</f>
        <v>-14.366473826990115</v>
      </c>
      <c r="AJ5" s="278" t="str">
        <f t="shared" ref="AJ5:AJ39" si="4">INDEX($AE$3:$AI$3,,MATCH(MAX(AE5:AI5),AE5:AI5,0))</f>
        <v>Iron</v>
      </c>
      <c r="AL5" t="str">
        <f t="shared" ref="AL5:AL8" si="5">Q7</f>
        <v>Copper</v>
      </c>
      <c r="AM5" s="123">
        <f t="shared" ref="AM5:AM8" si="6">COUNTIFS($Z$4:$Z$39,$AL5,$AJ$4:$AJ$39,AM$3)</f>
        <v>0</v>
      </c>
      <c r="AN5" s="37">
        <f t="shared" si="2"/>
        <v>6</v>
      </c>
      <c r="AO5" s="37">
        <f t="shared" si="2"/>
        <v>0</v>
      </c>
      <c r="AP5" s="37">
        <f t="shared" si="2"/>
        <v>0</v>
      </c>
      <c r="AQ5" s="90">
        <f t="shared" si="2"/>
        <v>0</v>
      </c>
      <c r="AR5">
        <f t="shared" ref="AR5:AR8" si="7">SUM(AM5:AQ5)</f>
        <v>6</v>
      </c>
    </row>
    <row r="6" spans="1:44" ht="14.45" x14ac:dyDescent="0.35">
      <c r="A6" t="s">
        <v>808</v>
      </c>
      <c r="B6" s="277">
        <v>32</v>
      </c>
      <c r="C6" s="73">
        <v>22</v>
      </c>
      <c r="D6" s="73">
        <v>34</v>
      </c>
      <c r="E6" s="247">
        <v>23</v>
      </c>
      <c r="G6" s="138">
        <f t="array" ref="G6:J9">[1]!ExtractCov($A$4:$E$39,G5)</f>
        <v>13.571428571428573</v>
      </c>
      <c r="H6" s="139">
        <v>6.833333333333333</v>
      </c>
      <c r="I6" s="139">
        <v>9.9761904761904763</v>
      </c>
      <c r="J6" s="140">
        <v>-26.095238095238091</v>
      </c>
      <c r="L6" s="138">
        <f t="array" ref="L6:O9">MINVERSE(G6:J9)</f>
        <v>0.19408110217257096</v>
      </c>
      <c r="M6" s="139">
        <v>1.440931690758112E-2</v>
      </c>
      <c r="N6" s="139">
        <v>3.6467968348726683E-2</v>
      </c>
      <c r="O6" s="140">
        <v>8.0330092088465047E-2</v>
      </c>
      <c r="Q6" t="str">
        <f>G5</f>
        <v>Iron</v>
      </c>
      <c r="R6" s="138">
        <f>AVERAGEIF($A$4:$A$39,$Q6,B$4:B$39)</f>
        <v>29.714285714285715</v>
      </c>
      <c r="S6" s="139">
        <f t="shared" ref="S6:U10" si="8">AVERAGEIF($A$4:$A$39,$Q6,C$4:C$39)</f>
        <v>19</v>
      </c>
      <c r="T6" s="139">
        <f t="shared" si="8"/>
        <v>34.428571428571431</v>
      </c>
      <c r="U6" s="140">
        <f t="shared" si="8"/>
        <v>26.714285714285715</v>
      </c>
      <c r="Z6" t="str">
        <f t="shared" si="3"/>
        <v>Iron</v>
      </c>
      <c r="AA6" s="277">
        <f t="shared" si="1"/>
        <v>32</v>
      </c>
      <c r="AB6" s="73">
        <f t="shared" si="1"/>
        <v>22</v>
      </c>
      <c r="AC6" s="73">
        <f t="shared" si="1"/>
        <v>34</v>
      </c>
      <c r="AD6" s="247">
        <f t="shared" si="1"/>
        <v>23</v>
      </c>
      <c r="AE6" s="312">
        <f t="array" ref="AE6">$W$15-$S$15/2-MMULT(AA6:AD6-$R$6:$U$6,MMULT($L$6:$O$9,TRANSPOSE(AA6:AD6-$R$6:$U$6)))/2</f>
        <v>-7.8191242702382189</v>
      </c>
      <c r="AF6" s="313">
        <f t="array" ref="AF6">$W$16-$S$16/2-MMULT(AA6:AD6-$R$7:$U$7,MMULT($L$12:$O$15,TRANSPOSE(AA6:AD6-$R$7:$U$7)))/2</f>
        <v>-18.594271938101006</v>
      </c>
      <c r="AG6" s="313">
        <f t="array" ref="AG6">$W$17-$S$17/2-MMULT(AA6:AD6-$R$8:$U$8,MMULT($L$18:$O$21,TRANSPOSE(AA6:AD6-$R$8:$U$8)))/2</f>
        <v>-49.946589720963964</v>
      </c>
      <c r="AH6" s="313">
        <f t="array" ref="AH6">$W$18-$S$18/2-MMULT(AA6:AD6-$R$9:$U$9,MMULT($L$24:$O$27,TRANSPOSE(AA6:AD6-$R$9:$U$9)))/2</f>
        <v>-13.144726501829105</v>
      </c>
      <c r="AI6" s="313">
        <f t="array" ref="AI6">$W$19-$S$19/2-MMULT(AA6:AD6-$R$10:$U$10,MMULT($L$30:$O$33,TRANSPOSE(AA6:AD6-$R$10:$U$10)))/2</f>
        <v>-13.904930451472485</v>
      </c>
      <c r="AJ6" s="278" t="str">
        <f t="shared" si="4"/>
        <v>Iron</v>
      </c>
      <c r="AL6" t="str">
        <f t="shared" si="5"/>
        <v>Zinc</v>
      </c>
      <c r="AM6" s="123">
        <f t="shared" si="6"/>
        <v>0</v>
      </c>
      <c r="AN6" s="37">
        <f t="shared" si="2"/>
        <v>0</v>
      </c>
      <c r="AO6" s="37">
        <f t="shared" si="2"/>
        <v>6</v>
      </c>
      <c r="AP6" s="37">
        <f t="shared" si="2"/>
        <v>0</v>
      </c>
      <c r="AQ6" s="90">
        <f t="shared" si="2"/>
        <v>0</v>
      </c>
      <c r="AR6">
        <f t="shared" si="7"/>
        <v>6</v>
      </c>
    </row>
    <row r="7" spans="1:44" ht="14.45" x14ac:dyDescent="0.35">
      <c r="A7" t="s">
        <v>808</v>
      </c>
      <c r="B7" s="277">
        <v>35</v>
      </c>
      <c r="C7" s="73">
        <v>17</v>
      </c>
      <c r="D7" s="73">
        <v>32</v>
      </c>
      <c r="E7" s="247">
        <v>21</v>
      </c>
      <c r="G7" s="123">
        <v>6.833333333333333</v>
      </c>
      <c r="H7" s="37">
        <v>25</v>
      </c>
      <c r="I7" s="37">
        <v>16.166666666666664</v>
      </c>
      <c r="J7" s="90">
        <v>-28.333333333333332</v>
      </c>
      <c r="L7" s="123">
        <v>1.4409316907581101E-2</v>
      </c>
      <c r="M7" s="37">
        <v>6.7035042473370526E-2</v>
      </c>
      <c r="N7" s="37">
        <v>-1.2118907603922868E-2</v>
      </c>
      <c r="O7" s="90">
        <v>2.0414731333152275E-2</v>
      </c>
      <c r="Q7" t="str">
        <f>G11</f>
        <v>Copper</v>
      </c>
      <c r="R7" s="123">
        <f t="shared" ref="R7:R10" si="9">AVERAGEIF($A$4:$A$39,$Q7,B$4:B$39)</f>
        <v>41</v>
      </c>
      <c r="S7" s="37">
        <f t="shared" si="8"/>
        <v>23</v>
      </c>
      <c r="T7" s="37">
        <f t="shared" si="8"/>
        <v>30.5</v>
      </c>
      <c r="U7" s="90">
        <f t="shared" si="8"/>
        <v>24.666666666666668</v>
      </c>
      <c r="Z7" t="str">
        <f t="shared" si="3"/>
        <v>Iron</v>
      </c>
      <c r="AA7" s="277">
        <f t="shared" si="1"/>
        <v>35</v>
      </c>
      <c r="AB7" s="73">
        <f t="shared" si="1"/>
        <v>17</v>
      </c>
      <c r="AC7" s="73">
        <f t="shared" si="1"/>
        <v>32</v>
      </c>
      <c r="AD7" s="247">
        <f t="shared" si="1"/>
        <v>21</v>
      </c>
      <c r="AE7" s="312">
        <f t="array" ref="AE7">$W$15-$S$15/2-MMULT(AA7:AD7-$R$6:$U$6,MMULT($L$6:$O$9,TRANSPOSE(AA7:AD7-$R$6:$U$6)))/2</f>
        <v>-9.3486843743293804</v>
      </c>
      <c r="AF7" s="313">
        <f t="array" ref="AF7">$W$16-$S$16/2-MMULT(AA7:AD7-$R$7:$U$7,MMULT($L$12:$O$15,TRANSPOSE(AA7:AD7-$R$7:$U$7)))/2</f>
        <v>-15.298339320733337</v>
      </c>
      <c r="AG7" s="313">
        <f t="array" ref="AG7">$W$17-$S$17/2-MMULT(AA7:AD7-$R$8:$U$8,MMULT($L$18:$O$21,TRANSPOSE(AA7:AD7-$R$8:$U$8)))/2</f>
        <v>-36.353840413804804</v>
      </c>
      <c r="AH7" s="313">
        <f t="array" ref="AH7">$W$18-$S$18/2-MMULT(AA7:AD7-$R$9:$U$9,MMULT($L$24:$O$27,TRANSPOSE(AA7:AD7-$R$9:$U$9)))/2</f>
        <v>-14.882430789930176</v>
      </c>
      <c r="AI7" s="313">
        <f t="array" ref="AI7">$W$19-$S$19/2-MMULT(AA7:AD7-$R$10:$U$10,MMULT($L$30:$O$33,TRANSPOSE(AA7:AD7-$R$10:$U$10)))/2</f>
        <v>-13.814419708472689</v>
      </c>
      <c r="AJ7" s="278" t="str">
        <f t="shared" si="4"/>
        <v>Iron</v>
      </c>
      <c r="AL7" t="str">
        <f t="shared" si="5"/>
        <v>Nickel</v>
      </c>
      <c r="AM7" s="123">
        <f t="shared" si="6"/>
        <v>0</v>
      </c>
      <c r="AN7" s="37">
        <f t="shared" si="2"/>
        <v>2</v>
      </c>
      <c r="AO7" s="37">
        <f t="shared" si="2"/>
        <v>0</v>
      </c>
      <c r="AP7" s="37">
        <f t="shared" si="2"/>
        <v>5</v>
      </c>
      <c r="AQ7" s="90">
        <f t="shared" si="2"/>
        <v>0</v>
      </c>
      <c r="AR7">
        <f t="shared" si="7"/>
        <v>7</v>
      </c>
    </row>
    <row r="8" spans="1:44" ht="14.45" x14ac:dyDescent="0.35">
      <c r="A8" t="s">
        <v>808</v>
      </c>
      <c r="B8" s="277">
        <v>29</v>
      </c>
      <c r="C8" s="73">
        <v>13</v>
      </c>
      <c r="D8" s="73">
        <v>38</v>
      </c>
      <c r="E8" s="247">
        <v>26</v>
      </c>
      <c r="G8" s="123">
        <v>9.9761904761904763</v>
      </c>
      <c r="H8" s="37">
        <v>16.166666666666664</v>
      </c>
      <c r="I8" s="37">
        <v>31.61904761904762</v>
      </c>
      <c r="J8" s="90">
        <v>-41.357142857142854</v>
      </c>
      <c r="L8" s="123">
        <v>3.6467968348726662E-2</v>
      </c>
      <c r="M8" s="37">
        <v>-1.2118907603922868E-2</v>
      </c>
      <c r="N8" s="37">
        <v>9.395383431283158E-2</v>
      </c>
      <c r="O8" s="90">
        <v>5.1711014647376617E-2</v>
      </c>
      <c r="Q8" t="str">
        <f>G17</f>
        <v>Zinc</v>
      </c>
      <c r="R8" s="123">
        <f t="shared" si="9"/>
        <v>66.333333333333329</v>
      </c>
      <c r="S8" s="37">
        <f t="shared" si="8"/>
        <v>26.5</v>
      </c>
      <c r="T8" s="37">
        <f t="shared" si="8"/>
        <v>42</v>
      </c>
      <c r="U8" s="90">
        <f t="shared" si="8"/>
        <v>29.5</v>
      </c>
      <c r="Z8" t="str">
        <f t="shared" si="3"/>
        <v>Iron</v>
      </c>
      <c r="AA8" s="277">
        <f t="shared" si="1"/>
        <v>29</v>
      </c>
      <c r="AB8" s="73">
        <f t="shared" si="1"/>
        <v>13</v>
      </c>
      <c r="AC8" s="73">
        <f t="shared" si="1"/>
        <v>38</v>
      </c>
      <c r="AD8" s="247">
        <f t="shared" si="1"/>
        <v>26</v>
      </c>
      <c r="AE8" s="312">
        <f t="array" ref="AE8">$W$15-$S$15/2-MMULT(AA8:AD8-$R$6:$U$6,MMULT($L$6:$O$9,TRANSPOSE(AA8:AD8-$R$6:$U$6)))/2</f>
        <v>-9.3862903200428498</v>
      </c>
      <c r="AF8" s="313">
        <f t="array" ref="AF8">$W$16-$S$16/2-MMULT(AA8:AD8-$R$7:$U$7,MMULT($L$12:$O$15,TRANSPOSE(AA8:AD8-$R$7:$U$7)))/2</f>
        <v>-28.953467494531154</v>
      </c>
      <c r="AG8" s="313">
        <f t="array" ref="AG8">$W$17-$S$17/2-MMULT(AA8:AD8-$R$8:$U$8,MMULT($L$18:$O$21,TRANSPOSE(AA8:AD8-$R$8:$U$8)))/2</f>
        <v>-110.17102577552149</v>
      </c>
      <c r="AH8" s="313">
        <f t="array" ref="AH8">$W$18-$S$18/2-MMULT(AA8:AD8-$R$9:$U$9,MMULT($L$24:$O$27,TRANSPOSE(AA8:AD8-$R$9:$U$9)))/2</f>
        <v>-15.182568167887135</v>
      </c>
      <c r="AI8" s="313">
        <f t="array" ref="AI8">$W$19-$S$19/2-MMULT(AA8:AD8-$R$10:$U$10,MMULT($L$30:$O$33,TRANSPOSE(AA8:AD8-$R$10:$U$10)))/2</f>
        <v>-14.734119892537235</v>
      </c>
      <c r="AJ8" s="278" t="str">
        <f t="shared" si="4"/>
        <v>Iron</v>
      </c>
      <c r="AL8" t="str">
        <f t="shared" si="5"/>
        <v>Tin</v>
      </c>
      <c r="AM8" s="91">
        <f t="shared" si="6"/>
        <v>0</v>
      </c>
      <c r="AN8" s="92">
        <f t="shared" si="2"/>
        <v>0</v>
      </c>
      <c r="AO8" s="92">
        <f t="shared" si="2"/>
        <v>0</v>
      </c>
      <c r="AP8" s="92">
        <f t="shared" si="2"/>
        <v>2</v>
      </c>
      <c r="AQ8" s="93">
        <f t="shared" si="2"/>
        <v>8</v>
      </c>
      <c r="AR8">
        <f t="shared" si="7"/>
        <v>10</v>
      </c>
    </row>
    <row r="9" spans="1:44" ht="14.45" x14ac:dyDescent="0.35">
      <c r="A9" t="s">
        <v>808</v>
      </c>
      <c r="B9" s="277">
        <v>29</v>
      </c>
      <c r="C9" s="73">
        <v>26</v>
      </c>
      <c r="D9" s="73">
        <v>39</v>
      </c>
      <c r="E9" s="247">
        <v>17</v>
      </c>
      <c r="G9" s="91">
        <v>-26.095238095238091</v>
      </c>
      <c r="H9" s="92">
        <v>-28.333333333333332</v>
      </c>
      <c r="I9" s="92">
        <v>-41.357142857142854</v>
      </c>
      <c r="J9" s="93">
        <v>86.904761904761898</v>
      </c>
      <c r="L9" s="91">
        <v>8.033009208846506E-2</v>
      </c>
      <c r="M9" s="92">
        <v>2.0414731333152275E-2</v>
      </c>
      <c r="N9" s="92">
        <v>5.1711014647376624E-2</v>
      </c>
      <c r="O9" s="93">
        <v>6.6892422919973174E-2</v>
      </c>
      <c r="Q9" t="str">
        <f>G23</f>
        <v>Nickel</v>
      </c>
      <c r="R9" s="123">
        <f t="shared" si="9"/>
        <v>51.714285714285715</v>
      </c>
      <c r="S9" s="37">
        <f t="shared" si="8"/>
        <v>28</v>
      </c>
      <c r="T9" s="37">
        <f t="shared" si="8"/>
        <v>28.571428571428573</v>
      </c>
      <c r="U9" s="90">
        <f t="shared" si="8"/>
        <v>31.142857142857142</v>
      </c>
      <c r="Z9" t="str">
        <f t="shared" si="3"/>
        <v>Iron</v>
      </c>
      <c r="AA9" s="277">
        <f t="shared" si="1"/>
        <v>29</v>
      </c>
      <c r="AB9" s="73">
        <f t="shared" si="1"/>
        <v>26</v>
      </c>
      <c r="AC9" s="73">
        <f t="shared" si="1"/>
        <v>39</v>
      </c>
      <c r="AD9" s="247">
        <f t="shared" si="1"/>
        <v>17</v>
      </c>
      <c r="AE9" s="312">
        <f t="array" ref="AE9">$W$15-$S$15/2-MMULT(AA9:AD9-$R$6:$U$6,MMULT($L$6:$O$9,TRANSPOSE(AA9:AD9-$R$6:$U$6)))/2</f>
        <v>-9.4126039704408839</v>
      </c>
      <c r="AF9" s="313">
        <f t="array" ref="AF9">$W$16-$S$16/2-MMULT(AA9:AD9-$R$7:$U$7,MMULT($L$12:$O$15,TRANSPOSE(AA9:AD9-$R$7:$U$7)))/2</f>
        <v>-53.780790097135281</v>
      </c>
      <c r="AG9" s="313">
        <f t="array" ref="AG9">$W$17-$S$17/2-MMULT(AA9:AD9-$R$8:$U$8,MMULT($L$18:$O$21,TRANSPOSE(AA9:AD9-$R$8:$U$8)))/2</f>
        <v>-69.13068573398418</v>
      </c>
      <c r="AH9" s="313">
        <f t="array" ref="AH9">$W$18-$S$18/2-MMULT(AA9:AD9-$R$9:$U$9,MMULT($L$24:$O$27,TRANSPOSE(AA9:AD9-$R$9:$U$9)))/2</f>
        <v>-13.317676311523336</v>
      </c>
      <c r="AI9" s="313">
        <f t="array" ref="AI9">$W$19-$S$19/2-MMULT(AA9:AD9-$R$10:$U$10,MMULT($L$30:$O$33,TRANSPOSE(AA9:AD9-$R$10:$U$10)))/2</f>
        <v>-14.235661662948965</v>
      </c>
      <c r="AJ9" s="278" t="str">
        <f t="shared" si="4"/>
        <v>Iron</v>
      </c>
      <c r="AM9">
        <f t="shared" ref="AM9:AR9" si="10">SUM(AM4:AM8)</f>
        <v>7</v>
      </c>
      <c r="AN9">
        <f t="shared" si="10"/>
        <v>8</v>
      </c>
      <c r="AO9">
        <f t="shared" si="10"/>
        <v>6</v>
      </c>
      <c r="AP9">
        <f t="shared" si="10"/>
        <v>7</v>
      </c>
      <c r="AQ9">
        <f t="shared" si="10"/>
        <v>8</v>
      </c>
      <c r="AR9">
        <f t="shared" si="10"/>
        <v>36</v>
      </c>
    </row>
    <row r="10" spans="1:44" ht="14.45" x14ac:dyDescent="0.35">
      <c r="A10" t="s">
        <v>808</v>
      </c>
      <c r="B10" s="277">
        <v>23</v>
      </c>
      <c r="C10" s="73">
        <v>13</v>
      </c>
      <c r="D10" s="73">
        <v>23</v>
      </c>
      <c r="E10" s="247">
        <v>46</v>
      </c>
      <c r="Q10" t="str">
        <f>G29</f>
        <v>Tin</v>
      </c>
      <c r="R10" s="91">
        <f t="shared" si="9"/>
        <v>84.1</v>
      </c>
      <c r="S10" s="92">
        <f t="shared" si="8"/>
        <v>25.6</v>
      </c>
      <c r="T10" s="92">
        <f t="shared" si="8"/>
        <v>44.1</v>
      </c>
      <c r="U10" s="93">
        <f t="shared" si="8"/>
        <v>26.8</v>
      </c>
      <c r="Z10" t="str">
        <f t="shared" si="3"/>
        <v>Iron</v>
      </c>
      <c r="AA10" s="277">
        <f t="shared" si="1"/>
        <v>23</v>
      </c>
      <c r="AB10" s="73">
        <f t="shared" si="1"/>
        <v>13</v>
      </c>
      <c r="AC10" s="73">
        <f t="shared" si="1"/>
        <v>23</v>
      </c>
      <c r="AD10" s="247">
        <f t="shared" si="1"/>
        <v>46</v>
      </c>
      <c r="AE10" s="312">
        <f t="array" ref="AE10">$W$15-$S$15/2-MMULT(AA10:AD10-$R$6:$U$6,MMULT($L$6:$O$9,TRANSPOSE(AA10:AD10-$R$6:$U$6)))/2</f>
        <v>-9.8320990964872941</v>
      </c>
      <c r="AF10" s="313">
        <f t="array" ref="AF10">$W$16-$S$16/2-MMULT(AA10:AD10-$R$7:$U$7,MMULT($L$12:$O$15,TRANSPOSE(AA10:AD10-$R$7:$U$7)))/2</f>
        <v>-27.744355602445673</v>
      </c>
      <c r="AG10" s="313">
        <f t="array" ref="AG10">$W$17-$S$17/2-MMULT(AA10:AD10-$R$8:$U$8,MMULT($L$18:$O$21,TRANSPOSE(AA10:AD10-$R$8:$U$8)))/2</f>
        <v>-139.88583281282487</v>
      </c>
      <c r="AH10" s="313">
        <f t="array" ref="AH10">$W$18-$S$18/2-MMULT(AA10:AD10-$R$9:$U$9,MMULT($L$24:$O$27,TRANSPOSE(AA10:AD10-$R$9:$U$9)))/2</f>
        <v>-21.231124911529797</v>
      </c>
      <c r="AI10" s="313">
        <f t="array" ref="AI10">$W$19-$S$19/2-MMULT(AA10:AD10-$R$10:$U$10,MMULT($L$30:$O$33,TRANSPOSE(AA10:AD10-$R$10:$U$10)))/2</f>
        <v>-18.598259643655464</v>
      </c>
      <c r="AJ10" s="278" t="str">
        <f t="shared" si="4"/>
        <v>Iron</v>
      </c>
    </row>
    <row r="11" spans="1:44" ht="14.45" x14ac:dyDescent="0.35">
      <c r="A11" t="s">
        <v>809</v>
      </c>
      <c r="B11" s="277">
        <v>39</v>
      </c>
      <c r="C11" s="73">
        <v>19</v>
      </c>
      <c r="D11" s="73">
        <v>30</v>
      </c>
      <c r="E11" s="247">
        <v>22</v>
      </c>
      <c r="G11" t="str">
        <f>A11</f>
        <v>Copper</v>
      </c>
      <c r="Z11" t="str">
        <f t="shared" si="3"/>
        <v>Copper</v>
      </c>
      <c r="AA11" s="277">
        <f t="shared" si="1"/>
        <v>39</v>
      </c>
      <c r="AB11" s="73">
        <f t="shared" si="1"/>
        <v>19</v>
      </c>
      <c r="AC11" s="73">
        <f t="shared" si="1"/>
        <v>30</v>
      </c>
      <c r="AD11" s="247">
        <f t="shared" si="1"/>
        <v>22</v>
      </c>
      <c r="AE11" s="312">
        <f t="array" ref="AE11">$W$15-$S$15/2-MMULT(AA11:AD11-$R$6:$U$6,MMULT($L$6:$O$9,TRANSPOSE(AA11:AD11-$R$6:$U$6)))/2</f>
        <v>-13.384290359804492</v>
      </c>
      <c r="AF11" s="313">
        <f t="array" ref="AF11">$W$16-$S$16/2-MMULT(AA11:AD11-$R$7:$U$7,MMULT($L$12:$O$15,TRANSPOSE(AA11:AD11-$R$7:$U$7)))/2</f>
        <v>-9.2667069062552354</v>
      </c>
      <c r="AG11" s="313">
        <f t="array" ref="AG11">$W$17-$S$17/2-MMULT(AA11:AD11-$R$8:$U$8,MMULT($L$18:$O$21,TRANSPOSE(AA11:AD11-$R$8:$U$8)))/2</f>
        <v>-22.384621906045155</v>
      </c>
      <c r="AH11" s="313">
        <f t="array" ref="AH11">$W$18-$S$18/2-MMULT(AA11:AD11-$R$9:$U$9,MMULT($L$24:$O$27,TRANSPOSE(AA11:AD11-$R$9:$U$9)))/2</f>
        <v>-13.868101185254341</v>
      </c>
      <c r="AI11" s="313">
        <f t="array" ref="AI11">$W$19-$S$19/2-MMULT(AA11:AD11-$R$10:$U$10,MMULT($L$30:$O$33,TRANSPOSE(AA11:AD11-$R$10:$U$10)))/2</f>
        <v>-13.488461472992782</v>
      </c>
      <c r="AJ11" s="278" t="str">
        <f t="shared" si="4"/>
        <v>Copper</v>
      </c>
      <c r="AL11" t="s">
        <v>798</v>
      </c>
    </row>
    <row r="12" spans="1:44" ht="14.45" x14ac:dyDescent="0.35">
      <c r="A12" t="s">
        <v>809</v>
      </c>
      <c r="B12" s="277">
        <v>47</v>
      </c>
      <c r="C12" s="73">
        <v>20</v>
      </c>
      <c r="D12" s="73">
        <v>32</v>
      </c>
      <c r="E12" s="247">
        <v>26</v>
      </c>
      <c r="G12" s="138">
        <f t="array" ref="G12:J15">[1]!ExtractCov($A$4:$E$39,G11)</f>
        <v>102.4</v>
      </c>
      <c r="H12" s="139">
        <v>68.8</v>
      </c>
      <c r="I12" s="139">
        <v>36.800000000000004</v>
      </c>
      <c r="J12" s="140">
        <v>-38.400000000000006</v>
      </c>
      <c r="L12" s="138">
        <f t="array" ref="L12:O15">MINVERSE(G12:J15)</f>
        <v>9.5443419776591543E-2</v>
      </c>
      <c r="M12" s="139">
        <v>-2.1943710358412975E-2</v>
      </c>
      <c r="N12" s="139">
        <v>-0.11108504054614765</v>
      </c>
      <c r="O12" s="140">
        <v>8.2701807822029363E-2</v>
      </c>
      <c r="Q12" t="s">
        <v>810</v>
      </c>
      <c r="U12" t="s">
        <v>793</v>
      </c>
      <c r="Z12" t="str">
        <f t="shared" si="3"/>
        <v>Copper</v>
      </c>
      <c r="AA12" s="277">
        <f t="shared" si="1"/>
        <v>47</v>
      </c>
      <c r="AB12" s="73">
        <f t="shared" si="1"/>
        <v>20</v>
      </c>
      <c r="AC12" s="73">
        <f t="shared" si="1"/>
        <v>32</v>
      </c>
      <c r="AD12" s="247">
        <f t="shared" si="1"/>
        <v>26</v>
      </c>
      <c r="AE12" s="312">
        <f t="array" ref="AE12">$W$15-$S$15/2-MMULT(AA12:AD12-$R$6:$U$6,MMULT($L$6:$O$9,TRANSPOSE(AA12:AD12-$R$6:$U$6)))/2</f>
        <v>-34.442771228540984</v>
      </c>
      <c r="AF12" s="313">
        <f t="array" ref="AF12">$W$16-$S$16/2-MMULT(AA12:AD12-$R$7:$U$7,MMULT($L$12:$O$15,TRANSPOSE(AA12:AD12-$R$7:$U$7)))/2</f>
        <v>-9.9290890921929602</v>
      </c>
      <c r="AG12" s="313">
        <f t="array" ref="AG12">$W$17-$S$17/2-MMULT(AA12:AD12-$R$8:$U$8,MMULT($L$18:$O$21,TRANSPOSE(AA12:AD12-$R$8:$U$8)))/2</f>
        <v>-15.810194735116852</v>
      </c>
      <c r="AH12" s="313">
        <f t="array" ref="AH12">$W$18-$S$18/2-MMULT(AA12:AD12-$R$9:$U$9,MMULT($L$24:$O$27,TRANSPOSE(AA12:AD12-$R$9:$U$9)))/2</f>
        <v>-11.654414365962012</v>
      </c>
      <c r="AI12" s="313">
        <f t="array" ref="AI12">$W$19-$S$19/2-MMULT(AA12:AD12-$R$10:$U$10,MMULT($L$30:$O$33,TRANSPOSE(AA12:AD12-$R$10:$U$10)))/2</f>
        <v>-13.016623607329585</v>
      </c>
      <c r="AJ12" s="278" t="str">
        <f t="shared" si="4"/>
        <v>Copper</v>
      </c>
    </row>
    <row r="13" spans="1:44" ht="14.45" x14ac:dyDescent="0.35">
      <c r="A13" t="s">
        <v>809</v>
      </c>
      <c r="B13" s="277">
        <v>41</v>
      </c>
      <c r="C13" s="73">
        <v>23</v>
      </c>
      <c r="D13" s="73">
        <v>30</v>
      </c>
      <c r="E13" s="247">
        <v>22</v>
      </c>
      <c r="G13" s="123">
        <v>68.8</v>
      </c>
      <c r="H13" s="37">
        <v>66</v>
      </c>
      <c r="I13" s="37">
        <v>22.400000000000002</v>
      </c>
      <c r="J13" s="90">
        <v>-31.8</v>
      </c>
      <c r="L13" s="123">
        <v>-2.194371035841295E-2</v>
      </c>
      <c r="M13" s="37">
        <v>5.7039080778287198E-2</v>
      </c>
      <c r="N13" s="37">
        <v>-1.6609650803882339E-2</v>
      </c>
      <c r="O13" s="90">
        <v>2.7760876751609445E-2</v>
      </c>
      <c r="Z13" t="str">
        <f t="shared" si="3"/>
        <v>Copper</v>
      </c>
      <c r="AA13" s="277">
        <f t="shared" si="1"/>
        <v>41</v>
      </c>
      <c r="AB13" s="73">
        <f t="shared" si="1"/>
        <v>23</v>
      </c>
      <c r="AC13" s="73">
        <f t="shared" si="1"/>
        <v>30</v>
      </c>
      <c r="AD13" s="247">
        <f t="shared" si="1"/>
        <v>22</v>
      </c>
      <c r="AE13" s="312">
        <f t="array" ref="AE13">$W$15-$S$15/2-MMULT(AA13:AD13-$R$6:$U$6,MMULT($L$6:$O$9,TRANSPOSE(AA13:AD13-$R$6:$U$6)))/2</f>
        <v>-17.312888234890941</v>
      </c>
      <c r="AF13" s="313">
        <f t="array" ref="AF13">$W$16-$S$16/2-MMULT(AA13:AD13-$R$7:$U$7,MMULT($L$12:$O$15,TRANSPOSE(AA13:AD13-$R$7:$U$7)))/2</f>
        <v>-8.20216911842898</v>
      </c>
      <c r="AG13" s="313">
        <f t="array" ref="AG13">$W$17-$S$17/2-MMULT(AA13:AD13-$R$8:$U$8,MMULT($L$18:$O$21,TRANSPOSE(AA13:AD13-$R$8:$U$8)))/2</f>
        <v>-20.74492508090978</v>
      </c>
      <c r="AH13" s="313">
        <f t="array" ref="AH13">$W$18-$S$18/2-MMULT(AA13:AD13-$R$9:$U$9,MMULT($L$24:$O$27,TRANSPOSE(AA13:AD13-$R$9:$U$9)))/2</f>
        <v>-12.652012863272663</v>
      </c>
      <c r="AI13" s="313">
        <f t="array" ref="AI13">$W$19-$S$19/2-MMULT(AA13:AD13-$R$10:$U$10,MMULT($L$30:$O$33,TRANSPOSE(AA13:AD13-$R$10:$U$10)))/2</f>
        <v>-13.340511915024173</v>
      </c>
      <c r="AJ13" s="278" t="str">
        <f t="shared" si="4"/>
        <v>Copper</v>
      </c>
      <c r="AM13" s="32" t="s">
        <v>800</v>
      </c>
      <c r="AN13" s="32" t="s">
        <v>216</v>
      </c>
      <c r="AO13" s="32" t="s">
        <v>801</v>
      </c>
      <c r="AP13" s="32" t="s">
        <v>802</v>
      </c>
    </row>
    <row r="14" spans="1:44" x14ac:dyDescent="0.25">
      <c r="A14" t="s">
        <v>809</v>
      </c>
      <c r="B14" s="277">
        <v>53</v>
      </c>
      <c r="C14" s="73">
        <v>37</v>
      </c>
      <c r="D14" s="73">
        <v>31</v>
      </c>
      <c r="E14" s="247">
        <v>16</v>
      </c>
      <c r="G14" s="123">
        <v>36.800000000000004</v>
      </c>
      <c r="H14" s="37">
        <v>22.400000000000002</v>
      </c>
      <c r="I14" s="37">
        <v>26.3</v>
      </c>
      <c r="J14" s="90">
        <v>-1.1999999999999986</v>
      </c>
      <c r="L14" s="123">
        <v>-0.11108504054614765</v>
      </c>
      <c r="M14" s="37">
        <v>-1.6609650803882305E-2</v>
      </c>
      <c r="N14" s="37">
        <v>0.20154285451805878</v>
      </c>
      <c r="O14" s="90">
        <v>-0.13284049690020985</v>
      </c>
      <c r="R14" s="73" t="s">
        <v>109</v>
      </c>
      <c r="S14" s="73" t="s">
        <v>811</v>
      </c>
      <c r="U14" s="32" t="s">
        <v>52</v>
      </c>
      <c r="V14" s="233" t="s">
        <v>795</v>
      </c>
      <c r="W14" s="32" t="s">
        <v>796</v>
      </c>
      <c r="Z14" t="str">
        <f t="shared" si="3"/>
        <v>Copper</v>
      </c>
      <c r="AA14" s="277">
        <f t="shared" si="1"/>
        <v>53</v>
      </c>
      <c r="AB14" s="73">
        <f t="shared" si="1"/>
        <v>37</v>
      </c>
      <c r="AC14" s="73">
        <f t="shared" si="1"/>
        <v>31</v>
      </c>
      <c r="AD14" s="247">
        <f t="shared" si="1"/>
        <v>16</v>
      </c>
      <c r="AE14" s="312">
        <f t="array" ref="AE14">$W$15-$S$15/2-MMULT(AA14:AD14-$R$6:$U$6,MMULT($L$6:$O$9,TRANSPOSE(AA14:AD14-$R$6:$U$6)))/2</f>
        <v>-56.954973074467375</v>
      </c>
      <c r="AF14" s="313">
        <f t="array" ref="AF14">$W$16-$S$16/2-MMULT(AA14:AD14-$R$7:$U$7,MMULT($L$12:$O$15,TRANSPOSE(AA14:AD14-$R$7:$U$7)))/2</f>
        <v>-9.8390703365641627</v>
      </c>
      <c r="AG14" s="313">
        <f t="array" ref="AG14">$W$17-$S$17/2-MMULT(AA14:AD14-$R$8:$U$8,MMULT($L$18:$O$21,TRANSPOSE(AA14:AD14-$R$8:$U$8)))/2</f>
        <v>-94.407275345224377</v>
      </c>
      <c r="AH14" s="313">
        <f t="array" ref="AH14">$W$18-$S$18/2-MMULT(AA14:AD14-$R$9:$U$9,MMULT($L$24:$O$27,TRANSPOSE(AA14:AD14-$R$9:$U$9)))/2</f>
        <v>-13.373955440786254</v>
      </c>
      <c r="AI14" s="313">
        <f t="array" ref="AI14">$W$19-$S$19/2-MMULT(AA14:AD14-$R$10:$U$10,MMULT($L$30:$O$33,TRANSPOSE(AA14:AD14-$R$10:$U$10)))/2</f>
        <v>-13.788465812314913</v>
      </c>
      <c r="AJ14" s="278" t="str">
        <f t="shared" si="4"/>
        <v>Copper</v>
      </c>
      <c r="AL14" t="str">
        <f>AL4</f>
        <v>Iron</v>
      </c>
      <c r="AM14" s="138">
        <f t="array" ref="AM14:AM18">[1]!DIAG(AM4:AQ8)</f>
        <v>7</v>
      </c>
      <c r="AN14" s="139">
        <f>AR4</f>
        <v>7</v>
      </c>
      <c r="AO14" s="315">
        <f t="shared" ref="AO14:AO19" si="11">AM14/AN14</f>
        <v>1</v>
      </c>
      <c r="AP14" s="316">
        <f>1-AO14</f>
        <v>0</v>
      </c>
    </row>
    <row r="15" spans="1:44" ht="14.45" x14ac:dyDescent="0.35">
      <c r="A15" t="s">
        <v>809</v>
      </c>
      <c r="B15" s="277">
        <v>23</v>
      </c>
      <c r="C15" s="73">
        <v>13</v>
      </c>
      <c r="D15" s="73">
        <v>22</v>
      </c>
      <c r="E15" s="247">
        <v>31</v>
      </c>
      <c r="G15" s="91">
        <v>-38.400000000000006</v>
      </c>
      <c r="H15" s="92">
        <v>-31.8</v>
      </c>
      <c r="I15" s="92">
        <v>-1.1999999999999986</v>
      </c>
      <c r="J15" s="93">
        <v>34.266666666666666</v>
      </c>
      <c r="L15" s="91">
        <v>8.2701807822029391E-2</v>
      </c>
      <c r="M15" s="92">
        <v>2.776087675160941E-2</v>
      </c>
      <c r="N15" s="92">
        <v>-0.13284049690020988</v>
      </c>
      <c r="O15" s="93">
        <v>0.14297091550934407</v>
      </c>
      <c r="Q15" t="str">
        <f>Q6</f>
        <v>Iron</v>
      </c>
      <c r="R15" s="138">
        <f>MDETERM(G6:J9)</f>
        <v>81032.916115520347</v>
      </c>
      <c r="S15" s="140">
        <f>LN(ABS(R15))</f>
        <v>11.302610722904467</v>
      </c>
      <c r="U15" s="274">
        <f>COUNTIF($A$4:$A$39,Q15)</f>
        <v>7</v>
      </c>
      <c r="V15" s="139">
        <f>U15/U$20</f>
        <v>0.19444444444444445</v>
      </c>
      <c r="W15" s="140">
        <f>LN(V15)</f>
        <v>-1.6376087894007967</v>
      </c>
      <c r="Z15" t="str">
        <f t="shared" si="3"/>
        <v>Copper</v>
      </c>
      <c r="AA15" s="277">
        <f t="shared" si="1"/>
        <v>23</v>
      </c>
      <c r="AB15" s="73">
        <f t="shared" si="1"/>
        <v>13</v>
      </c>
      <c r="AC15" s="73">
        <f t="shared" si="1"/>
        <v>22</v>
      </c>
      <c r="AD15" s="247">
        <f t="shared" si="1"/>
        <v>31</v>
      </c>
      <c r="AE15" s="312">
        <f t="array" ref="AE15">$W$15-$S$15/2-MMULT(AA15:AD15-$R$6:$U$6,MMULT($L$6:$O$9,TRANSPOSE(AA15:AD15-$R$6:$U$6)))/2</f>
        <v>-17.870192667110793</v>
      </c>
      <c r="AF15" s="313">
        <f t="array" ref="AF15">$W$16-$S$16/2-MMULT(AA15:AD15-$R$7:$U$7,MMULT($L$12:$O$15,TRANSPOSE(AA15:AD15-$R$7:$U$7)))/2</f>
        <v>-9.914993102982173</v>
      </c>
      <c r="AG15" s="313">
        <f t="array" ref="AG15">$W$17-$S$17/2-MMULT(AA15:AD15-$R$8:$U$8,MMULT($L$18:$O$21,TRANSPOSE(AA15:AD15-$R$8:$U$8)))/2</f>
        <v>-75.71349285550879</v>
      </c>
      <c r="AH15" s="313">
        <f t="array" ref="AH15">$W$18-$S$18/2-MMULT(AA15:AD15-$R$9:$U$9,MMULT($L$24:$O$27,TRANSPOSE(AA15:AD15-$R$9:$U$9)))/2</f>
        <v>-21.920420362023986</v>
      </c>
      <c r="AI15" s="313">
        <f t="array" ref="AI15">$W$19-$S$19/2-MMULT(AA15:AD15-$R$10:$U$10,MMULT($L$30:$O$33,TRANSPOSE(AA15:AD15-$R$10:$U$10)))/2</f>
        <v>-15.139540595218678</v>
      </c>
      <c r="AJ15" s="278" t="str">
        <f t="shared" si="4"/>
        <v>Copper</v>
      </c>
      <c r="AL15" t="str">
        <f>AL5</f>
        <v>Copper</v>
      </c>
      <c r="AM15" s="123">
        <v>6</v>
      </c>
      <c r="AN15" s="37">
        <f t="shared" ref="AN15:AN18" si="12">AR5</f>
        <v>6</v>
      </c>
      <c r="AO15" s="167">
        <f t="shared" si="11"/>
        <v>1</v>
      </c>
      <c r="AP15" s="317">
        <f t="shared" ref="AP15:AP17" si="13">1-AO15</f>
        <v>0</v>
      </c>
    </row>
    <row r="16" spans="1:44" ht="14.45" x14ac:dyDescent="0.35">
      <c r="A16" t="s">
        <v>809</v>
      </c>
      <c r="B16" s="277">
        <v>43</v>
      </c>
      <c r="C16" s="73">
        <v>26</v>
      </c>
      <c r="D16" s="73">
        <v>38</v>
      </c>
      <c r="E16" s="247">
        <v>31</v>
      </c>
      <c r="Q16" t="str">
        <f t="shared" ref="Q16:Q19" si="14">Q7</f>
        <v>Copper</v>
      </c>
      <c r="R16" s="123">
        <f>MDETERM(G12:J15)</f>
        <v>181315.31093333315</v>
      </c>
      <c r="S16" s="90">
        <f t="shared" ref="S16:S19" si="15">LN(ABS(R16))</f>
        <v>12.107992843995337</v>
      </c>
      <c r="U16" s="277">
        <f t="shared" ref="U16:U19" si="16">COUNTIF($A$4:$A$39,Q16)</f>
        <v>6</v>
      </c>
      <c r="V16" s="37">
        <f t="shared" ref="V16:V19" si="17">U16/U$20</f>
        <v>0.16666666666666666</v>
      </c>
      <c r="W16" s="90">
        <f t="shared" ref="W16:W18" si="18">LN(V16)</f>
        <v>-1.791759469228055</v>
      </c>
      <c r="Z16" t="str">
        <f t="shared" si="3"/>
        <v>Copper</v>
      </c>
      <c r="AA16" s="277">
        <f t="shared" si="1"/>
        <v>43</v>
      </c>
      <c r="AB16" s="73">
        <f t="shared" si="1"/>
        <v>26</v>
      </c>
      <c r="AC16" s="73">
        <f t="shared" si="1"/>
        <v>38</v>
      </c>
      <c r="AD16" s="247">
        <f t="shared" si="1"/>
        <v>31</v>
      </c>
      <c r="AE16" s="312">
        <f t="array" ref="AE16">$W$15-$S$15/2-MMULT(AA16:AD16-$R$6:$U$6,MMULT($L$6:$O$9,TRANSPOSE(AA16:AD16-$R$6:$U$6)))/2</f>
        <v>-36.018729519980106</v>
      </c>
      <c r="AF16" s="313">
        <f t="array" ref="AF16">$W$16-$S$16/2-MMULT(AA16:AD16-$R$7:$U$7,MMULT($L$12:$O$15,TRANSPOSE(AA16:AD16-$R$7:$U$7)))/2</f>
        <v>-9.9225067909308287</v>
      </c>
      <c r="AG16" s="313">
        <f t="array" ref="AG16">$W$17-$S$17/2-MMULT(AA16:AD16-$R$8:$U$8,MMULT($L$18:$O$21,TRANSPOSE(AA16:AD16-$R$8:$U$8)))/2</f>
        <v>-38.268833899888087</v>
      </c>
      <c r="AH16" s="313">
        <f t="array" ref="AH16">$W$18-$S$18/2-MMULT(AA16:AD16-$R$9:$U$9,MMULT($L$24:$O$27,TRANSPOSE(AA16:AD16-$R$9:$U$9)))/2</f>
        <v>-11.265688120402764</v>
      </c>
      <c r="AI16" s="313">
        <f t="array" ref="AI16">$W$19-$S$19/2-MMULT(AA16:AD16-$R$10:$U$10,MMULT($L$30:$O$33,TRANSPOSE(AA16:AD16-$R$10:$U$10)))/2</f>
        <v>-13.921361904128737</v>
      </c>
      <c r="AJ16" s="278" t="str">
        <f t="shared" si="4"/>
        <v>Copper</v>
      </c>
      <c r="AL16" t="str">
        <f>AL6</f>
        <v>Zinc</v>
      </c>
      <c r="AM16" s="123">
        <v>6</v>
      </c>
      <c r="AN16" s="37">
        <f t="shared" si="12"/>
        <v>6</v>
      </c>
      <c r="AO16" s="167">
        <f t="shared" si="11"/>
        <v>1</v>
      </c>
      <c r="AP16" s="317">
        <f t="shared" si="13"/>
        <v>0</v>
      </c>
    </row>
    <row r="17" spans="1:42" ht="14.45" x14ac:dyDescent="0.35">
      <c r="A17" t="s">
        <v>812</v>
      </c>
      <c r="B17" s="277">
        <v>61</v>
      </c>
      <c r="C17" s="73">
        <v>26</v>
      </c>
      <c r="D17" s="73">
        <v>40</v>
      </c>
      <c r="E17" s="247">
        <v>27</v>
      </c>
      <c r="G17" t="str">
        <f>A17</f>
        <v>Zinc</v>
      </c>
      <c r="Q17" t="str">
        <f t="shared" si="14"/>
        <v>Zinc</v>
      </c>
      <c r="R17" s="123">
        <f>MDETERM(G18:J21)</f>
        <v>561263.13386665925</v>
      </c>
      <c r="S17" s="90">
        <f t="shared" si="15"/>
        <v>13.237945118863525</v>
      </c>
      <c r="U17" s="277">
        <f t="shared" si="16"/>
        <v>6</v>
      </c>
      <c r="V17" s="37">
        <f t="shared" si="17"/>
        <v>0.16666666666666666</v>
      </c>
      <c r="W17" s="90">
        <f t="shared" si="18"/>
        <v>-1.791759469228055</v>
      </c>
      <c r="Z17" t="str">
        <f t="shared" si="3"/>
        <v>Zinc</v>
      </c>
      <c r="AA17" s="277">
        <f t="shared" si="1"/>
        <v>61</v>
      </c>
      <c r="AB17" s="73">
        <f t="shared" si="1"/>
        <v>26</v>
      </c>
      <c r="AC17" s="73">
        <f t="shared" si="1"/>
        <v>40</v>
      </c>
      <c r="AD17" s="247">
        <f t="shared" si="1"/>
        <v>27</v>
      </c>
      <c r="AE17" s="312">
        <f t="array" ref="AE17">$W$15-$S$15/2-MMULT(AA17:AD17-$R$6:$U$6,MMULT($L$6:$O$9,TRANSPOSE(AA17:AD17-$R$6:$U$6)))/2</f>
        <v>-115.25589094876916</v>
      </c>
      <c r="AF17" s="313">
        <f t="array" ref="AF17">$W$16-$S$16/2-MMULT(AA17:AD17-$R$7:$U$7,MMULT($L$12:$O$15,TRANSPOSE(AA17:AD17-$R$7:$U$7)))/2</f>
        <v>-14.887893071322559</v>
      </c>
      <c r="AG17" s="313">
        <f t="array" ref="AG17">$W$17-$S$17/2-MMULT(AA17:AD17-$R$8:$U$8,MMULT($L$18:$O$21,TRANSPOSE(AA17:AD17-$R$8:$U$8)))/2</f>
        <v>-9.0945147116798069</v>
      </c>
      <c r="AH17" s="313">
        <f t="array" ref="AH17">$W$18-$S$18/2-MMULT(AA17:AD17-$R$9:$U$9,MMULT($L$24:$O$27,TRANSPOSE(AA17:AD17-$R$9:$U$9)))/2</f>
        <v>-12.509300386550883</v>
      </c>
      <c r="AI17" s="313">
        <f t="array" ref="AI17">$W$19-$S$19/2-MMULT(AA17:AD17-$R$10:$U$10,MMULT($L$30:$O$33,TRANSPOSE(AA17:AD17-$R$10:$U$10)))/2</f>
        <v>-12.479008415787099</v>
      </c>
      <c r="AJ17" s="278" t="str">
        <f t="shared" si="4"/>
        <v>Zinc</v>
      </c>
      <c r="AL17" t="str">
        <f t="shared" ref="AL17:AL18" si="19">AL7</f>
        <v>Nickel</v>
      </c>
      <c r="AM17" s="123">
        <v>5</v>
      </c>
      <c r="AN17" s="37">
        <f t="shared" si="12"/>
        <v>7</v>
      </c>
      <c r="AO17" s="167">
        <f t="shared" si="11"/>
        <v>0.7142857142857143</v>
      </c>
      <c r="AP17" s="317">
        <f t="shared" si="13"/>
        <v>0.2857142857142857</v>
      </c>
    </row>
    <row r="18" spans="1:42" ht="14.45" x14ac:dyDescent="0.35">
      <c r="A18" t="s">
        <v>812</v>
      </c>
      <c r="B18" s="277">
        <v>57</v>
      </c>
      <c r="C18" s="73">
        <v>19</v>
      </c>
      <c r="D18" s="73">
        <v>33</v>
      </c>
      <c r="E18" s="247">
        <v>24</v>
      </c>
      <c r="G18" s="138">
        <f t="array" ref="G18:J21">[1]!ExtractCov($A$4:$E$39,G17)</f>
        <v>234.66666666666666</v>
      </c>
      <c r="H18" s="139">
        <v>97.600000000000023</v>
      </c>
      <c r="I18" s="139">
        <v>282.80000000000007</v>
      </c>
      <c r="J18" s="140">
        <v>1.6000000000000014</v>
      </c>
      <c r="L18" s="138">
        <f t="array" ref="L18:O21">MINVERSE(G18:J21)</f>
        <v>0.13645835505418294</v>
      </c>
      <c r="M18" s="139">
        <v>3.5412267082417744E-3</v>
      </c>
      <c r="N18" s="139">
        <v>-0.11051158762680419</v>
      </c>
      <c r="O18" s="140">
        <v>-7.1983790778601828E-2</v>
      </c>
      <c r="Q18" t="str">
        <f t="shared" si="14"/>
        <v>Nickel</v>
      </c>
      <c r="R18" s="123">
        <f>MDETERM(G24:J27)</f>
        <v>77761825.482363284</v>
      </c>
      <c r="S18" s="90">
        <f t="shared" si="15"/>
        <v>18.169161193694343</v>
      </c>
      <c r="U18" s="277">
        <f t="shared" si="16"/>
        <v>7</v>
      </c>
      <c r="V18" s="37">
        <f t="shared" si="17"/>
        <v>0.19444444444444445</v>
      </c>
      <c r="W18" s="90">
        <f t="shared" si="18"/>
        <v>-1.6376087894007967</v>
      </c>
      <c r="Z18" t="str">
        <f t="shared" si="3"/>
        <v>Zinc</v>
      </c>
      <c r="AA18" s="277">
        <f t="shared" si="1"/>
        <v>57</v>
      </c>
      <c r="AB18" s="73">
        <f t="shared" si="1"/>
        <v>19</v>
      </c>
      <c r="AC18" s="73">
        <f t="shared" si="1"/>
        <v>33</v>
      </c>
      <c r="AD18" s="247">
        <f t="shared" si="1"/>
        <v>24</v>
      </c>
      <c r="AE18" s="312">
        <f t="array" ref="AE18">$W$15-$S$15/2-MMULT(AA18:AD18-$R$6:$U$6,MMULT($L$6:$O$9,TRANSPOSE(AA18:AD18-$R$6:$U$6)))/2</f>
        <v>-72.708536340227937</v>
      </c>
      <c r="AF18" s="313">
        <f t="array" ref="AF18">$W$16-$S$16/2-MMULT(AA18:AD18-$R$7:$U$7,MMULT($L$12:$O$15,TRANSPOSE(AA18:AD18-$R$7:$U$7)))/2</f>
        <v>-17.720788568983309</v>
      </c>
      <c r="AG18" s="313">
        <f t="array" ref="AG18">$W$17-$S$17/2-MMULT(AA18:AD18-$R$8:$U$8,MMULT($L$18:$O$21,TRANSPOSE(AA18:AD18-$R$8:$U$8)))/2</f>
        <v>-10.466812428843436</v>
      </c>
      <c r="AH18" s="313">
        <f t="array" ref="AH18">$W$18-$S$18/2-MMULT(AA18:AD18-$R$9:$U$9,MMULT($L$24:$O$27,TRANSPOSE(AA18:AD18-$R$9:$U$9)))/2</f>
        <v>-11.494795066048153</v>
      </c>
      <c r="AI18" s="313">
        <f t="array" ref="AI18">$W$19-$S$19/2-MMULT(AA18:AD18-$R$10:$U$10,MMULT($L$30:$O$33,TRANSPOSE(AA18:AD18-$R$10:$U$10)))/2</f>
        <v>-12.64334155465126</v>
      </c>
      <c r="AJ18" s="278" t="str">
        <f t="shared" si="4"/>
        <v>Zinc</v>
      </c>
      <c r="AL18" t="str">
        <f t="shared" si="19"/>
        <v>Tin</v>
      </c>
      <c r="AM18" s="91">
        <v>8</v>
      </c>
      <c r="AN18" s="92">
        <f t="shared" si="12"/>
        <v>10</v>
      </c>
      <c r="AO18" s="169">
        <f t="shared" si="11"/>
        <v>0.8</v>
      </c>
      <c r="AP18" s="318">
        <f>1-AO18</f>
        <v>0.19999999999999996</v>
      </c>
    </row>
    <row r="19" spans="1:42" ht="14.45" x14ac:dyDescent="0.35">
      <c r="A19" t="s">
        <v>812</v>
      </c>
      <c r="B19" s="277">
        <v>67</v>
      </c>
      <c r="C19" s="73">
        <v>26</v>
      </c>
      <c r="D19" s="73">
        <v>35</v>
      </c>
      <c r="E19" s="247">
        <v>32</v>
      </c>
      <c r="G19" s="123">
        <v>97.600000000000023</v>
      </c>
      <c r="H19" s="37">
        <v>45.1</v>
      </c>
      <c r="I19" s="37">
        <v>114.60000000000001</v>
      </c>
      <c r="J19" s="90">
        <v>11.3</v>
      </c>
      <c r="L19" s="123">
        <v>3.5412267082421491E-3</v>
      </c>
      <c r="M19" s="37">
        <v>0.48263767857653667</v>
      </c>
      <c r="N19" s="37">
        <v>-0.16861038781347834</v>
      </c>
      <c r="O19" s="90">
        <v>-0.15839226434527562</v>
      </c>
      <c r="Q19" t="str">
        <f t="shared" si="14"/>
        <v>Tin</v>
      </c>
      <c r="R19" s="91">
        <f>MDETERM(G30:J33)</f>
        <v>2192161807.396616</v>
      </c>
      <c r="S19" s="93">
        <f t="shared" si="15"/>
        <v>21.508154020550805</v>
      </c>
      <c r="U19" s="281">
        <f t="shared" si="16"/>
        <v>10</v>
      </c>
      <c r="V19" s="92">
        <f t="shared" si="17"/>
        <v>0.27777777777777779</v>
      </c>
      <c r="W19" s="93">
        <f>LN(V19)</f>
        <v>-1.2809338454620642</v>
      </c>
      <c r="Z19" t="str">
        <f t="shared" si="3"/>
        <v>Zinc</v>
      </c>
      <c r="AA19" s="277">
        <f t="shared" si="1"/>
        <v>67</v>
      </c>
      <c r="AB19" s="73">
        <f t="shared" si="1"/>
        <v>26</v>
      </c>
      <c r="AC19" s="73">
        <f t="shared" si="1"/>
        <v>35</v>
      </c>
      <c r="AD19" s="247">
        <f t="shared" si="1"/>
        <v>32</v>
      </c>
      <c r="AE19" s="312">
        <f t="array" ref="AE19">$W$15-$S$15/2-MMULT(AA19:AD19-$R$6:$U$6,MMULT($L$6:$O$9,TRANSPOSE(AA19:AD19-$R$6:$U$6)))/2</f>
        <v>-166.02167512169461</v>
      </c>
      <c r="AF19" s="313">
        <f t="array" ref="AF19">$W$16-$S$16/2-MMULT(AA19:AD19-$R$7:$U$7,MMULT($L$12:$O$15,TRANSPOSE(AA19:AD19-$R$7:$U$7)))/2</f>
        <v>-43.309949580538969</v>
      </c>
      <c r="AG19" s="313">
        <f t="array" ref="AG19">$W$17-$S$17/2-MMULT(AA19:AD19-$R$8:$U$8,MMULT($L$18:$O$21,TRANSPOSE(AA19:AD19-$R$8:$U$8)))/2</f>
        <v>-10.479096150299572</v>
      </c>
      <c r="AH19" s="313">
        <f t="array" ref="AH19">$W$18-$S$18/2-MMULT(AA19:AD19-$R$9:$U$9,MMULT($L$24:$O$27,TRANSPOSE(AA19:AD19-$R$9:$U$9)))/2</f>
        <v>-12.440798880169298</v>
      </c>
      <c r="AI19" s="313">
        <f t="array" ref="AI19">$W$19-$S$19/2-MMULT(AA19:AD19-$R$10:$U$10,MMULT($L$30:$O$33,TRANSPOSE(AA19:AD19-$R$10:$U$10)))/2</f>
        <v>-12.61083012823382</v>
      </c>
      <c r="AJ19" s="278" t="str">
        <f t="shared" si="4"/>
        <v>Zinc</v>
      </c>
      <c r="AL19" t="s">
        <v>216</v>
      </c>
      <c r="AM19">
        <f>SUM(AM14:AM18)</f>
        <v>32</v>
      </c>
      <c r="AN19">
        <f>SUM(AN14:AN18)</f>
        <v>36</v>
      </c>
      <c r="AO19" s="319">
        <f t="shared" si="11"/>
        <v>0.88888888888888884</v>
      </c>
      <c r="AP19" s="319">
        <f>1-AO19</f>
        <v>0.11111111111111116</v>
      </c>
    </row>
    <row r="20" spans="1:42" ht="14.45" x14ac:dyDescent="0.35">
      <c r="A20" t="s">
        <v>812</v>
      </c>
      <c r="B20" s="277">
        <v>51</v>
      </c>
      <c r="C20" s="73">
        <v>21</v>
      </c>
      <c r="D20" s="73">
        <v>30</v>
      </c>
      <c r="E20" s="247">
        <v>22</v>
      </c>
      <c r="G20" s="123">
        <v>282.80000000000007</v>
      </c>
      <c r="H20" s="37">
        <v>114.60000000000001</v>
      </c>
      <c r="I20" s="37">
        <v>395.6</v>
      </c>
      <c r="J20" s="90">
        <v>-65.600000000000009</v>
      </c>
      <c r="L20" s="123">
        <v>-0.11051158762680431</v>
      </c>
      <c r="M20" s="37">
        <v>-0.16861038781347812</v>
      </c>
      <c r="N20" s="37">
        <v>0.14924903064552128</v>
      </c>
      <c r="O20" s="90">
        <v>0.11383367529090493</v>
      </c>
      <c r="U20" s="32">
        <f>SUM(U15:U19)</f>
        <v>36</v>
      </c>
      <c r="Z20" t="str">
        <f t="shared" si="3"/>
        <v>Zinc</v>
      </c>
      <c r="AA20" s="277">
        <f t="shared" si="3"/>
        <v>51</v>
      </c>
      <c r="AB20" s="73">
        <f t="shared" si="3"/>
        <v>21</v>
      </c>
      <c r="AC20" s="73">
        <f t="shared" si="3"/>
        <v>30</v>
      </c>
      <c r="AD20" s="247">
        <f t="shared" si="3"/>
        <v>22</v>
      </c>
      <c r="AE20" s="312">
        <f t="array" ref="AE20">$W$15-$S$15/2-MMULT(AA20:AD20-$R$6:$U$6,MMULT($L$6:$O$9,TRANSPOSE(AA20:AD20-$R$6:$U$6)))/2</f>
        <v>-43.164262007427936</v>
      </c>
      <c r="AF20" s="313">
        <f t="array" ref="AF20">$W$16-$S$16/2-MMULT(AA20:AD20-$R$7:$U$7,MMULT($L$12:$O$15,TRANSPOSE(AA20:AD20-$R$7:$U$7)))/2</f>
        <v>-12.00878449533138</v>
      </c>
      <c r="AG20" s="313">
        <f t="array" ref="AG20">$W$17-$S$17/2-MMULT(AA20:AD20-$R$8:$U$8,MMULT($L$18:$O$21,TRANSPOSE(AA20:AD20-$R$8:$U$8)))/2</f>
        <v>-9.5644282289214146</v>
      </c>
      <c r="AH20" s="313">
        <f t="array" ref="AH20">$W$18-$S$18/2-MMULT(AA20:AD20-$R$9:$U$9,MMULT($L$24:$O$27,TRANSPOSE(AA20:AD20-$R$9:$U$9)))/2</f>
        <v>-12.075630177117521</v>
      </c>
      <c r="AI20" s="313">
        <f t="array" ref="AI20">$W$19-$S$19/2-MMULT(AA20:AD20-$R$10:$U$10,MMULT($L$30:$O$33,TRANSPOSE(AA20:AD20-$R$10:$U$10)))/2</f>
        <v>-12.936411710996962</v>
      </c>
      <c r="AJ20" s="278" t="str">
        <f t="shared" si="4"/>
        <v>Zinc</v>
      </c>
    </row>
    <row r="21" spans="1:42" ht="14.45" x14ac:dyDescent="0.35">
      <c r="A21" t="s">
        <v>812</v>
      </c>
      <c r="B21" s="277">
        <v>95</v>
      </c>
      <c r="C21" s="73">
        <v>38</v>
      </c>
      <c r="D21" s="73">
        <v>82</v>
      </c>
      <c r="E21" s="247">
        <v>23</v>
      </c>
      <c r="G21" s="91">
        <v>1.6000000000000014</v>
      </c>
      <c r="H21" s="92">
        <v>11.3</v>
      </c>
      <c r="I21" s="92">
        <v>-65.600000000000009</v>
      </c>
      <c r="J21" s="93">
        <v>104.30000000000001</v>
      </c>
      <c r="L21" s="91">
        <v>-7.1983790778602022E-2</v>
      </c>
      <c r="M21" s="92">
        <v>-0.15839226434527531</v>
      </c>
      <c r="N21" s="92">
        <v>0.11383367529090496</v>
      </c>
      <c r="O21" s="93">
        <v>9.9448664922634128E-2</v>
      </c>
      <c r="Z21" t="str">
        <f t="shared" si="3"/>
        <v>Zinc</v>
      </c>
      <c r="AA21" s="277">
        <f t="shared" si="3"/>
        <v>95</v>
      </c>
      <c r="AB21" s="73">
        <f t="shared" si="3"/>
        <v>38</v>
      </c>
      <c r="AC21" s="73">
        <f t="shared" si="3"/>
        <v>82</v>
      </c>
      <c r="AD21" s="247">
        <f t="shared" si="3"/>
        <v>23</v>
      </c>
      <c r="AE21" s="312">
        <f t="array" ref="AE21">$W$15-$S$15/2-MMULT(AA21:AD21-$R$6:$U$6,MMULT($L$6:$O$9,TRANSPOSE(AA21:AD21-$R$6:$U$6)))/2</f>
        <v>-629.89231243422137</v>
      </c>
      <c r="AF21" s="313">
        <f t="array" ref="AF21">$W$16-$S$16/2-MMULT(AA21:AD21-$R$7:$U$7,MMULT($L$12:$O$15,TRANSPOSE(AA21:AD21-$R$7:$U$7)))/2</f>
        <v>-84.620846809477683</v>
      </c>
      <c r="AG21" s="313">
        <f t="array" ref="AG21">$W$17-$S$17/2-MMULT(AA21:AD21-$R$8:$U$8,MMULT($L$18:$O$21,TRANSPOSE(AA21:AD21-$R$8:$U$8)))/2</f>
        <v>-10.437186039728175</v>
      </c>
      <c r="AH21" s="313">
        <f t="array" ref="AH21">$W$18-$S$18/2-MMULT(AA21:AD21-$R$9:$U$9,MMULT($L$24:$O$27,TRANSPOSE(AA21:AD21-$R$9:$U$9)))/2</f>
        <v>-70.757796063781015</v>
      </c>
      <c r="AI21" s="313">
        <f t="array" ref="AI21">$W$19-$S$19/2-MMULT(AA21:AD21-$R$10:$U$10,MMULT($L$30:$O$33,TRANSPOSE(AA21:AD21-$R$10:$U$10)))/2</f>
        <v>-14.327621532819437</v>
      </c>
      <c r="AJ21" s="278" t="str">
        <f t="shared" si="4"/>
        <v>Zinc</v>
      </c>
    </row>
    <row r="22" spans="1:42" ht="14.45" x14ac:dyDescent="0.35">
      <c r="A22" t="s">
        <v>812</v>
      </c>
      <c r="B22" s="277">
        <v>67</v>
      </c>
      <c r="C22" s="73">
        <v>29</v>
      </c>
      <c r="D22" s="73">
        <v>32</v>
      </c>
      <c r="E22" s="247">
        <v>49</v>
      </c>
      <c r="Q22" t="s">
        <v>813</v>
      </c>
      <c r="R22" s="311">
        <f>[1]!BOXTEST(A4:E39)</f>
        <v>8.5914714917856294E-4</v>
      </c>
      <c r="Z22" t="str">
        <f t="shared" si="3"/>
        <v>Zinc</v>
      </c>
      <c r="AA22" s="277">
        <f t="shared" si="3"/>
        <v>67</v>
      </c>
      <c r="AB22" s="73">
        <f t="shared" si="3"/>
        <v>29</v>
      </c>
      <c r="AC22" s="73">
        <f t="shared" si="3"/>
        <v>32</v>
      </c>
      <c r="AD22" s="247">
        <f t="shared" si="3"/>
        <v>49</v>
      </c>
      <c r="AE22" s="312">
        <f t="array" ref="AE22">$W$15-$S$15/2-MMULT(AA22:AD22-$R$6:$U$6,MMULT($L$6:$O$9,TRANSPOSE(AA22:AD22-$R$6:$U$6)))/2</f>
        <v>-233.30199976169075</v>
      </c>
      <c r="AF22" s="313">
        <f t="array" ref="AF22">$W$16-$S$16/2-MMULT(AA22:AD22-$R$7:$U$7,MMULT($L$12:$O$15,TRANSPOSE(AA22:AD22-$R$7:$U$7)))/2</f>
        <v>-127.30846945696167</v>
      </c>
      <c r="AG22" s="313">
        <f t="array" ref="AG22">$W$17-$S$17/2-MMULT(AA22:AD22-$R$8:$U$8,MMULT($L$18:$O$21,TRANSPOSE(AA22:AD22-$R$8:$U$8)))/2</f>
        <v>-10.422354612486551</v>
      </c>
      <c r="AH22" s="313">
        <f t="array" ref="AH22">$W$18-$S$18/2-MMULT(AA22:AD22-$R$9:$U$9,MMULT($L$24:$O$27,TRANSPOSE(AA22:AD22-$R$9:$U$9)))/2</f>
        <v>-16.66682640938221</v>
      </c>
      <c r="AI22" s="313">
        <f t="array" ref="AI22">$W$19-$S$19/2-MMULT(AA22:AD22-$R$10:$U$10,MMULT($L$30:$O$33,TRANSPOSE(AA22:AD22-$R$10:$U$10)))/2</f>
        <v>-16.829242242909881</v>
      </c>
      <c r="AJ22" s="278" t="str">
        <f t="shared" si="4"/>
        <v>Zinc</v>
      </c>
    </row>
    <row r="23" spans="1:42" ht="14.45" x14ac:dyDescent="0.35">
      <c r="A23" t="s">
        <v>814</v>
      </c>
      <c r="B23" s="277">
        <v>43</v>
      </c>
      <c r="C23" s="73">
        <v>19</v>
      </c>
      <c r="D23" s="73">
        <v>32</v>
      </c>
      <c r="E23" s="247">
        <v>31</v>
      </c>
      <c r="G23" t="str">
        <f>A23</f>
        <v>Nickel</v>
      </c>
      <c r="Z23" t="str">
        <f t="shared" si="3"/>
        <v>Nickel</v>
      </c>
      <c r="AA23" s="277">
        <f t="shared" si="3"/>
        <v>43</v>
      </c>
      <c r="AB23" s="73">
        <f t="shared" si="3"/>
        <v>19</v>
      </c>
      <c r="AC23" s="73">
        <f t="shared" si="3"/>
        <v>32</v>
      </c>
      <c r="AD23" s="247">
        <f t="shared" si="3"/>
        <v>31</v>
      </c>
      <c r="AE23" s="312">
        <f t="array" ref="AE23">$W$15-$S$15/2-MMULT(AA23:AD23-$R$6:$U$6,MMULT($L$6:$O$9,TRANSPOSE(AA23:AD23-$R$6:$U$6)))/2</f>
        <v>-28.167977971563097</v>
      </c>
      <c r="AF23" s="313">
        <f t="array" ref="AF23">$W$16-$S$16/2-MMULT(AA23:AD23-$R$7:$U$7,MMULT($L$12:$O$15,TRANSPOSE(AA23:AD23-$R$7:$U$7)))/2</f>
        <v>-10.611300660702735</v>
      </c>
      <c r="AG23" s="313">
        <f t="array" ref="AG23">$W$17-$S$17/2-MMULT(AA23:AD23-$R$8:$U$8,MMULT($L$18:$O$21,TRANSPOSE(AA23:AD23-$R$8:$U$8)))/2</f>
        <v>-31.487983669359942</v>
      </c>
      <c r="AH23" s="313">
        <f t="array" ref="AH23">$W$18-$S$18/2-MMULT(AA23:AD23-$R$9:$U$9,MMULT($L$24:$O$27,TRANSPOSE(AA23:AD23-$R$9:$U$9)))/2</f>
        <v>-11.88163383922994</v>
      </c>
      <c r="AI23" s="313">
        <f t="array" ref="AI23">$W$19-$S$19/2-MMULT(AA23:AD23-$R$10:$U$10,MMULT($L$30:$O$33,TRANSPOSE(AA23:AD23-$R$10:$U$10)))/2</f>
        <v>-13.591971004712583</v>
      </c>
      <c r="AJ23" s="278" t="str">
        <f t="shared" si="4"/>
        <v>Copper</v>
      </c>
    </row>
    <row r="24" spans="1:42" ht="14.45" x14ac:dyDescent="0.35">
      <c r="A24" t="s">
        <v>814</v>
      </c>
      <c r="B24" s="277">
        <v>49</v>
      </c>
      <c r="C24" s="73">
        <v>21</v>
      </c>
      <c r="D24" s="73">
        <v>31</v>
      </c>
      <c r="E24" s="247">
        <v>23</v>
      </c>
      <c r="G24" s="138">
        <f t="array" ref="G24:J27">[1]!ExtractCov($A$4:$E$39,G23)</f>
        <v>324.90476190476193</v>
      </c>
      <c r="H24" s="139">
        <v>-92.166666666666657</v>
      </c>
      <c r="I24" s="139">
        <v>-74.809523809523796</v>
      </c>
      <c r="J24" s="140">
        <v>21.547619047619055</v>
      </c>
      <c r="L24" s="138">
        <f t="array" ref="L24:O27">MINVERSE(G24:J27)</f>
        <v>6.8382251284497238E-3</v>
      </c>
      <c r="M24" s="139">
        <v>7.6192683483600069E-3</v>
      </c>
      <c r="N24" s="139">
        <v>7.4960382268073368E-3</v>
      </c>
      <c r="O24" s="140">
        <v>1.9141655053097168E-3</v>
      </c>
      <c r="Z24" t="str">
        <f t="shared" si="3"/>
        <v>Nickel</v>
      </c>
      <c r="AA24" s="277">
        <f t="shared" si="3"/>
        <v>49</v>
      </c>
      <c r="AB24" s="73">
        <f t="shared" si="3"/>
        <v>21</v>
      </c>
      <c r="AC24" s="73">
        <f t="shared" si="3"/>
        <v>31</v>
      </c>
      <c r="AD24" s="247">
        <f t="shared" si="3"/>
        <v>23</v>
      </c>
      <c r="AE24" s="312">
        <f t="array" ref="AE24">$W$15-$S$15/2-MMULT(AA24:AD24-$R$6:$U$6,MMULT($L$6:$O$9,TRANSPOSE(AA24:AD24-$R$6:$U$6)))/2</f>
        <v>-37.509919316231496</v>
      </c>
      <c r="AF24" s="313">
        <f t="array" ref="AF24">$W$16-$S$16/2-MMULT(AA24:AD24-$R$7:$U$7,MMULT($L$12:$O$15,TRANSPOSE(AA24:AD24-$R$7:$U$7)))/2</f>
        <v>-10.261701811748898</v>
      </c>
      <c r="AG24" s="313">
        <f t="array" ref="AG24">$W$17-$S$17/2-MMULT(AA24:AD24-$R$8:$U$8,MMULT($L$18:$O$21,TRANSPOSE(AA24:AD24-$R$8:$U$8)))/2</f>
        <v>-10.77232666922956</v>
      </c>
      <c r="AH24" s="313">
        <f t="array" ref="AH24">$W$18-$S$18/2-MMULT(AA24:AD24-$R$9:$U$9,MMULT($L$24:$O$27,TRANSPOSE(AA24:AD24-$R$9:$U$9)))/2</f>
        <v>-11.887568239459242</v>
      </c>
      <c r="AI24" s="313">
        <f t="array" ref="AI24">$W$19-$S$19/2-MMULT(AA24:AD24-$R$10:$U$10,MMULT($L$30:$O$33,TRANSPOSE(AA24:AD24-$R$10:$U$10)))/2</f>
        <v>-12.939216151110498</v>
      </c>
      <c r="AJ24" s="278" t="str">
        <f t="shared" si="4"/>
        <v>Copper</v>
      </c>
    </row>
    <row r="25" spans="1:42" ht="14.45" x14ac:dyDescent="0.35">
      <c r="A25" t="s">
        <v>814</v>
      </c>
      <c r="B25" s="277">
        <v>67</v>
      </c>
      <c r="C25" s="73">
        <v>21</v>
      </c>
      <c r="D25" s="73">
        <v>23</v>
      </c>
      <c r="E25" s="247">
        <v>36</v>
      </c>
      <c r="G25" s="123">
        <v>-92.166666666666657</v>
      </c>
      <c r="H25" s="37">
        <v>107.66666666666666</v>
      </c>
      <c r="I25" s="37">
        <v>-26.166666666666664</v>
      </c>
      <c r="J25" s="90">
        <v>3.1666666666666665</v>
      </c>
      <c r="L25" s="123">
        <v>7.619268348360006E-3</v>
      </c>
      <c r="M25" s="37">
        <v>1.8464265048341165E-2</v>
      </c>
      <c r="N25" s="37">
        <v>1.1338393066108184E-2</v>
      </c>
      <c r="O25" s="90">
        <v>3.4562045680882644E-3</v>
      </c>
      <c r="Z25" t="str">
        <f t="shared" si="3"/>
        <v>Nickel</v>
      </c>
      <c r="AA25" s="277">
        <f t="shared" si="3"/>
        <v>67</v>
      </c>
      <c r="AB25" s="73">
        <f t="shared" si="3"/>
        <v>21</v>
      </c>
      <c r="AC25" s="73">
        <f t="shared" si="3"/>
        <v>23</v>
      </c>
      <c r="AD25" s="247">
        <f t="shared" si="3"/>
        <v>36</v>
      </c>
      <c r="AE25" s="312">
        <f t="array" ref="AE25">$W$15-$S$15/2-MMULT(AA25:AD25-$R$6:$U$6,MMULT($L$6:$O$9,TRANSPOSE(AA25:AD25-$R$6:$U$6)))/2</f>
        <v>-159.86616131276421</v>
      </c>
      <c r="AF25" s="313">
        <f t="array" ref="AF25">$W$16-$S$16/2-MMULT(AA25:AD25-$R$7:$U$7,MMULT($L$12:$O$15,TRANSPOSE(AA25:AD25-$R$7:$U$7)))/2</f>
        <v>-112.65518544586367</v>
      </c>
      <c r="AG25" s="313">
        <f t="array" ref="AG25">$W$17-$S$17/2-MMULT(AA25:AD25-$R$8:$U$8,MMULT($L$18:$O$21,TRANSPOSE(AA25:AD25-$R$8:$U$8)))/2</f>
        <v>-19.840432284748495</v>
      </c>
      <c r="AH25" s="313">
        <f t="array" ref="AH25">$W$18-$S$18/2-MMULT(AA25:AD25-$R$9:$U$9,MMULT($L$24:$O$27,TRANSPOSE(AA25:AD25-$R$9:$U$9)))/2</f>
        <v>-11.291884706085234</v>
      </c>
      <c r="AI25" s="313">
        <f t="array" ref="AI25">$W$19-$S$19/2-MMULT(AA25:AD25-$R$10:$U$10,MMULT($L$30:$O$33,TRANSPOSE(AA25:AD25-$R$10:$U$10)))/2</f>
        <v>-13.093956748761231</v>
      </c>
      <c r="AJ25" s="278" t="str">
        <f t="shared" si="4"/>
        <v>Nickel</v>
      </c>
    </row>
    <row r="26" spans="1:42" ht="14.45" x14ac:dyDescent="0.35">
      <c r="A26" t="s">
        <v>814</v>
      </c>
      <c r="B26" s="277">
        <v>80</v>
      </c>
      <c r="C26" s="73">
        <v>19</v>
      </c>
      <c r="D26" s="73">
        <v>28</v>
      </c>
      <c r="E26" s="247">
        <v>37</v>
      </c>
      <c r="G26" s="123">
        <v>-74.809523809523796</v>
      </c>
      <c r="H26" s="37">
        <v>-26.166666666666664</v>
      </c>
      <c r="I26" s="37">
        <v>104.95238095238093</v>
      </c>
      <c r="J26" s="90">
        <v>-39.595238095238102</v>
      </c>
      <c r="L26" s="123">
        <v>7.4960382268073368E-3</v>
      </c>
      <c r="M26" s="37">
        <v>1.1338393066108184E-2</v>
      </c>
      <c r="N26" s="37">
        <v>2.1455564876274633E-2</v>
      </c>
      <c r="O26" s="90">
        <v>9.9595212786151594E-3</v>
      </c>
      <c r="Z26" t="str">
        <f t="shared" si="3"/>
        <v>Nickel</v>
      </c>
      <c r="AA26" s="277">
        <f t="shared" si="3"/>
        <v>80</v>
      </c>
      <c r="AB26" s="73">
        <f t="shared" si="3"/>
        <v>19</v>
      </c>
      <c r="AC26" s="73">
        <f t="shared" si="3"/>
        <v>28</v>
      </c>
      <c r="AD26" s="247">
        <f t="shared" si="3"/>
        <v>37</v>
      </c>
      <c r="AE26" s="312">
        <f t="array" ref="AE26">$W$15-$S$15/2-MMULT(AA26:AD26-$R$6:$U$6,MMULT($L$6:$O$9,TRANSPOSE(AA26:AD26-$R$6:$U$6)))/2</f>
        <v>-284.49126939644799</v>
      </c>
      <c r="AF26" s="313">
        <f t="array" ref="AF26">$W$16-$S$16/2-MMULT(AA26:AD26-$R$7:$U$7,MMULT($L$12:$O$15,TRANSPOSE(AA26:AD26-$R$7:$U$7)))/2</f>
        <v>-148.98420516346459</v>
      </c>
      <c r="AG26" s="313">
        <f t="array" ref="AG26">$W$17-$S$17/2-MMULT(AA26:AD26-$R$8:$U$8,MMULT($L$18:$O$21,TRANSPOSE(AA26:AD26-$R$8:$U$8)))/2</f>
        <v>-44.808183984605961</v>
      </c>
      <c r="AH26" s="313">
        <f t="array" ref="AH26">$W$18-$S$18/2-MMULT(AA26:AD26-$R$9:$U$9,MMULT($L$24:$O$27,TRANSPOSE(AA26:AD26-$R$9:$U$9)))/2</f>
        <v>-12.659779527634395</v>
      </c>
      <c r="AI26" s="313">
        <f t="array" ref="AI26">$W$19-$S$19/2-MMULT(AA26:AD26-$R$10:$U$10,MMULT($L$30:$O$33,TRANSPOSE(AA26:AD26-$R$10:$U$10)))/2</f>
        <v>-12.742496161454326</v>
      </c>
      <c r="AJ26" s="278" t="str">
        <f t="shared" si="4"/>
        <v>Nickel</v>
      </c>
    </row>
    <row r="27" spans="1:42" ht="14.45" x14ac:dyDescent="0.35">
      <c r="A27" t="s">
        <v>814</v>
      </c>
      <c r="B27" s="277">
        <v>49</v>
      </c>
      <c r="C27" s="73">
        <v>35</v>
      </c>
      <c r="D27" s="73">
        <v>38</v>
      </c>
      <c r="E27" s="247">
        <v>17</v>
      </c>
      <c r="G27" s="91">
        <v>21.547619047619055</v>
      </c>
      <c r="H27" s="92">
        <v>3.1666666666666665</v>
      </c>
      <c r="I27" s="92">
        <v>-39.595238095238102</v>
      </c>
      <c r="J27" s="93">
        <v>65.476190476190467</v>
      </c>
      <c r="L27" s="91">
        <v>1.914165505309717E-3</v>
      </c>
      <c r="M27" s="92">
        <v>3.4562045680882657E-3</v>
      </c>
      <c r="N27" s="92">
        <v>9.9595212786151594E-3</v>
      </c>
      <c r="O27" s="93">
        <v>2.0498432325991269E-2</v>
      </c>
      <c r="Z27" t="str">
        <f t="shared" si="3"/>
        <v>Nickel</v>
      </c>
      <c r="AA27" s="277">
        <f t="shared" si="3"/>
        <v>49</v>
      </c>
      <c r="AB27" s="73">
        <f t="shared" si="3"/>
        <v>35</v>
      </c>
      <c r="AC27" s="73">
        <f t="shared" si="3"/>
        <v>38</v>
      </c>
      <c r="AD27" s="247">
        <f t="shared" si="3"/>
        <v>17</v>
      </c>
      <c r="AE27" s="312">
        <f t="array" ref="AE27">$W$15-$S$15/2-MMULT(AA27:AD27-$R$6:$U$6,MMULT($L$6:$O$9,TRANSPOSE(AA27:AD27-$R$6:$U$6)))/2</f>
        <v>-41.966902811606658</v>
      </c>
      <c r="AF27" s="313">
        <f t="array" ref="AF27">$W$16-$S$16/2-MMULT(AA27:AD27-$R$7:$U$7,MMULT($L$12:$O$15,TRANSPOSE(AA27:AD27-$R$7:$U$7)))/2</f>
        <v>-14.622291438350855</v>
      </c>
      <c r="AG27" s="313">
        <f t="array" ref="AG27">$W$17-$S$17/2-MMULT(AA27:AD27-$R$8:$U$8,MMULT($L$18:$O$21,TRANSPOSE(AA27:AD27-$R$8:$U$8)))/2</f>
        <v>-59.781764254229735</v>
      </c>
      <c r="AH27" s="313">
        <f t="array" ref="AH27">$W$18-$S$18/2-MMULT(AA27:AD27-$R$9:$U$9,MMULT($L$24:$O$27,TRANSPOSE(AA27:AD27-$R$9:$U$9)))/2</f>
        <v>-13.018459081524282</v>
      </c>
      <c r="AI27" s="313">
        <f t="array" ref="AI27">$W$19-$S$19/2-MMULT(AA27:AD27-$R$10:$U$10,MMULT($L$30:$O$33,TRANSPOSE(AA27:AD27-$R$10:$U$10)))/2</f>
        <v>-13.344092333549952</v>
      </c>
      <c r="AJ27" s="278" t="str">
        <f t="shared" si="4"/>
        <v>Nickel</v>
      </c>
    </row>
    <row r="28" spans="1:42" ht="14.45" x14ac:dyDescent="0.35">
      <c r="A28" t="s">
        <v>814</v>
      </c>
      <c r="B28" s="277">
        <v>51</v>
      </c>
      <c r="C28" s="73">
        <v>44</v>
      </c>
      <c r="D28" s="73">
        <v>9</v>
      </c>
      <c r="E28" s="247">
        <v>37</v>
      </c>
      <c r="Z28" t="str">
        <f t="shared" si="3"/>
        <v>Nickel</v>
      </c>
      <c r="AA28" s="277">
        <f t="shared" si="3"/>
        <v>51</v>
      </c>
      <c r="AB28" s="73">
        <f t="shared" si="3"/>
        <v>44</v>
      </c>
      <c r="AC28" s="73">
        <f t="shared" si="3"/>
        <v>9</v>
      </c>
      <c r="AD28" s="247">
        <f t="shared" si="3"/>
        <v>37</v>
      </c>
      <c r="AE28" s="312">
        <f t="array" ref="AE28">$W$15-$S$15/2-MMULT(AA28:AD28-$R$6:$U$6,MMULT($L$6:$O$9,TRANSPOSE(AA28:AD28-$R$6:$U$6)))/2</f>
        <v>-111.06391616344482</v>
      </c>
      <c r="AF28" s="313">
        <f t="array" ref="AF28">$W$16-$S$16/2-MMULT(AA28:AD28-$R$7:$U$7,MMULT($L$12:$O$15,TRANSPOSE(AA28:AD28-$R$7:$U$7)))/2</f>
        <v>-162.03955920103419</v>
      </c>
      <c r="AG28" s="313">
        <f t="array" ref="AG28">$W$17-$S$17/2-MMULT(AA28:AD28-$R$8:$U$8,MMULT($L$18:$O$21,TRANSPOSE(AA28:AD28-$R$8:$U$8)))/2</f>
        <v>-182.23787825285115</v>
      </c>
      <c r="AH28" s="313">
        <f t="array" ref="AH28">$W$18-$S$18/2-MMULT(AA28:AD28-$R$9:$U$9,MMULT($L$24:$O$27,TRANSPOSE(AA28:AD28-$R$9:$U$9)))/2</f>
        <v>-13.189527718466444</v>
      </c>
      <c r="AI28" s="313">
        <f t="array" ref="AI28">$W$19-$S$19/2-MMULT(AA28:AD28-$R$10:$U$10,MMULT($L$30:$O$33,TRANSPOSE(AA28:AD28-$R$10:$U$10)))/2</f>
        <v>-18.10257891355382</v>
      </c>
      <c r="AJ28" s="278" t="str">
        <f t="shared" si="4"/>
        <v>Nickel</v>
      </c>
    </row>
    <row r="29" spans="1:42" ht="14.45" x14ac:dyDescent="0.35">
      <c r="A29" t="s">
        <v>814</v>
      </c>
      <c r="B29" s="277">
        <v>23</v>
      </c>
      <c r="C29" s="73">
        <v>37</v>
      </c>
      <c r="D29" s="73">
        <v>39</v>
      </c>
      <c r="E29" s="247">
        <v>37</v>
      </c>
      <c r="G29" t="str">
        <f>A30</f>
        <v>Tin</v>
      </c>
      <c r="Z29" t="str">
        <f t="shared" si="3"/>
        <v>Nickel</v>
      </c>
      <c r="AA29" s="277">
        <f t="shared" si="3"/>
        <v>23</v>
      </c>
      <c r="AB29" s="73">
        <f t="shared" si="3"/>
        <v>37</v>
      </c>
      <c r="AC29" s="73">
        <f t="shared" si="3"/>
        <v>39</v>
      </c>
      <c r="AD29" s="247">
        <f t="shared" si="3"/>
        <v>37</v>
      </c>
      <c r="AE29" s="312">
        <f t="array" ref="AE29">$W$15-$S$15/2-MMULT(AA29:AD29-$R$6:$U$6,MMULT($L$6:$O$9,TRANSPOSE(AA29:AD29-$R$6:$U$6)))/2</f>
        <v>-23.848926846206304</v>
      </c>
      <c r="AF29" s="313">
        <f t="array" ref="AF29">$W$16-$S$16/2-MMULT(AA29:AD29-$R$7:$U$7,MMULT($L$12:$O$15,TRANSPOSE(AA29:AD29-$R$7:$U$7)))/2</f>
        <v>-40.108630230587494</v>
      </c>
      <c r="AG29" s="313">
        <f t="array" ref="AG29">$W$17-$S$17/2-MMULT(AA29:AD29-$R$8:$U$8,MMULT($L$18:$O$21,TRANSPOSE(AA29:AD29-$R$8:$U$8)))/2</f>
        <v>-164.29752791967235</v>
      </c>
      <c r="AH29" s="313">
        <f t="array" ref="AH29">$W$18-$S$18/2-MMULT(AA29:AD29-$R$9:$U$9,MMULT($L$24:$O$27,TRANSPOSE(AA29:AD29-$R$9:$U$9)))/2</f>
        <v>-13.126472591336245</v>
      </c>
      <c r="AI29" s="313">
        <f t="array" ref="AI29">$W$19-$S$19/2-MMULT(AA29:AD29-$R$10:$U$10,MMULT($L$30:$O$33,TRANSPOSE(AA29:AD29-$R$10:$U$10)))/2</f>
        <v>-18.699340855965808</v>
      </c>
      <c r="AJ29" s="278" t="str">
        <f t="shared" si="4"/>
        <v>Nickel</v>
      </c>
    </row>
    <row r="30" spans="1:42" ht="14.45" x14ac:dyDescent="0.35">
      <c r="A30" t="s">
        <v>815</v>
      </c>
      <c r="B30" s="277">
        <v>47</v>
      </c>
      <c r="C30" s="73">
        <v>47</v>
      </c>
      <c r="D30" s="73">
        <v>32</v>
      </c>
      <c r="E30" s="247">
        <v>27</v>
      </c>
      <c r="G30" s="138">
        <f t="array" ref="G30:J33">[1]!ExtractCov($A$4:$E$39,G29)</f>
        <v>738.32222222222219</v>
      </c>
      <c r="H30" s="139">
        <v>43.044444444444451</v>
      </c>
      <c r="I30" s="139">
        <v>174.54444444444445</v>
      </c>
      <c r="J30" s="140">
        <v>70.577777777777783</v>
      </c>
      <c r="L30" s="138">
        <f t="array" ref="L30:O33">MINVERSE(G30:J33)</f>
        <v>1.9224492598814908E-3</v>
      </c>
      <c r="M30" s="139">
        <v>-3.6735146968222749E-4</v>
      </c>
      <c r="N30" s="139">
        <v>-1.3125223576586451E-3</v>
      </c>
      <c r="O30" s="140">
        <v>-2.4721816057708713E-3</v>
      </c>
      <c r="Z30" t="str">
        <f t="shared" si="3"/>
        <v>Tin</v>
      </c>
      <c r="AA30" s="277">
        <f t="shared" si="3"/>
        <v>47</v>
      </c>
      <c r="AB30" s="73">
        <f t="shared" si="3"/>
        <v>47</v>
      </c>
      <c r="AC30" s="73">
        <f t="shared" si="3"/>
        <v>32</v>
      </c>
      <c r="AD30" s="247">
        <f t="shared" si="3"/>
        <v>27</v>
      </c>
      <c r="AE30" s="312">
        <f t="array" ref="AE30">$W$15-$S$15/2-MMULT(AA30:AD30-$R$6:$U$6,MMULT($L$6:$O$9,TRANSPOSE(AA30:AD30-$R$6:$U$6)))/2</f>
        <v>-69.633223327995438</v>
      </c>
      <c r="AF30" s="313">
        <f t="array" ref="AF30">$W$16-$S$16/2-MMULT(AA30:AD30-$R$7:$U$7,MMULT($L$12:$O$15,TRANSPOSE(AA30:AD30-$R$7:$U$7)))/2</f>
        <v>-24.096812608996132</v>
      </c>
      <c r="AG30" s="313">
        <f t="array" ref="AG30">$W$17-$S$17/2-MMULT(AA30:AD30-$R$8:$U$8,MMULT($L$18:$O$21,TRANSPOSE(AA30:AD30-$R$8:$U$8)))/2</f>
        <v>-162.38103178961219</v>
      </c>
      <c r="AH30" s="313">
        <f t="array" ref="AH30">$W$18-$S$18/2-MMULT(AA30:AD30-$R$9:$U$9,MMULT($L$24:$O$27,TRANSPOSE(AA30:AD30-$R$9:$U$9)))/2</f>
        <v>-13.991845864817833</v>
      </c>
      <c r="AI30" s="313">
        <f t="array" ref="AI30">$W$19-$S$19/2-MMULT(AA30:AD30-$R$10:$U$10,MMULT($L$30:$O$33,TRANSPOSE(AA30:AD30-$R$10:$U$10)))/2</f>
        <v>-15.474801897444539</v>
      </c>
      <c r="AJ30" s="278" t="str">
        <f t="shared" si="4"/>
        <v>Nickel</v>
      </c>
    </row>
    <row r="31" spans="1:42" ht="14.45" x14ac:dyDescent="0.35">
      <c r="A31" t="s">
        <v>815</v>
      </c>
      <c r="B31" s="277">
        <v>125</v>
      </c>
      <c r="C31" s="73">
        <v>44</v>
      </c>
      <c r="D31" s="73">
        <v>68</v>
      </c>
      <c r="E31" s="247">
        <v>20</v>
      </c>
      <c r="G31" s="123">
        <v>43.044444444444451</v>
      </c>
      <c r="H31" s="37">
        <v>196.71111111111111</v>
      </c>
      <c r="I31" s="37">
        <v>117.82222222222222</v>
      </c>
      <c r="J31" s="90">
        <v>-58.311111111111103</v>
      </c>
      <c r="L31" s="123">
        <v>-3.6735146968222749E-4</v>
      </c>
      <c r="M31" s="37">
        <v>7.1339481993681958E-3</v>
      </c>
      <c r="N31" s="37">
        <v>-1.5919389659322068E-3</v>
      </c>
      <c r="O31" s="90">
        <v>3.428997433940643E-3</v>
      </c>
      <c r="Z31" t="str">
        <f t="shared" si="3"/>
        <v>Tin</v>
      </c>
      <c r="AA31" s="277">
        <f t="shared" si="3"/>
        <v>125</v>
      </c>
      <c r="AB31" s="73">
        <f t="shared" si="3"/>
        <v>44</v>
      </c>
      <c r="AC31" s="73">
        <f t="shared" si="3"/>
        <v>68</v>
      </c>
      <c r="AD31" s="247">
        <f t="shared" si="3"/>
        <v>20</v>
      </c>
      <c r="AE31" s="312">
        <f t="array" ref="AE31">$W$15-$S$15/2-MMULT(AA31:AD31-$R$6:$U$6,MMULT($L$6:$O$9,TRANSPOSE(AA31:AD31-$R$6:$U$6)))/2</f>
        <v>-1038.0912103130695</v>
      </c>
      <c r="AF31" s="313">
        <f t="array" ref="AF31">$W$16-$S$16/2-MMULT(AA31:AD31-$R$7:$U$7,MMULT($L$12:$O$15,TRANSPOSE(AA31:AD31-$R$7:$U$7)))/2</f>
        <v>-86.814601739967671</v>
      </c>
      <c r="AG31" s="313">
        <f t="array" ref="AG31">$W$17-$S$17/2-MMULT(AA31:AD31-$R$8:$U$8,MMULT($L$18:$O$21,TRANSPOSE(AA31:AD31-$R$8:$U$8)))/2</f>
        <v>-168.76377378204356</v>
      </c>
      <c r="AH31" s="313">
        <f t="array" ref="AH31">$W$18-$S$18/2-MMULT(AA31:AD31-$R$9:$U$9,MMULT($L$24:$O$27,TRANSPOSE(AA31:AD31-$R$9:$U$9)))/2</f>
        <v>-80.591308658874482</v>
      </c>
      <c r="AI31" s="313">
        <f t="array" ref="AI31">$W$19-$S$19/2-MMULT(AA31:AD31-$R$10:$U$10,MMULT($L$30:$O$33,TRANSPOSE(AA31:AD31-$R$10:$U$10)))/2</f>
        <v>-14.050622407532504</v>
      </c>
      <c r="AJ31" s="278" t="str">
        <f t="shared" si="4"/>
        <v>Tin</v>
      </c>
    </row>
    <row r="32" spans="1:42" x14ac:dyDescent="0.25">
      <c r="A32" t="s">
        <v>815</v>
      </c>
      <c r="B32" s="277">
        <v>98</v>
      </c>
      <c r="C32" s="73">
        <v>25</v>
      </c>
      <c r="D32" s="73">
        <v>38</v>
      </c>
      <c r="E32" s="247">
        <v>18</v>
      </c>
      <c r="G32" s="123">
        <v>174.54444444444445</v>
      </c>
      <c r="H32" s="37">
        <v>117.82222222222222</v>
      </c>
      <c r="I32" s="37">
        <v>346.32222222222219</v>
      </c>
      <c r="J32" s="90">
        <v>-65.644444444444431</v>
      </c>
      <c r="L32" s="123">
        <v>-1.3125223576586451E-3</v>
      </c>
      <c r="M32" s="37">
        <v>-1.5919389659322064E-3</v>
      </c>
      <c r="N32" s="37">
        <v>4.6822876001453174E-3</v>
      </c>
      <c r="O32" s="90">
        <v>3.1216803821470223E-3</v>
      </c>
      <c r="Z32" t="str">
        <f t="shared" si="3"/>
        <v>Tin</v>
      </c>
      <c r="AA32" s="277">
        <f t="shared" si="3"/>
        <v>98</v>
      </c>
      <c r="AB32" s="73">
        <f t="shared" si="3"/>
        <v>25</v>
      </c>
      <c r="AC32" s="73">
        <f t="shared" si="3"/>
        <v>38</v>
      </c>
      <c r="AD32" s="247">
        <f t="shared" si="3"/>
        <v>18</v>
      </c>
      <c r="AE32" s="312">
        <f t="array" ref="AE32">$W$15-$S$15/2-MMULT(AA32:AD32-$R$6:$U$6,MMULT($L$6:$O$9,TRANSPOSE(AA32:AD32-$R$6:$U$6)))/2</f>
        <v>-428.18838882059271</v>
      </c>
      <c r="AF32" s="313">
        <f t="array" ref="AF32">$W$16-$S$16/2-MMULT(AA32:AD32-$R$7:$U$7,MMULT($L$12:$O$15,TRANSPOSE(AA32:AD32-$R$7:$U$7)))/2</f>
        <v>-96.458803991827978</v>
      </c>
      <c r="AG32" s="313">
        <f t="array" ref="AG32">$W$17-$S$17/2-MMULT(AA32:AD32-$R$8:$U$8,MMULT($L$18:$O$21,TRANSPOSE(AA32:AD32-$R$8:$U$8)))/2</f>
        <v>-126.67888113296009</v>
      </c>
      <c r="AH32" s="313">
        <f t="array" ref="AH32">$W$18-$S$18/2-MMULT(AA32:AD32-$R$9:$U$9,MMULT($L$24:$O$27,TRANSPOSE(AA32:AD32-$R$9:$U$9)))/2</f>
        <v>-20.484642699289875</v>
      </c>
      <c r="AI32" s="313">
        <f t="array" ref="AI32">$W$19-$S$19/2-MMULT(AA32:AD32-$R$10:$U$10,MMULT($L$30:$O$33,TRANSPOSE(AA32:AD32-$R$10:$U$10)))/2</f>
        <v>-13.527195370478541</v>
      </c>
      <c r="AJ32" s="278" t="str">
        <f t="shared" si="4"/>
        <v>Tin</v>
      </c>
    </row>
    <row r="33" spans="1:36" x14ac:dyDescent="0.25">
      <c r="A33" t="s">
        <v>815</v>
      </c>
      <c r="B33" s="277">
        <v>121</v>
      </c>
      <c r="C33" s="73">
        <v>39</v>
      </c>
      <c r="D33" s="73">
        <v>61</v>
      </c>
      <c r="E33" s="247">
        <v>33</v>
      </c>
      <c r="G33" s="91">
        <v>70.577777777777783</v>
      </c>
      <c r="H33" s="92">
        <v>-58.311111111111103</v>
      </c>
      <c r="I33" s="92">
        <v>-65.644444444444431</v>
      </c>
      <c r="J33" s="93">
        <v>98.399999999999991</v>
      </c>
      <c r="L33" s="91">
        <v>-2.4721816057708713E-3</v>
      </c>
      <c r="M33" s="92">
        <v>3.4289974339406426E-3</v>
      </c>
      <c r="N33" s="92">
        <v>3.1216803821470219E-3</v>
      </c>
      <c r="O33" s="93">
        <v>1.6050312081176795E-2</v>
      </c>
      <c r="Z33" t="str">
        <f t="shared" si="3"/>
        <v>Tin</v>
      </c>
      <c r="AA33" s="277">
        <f t="shared" si="3"/>
        <v>121</v>
      </c>
      <c r="AB33" s="73">
        <f t="shared" si="3"/>
        <v>39</v>
      </c>
      <c r="AC33" s="73">
        <f t="shared" si="3"/>
        <v>61</v>
      </c>
      <c r="AD33" s="247">
        <f t="shared" si="3"/>
        <v>33</v>
      </c>
      <c r="AE33" s="312">
        <f t="array" ref="AE33">$W$15-$S$15/2-MMULT(AA33:AD33-$R$6:$U$6,MMULT($L$6:$O$9,TRANSPOSE(AA33:AD33-$R$6:$U$6)))/2</f>
        <v>-1029.4515095056151</v>
      </c>
      <c r="AF33" s="313">
        <f t="array" ref="AF33">$W$16-$S$16/2-MMULT(AA33:AD33-$R$7:$U$7,MMULT($L$12:$O$15,TRANSPOSE(AA33:AD33-$R$7:$U$7)))/2</f>
        <v>-137.1039943257156</v>
      </c>
      <c r="AG33" s="313">
        <f t="array" ref="AG33">$W$17-$S$17/2-MMULT(AA33:AD33-$R$8:$U$8,MMULT($L$18:$O$21,TRANSPOSE(AA33:AD33-$R$8:$U$8)))/2</f>
        <v>-112.02202830412685</v>
      </c>
      <c r="AH33" s="313">
        <f t="array" ref="AH33">$W$18-$S$18/2-MMULT(AA33:AD33-$R$9:$U$9,MMULT($L$24:$O$27,TRANSPOSE(AA33:AD33-$R$9:$U$9)))/2</f>
        <v>-67.180205395862544</v>
      </c>
      <c r="AI33" s="313">
        <f t="array" ref="AI33">$W$19-$S$19/2-MMULT(AA33:AD33-$R$10:$U$10,MMULT($L$30:$O$33,TRANSPOSE(AA33:AD33-$R$10:$U$10)))/2</f>
        <v>-13.647182768490635</v>
      </c>
      <c r="AJ33" s="278" t="str">
        <f t="shared" si="4"/>
        <v>Tin</v>
      </c>
    </row>
    <row r="34" spans="1:36" x14ac:dyDescent="0.25">
      <c r="A34" t="s">
        <v>815</v>
      </c>
      <c r="B34" s="277">
        <v>61</v>
      </c>
      <c r="C34" s="73">
        <v>25</v>
      </c>
      <c r="D34" s="73">
        <v>25</v>
      </c>
      <c r="E34" s="247">
        <v>15</v>
      </c>
      <c r="Z34" t="str">
        <f t="shared" si="3"/>
        <v>Tin</v>
      </c>
      <c r="AA34" s="277">
        <f t="shared" si="3"/>
        <v>61</v>
      </c>
      <c r="AB34" s="73">
        <f t="shared" si="3"/>
        <v>25</v>
      </c>
      <c r="AC34" s="73">
        <f t="shared" si="3"/>
        <v>25</v>
      </c>
      <c r="AD34" s="247">
        <f t="shared" si="3"/>
        <v>15</v>
      </c>
      <c r="AE34" s="312">
        <f t="array" ref="AE34">$W$15-$S$15/2-MMULT(AA34:AD34-$R$6:$U$6,MMULT($L$6:$O$9,TRANSPOSE(AA34:AD34-$R$6:$U$6)))/2</f>
        <v>-79.713749502245449</v>
      </c>
      <c r="AF34" s="313">
        <f t="array" ref="AF34">$W$16-$S$16/2-MMULT(AA34:AD34-$R$7:$U$7,MMULT($L$12:$O$15,TRANSPOSE(AA34:AD34-$R$7:$U$7)))/2</f>
        <v>-24.712671891692843</v>
      </c>
      <c r="AG34" s="313">
        <f t="array" ref="AG34">$W$17-$S$17/2-MMULT(AA34:AD34-$R$8:$U$8,MMULT($L$18:$O$21,TRANSPOSE(AA34:AD34-$R$8:$U$8)))/2</f>
        <v>-47.672736664066093</v>
      </c>
      <c r="AH34" s="313">
        <f t="array" ref="AH34">$W$18-$S$18/2-MMULT(AA34:AD34-$R$9:$U$9,MMULT($L$24:$O$27,TRANSPOSE(AA34:AD34-$R$9:$U$9)))/2</f>
        <v>-14.023070908644524</v>
      </c>
      <c r="AI34" s="313">
        <f t="array" ref="AI34">$W$19-$S$19/2-MMULT(AA34:AD34-$R$10:$U$10,MMULT($L$30:$O$33,TRANSPOSE(AA34:AD34-$R$10:$U$10)))/2</f>
        <v>-13.97225070090969</v>
      </c>
      <c r="AJ34" s="278" t="str">
        <f t="shared" si="4"/>
        <v>Tin</v>
      </c>
    </row>
    <row r="35" spans="1:36" x14ac:dyDescent="0.25">
      <c r="A35" t="s">
        <v>815</v>
      </c>
      <c r="B35" s="277">
        <v>87</v>
      </c>
      <c r="C35" s="73">
        <v>11</v>
      </c>
      <c r="D35" s="73">
        <v>20</v>
      </c>
      <c r="E35" s="247">
        <v>45</v>
      </c>
      <c r="Z35" t="str">
        <f t="shared" si="3"/>
        <v>Tin</v>
      </c>
      <c r="AA35" s="277">
        <f t="shared" si="3"/>
        <v>87</v>
      </c>
      <c r="AB35" s="73">
        <f t="shared" si="3"/>
        <v>11</v>
      </c>
      <c r="AC35" s="73">
        <f t="shared" si="3"/>
        <v>20</v>
      </c>
      <c r="AD35" s="247">
        <f t="shared" si="3"/>
        <v>45</v>
      </c>
      <c r="AE35" s="312">
        <f t="array" ref="AE35">$W$15-$S$15/2-MMULT(AA35:AD35-$R$6:$U$6,MMULT($L$6:$O$9,TRANSPOSE(AA35:AD35-$R$6:$U$6)))/2</f>
        <v>-378.22245883412359</v>
      </c>
      <c r="AF35" s="313">
        <f t="array" ref="AF35">$W$16-$S$16/2-MMULT(AA35:AD35-$R$7:$U$7,MMULT($L$12:$O$15,TRANSPOSE(AA35:AD35-$R$7:$U$7)))/2</f>
        <v>-316.21275949745916</v>
      </c>
      <c r="AG35" s="313">
        <f t="array" ref="AG35">$W$17-$S$17/2-MMULT(AA35:AD35-$R$8:$U$8,MMULT($L$18:$O$21,TRANSPOSE(AA35:AD35-$R$8:$U$8)))/2</f>
        <v>-111.38662984456627</v>
      </c>
      <c r="AH35" s="313">
        <f t="array" ref="AH35">$W$18-$S$18/2-MMULT(AA35:AD35-$R$9:$U$9,MMULT($L$24:$O$27,TRANSPOSE(AA35:AD35-$R$9:$U$9)))/2</f>
        <v>-14.156914944178762</v>
      </c>
      <c r="AI35" s="313">
        <f t="array" ref="AI35">$W$19-$S$19/2-MMULT(AA35:AD35-$R$10:$U$10,MMULT($L$30:$O$33,TRANSPOSE(AA35:AD35-$R$10:$U$10)))/2</f>
        <v>-13.957723183102214</v>
      </c>
      <c r="AJ35" s="278" t="str">
        <f t="shared" si="4"/>
        <v>Tin</v>
      </c>
    </row>
    <row r="36" spans="1:36" x14ac:dyDescent="0.25">
      <c r="A36" t="s">
        <v>815</v>
      </c>
      <c r="B36" s="277">
        <v>63</v>
      </c>
      <c r="C36" s="73">
        <v>11</v>
      </c>
      <c r="D36" s="73">
        <v>34</v>
      </c>
      <c r="E36" s="247">
        <v>26</v>
      </c>
      <c r="Z36" t="str">
        <f t="shared" si="3"/>
        <v>Tin</v>
      </c>
      <c r="AA36" s="277">
        <f t="shared" si="3"/>
        <v>63</v>
      </c>
      <c r="AB36" s="73">
        <f t="shared" si="3"/>
        <v>11</v>
      </c>
      <c r="AC36" s="73">
        <f t="shared" si="3"/>
        <v>34</v>
      </c>
      <c r="AD36" s="247">
        <f t="shared" si="3"/>
        <v>26</v>
      </c>
      <c r="AE36" s="312">
        <f t="array" ref="AE36">$W$15-$S$15/2-MMULT(AA36:AD36-$R$6:$U$6,MMULT($L$6:$O$9,TRANSPOSE(AA36:AD36-$R$6:$U$6)))/2</f>
        <v>-110.79854173063055</v>
      </c>
      <c r="AF36" s="313">
        <f t="array" ref="AF36">$W$16-$S$16/2-MMULT(AA36:AD36-$R$7:$U$7,MMULT($L$12:$O$15,TRANSPOSE(AA36:AD36-$R$7:$U$7)))/2</f>
        <v>-35.710432630901366</v>
      </c>
      <c r="AG36" s="313">
        <f t="array" ref="AG36">$W$17-$S$17/2-MMULT(AA36:AD36-$R$8:$U$8,MMULT($L$18:$O$21,TRANSPOSE(AA36:AD36-$R$8:$U$8)))/2</f>
        <v>-42.613828489500889</v>
      </c>
      <c r="AH36" s="313">
        <f t="array" ref="AH36">$W$18-$S$18/2-MMULT(AA36:AD36-$R$9:$U$9,MMULT($L$24:$O$27,TRANSPOSE(AA36:AD36-$R$9:$U$9)))/2</f>
        <v>-12.277063514992161</v>
      </c>
      <c r="AI36" s="313">
        <f t="array" ref="AI36">$W$19-$S$19/2-MMULT(AA36:AD36-$R$10:$U$10,MMULT($L$30:$O$33,TRANSPOSE(AA36:AD36-$R$10:$U$10)))/2</f>
        <v>-12.863168239936895</v>
      </c>
      <c r="AJ36" s="278" t="str">
        <f t="shared" si="4"/>
        <v>Nickel</v>
      </c>
    </row>
    <row r="37" spans="1:36" x14ac:dyDescent="0.25">
      <c r="A37" t="s">
        <v>815</v>
      </c>
      <c r="B37" s="277">
        <v>71</v>
      </c>
      <c r="C37" s="73">
        <v>21</v>
      </c>
      <c r="D37" s="73">
        <v>61</v>
      </c>
      <c r="E37" s="247">
        <v>26</v>
      </c>
      <c r="Z37" t="str">
        <f t="shared" si="3"/>
        <v>Tin</v>
      </c>
      <c r="AA37" s="277">
        <f t="shared" si="3"/>
        <v>71</v>
      </c>
      <c r="AB37" s="73">
        <f t="shared" si="3"/>
        <v>21</v>
      </c>
      <c r="AC37" s="73">
        <f t="shared" si="3"/>
        <v>61</v>
      </c>
      <c r="AD37" s="247">
        <f t="shared" si="3"/>
        <v>26</v>
      </c>
      <c r="AE37" s="312">
        <f t="array" ref="AE37">$W$15-$S$15/2-MMULT(AA37:AD37-$R$6:$U$6,MMULT($L$6:$O$9,TRANSPOSE(AA37:AD37-$R$6:$U$6)))/2</f>
        <v>-243.18661325721214</v>
      </c>
      <c r="AF37" s="313">
        <f t="array" ref="AF37">$W$16-$S$16/2-MMULT(AA37:AD37-$R$7:$U$7,MMULT($L$12:$O$15,TRANSPOSE(AA37:AD37-$R$7:$U$7)))/2</f>
        <v>-43.297940739942625</v>
      </c>
      <c r="AG37" s="313">
        <f t="array" ref="AG37">$W$17-$S$17/2-MMULT(AA37:AD37-$R$8:$U$8,MMULT($L$18:$O$21,TRANSPOSE(AA37:AD37-$R$8:$U$8)))/2</f>
        <v>-43.032024579422249</v>
      </c>
      <c r="AH37" s="313">
        <f t="array" ref="AH37">$W$18-$S$18/2-MMULT(AA37:AD37-$R$9:$U$9,MMULT($L$24:$O$27,TRANSPOSE(AA37:AD37-$R$9:$U$9)))/2</f>
        <v>-23.35804530361122</v>
      </c>
      <c r="AI37" s="313">
        <f t="array" ref="AI37">$W$19-$S$19/2-MMULT(AA37:AD37-$R$10:$U$10,MMULT($L$30:$O$33,TRANSPOSE(AA37:AD37-$R$10:$U$10)))/2</f>
        <v>-13.285939156008002</v>
      </c>
      <c r="AJ37" s="278" t="str">
        <f t="shared" si="4"/>
        <v>Tin</v>
      </c>
    </row>
    <row r="38" spans="1:36" x14ac:dyDescent="0.25">
      <c r="A38" t="s">
        <v>815</v>
      </c>
      <c r="B38" s="277">
        <v>105</v>
      </c>
      <c r="C38" s="73">
        <v>7</v>
      </c>
      <c r="D38" s="73">
        <v>33</v>
      </c>
      <c r="E38" s="247">
        <v>40</v>
      </c>
      <c r="Z38" t="str">
        <f t="shared" si="3"/>
        <v>Tin</v>
      </c>
      <c r="AA38" s="277">
        <f t="shared" si="3"/>
        <v>105</v>
      </c>
      <c r="AB38" s="73">
        <f t="shared" si="3"/>
        <v>7</v>
      </c>
      <c r="AC38" s="73">
        <f t="shared" si="3"/>
        <v>33</v>
      </c>
      <c r="AD38" s="247">
        <f t="shared" si="3"/>
        <v>40</v>
      </c>
      <c r="AE38" s="312">
        <f t="array" ref="AE38">$W$15-$S$15/2-MMULT(AA38:AD38-$R$6:$U$6,MMULT($L$6:$O$9,TRANSPOSE(AA38:AD38-$R$6:$U$6)))/2</f>
        <v>-627.09907984928816</v>
      </c>
      <c r="AF38" s="313">
        <f t="array" ref="AF38">$W$16-$S$16/2-MMULT(AA38:AD38-$R$7:$U$7,MMULT($L$12:$O$15,TRANSPOSE(AA38:AD38-$R$7:$U$7)))/2</f>
        <v>-302.66802097156403</v>
      </c>
      <c r="AG38" s="313">
        <f t="array" ref="AG38">$W$17-$S$17/2-MMULT(AA38:AD38-$R$8:$U$8,MMULT($L$18:$O$21,TRANSPOSE(AA38:AD38-$R$8:$U$8)))/2</f>
        <v>-212.3540547341949</v>
      </c>
      <c r="AH38" s="313">
        <f t="array" ref="AH38">$W$18-$S$18/2-MMULT(AA38:AD38-$R$9:$U$9,MMULT($L$24:$O$27,TRANSPOSE(AA38:AD38-$R$9:$U$9)))/2</f>
        <v>-18.355804130361708</v>
      </c>
      <c r="AI38" s="313">
        <f t="array" ref="AI38">$W$19-$S$19/2-MMULT(AA38:AD38-$R$10:$U$10,MMULT($L$30:$O$33,TRANSPOSE(AA38:AD38-$R$10:$U$10)))/2</f>
        <v>-13.512992294185448</v>
      </c>
      <c r="AJ38" s="278" t="str">
        <f t="shared" si="4"/>
        <v>Tin</v>
      </c>
    </row>
    <row r="39" spans="1:36" x14ac:dyDescent="0.25">
      <c r="A39" t="s">
        <v>815</v>
      </c>
      <c r="B39" s="281">
        <v>63</v>
      </c>
      <c r="C39" s="305">
        <v>26</v>
      </c>
      <c r="D39" s="305">
        <v>69</v>
      </c>
      <c r="E39" s="250">
        <v>18</v>
      </c>
      <c r="Z39" t="str">
        <f t="shared" si="3"/>
        <v>Tin</v>
      </c>
      <c r="AA39" s="281">
        <f t="shared" si="3"/>
        <v>63</v>
      </c>
      <c r="AB39" s="305">
        <f t="shared" si="3"/>
        <v>26</v>
      </c>
      <c r="AC39" s="305">
        <f t="shared" si="3"/>
        <v>69</v>
      </c>
      <c r="AD39" s="250">
        <f t="shared" si="3"/>
        <v>18</v>
      </c>
      <c r="AE39" s="320">
        <f t="array" ref="AE39">$W$15-$S$15/2-MMULT(AA39:AD39-$R$6:$U$6,MMULT($L$6:$O$9,TRANSPOSE(AA39:AD39-$R$6:$U$6)))/2</f>
        <v>-177.39704424572437</v>
      </c>
      <c r="AF39" s="321">
        <f t="array" ref="AF39">$W$16-$S$16/2-MMULT(AA39:AD39-$R$7:$U$7,MMULT($L$12:$O$15,TRANSPOSE(AA39:AD39-$R$7:$U$7)))/2</f>
        <v>-107.70050147915596</v>
      </c>
      <c r="AG39" s="321">
        <f t="array" ref="AG39">$W$17-$S$17/2-MMULT(AA39:AD39-$R$8:$U$8,MMULT($L$18:$O$21,TRANSPOSE(AA39:AD39-$R$8:$U$8)))/2</f>
        <v>-43.419173171390469</v>
      </c>
      <c r="AH39" s="321">
        <f t="array" ref="AH39">$W$18-$S$18/2-MMULT(AA39:AD39-$R$9:$U$9,MMULT($L$24:$O$27,TRANSPOSE(AA39:AD39-$R$9:$U$9)))/2</f>
        <v>-27.345608893926471</v>
      </c>
      <c r="AI39" s="321">
        <f t="array" ref="AI39">$W$19-$S$19/2-MMULT(AA39:AD39-$R$10:$U$10,MMULT($L$30:$O$33,TRANSPOSE(AA39:AD39-$R$10:$U$10)))/2</f>
        <v>-14.058232539286196</v>
      </c>
      <c r="AJ39" s="282" t="str">
        <f t="shared" si="4"/>
        <v>Tin</v>
      </c>
    </row>
    <row r="41" spans="1:36" x14ac:dyDescent="0.25">
      <c r="AA41" s="32" t="str">
        <f>AA3</f>
        <v>A</v>
      </c>
      <c r="AB41" s="32" t="str">
        <f t="shared" ref="AB41:AJ41" si="20">AB3</f>
        <v>B</v>
      </c>
      <c r="AC41" s="32" t="str">
        <f t="shared" si="20"/>
        <v>C</v>
      </c>
      <c r="AD41" s="32" t="str">
        <f t="shared" si="20"/>
        <v>D</v>
      </c>
      <c r="AE41" s="32" t="str">
        <f t="shared" si="20"/>
        <v>Iron</v>
      </c>
      <c r="AF41" s="32" t="str">
        <f t="shared" si="20"/>
        <v>Copper</v>
      </c>
      <c r="AG41" s="32" t="str">
        <f t="shared" si="20"/>
        <v>Zinc</v>
      </c>
      <c r="AH41" s="32" t="str">
        <f t="shared" si="20"/>
        <v>Nickel</v>
      </c>
      <c r="AI41" s="32" t="str">
        <f t="shared" si="20"/>
        <v>Tin</v>
      </c>
      <c r="AJ41" s="32" t="str">
        <f t="shared" si="20"/>
        <v>category</v>
      </c>
    </row>
    <row r="42" spans="1:36" x14ac:dyDescent="0.25">
      <c r="Z42" t="str">
        <f t="shared" ref="Z42:AD46" si="21">Q6</f>
        <v>Iron</v>
      </c>
      <c r="AA42" s="274">
        <f t="shared" si="21"/>
        <v>29.714285714285715</v>
      </c>
      <c r="AB42" s="145">
        <f t="shared" si="21"/>
        <v>19</v>
      </c>
      <c r="AC42" s="145">
        <f t="shared" si="21"/>
        <v>34.428571428571431</v>
      </c>
      <c r="AD42" s="275">
        <f t="shared" si="21"/>
        <v>26.714285714285715</v>
      </c>
      <c r="AE42" s="308">
        <f t="array" ref="AE42">$W$15-$S$15/2-MMULT(AA42:AD42-$R$6:$U$6,MMULT($L$6:$O$9,TRANSPOSE(AA42:AD42-$R$6:$U$6)))/2</f>
        <v>-7.2889141508530297</v>
      </c>
      <c r="AF42" s="309">
        <f t="array" ref="AF42">$W$16-$S$16/2-MMULT(AA42:AD42-$R$7:$U$7,MMULT($L$12:$O$15,TRANSPOSE(AA42:AD42-$R$7:$U$7)))/2</f>
        <v>-17.223688803496024</v>
      </c>
      <c r="AG42" s="309">
        <f t="array" ref="AG42">$W$17-$S$17/2-MMULT(AA42:AD42-$R$8:$U$8,MMULT($L$18:$O$21,TRANSPOSE(AA42:AD42-$R$8:$U$8)))/2</f>
        <v>-70.647232112284243</v>
      </c>
      <c r="AH42" s="309">
        <f t="array" ref="AH42">$W$18-$S$18/2-MMULT(AA42:AD42-$R$9:$U$9,MMULT($L$24:$O$27,TRANSPOSE(AA42:AD42-$R$9:$U$9)))/2</f>
        <v>-13.704794193052305</v>
      </c>
      <c r="AI42" s="309">
        <f t="array" ref="AI42">$W$19-$S$19/2-MMULT(AA42:AD42-$R$10:$U$10,MMULT($L$30:$O$33,TRANSPOSE(AA42:AD42-$R$10:$U$10)))/2</f>
        <v>-14.321703420920127</v>
      </c>
      <c r="AJ42" s="276" t="str">
        <f t="shared" ref="AJ42:AJ46" si="22">INDEX($AE$3:$AI$3,,MATCH(MAX(AE42:AI42),AE42:AI42,0))</f>
        <v>Iron</v>
      </c>
    </row>
    <row r="43" spans="1:36" x14ac:dyDescent="0.25">
      <c r="Z43" t="str">
        <f t="shared" si="21"/>
        <v>Copper</v>
      </c>
      <c r="AA43" s="277">
        <f t="shared" si="21"/>
        <v>41</v>
      </c>
      <c r="AB43" s="73">
        <f t="shared" si="21"/>
        <v>23</v>
      </c>
      <c r="AC43" s="73">
        <f t="shared" si="21"/>
        <v>30.5</v>
      </c>
      <c r="AD43" s="247">
        <f t="shared" si="21"/>
        <v>24.666666666666668</v>
      </c>
      <c r="AE43" s="312">
        <f t="array" ref="AE43">$W$15-$S$15/2-MMULT(AA43:AD43-$R$6:$U$6,MMULT($L$6:$O$9,TRANSPOSE(AA43:AD43-$R$6:$U$6)))/2</f>
        <v>-18.666729654622863</v>
      </c>
      <c r="AF43" s="313">
        <f t="array" ref="AF43">$W$16-$S$16/2-MMULT(AA43:AD43-$R$7:$U$7,MMULT($L$12:$O$15,TRANSPOSE(AA43:AD43-$R$7:$U$7)))/2</f>
        <v>-7.845755891225723</v>
      </c>
      <c r="AG43" s="313">
        <f t="array" ref="AG43">$W$17-$S$17/2-MMULT(AA43:AD43-$R$8:$U$8,MMULT($L$18:$O$21,TRANSPOSE(AA43:AD43-$R$8:$U$8)))/2</f>
        <v>-22.351047722089945</v>
      </c>
      <c r="AH43" s="313">
        <f t="array" ref="AH43">$W$18-$S$18/2-MMULT(AA43:AD43-$R$9:$U$9,MMULT($L$24:$O$27,TRANSPOSE(AA43:AD43-$R$9:$U$9)))/2</f>
        <v>-12.07954687900205</v>
      </c>
      <c r="AI43" s="313">
        <f t="array" ref="AI43">$W$19-$S$19/2-MMULT(AA43:AD43-$R$10:$U$10,MMULT($L$30:$O$33,TRANSPOSE(AA43:AD43-$R$10:$U$10)))/2</f>
        <v>-13.32972194807758</v>
      </c>
      <c r="AJ43" s="278" t="str">
        <f t="shared" si="22"/>
        <v>Copper</v>
      </c>
    </row>
    <row r="44" spans="1:36" x14ac:dyDescent="0.25">
      <c r="L44" s="37"/>
      <c r="M44" s="37"/>
      <c r="N44" s="37"/>
      <c r="O44" s="37"/>
      <c r="Z44" t="str">
        <f t="shared" si="21"/>
        <v>Zinc</v>
      </c>
      <c r="AA44" s="277">
        <f t="shared" si="21"/>
        <v>66.333333333333329</v>
      </c>
      <c r="AB44" s="73">
        <f t="shared" si="21"/>
        <v>26.5</v>
      </c>
      <c r="AC44" s="73">
        <f t="shared" si="21"/>
        <v>42</v>
      </c>
      <c r="AD44" s="247">
        <f t="shared" si="21"/>
        <v>29.5</v>
      </c>
      <c r="AE44" s="312">
        <f t="array" ref="AE44">$W$15-$S$15/2-MMULT(AA44:AD44-$R$6:$U$6,MMULT($L$6:$O$9,TRANSPOSE(AA44:AD44-$R$6:$U$6)))/2</f>
        <v>-165.34580679952799</v>
      </c>
      <c r="AF44" s="313">
        <f t="array" ref="AF44">$W$16-$S$16/2-MMULT(AA44:AD44-$R$7:$U$7,MMULT($L$12:$O$15,TRANSPOSE(AA44:AD44-$R$7:$U$7)))/2</f>
        <v>-22.054145711218922</v>
      </c>
      <c r="AG44" s="313">
        <f t="array" ref="AG44">$W$17-$S$17/2-MMULT(AA44:AD44-$R$8:$U$8,MMULT($L$18:$O$21,TRANSPOSE(AA44:AD44-$R$8:$U$8)))/2</f>
        <v>-8.4107320286598171</v>
      </c>
      <c r="AH44" s="313">
        <f t="array" ref="AH44">$W$18-$S$18/2-MMULT(AA44:AD44-$R$9:$U$9,MMULT($L$24:$O$27,TRANSPOSE(AA44:AD44-$R$9:$U$9)))/2</f>
        <v>-14.254776054807998</v>
      </c>
      <c r="AI44" s="313">
        <f t="array" ref="AI44">$W$19-$S$19/2-MMULT(AA44:AD44-$R$10:$U$10,MMULT($L$30:$O$33,TRANSPOSE(AA44:AD44-$R$10:$U$10)))/2</f>
        <v>-12.4792783561108</v>
      </c>
      <c r="AJ44" s="278" t="str">
        <f t="shared" si="22"/>
        <v>Zinc</v>
      </c>
    </row>
    <row r="45" spans="1:36" x14ac:dyDescent="0.25">
      <c r="L45" s="37"/>
      <c r="M45" s="37"/>
      <c r="N45" s="37"/>
      <c r="O45" s="37"/>
      <c r="Z45" t="str">
        <f t="shared" si="21"/>
        <v>Nickel</v>
      </c>
      <c r="AA45" s="277">
        <f t="shared" si="21"/>
        <v>51.714285714285715</v>
      </c>
      <c r="AB45" s="73">
        <f t="shared" si="21"/>
        <v>28</v>
      </c>
      <c r="AC45" s="73">
        <f t="shared" si="21"/>
        <v>28.571428571428573</v>
      </c>
      <c r="AD45" s="247">
        <f t="shared" si="21"/>
        <v>31.142857142857142</v>
      </c>
      <c r="AE45" s="312">
        <f t="array" ref="AE45">$W$15-$S$15/2-MMULT(AA45:AD45-$R$6:$U$6,MMULT($L$6:$O$9,TRANSPOSE(AA45:AD45-$R$6:$U$6)))/2</f>
        <v>-65.330535935247312</v>
      </c>
      <c r="AF45" s="313">
        <f t="array" ref="AF45">$W$16-$S$16/2-MMULT(AA45:AD45-$R$7:$U$7,MMULT($L$12:$O$15,TRANSPOSE(AA45:AD45-$R$7:$U$7)))/2</f>
        <v>-26.986539943773401</v>
      </c>
      <c r="AG45" s="313">
        <f t="array" ref="AG45">$W$17-$S$17/2-MMULT(AA45:AD45-$R$8:$U$8,MMULT($L$18:$O$21,TRANSPOSE(AA45:AD45-$R$8:$U$8)))/2</f>
        <v>-17.577377990077434</v>
      </c>
      <c r="AH45" s="313">
        <f t="array" ref="AH45">$W$18-$S$18/2-MMULT(AA45:AD45-$R$9:$U$9,MMULT($L$24:$O$27,TRANSPOSE(AA45:AD45-$R$9:$U$9)))/2</f>
        <v>-10.722189386247969</v>
      </c>
      <c r="AI45" s="313">
        <f t="array" ref="AI45">$W$19-$S$19/2-MMULT(AA45:AD45-$R$10:$U$10,MMULT($L$30:$O$33,TRANSPOSE(AA45:AD45-$R$10:$U$10)))/2</f>
        <v>-13.380347234327193</v>
      </c>
      <c r="AJ45" s="278" t="str">
        <f t="shared" si="22"/>
        <v>Nickel</v>
      </c>
    </row>
    <row r="46" spans="1:36" x14ac:dyDescent="0.25">
      <c r="L46" s="37"/>
      <c r="M46" s="37"/>
      <c r="N46" s="37"/>
      <c r="O46" s="37"/>
      <c r="Z46" t="str">
        <f t="shared" si="21"/>
        <v>Tin</v>
      </c>
      <c r="AA46" s="281">
        <f t="shared" si="21"/>
        <v>84.1</v>
      </c>
      <c r="AB46" s="305">
        <f t="shared" si="21"/>
        <v>25.6</v>
      </c>
      <c r="AC46" s="305">
        <f t="shared" si="21"/>
        <v>44.1</v>
      </c>
      <c r="AD46" s="250">
        <f t="shared" si="21"/>
        <v>26.8</v>
      </c>
      <c r="AE46" s="320">
        <f t="array" ref="AE46">$W$15-$S$15/2-MMULT(AA46:AD46-$R$6:$U$6,MMULT($L$6:$O$9,TRANSPOSE(AA46:AD46-$R$6:$U$6)))/2</f>
        <v>-324.17953566589182</v>
      </c>
      <c r="AF46" s="321">
        <f t="array" ref="AF46">$W$16-$S$16/2-MMULT(AA46:AD46-$R$7:$U$7,MMULT($L$12:$O$15,TRANSPOSE(AA46:AD46-$R$7:$U$7)))/2</f>
        <v>-51.394948404561731</v>
      </c>
      <c r="AG46" s="321">
        <f t="array" ref="AG46">$W$17-$S$17/2-MMULT(AA46:AD46-$R$8:$U$8,MMULT($L$18:$O$21,TRANSPOSE(AA46:AD46-$R$8:$U$8)))/2</f>
        <v>-29.396222297852816</v>
      </c>
      <c r="AH46" s="321">
        <f t="array" ref="AH46">$W$18-$S$18/2-MMULT(AA46:AD46-$R$9:$U$9,MMULT($L$24:$O$27,TRANSPOSE(AA46:AD46-$R$9:$U$9)))/2</f>
        <v>-18.991771128418947</v>
      </c>
      <c r="AI46" s="321">
        <f t="array" ref="AI46">$W$19-$S$19/2-MMULT(AA46:AD46-$R$10:$U$10,MMULT($L$30:$O$33,TRANSPOSE(AA46:AD46-$R$10:$U$10)))/2</f>
        <v>-12.035010855737466</v>
      </c>
      <c r="AJ46" s="282" t="str">
        <f t="shared" si="22"/>
        <v>Tin</v>
      </c>
    </row>
    <row r="48" spans="1:36" x14ac:dyDescent="0.25">
      <c r="Z48" t="str">
        <f>Z42</f>
        <v>Iron</v>
      </c>
      <c r="AA48" s="274">
        <f t="shared" ref="AA48:AD48" si="23">AA42</f>
        <v>29.714285714285715</v>
      </c>
      <c r="AB48" s="145">
        <f t="shared" si="23"/>
        <v>19</v>
      </c>
      <c r="AC48" s="145">
        <f t="shared" si="23"/>
        <v>34.428571428571431</v>
      </c>
      <c r="AD48" s="275">
        <f t="shared" si="23"/>
        <v>26.714285714285715</v>
      </c>
      <c r="AE48" s="138">
        <f t="shared" ref="AE48:AI52" si="24">EXP(AE42)/SUMPRODUCT(EXP($AE42:$AI42))</f>
        <v>0.99744026223145732</v>
      </c>
      <c r="AF48" s="139">
        <f t="shared" si="24"/>
        <v>4.833581928065006E-5</v>
      </c>
      <c r="AG48" s="139">
        <f t="shared" si="24"/>
        <v>3.038918279254672E-28</v>
      </c>
      <c r="AH48" s="139">
        <f t="shared" si="24"/>
        <v>1.6311939270635693E-3</v>
      </c>
      <c r="AI48" s="140">
        <f t="shared" si="24"/>
        <v>8.8020802219826368E-4</v>
      </c>
      <c r="AJ48" s="327">
        <f>MAX(AE48:AI48)</f>
        <v>0.99744026223145732</v>
      </c>
    </row>
    <row r="49" spans="12:36" x14ac:dyDescent="0.25">
      <c r="Z49" t="str">
        <f t="shared" ref="Z49:AD52" si="25">Z43</f>
        <v>Copper</v>
      </c>
      <c r="AA49" s="277">
        <f t="shared" si="25"/>
        <v>41</v>
      </c>
      <c r="AB49" s="73">
        <f t="shared" si="25"/>
        <v>23</v>
      </c>
      <c r="AC49" s="73">
        <f t="shared" si="25"/>
        <v>30.5</v>
      </c>
      <c r="AD49" s="247">
        <f t="shared" si="25"/>
        <v>24.666666666666668</v>
      </c>
      <c r="AE49" s="123">
        <f t="shared" si="24"/>
        <v>1.9609974106211212E-5</v>
      </c>
      <c r="AF49" s="37">
        <f t="shared" si="24"/>
        <v>0.98167157183835807</v>
      </c>
      <c r="AG49" s="37">
        <f t="shared" si="24"/>
        <v>4.9249067739435059E-7</v>
      </c>
      <c r="AH49" s="37">
        <f t="shared" si="24"/>
        <v>1.4231613834785073E-2</v>
      </c>
      <c r="AI49" s="90">
        <f t="shared" si="24"/>
        <v>4.076711862073288E-3</v>
      </c>
      <c r="AJ49" s="328">
        <f t="shared" ref="AJ49:AJ52" si="26">MAX(AE49:AI49)</f>
        <v>0.98167157183835807</v>
      </c>
    </row>
    <row r="50" spans="12:36" x14ac:dyDescent="0.25">
      <c r="L50" s="37"/>
      <c r="M50" s="37"/>
      <c r="N50" s="37"/>
      <c r="O50" s="37"/>
      <c r="Z50" t="str">
        <f t="shared" si="25"/>
        <v>Zinc</v>
      </c>
      <c r="AA50" s="277">
        <f t="shared" si="25"/>
        <v>66.333333333333329</v>
      </c>
      <c r="AB50" s="73">
        <f t="shared" si="25"/>
        <v>26.5</v>
      </c>
      <c r="AC50" s="73">
        <f t="shared" si="25"/>
        <v>42</v>
      </c>
      <c r="AD50" s="247">
        <f t="shared" si="25"/>
        <v>29.5</v>
      </c>
      <c r="AE50" s="123">
        <f t="shared" si="24"/>
        <v>6.8448292036144073E-69</v>
      </c>
      <c r="AF50" s="37">
        <f t="shared" si="24"/>
        <v>1.1645022425717903E-6</v>
      </c>
      <c r="AG50" s="37">
        <f t="shared" si="24"/>
        <v>0.98039165491410585</v>
      </c>
      <c r="AH50" s="37">
        <f t="shared" si="24"/>
        <v>2.8402955496878361E-3</v>
      </c>
      <c r="AI50" s="90">
        <f t="shared" si="24"/>
        <v>1.6766885033963733E-2</v>
      </c>
      <c r="AJ50" s="328">
        <f t="shared" si="26"/>
        <v>0.98039165491410585</v>
      </c>
    </row>
    <row r="51" spans="12:36" x14ac:dyDescent="0.25">
      <c r="L51" s="37"/>
      <c r="M51" s="37"/>
      <c r="N51" s="37"/>
      <c r="O51" s="37"/>
      <c r="Z51" t="str">
        <f t="shared" si="25"/>
        <v>Nickel</v>
      </c>
      <c r="AA51" s="277">
        <f t="shared" si="25"/>
        <v>51.714285714285715</v>
      </c>
      <c r="AB51" s="73">
        <f t="shared" si="25"/>
        <v>28</v>
      </c>
      <c r="AC51" s="73">
        <f t="shared" si="25"/>
        <v>28.571428571428573</v>
      </c>
      <c r="AD51" s="247">
        <f t="shared" si="25"/>
        <v>31.142857142857142</v>
      </c>
      <c r="AE51" s="123">
        <f t="shared" si="24"/>
        <v>1.7949557058525096E-24</v>
      </c>
      <c r="AF51" s="37">
        <f t="shared" si="24"/>
        <v>8.0656543982470924E-8</v>
      </c>
      <c r="AG51" s="37">
        <f t="shared" si="24"/>
        <v>9.8398102812689999E-4</v>
      </c>
      <c r="AH51" s="37">
        <f t="shared" si="24"/>
        <v>0.93359240088405238</v>
      </c>
      <c r="AI51" s="90">
        <f t="shared" si="24"/>
        <v>6.5423537431276754E-2</v>
      </c>
      <c r="AJ51" s="328">
        <f t="shared" si="26"/>
        <v>0.93359240088405238</v>
      </c>
    </row>
    <row r="52" spans="12:36" x14ac:dyDescent="0.25">
      <c r="L52" s="37"/>
      <c r="M52" s="37"/>
      <c r="N52" s="37"/>
      <c r="O52" s="37"/>
      <c r="Z52" t="str">
        <f t="shared" si="25"/>
        <v>Tin</v>
      </c>
      <c r="AA52" s="281">
        <f t="shared" si="25"/>
        <v>84.1</v>
      </c>
      <c r="AB52" s="305">
        <f t="shared" si="25"/>
        <v>25.6</v>
      </c>
      <c r="AC52" s="305">
        <f t="shared" si="25"/>
        <v>44.1</v>
      </c>
      <c r="AD52" s="250">
        <f t="shared" si="25"/>
        <v>26.8</v>
      </c>
      <c r="AE52" s="91">
        <f t="shared" si="24"/>
        <v>2.7349033167199086E-136</v>
      </c>
      <c r="AF52" s="92">
        <f t="shared" si="24"/>
        <v>8.0497607694261254E-18</v>
      </c>
      <c r="AG52" s="92">
        <f t="shared" si="24"/>
        <v>2.8820952577157548E-8</v>
      </c>
      <c r="AH52" s="92">
        <f t="shared" si="24"/>
        <v>9.5127056999866593E-4</v>
      </c>
      <c r="AI52" s="93">
        <f t="shared" si="24"/>
        <v>0.99904870060904882</v>
      </c>
      <c r="AJ52" s="329">
        <f t="shared" si="26"/>
        <v>0.99904870060904882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7"/>
  <dimension ref="A1:Y39"/>
  <sheetViews>
    <sheetView workbookViewId="0">
      <selection activeCell="H16" sqref="H16"/>
    </sheetView>
  </sheetViews>
  <sheetFormatPr defaultRowHeight="15" x14ac:dyDescent="0.25"/>
  <cols>
    <col min="2" max="4" width="9.140625" customWidth="1"/>
    <col min="5" max="5" width="5.5703125" customWidth="1"/>
    <col min="13" max="13" width="4.140625" customWidth="1"/>
    <col min="19" max="19" width="4.85546875" customWidth="1"/>
    <col min="20" max="20" width="4.28515625" customWidth="1"/>
    <col min="25" max="25" width="9.140625" style="32"/>
  </cols>
  <sheetData>
    <row r="1" spans="1:25" ht="14.45" x14ac:dyDescent="0.35">
      <c r="A1" s="42" t="s">
        <v>790</v>
      </c>
    </row>
    <row r="3" spans="1:25" ht="14.45" x14ac:dyDescent="0.35">
      <c r="B3" s="47" t="s">
        <v>144</v>
      </c>
      <c r="C3" s="47" t="s">
        <v>145</v>
      </c>
      <c r="D3" s="47" t="s">
        <v>146</v>
      </c>
      <c r="F3" t="s">
        <v>790</v>
      </c>
    </row>
    <row r="4" spans="1:25" ht="14.45" x14ac:dyDescent="0.35">
      <c r="A4" t="s">
        <v>158</v>
      </c>
      <c r="B4" s="290">
        <v>76.7</v>
      </c>
      <c r="C4" s="291">
        <v>29.5</v>
      </c>
      <c r="D4" s="292">
        <v>7.5</v>
      </c>
    </row>
    <row r="5" spans="1:25" ht="14.45" x14ac:dyDescent="0.35">
      <c r="A5" t="s">
        <v>158</v>
      </c>
      <c r="B5" s="102">
        <v>60.5</v>
      </c>
      <c r="C5" s="103">
        <v>32.1</v>
      </c>
      <c r="D5" s="104">
        <v>6.3</v>
      </c>
      <c r="F5" t="s">
        <v>125</v>
      </c>
      <c r="K5" t="s">
        <v>816</v>
      </c>
      <c r="N5" t="s">
        <v>817</v>
      </c>
      <c r="U5" t="s">
        <v>818</v>
      </c>
    </row>
    <row r="6" spans="1:25" ht="14.45" x14ac:dyDescent="0.35">
      <c r="A6" t="s">
        <v>158</v>
      </c>
      <c r="B6" s="102">
        <v>96.1</v>
      </c>
      <c r="C6" s="103">
        <v>40.700000000000003</v>
      </c>
      <c r="D6" s="104">
        <v>4.2</v>
      </c>
    </row>
    <row r="7" spans="1:25" ht="14.45" x14ac:dyDescent="0.35">
      <c r="A7" t="s">
        <v>158</v>
      </c>
      <c r="B7" s="102">
        <v>88.1</v>
      </c>
      <c r="C7" s="103">
        <v>45.1</v>
      </c>
      <c r="D7" s="104">
        <v>4.9000000000000004</v>
      </c>
      <c r="G7" s="32" t="str">
        <f>B3</f>
        <v>yield</v>
      </c>
      <c r="H7" s="32" t="str">
        <f>C3</f>
        <v>water</v>
      </c>
      <c r="I7" s="32" t="str">
        <f>D3</f>
        <v>herbicide</v>
      </c>
      <c r="K7" s="32" t="s">
        <v>819</v>
      </c>
      <c r="L7" s="32" t="s">
        <v>820</v>
      </c>
      <c r="N7" s="32" t="str">
        <f t="array" ref="N7:S12">[1]!DAClassification(A4:D35,K8:K11,TRUE)</f>
        <v/>
      </c>
      <c r="O7" s="32" t="str">
        <v>loam</v>
      </c>
      <c r="P7" s="32" t="str">
        <v>sandy</v>
      </c>
      <c r="Q7" s="32" t="str">
        <v>salty</v>
      </c>
      <c r="R7" s="32" t="str">
        <v>clay</v>
      </c>
      <c r="S7" s="32" t="str">
        <v/>
      </c>
      <c r="U7" s="32" t="str">
        <f t="array" ref="U7:Y39">[1]!LDAPredC(B4:D35,F16:J19,K8:K11,TRUE)</f>
        <v>loam</v>
      </c>
      <c r="V7" s="32" t="str">
        <v>sandy</v>
      </c>
      <c r="W7" s="32" t="str">
        <v>salty</v>
      </c>
      <c r="X7" s="32" t="str">
        <v>clay</v>
      </c>
      <c r="Y7" s="32" t="str">
        <v>category</v>
      </c>
    </row>
    <row r="8" spans="1:25" ht="14.45" x14ac:dyDescent="0.35">
      <c r="A8" t="s">
        <v>158</v>
      </c>
      <c r="B8" s="102">
        <v>50.2</v>
      </c>
      <c r="C8" s="103">
        <v>34.1</v>
      </c>
      <c r="D8" s="104">
        <v>11.7</v>
      </c>
      <c r="F8" t="str">
        <f t="array" ref="F8:F11">[1]!ExtractUnique(A4:D35,"")</f>
        <v>loam</v>
      </c>
      <c r="G8" s="149">
        <f t="shared" ref="G8:I11" si="0">AVERAGEIF($A$4:$A$35,$F8,B$4:B$35)</f>
        <v>69.712500000000006</v>
      </c>
      <c r="H8" s="141">
        <f t="shared" si="0"/>
        <v>32.737499999999997</v>
      </c>
      <c r="I8" s="150">
        <f t="shared" si="0"/>
        <v>6.3874999999999984</v>
      </c>
      <c r="K8" s="149">
        <v>0.25</v>
      </c>
      <c r="L8" s="150">
        <f>LN(K8)</f>
        <v>-1.3862943611198906</v>
      </c>
      <c r="N8" t="str">
        <v>loam</v>
      </c>
      <c r="O8" s="333">
        <v>6</v>
      </c>
      <c r="P8" s="334">
        <v>2</v>
      </c>
      <c r="Q8" s="334">
        <v>0</v>
      </c>
      <c r="R8" s="335">
        <v>0</v>
      </c>
      <c r="S8">
        <v>8</v>
      </c>
      <c r="U8" s="149">
        <v>0.93031360864062018</v>
      </c>
      <c r="V8" s="141">
        <v>5.8496646664763376E-2</v>
      </c>
      <c r="W8" s="141">
        <v>3.0671823378331741E-3</v>
      </c>
      <c r="X8" s="150">
        <v>8.1225623567833354E-3</v>
      </c>
      <c r="Y8" s="330" t="str">
        <v>loam</v>
      </c>
    </row>
    <row r="9" spans="1:25" ht="14.45" x14ac:dyDescent="0.35">
      <c r="A9" t="s">
        <v>158</v>
      </c>
      <c r="B9" s="102">
        <v>55</v>
      </c>
      <c r="C9" s="103">
        <v>31.1</v>
      </c>
      <c r="D9" s="104">
        <v>6.9</v>
      </c>
      <c r="F9" t="str">
        <v>sandy</v>
      </c>
      <c r="G9" s="83">
        <f t="shared" si="0"/>
        <v>62.575000000000003</v>
      </c>
      <c r="H9" s="37">
        <f t="shared" si="0"/>
        <v>28.2</v>
      </c>
      <c r="I9" s="84">
        <f t="shared" si="0"/>
        <v>4.3500000000000005</v>
      </c>
      <c r="K9" s="83">
        <v>0.25</v>
      </c>
      <c r="L9" s="84">
        <f t="shared" ref="L9:L11" si="1">LN(K9)</f>
        <v>-1.3862943611198906</v>
      </c>
      <c r="N9" t="str">
        <v>sandy</v>
      </c>
      <c r="O9" s="83">
        <v>1</v>
      </c>
      <c r="P9" s="37">
        <v>4</v>
      </c>
      <c r="Q9" s="37">
        <v>1</v>
      </c>
      <c r="R9" s="84">
        <v>2</v>
      </c>
      <c r="S9">
        <v>8</v>
      </c>
      <c r="U9" s="83">
        <v>0.3536732578170716</v>
      </c>
      <c r="V9" s="37">
        <v>0.31648282615647771</v>
      </c>
      <c r="W9" s="37">
        <v>0.13423491927289904</v>
      </c>
      <c r="X9" s="84">
        <v>0.19560899675355167</v>
      </c>
      <c r="Y9" s="331" t="str">
        <v>loam</v>
      </c>
    </row>
    <row r="10" spans="1:25" ht="14.45" x14ac:dyDescent="0.35">
      <c r="A10" t="s">
        <v>158</v>
      </c>
      <c r="B10" s="102">
        <v>65.400000000000006</v>
      </c>
      <c r="C10" s="103">
        <v>21.6</v>
      </c>
      <c r="D10" s="104">
        <v>4.3</v>
      </c>
      <c r="F10" t="str">
        <v>salty</v>
      </c>
      <c r="G10" s="83">
        <f t="shared" si="0"/>
        <v>55.3125</v>
      </c>
      <c r="H10" s="37">
        <f t="shared" si="0"/>
        <v>30.637499999999996</v>
      </c>
      <c r="I10" s="84">
        <f t="shared" si="0"/>
        <v>3.8624999999999998</v>
      </c>
      <c r="K10" s="83">
        <v>0.25</v>
      </c>
      <c r="L10" s="84">
        <f t="shared" si="1"/>
        <v>-1.3862943611198906</v>
      </c>
      <c r="N10" t="str">
        <v>salty</v>
      </c>
      <c r="O10" s="83">
        <v>1</v>
      </c>
      <c r="P10" s="37">
        <v>1</v>
      </c>
      <c r="Q10" s="37">
        <v>5</v>
      </c>
      <c r="R10" s="84">
        <v>1</v>
      </c>
      <c r="S10">
        <v>8</v>
      </c>
      <c r="U10" s="83">
        <v>0.85330030192598327</v>
      </c>
      <c r="V10" s="37">
        <v>0.10915147499860518</v>
      </c>
      <c r="W10" s="37">
        <v>8.0186803919911655E-3</v>
      </c>
      <c r="X10" s="84">
        <v>2.9529542683420288E-2</v>
      </c>
      <c r="Y10" s="331" t="str">
        <v>loam</v>
      </c>
    </row>
    <row r="11" spans="1:25" ht="14.45" x14ac:dyDescent="0.35">
      <c r="A11" t="s">
        <v>158</v>
      </c>
      <c r="B11" s="102">
        <v>65.7</v>
      </c>
      <c r="C11" s="103">
        <v>27.7</v>
      </c>
      <c r="D11" s="104">
        <v>5.3</v>
      </c>
      <c r="F11" t="str">
        <v>clay</v>
      </c>
      <c r="G11" s="85">
        <f t="shared" si="0"/>
        <v>58.837499999999999</v>
      </c>
      <c r="H11" s="86">
        <f t="shared" si="0"/>
        <v>33.087500000000006</v>
      </c>
      <c r="I11" s="87">
        <f t="shared" si="0"/>
        <v>4.0875000000000004</v>
      </c>
      <c r="K11" s="85">
        <v>0.25</v>
      </c>
      <c r="L11" s="87">
        <f t="shared" si="1"/>
        <v>-1.3862943611198906</v>
      </c>
      <c r="N11" t="str">
        <v>clay</v>
      </c>
      <c r="O11" s="85">
        <v>0</v>
      </c>
      <c r="P11" s="86">
        <v>2</v>
      </c>
      <c r="Q11" s="86">
        <v>3</v>
      </c>
      <c r="R11" s="87">
        <v>3</v>
      </c>
      <c r="S11">
        <v>8</v>
      </c>
      <c r="U11" s="83">
        <v>0.76961941281832158</v>
      </c>
      <c r="V11" s="37">
        <v>0.14039076198690317</v>
      </c>
      <c r="W11" s="37">
        <v>2.0907568754538426E-2</v>
      </c>
      <c r="X11" s="84">
        <v>6.9082256440236731E-2</v>
      </c>
      <c r="Y11" s="331" t="str">
        <v>loam</v>
      </c>
    </row>
    <row r="12" spans="1:25" ht="14.45" x14ac:dyDescent="0.35">
      <c r="A12" t="s">
        <v>159</v>
      </c>
      <c r="B12" s="102">
        <v>67.3</v>
      </c>
      <c r="C12" s="103">
        <v>48.3</v>
      </c>
      <c r="D12" s="104">
        <v>5.5</v>
      </c>
      <c r="N12" t="str">
        <v/>
      </c>
      <c r="O12">
        <v>8</v>
      </c>
      <c r="P12">
        <v>9</v>
      </c>
      <c r="Q12">
        <v>9</v>
      </c>
      <c r="R12">
        <v>6</v>
      </c>
      <c r="S12">
        <v>32</v>
      </c>
      <c r="U12" s="83">
        <v>0.94570045318181006</v>
      </c>
      <c r="V12" s="37">
        <v>3.8546915055830876E-2</v>
      </c>
      <c r="W12" s="37">
        <v>5.1636977188888973E-3</v>
      </c>
      <c r="X12" s="84">
        <v>1.0588934043470192E-2</v>
      </c>
      <c r="Y12" s="331" t="str">
        <v>loam</v>
      </c>
    </row>
    <row r="13" spans="1:25" ht="14.45" x14ac:dyDescent="0.35">
      <c r="A13" t="s">
        <v>159</v>
      </c>
      <c r="B13" s="102">
        <v>61.3</v>
      </c>
      <c r="C13" s="103">
        <v>28.9</v>
      </c>
      <c r="D13" s="104">
        <v>6.9</v>
      </c>
      <c r="F13" t="s">
        <v>821</v>
      </c>
      <c r="U13" s="83">
        <v>0.31944213147998513</v>
      </c>
      <c r="V13" s="37">
        <v>0.31327660372934996</v>
      </c>
      <c r="W13" s="37">
        <v>0.1590725735217661</v>
      </c>
      <c r="X13" s="84">
        <v>0.2082086912688986</v>
      </c>
      <c r="Y13" s="331" t="str">
        <v>loam</v>
      </c>
    </row>
    <row r="14" spans="1:25" ht="14.45" x14ac:dyDescent="0.35">
      <c r="A14" t="s">
        <v>159</v>
      </c>
      <c r="B14" s="102">
        <v>58.2</v>
      </c>
      <c r="C14" s="103">
        <v>42.5</v>
      </c>
      <c r="D14" s="104">
        <v>4.8</v>
      </c>
      <c r="N14" t="s">
        <v>822</v>
      </c>
      <c r="U14" s="83">
        <v>0.21431374804200107</v>
      </c>
      <c r="V14" s="37">
        <v>0.46472570566303217</v>
      </c>
      <c r="W14" s="37">
        <v>0.14690197757456164</v>
      </c>
      <c r="X14" s="84">
        <v>0.17405856872040512</v>
      </c>
      <c r="Y14" s="331" t="str">
        <v>sandy</v>
      </c>
    </row>
    <row r="15" spans="1:25" ht="14.45" x14ac:dyDescent="0.35">
      <c r="A15" t="s">
        <v>159</v>
      </c>
      <c r="B15" s="102">
        <v>76.900000000000006</v>
      </c>
      <c r="C15" s="103">
        <v>20.399999999999999</v>
      </c>
      <c r="D15" s="104">
        <v>3</v>
      </c>
      <c r="G15" s="32" t="s">
        <v>823</v>
      </c>
      <c r="H15" s="32" t="str">
        <f>G7</f>
        <v>yield</v>
      </c>
      <c r="I15" s="32" t="str">
        <f t="shared" ref="I15:J15" si="2">H7</f>
        <v>water</v>
      </c>
      <c r="J15" s="32" t="str">
        <f t="shared" si="2"/>
        <v>herbicide</v>
      </c>
      <c r="U15" s="83">
        <v>0.35164945386652607</v>
      </c>
      <c r="V15" s="37">
        <v>0.37267814279588163</v>
      </c>
      <c r="W15" s="37">
        <v>0.11290831289773676</v>
      </c>
      <c r="X15" s="84">
        <v>0.16276409043985554</v>
      </c>
      <c r="Y15" s="331" t="str">
        <v>sandy</v>
      </c>
    </row>
    <row r="16" spans="1:25" ht="14.45" x14ac:dyDescent="0.35">
      <c r="A16" t="s">
        <v>159</v>
      </c>
      <c r="B16" s="102">
        <v>66.900000000000006</v>
      </c>
      <c r="C16" s="103">
        <v>23.9</v>
      </c>
      <c r="D16" s="104">
        <v>1.1000000000000001</v>
      </c>
      <c r="F16" s="149" t="str">
        <f t="array" ref="F16:J19">[1]!LDACoeff(A4:D35,FALSE)</f>
        <v>loam</v>
      </c>
      <c r="G16" s="141">
        <v>-35.005261762875293</v>
      </c>
      <c r="H16" s="141">
        <v>0.70104389557747449</v>
      </c>
      <c r="I16" s="141">
        <v>4.6513279569926069E-3</v>
      </c>
      <c r="J16" s="150">
        <v>3.2855934413015797</v>
      </c>
      <c r="N16" t="str">
        <f t="array" ref="N16:R21">[1]!DASummary( N7:S12)</f>
        <v/>
      </c>
      <c r="O16" t="str">
        <v>correct</v>
      </c>
      <c r="P16" t="str">
        <v>total</v>
      </c>
      <c r="Q16" t="str">
        <v>% correct</v>
      </c>
      <c r="R16" t="str">
        <v>% missed</v>
      </c>
      <c r="U16" s="83">
        <v>0.20596314074147035</v>
      </c>
      <c r="V16" s="37">
        <v>0.21538009890090634</v>
      </c>
      <c r="W16" s="37">
        <v>0.19512236205399233</v>
      </c>
      <c r="X16" s="84">
        <v>0.38353439830363101</v>
      </c>
      <c r="Y16" s="331" t="str">
        <v>clay</v>
      </c>
    </row>
    <row r="17" spans="1:25" ht="14.45" x14ac:dyDescent="0.35">
      <c r="A17" t="s">
        <v>159</v>
      </c>
      <c r="B17" s="102">
        <v>55.4</v>
      </c>
      <c r="C17" s="103">
        <v>29.1</v>
      </c>
      <c r="D17" s="104">
        <v>5</v>
      </c>
      <c r="F17" s="83" t="str">
        <v>sandy</v>
      </c>
      <c r="G17" s="37">
        <v>-24.413927791695304</v>
      </c>
      <c r="H17" s="37">
        <v>0.59701086063597841</v>
      </c>
      <c r="I17" s="37">
        <v>1.9616387744113534E-2</v>
      </c>
      <c r="J17" s="84">
        <v>2.5095905390138511</v>
      </c>
      <c r="N17" t="str">
        <v>loam</v>
      </c>
      <c r="O17" s="149">
        <v>6</v>
      </c>
      <c r="P17" s="141">
        <v>8</v>
      </c>
      <c r="Q17" s="141">
        <v>0.75</v>
      </c>
      <c r="R17" s="150">
        <v>0.25</v>
      </c>
      <c r="U17" s="83">
        <v>0.55286597743913646</v>
      </c>
      <c r="V17" s="37">
        <v>0.27240631260490189</v>
      </c>
      <c r="W17" s="37">
        <v>6.8723310694049869E-2</v>
      </c>
      <c r="X17" s="84">
        <v>0.10600439926191188</v>
      </c>
      <c r="Y17" s="331" t="str">
        <v>loam</v>
      </c>
    </row>
    <row r="18" spans="1:25" ht="14.45" x14ac:dyDescent="0.35">
      <c r="A18" t="s">
        <v>159</v>
      </c>
      <c r="B18" s="102">
        <v>50.5</v>
      </c>
      <c r="C18" s="103">
        <v>18</v>
      </c>
      <c r="D18" s="104">
        <v>4.8</v>
      </c>
      <c r="F18" s="83" t="str">
        <v>salty</v>
      </c>
      <c r="G18" s="37">
        <v>-19.401574665723302</v>
      </c>
      <c r="H18" s="37">
        <v>0.5083331869965737</v>
      </c>
      <c r="I18" s="37">
        <v>8.3621373230170881E-2</v>
      </c>
      <c r="J18" s="84">
        <v>2.103306175626992</v>
      </c>
      <c r="N18" t="str">
        <v>sandy</v>
      </c>
      <c r="O18" s="83">
        <v>4</v>
      </c>
      <c r="P18" s="37">
        <v>8</v>
      </c>
      <c r="Q18" s="37">
        <v>0.5</v>
      </c>
      <c r="R18" s="84">
        <v>0.5</v>
      </c>
      <c r="U18" s="83">
        <v>4.2787746722031471E-2</v>
      </c>
      <c r="V18" s="37">
        <v>0.1820104708588996</v>
      </c>
      <c r="W18" s="37">
        <v>0.33880464629945251</v>
      </c>
      <c r="X18" s="84">
        <v>0.43639713611961634</v>
      </c>
      <c r="Y18" s="331" t="str">
        <v>clay</v>
      </c>
    </row>
    <row r="19" spans="1:25" ht="14.45" x14ac:dyDescent="0.35">
      <c r="A19" t="s">
        <v>159</v>
      </c>
      <c r="B19" s="102">
        <v>64.099999999999994</v>
      </c>
      <c r="C19" s="103">
        <v>14.5</v>
      </c>
      <c r="D19" s="104">
        <v>3.7</v>
      </c>
      <c r="F19" s="85" t="str">
        <v>clay</v>
      </c>
      <c r="G19" s="86">
        <v>-21.951920463707996</v>
      </c>
      <c r="H19" s="86">
        <v>0.53844355524457854</v>
      </c>
      <c r="I19" s="86">
        <v>9.5204801465303218E-2</v>
      </c>
      <c r="J19" s="87">
        <v>2.2197136091082279</v>
      </c>
      <c r="N19" t="str">
        <v>salty</v>
      </c>
      <c r="O19" s="83">
        <v>5</v>
      </c>
      <c r="P19" s="37">
        <v>8</v>
      </c>
      <c r="Q19" s="37">
        <v>0.625</v>
      </c>
      <c r="R19" s="84">
        <v>0.375</v>
      </c>
      <c r="U19" s="83">
        <v>0.28323980025299245</v>
      </c>
      <c r="V19" s="37">
        <v>0.50007895028869398</v>
      </c>
      <c r="W19" s="37">
        <v>8.9537239576155142E-2</v>
      </c>
      <c r="X19" s="84">
        <v>0.12714400988215849</v>
      </c>
      <c r="Y19" s="331" t="str">
        <v>sandy</v>
      </c>
    </row>
    <row r="20" spans="1:25" ht="14.45" x14ac:dyDescent="0.35">
      <c r="A20" t="s">
        <v>161</v>
      </c>
      <c r="B20" s="102">
        <v>62.8</v>
      </c>
      <c r="C20" s="103">
        <v>25.9</v>
      </c>
      <c r="D20" s="104">
        <v>2.9</v>
      </c>
      <c r="N20" t="str">
        <v>clay</v>
      </c>
      <c r="O20" s="85">
        <v>3</v>
      </c>
      <c r="P20" s="86">
        <v>8</v>
      </c>
      <c r="Q20" s="86">
        <v>0.375</v>
      </c>
      <c r="R20" s="87">
        <v>0.625</v>
      </c>
      <c r="U20" s="83">
        <v>1.336796823494244E-2</v>
      </c>
      <c r="V20" s="37">
        <v>0.30749138945392668</v>
      </c>
      <c r="W20" s="37">
        <v>0.36179226660928743</v>
      </c>
      <c r="X20" s="84">
        <v>0.31734837570184343</v>
      </c>
      <c r="Y20" s="331" t="str">
        <v>salty</v>
      </c>
    </row>
    <row r="21" spans="1:25" ht="14.45" x14ac:dyDescent="0.35">
      <c r="A21" t="s">
        <v>161</v>
      </c>
      <c r="B21" s="102">
        <v>45</v>
      </c>
      <c r="C21" s="103">
        <v>15.9</v>
      </c>
      <c r="D21" s="104">
        <v>1.2</v>
      </c>
      <c r="F21" t="s">
        <v>813</v>
      </c>
      <c r="N21" t="str">
        <v/>
      </c>
      <c r="O21">
        <v>18</v>
      </c>
      <c r="P21">
        <v>32</v>
      </c>
      <c r="Q21">
        <v>0.5625</v>
      </c>
      <c r="R21">
        <v>0.4375</v>
      </c>
      <c r="U21" s="83">
        <v>7.9548194276549591E-2</v>
      </c>
      <c r="V21" s="37">
        <v>0.31726443916700542</v>
      </c>
      <c r="W21" s="37">
        <v>0.29603239359186023</v>
      </c>
      <c r="X21" s="84">
        <v>0.30715497296458483</v>
      </c>
      <c r="Y21" s="331" t="str">
        <v>sandy</v>
      </c>
    </row>
    <row r="22" spans="1:25" ht="14.45" x14ac:dyDescent="0.35">
      <c r="A22" t="s">
        <v>161</v>
      </c>
      <c r="B22" s="102">
        <v>47.8</v>
      </c>
      <c r="C22" s="103">
        <v>36.1</v>
      </c>
      <c r="D22" s="104">
        <v>4.0999999999999996</v>
      </c>
      <c r="U22" s="83">
        <v>6.0634695023499295E-2</v>
      </c>
      <c r="V22" s="37">
        <v>0.39825404521181812</v>
      </c>
      <c r="W22" s="37">
        <v>0.30586551377606158</v>
      </c>
      <c r="X22" s="84">
        <v>0.23524574598862094</v>
      </c>
      <c r="Y22" s="331" t="str">
        <v>sandy</v>
      </c>
    </row>
    <row r="23" spans="1:25" ht="14.45" x14ac:dyDescent="0.35">
      <c r="A23" t="s">
        <v>161</v>
      </c>
      <c r="B23" s="102">
        <v>75.599999999999994</v>
      </c>
      <c r="C23" s="103">
        <v>27.7</v>
      </c>
      <c r="D23" s="104">
        <v>6.3</v>
      </c>
      <c r="F23" t="s">
        <v>65</v>
      </c>
      <c r="G23" s="137">
        <f>[1]!BOXTEST(A4:D35)</f>
        <v>0.84797393932472176</v>
      </c>
      <c r="U23" s="83">
        <v>0.15203196909770753</v>
      </c>
      <c r="V23" s="37">
        <v>0.54060553997778293</v>
      </c>
      <c r="W23" s="37">
        <v>0.15534124417470604</v>
      </c>
      <c r="X23" s="84">
        <v>0.15202124674980355</v>
      </c>
      <c r="Y23" s="331" t="str">
        <v>sandy</v>
      </c>
    </row>
    <row r="24" spans="1:25" ht="14.45" x14ac:dyDescent="0.35">
      <c r="A24" t="s">
        <v>161</v>
      </c>
      <c r="B24" s="102">
        <v>46.6</v>
      </c>
      <c r="C24" s="103">
        <v>46.9</v>
      </c>
      <c r="D24" s="104">
        <v>3.6</v>
      </c>
      <c r="U24" s="83">
        <v>3.7829902799962449E-2</v>
      </c>
      <c r="V24" s="37">
        <v>0.33979614965269722</v>
      </c>
      <c r="W24" s="37">
        <v>0.31458225045964255</v>
      </c>
      <c r="X24" s="84">
        <v>0.30779169708769777</v>
      </c>
      <c r="Y24" s="331" t="str">
        <v>sandy</v>
      </c>
    </row>
    <row r="25" spans="1:25" ht="14.45" x14ac:dyDescent="0.35">
      <c r="A25" t="s">
        <v>161</v>
      </c>
      <c r="B25" s="102">
        <v>50.6</v>
      </c>
      <c r="C25" s="103">
        <v>29.7</v>
      </c>
      <c r="D25" s="104">
        <v>4.7</v>
      </c>
      <c r="U25" s="83">
        <v>7.0454630287957874E-4</v>
      </c>
      <c r="V25" s="37">
        <v>0.12985093534241521</v>
      </c>
      <c r="W25" s="37">
        <v>0.61301106521732707</v>
      </c>
      <c r="X25" s="84">
        <v>0.25643345313737809</v>
      </c>
      <c r="Y25" s="331" t="str">
        <v>salty</v>
      </c>
    </row>
    <row r="26" spans="1:25" ht="14.45" x14ac:dyDescent="0.35">
      <c r="A26" t="s">
        <v>161</v>
      </c>
      <c r="B26" s="102">
        <v>45.7</v>
      </c>
      <c r="C26" s="103">
        <v>27.6</v>
      </c>
      <c r="D26" s="104">
        <v>6.2</v>
      </c>
      <c r="U26" s="83">
        <v>5.9850630100939843E-3</v>
      </c>
      <c r="V26" s="37">
        <v>0.11750119771703167</v>
      </c>
      <c r="W26" s="37">
        <v>0.48532702353102147</v>
      </c>
      <c r="X26" s="84">
        <v>0.39118671574185282</v>
      </c>
      <c r="Y26" s="331" t="str">
        <v>salty</v>
      </c>
    </row>
    <row r="27" spans="1:25" ht="14.45" x14ac:dyDescent="0.35">
      <c r="A27" t="s">
        <v>161</v>
      </c>
      <c r="B27" s="102">
        <v>68.400000000000006</v>
      </c>
      <c r="C27" s="103">
        <v>35.299999999999997</v>
      </c>
      <c r="D27" s="104">
        <v>1.9</v>
      </c>
      <c r="U27" s="83">
        <v>0.81924883614369826</v>
      </c>
      <c r="V27" s="37">
        <v>0.14267057026858437</v>
      </c>
      <c r="W27" s="37">
        <v>1.196763443659043E-2</v>
      </c>
      <c r="X27" s="84">
        <v>2.6112959151127105E-2</v>
      </c>
      <c r="Y27" s="331" t="str">
        <v>loam</v>
      </c>
    </row>
    <row r="28" spans="1:25" ht="14.45" x14ac:dyDescent="0.35">
      <c r="A28" t="s">
        <v>160</v>
      </c>
      <c r="B28" s="102">
        <v>52.5</v>
      </c>
      <c r="C28" s="103">
        <v>39</v>
      </c>
      <c r="D28" s="104">
        <v>3.1</v>
      </c>
      <c r="U28" s="83">
        <v>1.2011661962307814E-3</v>
      </c>
      <c r="V28" s="37">
        <v>4.6290572088141149E-2</v>
      </c>
      <c r="W28" s="37">
        <v>0.52015245912608699</v>
      </c>
      <c r="X28" s="84">
        <v>0.43235580258954098</v>
      </c>
      <c r="Y28" s="331" t="str">
        <v>salty</v>
      </c>
    </row>
    <row r="29" spans="1:25" ht="14.45" x14ac:dyDescent="0.35">
      <c r="A29" t="s">
        <v>160</v>
      </c>
      <c r="B29" s="102">
        <v>80</v>
      </c>
      <c r="C29" s="103">
        <v>54.2</v>
      </c>
      <c r="D29" s="104">
        <v>4</v>
      </c>
      <c r="U29" s="83">
        <v>2.8051172989399582E-2</v>
      </c>
      <c r="V29" s="37">
        <v>0.2347547816421868</v>
      </c>
      <c r="W29" s="37">
        <v>0.39355305522356787</v>
      </c>
      <c r="X29" s="84">
        <v>0.34364099014484573</v>
      </c>
      <c r="Y29" s="331" t="str">
        <v>salty</v>
      </c>
    </row>
    <row r="30" spans="1:25" ht="14.45" x14ac:dyDescent="0.35">
      <c r="A30" t="s">
        <v>160</v>
      </c>
      <c r="B30" s="102">
        <v>54.7</v>
      </c>
      <c r="C30" s="103">
        <v>32.1</v>
      </c>
      <c r="D30" s="104">
        <v>5.7</v>
      </c>
      <c r="U30" s="83">
        <v>6.6912655652613368E-2</v>
      </c>
      <c r="V30" s="37">
        <v>0.28209109543241456</v>
      </c>
      <c r="W30" s="37">
        <v>0.34709136301769117</v>
      </c>
      <c r="X30" s="84">
        <v>0.30390488589728076</v>
      </c>
      <c r="Y30" s="331" t="str">
        <v>salty</v>
      </c>
    </row>
    <row r="31" spans="1:25" ht="14.45" x14ac:dyDescent="0.35">
      <c r="A31" t="s">
        <v>160</v>
      </c>
      <c r="B31" s="102">
        <v>63.5</v>
      </c>
      <c r="C31" s="103">
        <v>25.6</v>
      </c>
      <c r="D31" s="104">
        <v>3</v>
      </c>
      <c r="U31" s="83">
        <v>1.812469109477742E-2</v>
      </c>
      <c r="V31" s="37">
        <v>0.22737727331361654</v>
      </c>
      <c r="W31" s="37">
        <v>0.35102118617898315</v>
      </c>
      <c r="X31" s="84">
        <v>0.40347684941262296</v>
      </c>
      <c r="Y31" s="331" t="str">
        <v>clay</v>
      </c>
    </row>
    <row r="32" spans="1:25" x14ac:dyDescent="0.25">
      <c r="A32" t="s">
        <v>160</v>
      </c>
      <c r="B32" s="102">
        <v>46.3</v>
      </c>
      <c r="C32" s="103">
        <v>31.8</v>
      </c>
      <c r="D32" s="104">
        <v>7.4</v>
      </c>
      <c r="U32" s="83">
        <v>3.6013494272029976E-3</v>
      </c>
      <c r="V32" s="37">
        <v>9.8389745622430802E-2</v>
      </c>
      <c r="W32" s="37">
        <v>0.48416451444214625</v>
      </c>
      <c r="X32" s="84">
        <v>0.41384439050821997</v>
      </c>
      <c r="Y32" s="331" t="str">
        <v>salty</v>
      </c>
    </row>
    <row r="33" spans="1:25" x14ac:dyDescent="0.25">
      <c r="A33" t="s">
        <v>160</v>
      </c>
      <c r="B33" s="102">
        <v>61.5</v>
      </c>
      <c r="C33" s="103">
        <v>16.8</v>
      </c>
      <c r="D33" s="104">
        <v>1.9</v>
      </c>
      <c r="U33" s="83">
        <v>0.21102472866493971</v>
      </c>
      <c r="V33" s="37">
        <v>0.20597630362872227</v>
      </c>
      <c r="W33" s="37">
        <v>0.16236276564598032</v>
      </c>
      <c r="X33" s="84">
        <v>0.42063620206035773</v>
      </c>
      <c r="Y33" s="331" t="str">
        <v>clay</v>
      </c>
    </row>
    <row r="34" spans="1:25" x14ac:dyDescent="0.25">
      <c r="A34" t="s">
        <v>160</v>
      </c>
      <c r="B34" s="102">
        <v>62.9</v>
      </c>
      <c r="C34" s="103">
        <v>25.8</v>
      </c>
      <c r="D34" s="104">
        <v>2.4</v>
      </c>
      <c r="U34" s="83">
        <v>0.11550608939343236</v>
      </c>
      <c r="V34" s="37">
        <v>0.30103064993752804</v>
      </c>
      <c r="W34" s="37">
        <v>0.27249918609561052</v>
      </c>
      <c r="X34" s="84">
        <v>0.31096407457342912</v>
      </c>
      <c r="Y34" s="331" t="str">
        <v>clay</v>
      </c>
    </row>
    <row r="35" spans="1:25" x14ac:dyDescent="0.25">
      <c r="A35" t="s">
        <v>160</v>
      </c>
      <c r="B35" s="77">
        <v>49.3</v>
      </c>
      <c r="C35" s="120">
        <v>39.4</v>
      </c>
      <c r="D35" s="121">
        <v>5.2</v>
      </c>
      <c r="U35" s="83">
        <v>4.683851979409754E-2</v>
      </c>
      <c r="V35" s="37">
        <v>0.36033675075793653</v>
      </c>
      <c r="W35" s="37">
        <v>0.29531258370779678</v>
      </c>
      <c r="X35" s="84">
        <v>0.29751214574016921</v>
      </c>
      <c r="Y35" s="331" t="str">
        <v>sandy</v>
      </c>
    </row>
    <row r="36" spans="1:25" x14ac:dyDescent="0.25">
      <c r="U36" s="83">
        <v>0.16956948529650476</v>
      </c>
      <c r="V36" s="37">
        <v>0.28183862722444364</v>
      </c>
      <c r="W36" s="37">
        <v>0.26421568259337747</v>
      </c>
      <c r="X36" s="84">
        <v>0.28437620488567428</v>
      </c>
      <c r="Y36" s="331" t="str">
        <v>clay</v>
      </c>
    </row>
    <row r="37" spans="1:25" x14ac:dyDescent="0.25">
      <c r="U37" s="83">
        <v>1.9886945000806268E-2</v>
      </c>
      <c r="V37" s="37">
        <v>0.38775484560110607</v>
      </c>
      <c r="W37" s="37">
        <v>0.3377793803711216</v>
      </c>
      <c r="X37" s="84">
        <v>0.25457882902696594</v>
      </c>
      <c r="Y37" s="331" t="str">
        <v>sandy</v>
      </c>
    </row>
    <row r="38" spans="1:25" x14ac:dyDescent="0.25">
      <c r="U38" s="83">
        <v>2.368741737612149E-2</v>
      </c>
      <c r="V38" s="37">
        <v>0.30991300998063376</v>
      </c>
      <c r="W38" s="37">
        <v>0.34621682914168245</v>
      </c>
      <c r="X38" s="84">
        <v>0.32018274350156228</v>
      </c>
      <c r="Y38" s="331" t="str">
        <v>salty</v>
      </c>
    </row>
    <row r="39" spans="1:25" x14ac:dyDescent="0.25">
      <c r="U39" s="85">
        <v>1.9469782123694303E-2</v>
      </c>
      <c r="V39" s="86">
        <v>0.14631725464695872</v>
      </c>
      <c r="W39" s="86">
        <v>0.41798217803279358</v>
      </c>
      <c r="X39" s="87">
        <v>0.41623078519655332</v>
      </c>
      <c r="Y39" s="332" t="str">
        <v>salty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8"/>
  <dimension ref="A1:AC40"/>
  <sheetViews>
    <sheetView workbookViewId="0"/>
  </sheetViews>
  <sheetFormatPr defaultRowHeight="15" x14ac:dyDescent="0.25"/>
  <cols>
    <col min="2" max="5" width="5.85546875" style="32" customWidth="1"/>
    <col min="6" max="6" width="4.42578125" customWidth="1"/>
    <col min="9" max="9" width="4" customWidth="1"/>
    <col min="15" max="15" width="3.7109375" customWidth="1"/>
    <col min="22" max="22" width="4.140625" customWidth="1"/>
    <col min="23" max="23" width="5.85546875" customWidth="1"/>
  </cols>
  <sheetData>
    <row r="1" spans="1:29" ht="14.45" x14ac:dyDescent="0.35">
      <c r="A1" s="42" t="s">
        <v>806</v>
      </c>
    </row>
    <row r="2" spans="1:29" ht="14.45" x14ac:dyDescent="0.35">
      <c r="X2" t="s">
        <v>818</v>
      </c>
    </row>
    <row r="3" spans="1:29" ht="14.45" x14ac:dyDescent="0.35">
      <c r="B3" s="32" t="s">
        <v>462</v>
      </c>
      <c r="C3" s="32" t="s">
        <v>389</v>
      </c>
      <c r="D3" s="32" t="s">
        <v>469</v>
      </c>
      <c r="E3" s="32" t="s">
        <v>470</v>
      </c>
      <c r="J3" t="s">
        <v>806</v>
      </c>
    </row>
    <row r="4" spans="1:29" ht="14.45" x14ac:dyDescent="0.35">
      <c r="A4" t="s">
        <v>808</v>
      </c>
      <c r="B4" s="274">
        <v>31</v>
      </c>
      <c r="C4" s="145">
        <v>23</v>
      </c>
      <c r="D4" s="145">
        <v>38</v>
      </c>
      <c r="E4" s="275">
        <v>29</v>
      </c>
      <c r="X4" s="32" t="str">
        <f t="array" ref="X4:AC40">[1]!QDAPred(B4:E39,A4:E39,K16:K20,TRUE)</f>
        <v>Iron</v>
      </c>
      <c r="Y4" s="32" t="str">
        <v>Copper</v>
      </c>
      <c r="Z4" s="32" t="str">
        <v>Zinc</v>
      </c>
      <c r="AA4" s="32" t="str">
        <v>Nickel</v>
      </c>
      <c r="AB4" s="32" t="str">
        <v>Tin</v>
      </c>
      <c r="AC4" s="32" t="str">
        <v>category</v>
      </c>
    </row>
    <row r="5" spans="1:29" ht="14.45" x14ac:dyDescent="0.35">
      <c r="A5" t="s">
        <v>808</v>
      </c>
      <c r="B5" s="44">
        <v>29</v>
      </c>
      <c r="C5" s="73">
        <v>19</v>
      </c>
      <c r="D5" s="73">
        <v>37</v>
      </c>
      <c r="E5" s="247">
        <v>25</v>
      </c>
      <c r="G5" t="s">
        <v>816</v>
      </c>
      <c r="J5" t="s">
        <v>125</v>
      </c>
      <c r="P5" t="s">
        <v>817</v>
      </c>
      <c r="X5" s="149">
        <v>0.91523639321824535</v>
      </c>
      <c r="Y5" s="141">
        <v>2.8241453329329807E-5</v>
      </c>
      <c r="Z5" s="141">
        <v>7.953098053957527E-31</v>
      </c>
      <c r="AA5" s="141">
        <v>7.8244066336919715E-2</v>
      </c>
      <c r="AB5" s="150">
        <v>6.4912989915054346E-3</v>
      </c>
      <c r="AC5" s="132" t="str">
        <v>Iron</v>
      </c>
    </row>
    <row r="6" spans="1:29" ht="14.45" x14ac:dyDescent="0.35">
      <c r="A6" t="s">
        <v>808</v>
      </c>
      <c r="B6" s="44">
        <v>32</v>
      </c>
      <c r="C6" s="73">
        <v>22</v>
      </c>
      <c r="D6" s="73">
        <v>34</v>
      </c>
      <c r="E6" s="247">
        <v>23</v>
      </c>
      <c r="X6" s="83">
        <v>0.99652703717408597</v>
      </c>
      <c r="Y6" s="37">
        <v>4.2354199539755295E-9</v>
      </c>
      <c r="Z6" s="37">
        <v>8.2828593307843254E-32</v>
      </c>
      <c r="AA6" s="37">
        <v>2.380346034595165E-3</v>
      </c>
      <c r="AB6" s="84">
        <v>1.0926125558990425E-3</v>
      </c>
      <c r="AC6" s="98" t="str">
        <v>Iron</v>
      </c>
    </row>
    <row r="7" spans="1:29" ht="14.45" x14ac:dyDescent="0.35">
      <c r="A7" t="s">
        <v>808</v>
      </c>
      <c r="B7" s="44">
        <v>35</v>
      </c>
      <c r="C7" s="73">
        <v>17</v>
      </c>
      <c r="D7" s="73">
        <v>32</v>
      </c>
      <c r="E7" s="247">
        <v>21</v>
      </c>
      <c r="G7" t="str">
        <f t="array" ref="G7:G11">[1]!ExtractUnique(A4:E39,"")</f>
        <v>Iron</v>
      </c>
      <c r="H7" s="139">
        <v>0.19444444444444445</v>
      </c>
      <c r="K7" s="32" t="str">
        <f>B3</f>
        <v>A</v>
      </c>
      <c r="L7" s="32" t="str">
        <f>C3</f>
        <v>B</v>
      </c>
      <c r="M7" s="32" t="str">
        <f>D3</f>
        <v>C</v>
      </c>
      <c r="N7" s="32" t="str">
        <f>E3</f>
        <v>D</v>
      </c>
      <c r="P7" s="32" t="str">
        <f t="array" ref="P7:V13">[1]!DAClassification(A4:E39,K16:K20,FALSE)</f>
        <v/>
      </c>
      <c r="Q7" s="32" t="str">
        <v>Iron</v>
      </c>
      <c r="R7" s="32" t="str">
        <v>Copper</v>
      </c>
      <c r="S7" s="32" t="str">
        <v>Zinc</v>
      </c>
      <c r="T7" s="32" t="str">
        <v>Nickel</v>
      </c>
      <c r="U7" s="32" t="str">
        <v>Tin</v>
      </c>
      <c r="V7" s="32" t="str">
        <v/>
      </c>
      <c r="X7" s="83">
        <v>0.99288965660277373</v>
      </c>
      <c r="Y7" s="37">
        <v>2.0764133508363886E-5</v>
      </c>
      <c r="Z7" s="37">
        <v>5.025452872695814E-19</v>
      </c>
      <c r="AA7" s="37">
        <v>4.8308252149811392E-3</v>
      </c>
      <c r="AB7" s="84">
        <v>2.2587540487367364E-3</v>
      </c>
      <c r="AC7" s="98" t="str">
        <v>Iron</v>
      </c>
    </row>
    <row r="8" spans="1:29" ht="14.45" x14ac:dyDescent="0.35">
      <c r="A8" t="s">
        <v>808</v>
      </c>
      <c r="B8" s="44">
        <v>29</v>
      </c>
      <c r="C8" s="73">
        <v>13</v>
      </c>
      <c r="D8" s="73">
        <v>38</v>
      </c>
      <c r="E8" s="247">
        <v>26</v>
      </c>
      <c r="G8" t="str">
        <v>Copper</v>
      </c>
      <c r="H8" s="37">
        <v>0.16666666666666666</v>
      </c>
      <c r="J8" t="str">
        <f t="array" ref="J8:J12">[1]!ExtractUnique(A4:E39,"")</f>
        <v>Iron</v>
      </c>
      <c r="K8" s="149">
        <f t="shared" ref="K8:N12" si="0">AVERAGEIF($A$4:$A$39,$J8,B$4:B$39)</f>
        <v>29.714285714285715</v>
      </c>
      <c r="L8" s="141">
        <f t="shared" si="0"/>
        <v>19</v>
      </c>
      <c r="M8" s="141">
        <f t="shared" si="0"/>
        <v>34.428571428571431</v>
      </c>
      <c r="N8" s="150">
        <f t="shared" si="0"/>
        <v>26.714285714285715</v>
      </c>
      <c r="P8" t="str">
        <v>Iron</v>
      </c>
      <c r="Q8" s="149">
        <v>7</v>
      </c>
      <c r="R8" s="141">
        <v>0</v>
      </c>
      <c r="S8" s="141">
        <v>0</v>
      </c>
      <c r="T8" s="141">
        <v>0</v>
      </c>
      <c r="U8" s="150">
        <v>0</v>
      </c>
      <c r="V8">
        <v>7</v>
      </c>
      <c r="X8" s="83">
        <v>0.98226603391532807</v>
      </c>
      <c r="Y8" s="37">
        <v>2.5605119924914112E-3</v>
      </c>
      <c r="Z8" s="37">
        <v>1.8367027482273814E-12</v>
      </c>
      <c r="AA8" s="37">
        <v>3.8810889301677714E-3</v>
      </c>
      <c r="AB8" s="84">
        <v>1.1292365160175963E-2</v>
      </c>
      <c r="AC8" s="98" t="str">
        <v>Iron</v>
      </c>
    </row>
    <row r="9" spans="1:29" ht="14.45" x14ac:dyDescent="0.35">
      <c r="A9" t="s">
        <v>808</v>
      </c>
      <c r="B9" s="44">
        <v>29</v>
      </c>
      <c r="C9" s="73">
        <v>26</v>
      </c>
      <c r="D9" s="73">
        <v>39</v>
      </c>
      <c r="E9" s="247">
        <v>17</v>
      </c>
      <c r="G9" t="str">
        <v>Zinc</v>
      </c>
      <c r="H9" s="37">
        <v>0.16666666666666666</v>
      </c>
      <c r="J9" t="str">
        <v>Copper</v>
      </c>
      <c r="K9" s="83">
        <f t="shared" si="0"/>
        <v>41</v>
      </c>
      <c r="L9" s="37">
        <f t="shared" si="0"/>
        <v>23</v>
      </c>
      <c r="M9" s="37">
        <f t="shared" si="0"/>
        <v>30.5</v>
      </c>
      <c r="N9" s="84">
        <f t="shared" si="0"/>
        <v>24.666666666666668</v>
      </c>
      <c r="P9" t="str">
        <v>Copper</v>
      </c>
      <c r="Q9" s="83">
        <v>0</v>
      </c>
      <c r="R9" s="37">
        <v>6</v>
      </c>
      <c r="S9" s="37">
        <v>0</v>
      </c>
      <c r="T9" s="37">
        <v>0</v>
      </c>
      <c r="U9" s="84">
        <v>0</v>
      </c>
      <c r="V9">
        <v>6</v>
      </c>
      <c r="X9" s="83">
        <v>0.99226301208737899</v>
      </c>
      <c r="Y9" s="37">
        <v>3.15289660917797E-9</v>
      </c>
      <c r="Z9" s="37">
        <v>1.6841172892163977E-44</v>
      </c>
      <c r="AA9" s="37">
        <v>3.0153332581431712E-3</v>
      </c>
      <c r="AB9" s="84">
        <v>4.7216515015812725E-3</v>
      </c>
      <c r="AC9" s="98" t="str">
        <v>Iron</v>
      </c>
    </row>
    <row r="10" spans="1:29" ht="14.45" x14ac:dyDescent="0.35">
      <c r="A10" t="s">
        <v>808</v>
      </c>
      <c r="B10" s="44">
        <v>23</v>
      </c>
      <c r="C10" s="73">
        <v>13</v>
      </c>
      <c r="D10" s="73">
        <v>23</v>
      </c>
      <c r="E10" s="247">
        <v>46</v>
      </c>
      <c r="G10" t="str">
        <v>Nickel</v>
      </c>
      <c r="H10" s="37">
        <v>0.19444444444444445</v>
      </c>
      <c r="J10" t="str">
        <v>Zinc</v>
      </c>
      <c r="K10" s="83">
        <f t="shared" si="0"/>
        <v>66.333333333333329</v>
      </c>
      <c r="L10" s="37">
        <f t="shared" si="0"/>
        <v>26.5</v>
      </c>
      <c r="M10" s="37">
        <f t="shared" si="0"/>
        <v>42</v>
      </c>
      <c r="N10" s="84">
        <f t="shared" si="0"/>
        <v>29.5</v>
      </c>
      <c r="P10" t="str">
        <v>Zinc</v>
      </c>
      <c r="Q10" s="83">
        <v>0</v>
      </c>
      <c r="R10" s="37">
        <v>0</v>
      </c>
      <c r="S10" s="37">
        <v>6</v>
      </c>
      <c r="T10" s="37">
        <v>0</v>
      </c>
      <c r="U10" s="84">
        <v>0</v>
      </c>
      <c r="V10">
        <v>6</v>
      </c>
      <c r="X10" s="83">
        <v>0.97259078062579873</v>
      </c>
      <c r="Y10" s="37">
        <v>5.236869378962072E-20</v>
      </c>
      <c r="Z10" s="37">
        <v>1.1290073486571467E-26</v>
      </c>
      <c r="AA10" s="37">
        <v>1.9587489619775245E-2</v>
      </c>
      <c r="AB10" s="84">
        <v>7.8217297544259257E-3</v>
      </c>
      <c r="AC10" s="98" t="str">
        <v>Iron</v>
      </c>
    </row>
    <row r="11" spans="1:29" ht="14.45" x14ac:dyDescent="0.35">
      <c r="A11" t="s">
        <v>809</v>
      </c>
      <c r="B11" s="44">
        <v>39</v>
      </c>
      <c r="C11" s="73">
        <v>19</v>
      </c>
      <c r="D11" s="73">
        <v>30</v>
      </c>
      <c r="E11" s="247">
        <v>22</v>
      </c>
      <c r="G11" t="str">
        <v>Tin</v>
      </c>
      <c r="H11" s="40">
        <v>0.27777777777777779</v>
      </c>
      <c r="J11" t="str">
        <v>Nickel</v>
      </c>
      <c r="K11" s="83">
        <f t="shared" si="0"/>
        <v>51.714285714285715</v>
      </c>
      <c r="L11" s="37">
        <f t="shared" si="0"/>
        <v>28</v>
      </c>
      <c r="M11" s="37">
        <f t="shared" si="0"/>
        <v>28.571428571428573</v>
      </c>
      <c r="N11" s="84">
        <f t="shared" si="0"/>
        <v>31.142857142857142</v>
      </c>
      <c r="P11" t="str">
        <v>Nickel</v>
      </c>
      <c r="Q11" s="83">
        <v>0</v>
      </c>
      <c r="R11" s="37">
        <v>2</v>
      </c>
      <c r="S11" s="37">
        <v>0</v>
      </c>
      <c r="T11" s="37">
        <v>5</v>
      </c>
      <c r="U11" s="84">
        <v>0</v>
      </c>
      <c r="V11">
        <v>7</v>
      </c>
      <c r="X11" s="83">
        <v>0.9998328838246423</v>
      </c>
      <c r="Y11" s="37">
        <v>1.6623912998363065E-8</v>
      </c>
      <c r="Z11" s="37">
        <v>3.298439421959192E-57</v>
      </c>
      <c r="AA11" s="37">
        <v>1.1204523859558646E-5</v>
      </c>
      <c r="AB11" s="84">
        <v>1.5589502758512198E-4</v>
      </c>
      <c r="AC11" s="98" t="str">
        <v>Iron</v>
      </c>
    </row>
    <row r="12" spans="1:29" ht="14.45" x14ac:dyDescent="0.35">
      <c r="A12" t="s">
        <v>809</v>
      </c>
      <c r="B12" s="44">
        <v>47</v>
      </c>
      <c r="C12" s="73">
        <v>20</v>
      </c>
      <c r="D12" s="73">
        <v>32</v>
      </c>
      <c r="E12" s="247">
        <v>26</v>
      </c>
      <c r="J12" t="str">
        <v>Tin</v>
      </c>
      <c r="K12" s="85">
        <f t="shared" si="0"/>
        <v>84.1</v>
      </c>
      <c r="L12" s="86">
        <f t="shared" si="0"/>
        <v>25.6</v>
      </c>
      <c r="M12" s="86">
        <f t="shared" si="0"/>
        <v>44.1</v>
      </c>
      <c r="N12" s="87">
        <f t="shared" si="0"/>
        <v>26.8</v>
      </c>
      <c r="P12" t="str">
        <v>Tin</v>
      </c>
      <c r="Q12" s="85">
        <v>0</v>
      </c>
      <c r="R12" s="86">
        <v>0</v>
      </c>
      <c r="S12" s="86">
        <v>0</v>
      </c>
      <c r="T12" s="86">
        <v>2</v>
      </c>
      <c r="U12" s="87">
        <v>8</v>
      </c>
      <c r="V12">
        <v>10</v>
      </c>
      <c r="X12" s="83">
        <v>1.5642528096356662E-2</v>
      </c>
      <c r="Y12" s="37">
        <v>0.96061799159403882</v>
      </c>
      <c r="Z12" s="37">
        <v>1.9298014033148462E-6</v>
      </c>
      <c r="AA12" s="37">
        <v>9.642520524023368E-3</v>
      </c>
      <c r="AB12" s="84">
        <v>1.4095029984177892E-2</v>
      </c>
      <c r="AC12" s="98" t="str">
        <v>Copper</v>
      </c>
    </row>
    <row r="13" spans="1:29" ht="14.45" x14ac:dyDescent="0.35">
      <c r="A13" t="s">
        <v>809</v>
      </c>
      <c r="B13" s="44">
        <v>41</v>
      </c>
      <c r="C13" s="73">
        <v>23</v>
      </c>
      <c r="D13" s="73">
        <v>30</v>
      </c>
      <c r="E13" s="247">
        <v>22</v>
      </c>
      <c r="P13" t="str">
        <v/>
      </c>
      <c r="Q13">
        <v>7</v>
      </c>
      <c r="R13">
        <v>8</v>
      </c>
      <c r="S13">
        <v>6</v>
      </c>
      <c r="T13">
        <v>7</v>
      </c>
      <c r="U13">
        <v>8</v>
      </c>
      <c r="V13">
        <v>36</v>
      </c>
      <c r="X13" s="83">
        <v>1.8414846377539656E-11</v>
      </c>
      <c r="Y13" s="37">
        <v>0.81531415646131311</v>
      </c>
      <c r="Z13" s="37">
        <v>2.2761100423208812E-3</v>
      </c>
      <c r="AA13" s="37">
        <v>0.14521976754604968</v>
      </c>
      <c r="AB13" s="84">
        <v>3.7189965931901416E-2</v>
      </c>
      <c r="AC13" s="98" t="str">
        <v>Copper</v>
      </c>
    </row>
    <row r="14" spans="1:29" ht="14.45" x14ac:dyDescent="0.35">
      <c r="A14" t="s">
        <v>809</v>
      </c>
      <c r="B14" s="44">
        <v>53</v>
      </c>
      <c r="C14" s="73">
        <v>37</v>
      </c>
      <c r="D14" s="73">
        <v>31</v>
      </c>
      <c r="E14" s="247">
        <v>16</v>
      </c>
      <c r="J14" t="s">
        <v>816</v>
      </c>
      <c r="X14" s="83">
        <v>1.0855790924351854E-4</v>
      </c>
      <c r="Y14" s="37">
        <v>0.98264468385835613</v>
      </c>
      <c r="Z14" s="37">
        <v>3.5087046028002529E-6</v>
      </c>
      <c r="AA14" s="37">
        <v>1.1477675054342355E-2</v>
      </c>
      <c r="AB14" s="84">
        <v>5.7655744734554353E-3</v>
      </c>
      <c r="AC14" s="98" t="str">
        <v>Copper</v>
      </c>
    </row>
    <row r="15" spans="1:29" ht="14.45" x14ac:dyDescent="0.35">
      <c r="A15" t="s">
        <v>809</v>
      </c>
      <c r="B15" s="44">
        <v>23</v>
      </c>
      <c r="C15" s="73">
        <v>13</v>
      </c>
      <c r="D15" s="73">
        <v>22</v>
      </c>
      <c r="E15" s="247">
        <v>31</v>
      </c>
      <c r="P15" t="s">
        <v>822</v>
      </c>
      <c r="X15" s="83">
        <v>3.2906722781852594E-21</v>
      </c>
      <c r="Y15" s="37">
        <v>0.95380852884422973</v>
      </c>
      <c r="Z15" s="37">
        <v>1.7863083231979591E-37</v>
      </c>
      <c r="AA15" s="37">
        <v>2.7815066757129105E-2</v>
      </c>
      <c r="AB15" s="84">
        <v>1.8376404398641188E-2</v>
      </c>
      <c r="AC15" s="98" t="str">
        <v>Copper</v>
      </c>
    </row>
    <row r="16" spans="1:29" ht="14.45" x14ac:dyDescent="0.35">
      <c r="A16" t="s">
        <v>809</v>
      </c>
      <c r="B16" s="44">
        <v>43</v>
      </c>
      <c r="C16" s="73">
        <v>26</v>
      </c>
      <c r="D16" s="73">
        <v>38</v>
      </c>
      <c r="E16" s="247">
        <v>31</v>
      </c>
      <c r="J16" t="str">
        <f>J8</f>
        <v>Iron</v>
      </c>
      <c r="K16" s="132">
        <f>H7</f>
        <v>0.19444444444444445</v>
      </c>
      <c r="X16" s="83">
        <v>3.4883103480991669E-4</v>
      </c>
      <c r="Y16" s="37">
        <v>0.99429301723759278</v>
      </c>
      <c r="Z16" s="37">
        <v>2.6399094425027828E-29</v>
      </c>
      <c r="AA16" s="37">
        <v>6.0760813240118514E-6</v>
      </c>
      <c r="AB16" s="84">
        <v>5.3520756462731829E-3</v>
      </c>
      <c r="AC16" s="98" t="str">
        <v>Copper</v>
      </c>
    </row>
    <row r="17" spans="1:29" ht="14.45" x14ac:dyDescent="0.35">
      <c r="A17" t="s">
        <v>812</v>
      </c>
      <c r="B17" s="44">
        <v>61</v>
      </c>
      <c r="C17" s="73">
        <v>26</v>
      </c>
      <c r="D17" s="73">
        <v>40</v>
      </c>
      <c r="E17" s="247">
        <v>27</v>
      </c>
      <c r="J17" t="str">
        <f t="shared" ref="J17:J20" si="1">J9</f>
        <v>Copper</v>
      </c>
      <c r="K17" s="98">
        <f t="shared" ref="K17:K20" si="2">H8</f>
        <v>0.16666666666666666</v>
      </c>
      <c r="P17" s="32" t="str">
        <f t="array" ref="P17:T23">[1]!DASummary( P7:V13)</f>
        <v/>
      </c>
      <c r="Q17" s="32" t="str">
        <v>correct</v>
      </c>
      <c r="R17" s="32" t="str">
        <v>total</v>
      </c>
      <c r="S17" s="32" t="str">
        <v>% correct</v>
      </c>
      <c r="T17" s="32" t="str">
        <v>% missed</v>
      </c>
      <c r="X17" s="83">
        <v>3.6271448106967913E-12</v>
      </c>
      <c r="Y17" s="37">
        <v>0.78164656647993647</v>
      </c>
      <c r="Z17" s="37">
        <v>3.8225834824736063E-13</v>
      </c>
      <c r="AA17" s="37">
        <v>0.20402067727218692</v>
      </c>
      <c r="AB17" s="84">
        <v>1.4332756243867173E-2</v>
      </c>
      <c r="AC17" s="98" t="str">
        <v>Copper</v>
      </c>
    </row>
    <row r="18" spans="1:29" ht="14.45" x14ac:dyDescent="0.35">
      <c r="A18" t="s">
        <v>812</v>
      </c>
      <c r="B18" s="44">
        <v>57</v>
      </c>
      <c r="C18" s="73">
        <v>19</v>
      </c>
      <c r="D18" s="73">
        <v>33</v>
      </c>
      <c r="E18" s="247">
        <v>24</v>
      </c>
      <c r="J18" t="str">
        <f t="shared" si="1"/>
        <v>Zinc</v>
      </c>
      <c r="K18" s="98">
        <f t="shared" si="2"/>
        <v>0.16666666666666666</v>
      </c>
      <c r="P18" t="str">
        <v>Iron</v>
      </c>
      <c r="Q18" s="149">
        <v>7</v>
      </c>
      <c r="R18" s="141">
        <v>7</v>
      </c>
      <c r="S18" s="141">
        <v>1</v>
      </c>
      <c r="T18" s="150">
        <v>0</v>
      </c>
      <c r="X18" s="83">
        <v>7.3347783199959404E-47</v>
      </c>
      <c r="Y18" s="37">
        <v>2.8487519173413115E-3</v>
      </c>
      <c r="Z18" s="37">
        <v>0.93473151121071729</v>
      </c>
      <c r="AA18" s="37">
        <v>3.0737200367805171E-2</v>
      </c>
      <c r="AB18" s="84">
        <v>3.1682536504136258E-2</v>
      </c>
      <c r="AC18" s="98" t="str">
        <v>Zinc</v>
      </c>
    </row>
    <row r="19" spans="1:29" ht="14.45" x14ac:dyDescent="0.35">
      <c r="A19" t="s">
        <v>812</v>
      </c>
      <c r="B19" s="44">
        <v>67</v>
      </c>
      <c r="C19" s="73">
        <v>26</v>
      </c>
      <c r="D19" s="73">
        <v>35</v>
      </c>
      <c r="E19" s="247">
        <v>32</v>
      </c>
      <c r="J19" t="str">
        <f t="shared" si="1"/>
        <v>Nickel</v>
      </c>
      <c r="K19" s="98">
        <f t="shared" si="2"/>
        <v>0.19444444444444445</v>
      </c>
      <c r="P19" t="str">
        <v>Copper</v>
      </c>
      <c r="Q19" s="83">
        <v>6</v>
      </c>
      <c r="R19" s="37">
        <v>6</v>
      </c>
      <c r="S19" s="37">
        <v>1</v>
      </c>
      <c r="T19" s="84">
        <v>0</v>
      </c>
      <c r="X19" s="83">
        <v>6.3225658359737562E-28</v>
      </c>
      <c r="Y19" s="37">
        <v>4.8058342657678461E-4</v>
      </c>
      <c r="Z19" s="37">
        <v>0.67940791049051519</v>
      </c>
      <c r="AA19" s="37">
        <v>0.24304316511943466</v>
      </c>
      <c r="AB19" s="84">
        <v>7.7068340963473328E-2</v>
      </c>
      <c r="AC19" s="98" t="str">
        <v>Zinc</v>
      </c>
    </row>
    <row r="20" spans="1:29" ht="14.45" x14ac:dyDescent="0.35">
      <c r="A20" t="s">
        <v>812</v>
      </c>
      <c r="B20" s="44">
        <v>51</v>
      </c>
      <c r="C20" s="73">
        <v>21</v>
      </c>
      <c r="D20" s="73">
        <v>30</v>
      </c>
      <c r="E20" s="247">
        <v>22</v>
      </c>
      <c r="J20" t="str">
        <f t="shared" si="1"/>
        <v>Tin</v>
      </c>
      <c r="K20" s="99">
        <f t="shared" si="2"/>
        <v>0.27777777777777779</v>
      </c>
      <c r="P20" t="str">
        <v>Zinc</v>
      </c>
      <c r="Q20" s="83">
        <v>6</v>
      </c>
      <c r="R20" s="37">
        <v>6</v>
      </c>
      <c r="S20" s="37">
        <v>1</v>
      </c>
      <c r="T20" s="84">
        <v>0</v>
      </c>
      <c r="X20" s="83">
        <v>2.2315376875565821E-68</v>
      </c>
      <c r="Y20" s="37">
        <v>4.3815673651662726E-15</v>
      </c>
      <c r="Z20" s="37">
        <v>0.79412336492157254</v>
      </c>
      <c r="AA20" s="37">
        <v>0.11166865966525799</v>
      </c>
      <c r="AB20" s="84">
        <v>9.4207975413164932E-2</v>
      </c>
      <c r="AC20" s="98" t="str">
        <v>Zinc</v>
      </c>
    </row>
    <row r="21" spans="1:29" ht="14.45" x14ac:dyDescent="0.35">
      <c r="A21" t="s">
        <v>812</v>
      </c>
      <c r="B21" s="44">
        <v>95</v>
      </c>
      <c r="C21" s="73">
        <v>38</v>
      </c>
      <c r="D21" s="73">
        <v>82</v>
      </c>
      <c r="E21" s="247">
        <v>23</v>
      </c>
      <c r="P21" t="str">
        <v>Nickel</v>
      </c>
      <c r="Q21" s="83">
        <v>5</v>
      </c>
      <c r="R21" s="37">
        <v>7</v>
      </c>
      <c r="S21" s="37">
        <v>0.7142857142857143</v>
      </c>
      <c r="T21" s="84">
        <v>0.2857142857142857</v>
      </c>
      <c r="X21" s="83">
        <v>2.1270324145170319E-15</v>
      </c>
      <c r="Y21" s="37">
        <v>7.2181528254634891E-2</v>
      </c>
      <c r="Z21" s="37">
        <v>0.83175708930880154</v>
      </c>
      <c r="AA21" s="37">
        <v>6.7514236721455984E-2</v>
      </c>
      <c r="AB21" s="84">
        <v>2.8547145715105537E-2</v>
      </c>
      <c r="AC21" s="98" t="str">
        <v>Zinc</v>
      </c>
    </row>
    <row r="22" spans="1:29" ht="14.45" x14ac:dyDescent="0.35">
      <c r="A22" t="s">
        <v>812</v>
      </c>
      <c r="B22" s="44">
        <v>67</v>
      </c>
      <c r="C22" s="73">
        <v>29</v>
      </c>
      <c r="D22" s="73">
        <v>32</v>
      </c>
      <c r="E22" s="247">
        <v>49</v>
      </c>
      <c r="J22" t="s">
        <v>813</v>
      </c>
      <c r="P22" t="str">
        <v>Tin</v>
      </c>
      <c r="Q22" s="85">
        <v>8</v>
      </c>
      <c r="R22" s="86">
        <v>10</v>
      </c>
      <c r="S22" s="86">
        <v>0.8</v>
      </c>
      <c r="T22" s="87">
        <v>0.19999999999999996</v>
      </c>
      <c r="X22" s="83">
        <v>9.2314699314465613E-270</v>
      </c>
      <c r="Y22" s="37">
        <v>5.9382642498063093E-33</v>
      </c>
      <c r="Z22" s="37">
        <v>0.97997283977238347</v>
      </c>
      <c r="AA22" s="37">
        <v>6.2273885064078184E-27</v>
      </c>
      <c r="AB22" s="84">
        <v>2.0027160227616522E-2</v>
      </c>
      <c r="AC22" s="98" t="str">
        <v>Zinc</v>
      </c>
    </row>
    <row r="23" spans="1:29" ht="14.45" x14ac:dyDescent="0.35">
      <c r="A23" t="s">
        <v>814</v>
      </c>
      <c r="B23" s="44">
        <v>43</v>
      </c>
      <c r="C23" s="73">
        <v>19</v>
      </c>
      <c r="D23" s="73">
        <v>32</v>
      </c>
      <c r="E23" s="247">
        <v>31</v>
      </c>
      <c r="P23" t="str">
        <v/>
      </c>
      <c r="Q23">
        <v>32</v>
      </c>
      <c r="R23">
        <v>36</v>
      </c>
      <c r="S23">
        <v>0.88888888888888884</v>
      </c>
      <c r="T23">
        <v>0.11111111111111116</v>
      </c>
      <c r="X23" s="83">
        <v>1.5960375024593938E-97</v>
      </c>
      <c r="Y23" s="37">
        <v>1.7196830894614886E-51</v>
      </c>
      <c r="Z23" s="37">
        <v>0.99642154330662458</v>
      </c>
      <c r="AA23" s="37">
        <v>1.9342092901795782E-3</v>
      </c>
      <c r="AB23" s="84">
        <v>1.6442474031958937E-3</v>
      </c>
      <c r="AC23" s="98" t="str">
        <v>Zinc</v>
      </c>
    </row>
    <row r="24" spans="1:29" ht="14.45" x14ac:dyDescent="0.35">
      <c r="A24" t="s">
        <v>814</v>
      </c>
      <c r="B24" s="44">
        <v>49</v>
      </c>
      <c r="C24" s="73">
        <v>21</v>
      </c>
      <c r="D24" s="73">
        <v>31</v>
      </c>
      <c r="E24" s="247">
        <v>23</v>
      </c>
      <c r="J24" t="s">
        <v>65</v>
      </c>
      <c r="K24" s="137">
        <f>[1]!BOXTEST(A4:E39)</f>
        <v>8.5914714917856294E-4</v>
      </c>
      <c r="X24" s="83">
        <v>1.7819346238442425E-8</v>
      </c>
      <c r="Y24" s="37">
        <v>0.75103442328360004</v>
      </c>
      <c r="Z24" s="37">
        <v>6.4421615590227146E-10</v>
      </c>
      <c r="AA24" s="37">
        <v>0.21084395471984463</v>
      </c>
      <c r="AB24" s="84">
        <v>3.812160353299273E-2</v>
      </c>
      <c r="AC24" s="98" t="str">
        <v>Copper</v>
      </c>
    </row>
    <row r="25" spans="1:29" ht="14.45" x14ac:dyDescent="0.35">
      <c r="A25" t="s">
        <v>814</v>
      </c>
      <c r="B25" s="44">
        <v>67</v>
      </c>
      <c r="C25" s="73">
        <v>21</v>
      </c>
      <c r="D25" s="73">
        <v>23</v>
      </c>
      <c r="E25" s="247">
        <v>36</v>
      </c>
      <c r="X25" s="83">
        <v>7.8601717066973888E-13</v>
      </c>
      <c r="Y25" s="37">
        <v>0.53602190425352725</v>
      </c>
      <c r="Z25" s="37">
        <v>0.3216777181101399</v>
      </c>
      <c r="AA25" s="37">
        <v>0.10545756016554116</v>
      </c>
      <c r="AB25" s="84">
        <v>3.6842817470005743E-2</v>
      </c>
      <c r="AC25" s="98" t="str">
        <v>Copper</v>
      </c>
    </row>
    <row r="26" spans="1:29" ht="14.45" x14ac:dyDescent="0.35">
      <c r="A26" t="s">
        <v>814</v>
      </c>
      <c r="B26" s="44">
        <v>80</v>
      </c>
      <c r="C26" s="73">
        <v>19</v>
      </c>
      <c r="D26" s="73">
        <v>28</v>
      </c>
      <c r="E26" s="247">
        <v>37</v>
      </c>
      <c r="X26" s="83">
        <v>2.5622969972499474E-65</v>
      </c>
      <c r="Y26" s="37">
        <v>8.1676246636891999E-45</v>
      </c>
      <c r="Z26" s="37">
        <v>1.6635310406066541E-4</v>
      </c>
      <c r="AA26" s="37">
        <v>0.85825817869060006</v>
      </c>
      <c r="AB26" s="84">
        <v>0.14157546820533926</v>
      </c>
      <c r="AC26" s="98" t="str">
        <v>Nickel</v>
      </c>
    </row>
    <row r="27" spans="1:29" ht="14.45" x14ac:dyDescent="0.35">
      <c r="A27" t="s">
        <v>814</v>
      </c>
      <c r="B27" s="44">
        <v>49</v>
      </c>
      <c r="C27" s="73">
        <v>35</v>
      </c>
      <c r="D27" s="73">
        <v>38</v>
      </c>
      <c r="E27" s="247">
        <v>17</v>
      </c>
      <c r="X27" s="83">
        <v>4.5882207940093356E-119</v>
      </c>
      <c r="Y27" s="37">
        <v>3.2479891074723089E-60</v>
      </c>
      <c r="Z27" s="37">
        <v>5.6844141091193761E-15</v>
      </c>
      <c r="AA27" s="37">
        <v>0.52066737587822287</v>
      </c>
      <c r="AB27" s="84">
        <v>0.47933262412177147</v>
      </c>
      <c r="AC27" s="98" t="str">
        <v>Nickel</v>
      </c>
    </row>
    <row r="28" spans="1:29" ht="14.45" x14ac:dyDescent="0.35">
      <c r="A28" t="s">
        <v>814</v>
      </c>
      <c r="B28" s="44">
        <v>51</v>
      </c>
      <c r="C28" s="73">
        <v>44</v>
      </c>
      <c r="D28" s="73">
        <v>9</v>
      </c>
      <c r="E28" s="247">
        <v>37</v>
      </c>
      <c r="X28" s="83">
        <v>1.3926035059479754E-13</v>
      </c>
      <c r="Y28" s="37">
        <v>0.10457823633948951</v>
      </c>
      <c r="Z28" s="37">
        <v>2.5522984915289114E-21</v>
      </c>
      <c r="AA28" s="37">
        <v>0.51996828598264888</v>
      </c>
      <c r="AB28" s="84">
        <v>0.37545347767772236</v>
      </c>
      <c r="AC28" s="98" t="str">
        <v>Nickel</v>
      </c>
    </row>
    <row r="29" spans="1:29" ht="14.45" x14ac:dyDescent="0.35">
      <c r="A29" t="s">
        <v>814</v>
      </c>
      <c r="B29" s="44">
        <v>23</v>
      </c>
      <c r="C29" s="73">
        <v>37</v>
      </c>
      <c r="D29" s="73">
        <v>39</v>
      </c>
      <c r="E29" s="247">
        <v>37</v>
      </c>
      <c r="X29" s="83">
        <v>3.0939463310834364E-43</v>
      </c>
      <c r="Y29" s="37">
        <v>2.2494290178191993E-65</v>
      </c>
      <c r="Z29" s="37">
        <v>3.8023648392365777E-74</v>
      </c>
      <c r="AA29" s="37">
        <v>0.99270360102024024</v>
      </c>
      <c r="AB29" s="84">
        <v>7.2963989797597464E-3</v>
      </c>
      <c r="AC29" s="98" t="str">
        <v>Nickel</v>
      </c>
    </row>
    <row r="30" spans="1:29" ht="14.45" x14ac:dyDescent="0.35">
      <c r="A30" t="s">
        <v>815</v>
      </c>
      <c r="B30" s="44">
        <v>47</v>
      </c>
      <c r="C30" s="73">
        <v>47</v>
      </c>
      <c r="D30" s="73">
        <v>32</v>
      </c>
      <c r="E30" s="247">
        <v>27</v>
      </c>
      <c r="X30" s="83">
        <v>2.1960425133900634E-5</v>
      </c>
      <c r="Y30" s="37">
        <v>1.9060807098917043E-12</v>
      </c>
      <c r="Z30" s="37">
        <v>2.216094654501137E-66</v>
      </c>
      <c r="AA30" s="37">
        <v>0.99619293813250265</v>
      </c>
      <c r="AB30" s="84">
        <v>3.7851014404574395E-3</v>
      </c>
      <c r="AC30" s="98" t="str">
        <v>Nickel</v>
      </c>
    </row>
    <row r="31" spans="1:29" ht="14.45" x14ac:dyDescent="0.35">
      <c r="A31" t="s">
        <v>815</v>
      </c>
      <c r="B31" s="44">
        <v>125</v>
      </c>
      <c r="C31" s="73">
        <v>44</v>
      </c>
      <c r="D31" s="73">
        <v>68</v>
      </c>
      <c r="E31" s="247">
        <v>20</v>
      </c>
      <c r="X31" s="83">
        <v>5.577118657094206E-25</v>
      </c>
      <c r="Y31" s="37">
        <v>3.3313616770928029E-5</v>
      </c>
      <c r="Z31" s="37">
        <v>2.9278475587555166E-65</v>
      </c>
      <c r="AA31" s="37">
        <v>0.81499150562513145</v>
      </c>
      <c r="AB31" s="84">
        <v>0.18497518075809777</v>
      </c>
      <c r="AC31" s="98" t="str">
        <v>Nickel</v>
      </c>
    </row>
    <row r="32" spans="1:29" x14ac:dyDescent="0.25">
      <c r="A32" t="s">
        <v>815</v>
      </c>
      <c r="B32" s="44">
        <v>98</v>
      </c>
      <c r="C32" s="73">
        <v>25</v>
      </c>
      <c r="D32" s="73">
        <v>38</v>
      </c>
      <c r="E32" s="247">
        <v>18</v>
      </c>
      <c r="X32" s="83">
        <v>0</v>
      </c>
      <c r="Y32" s="37">
        <v>2.5061398058720816E-32</v>
      </c>
      <c r="Z32" s="37">
        <v>6.4406853102135046E-68</v>
      </c>
      <c r="AA32" s="37">
        <v>1.2640001892975158E-29</v>
      </c>
      <c r="AB32" s="84">
        <v>1</v>
      </c>
      <c r="AC32" s="98" t="str">
        <v>Tin</v>
      </c>
    </row>
    <row r="33" spans="1:29" x14ac:dyDescent="0.25">
      <c r="A33" t="s">
        <v>815</v>
      </c>
      <c r="B33" s="44">
        <v>121</v>
      </c>
      <c r="C33" s="73">
        <v>39</v>
      </c>
      <c r="D33" s="73">
        <v>61</v>
      </c>
      <c r="E33" s="247">
        <v>33</v>
      </c>
      <c r="X33" s="83">
        <v>8.2133206997620693E-181</v>
      </c>
      <c r="Y33" s="37">
        <v>9.6127346882852102E-37</v>
      </c>
      <c r="Z33" s="37">
        <v>7.2182880834171562E-50</v>
      </c>
      <c r="AA33" s="37">
        <v>9.5061786667839372E-4</v>
      </c>
      <c r="AB33" s="84">
        <v>0.99904938213332162</v>
      </c>
      <c r="AC33" s="98" t="str">
        <v>Tin</v>
      </c>
    </row>
    <row r="34" spans="1:29" x14ac:dyDescent="0.25">
      <c r="A34" t="s">
        <v>815</v>
      </c>
      <c r="B34" s="44">
        <v>61</v>
      </c>
      <c r="C34" s="73">
        <v>25</v>
      </c>
      <c r="D34" s="73">
        <v>25</v>
      </c>
      <c r="E34" s="247">
        <v>15</v>
      </c>
      <c r="X34" s="83">
        <v>0</v>
      </c>
      <c r="Y34" s="37">
        <v>2.4176197081552564E-54</v>
      </c>
      <c r="Z34" s="37">
        <v>1.8895023038694056E-43</v>
      </c>
      <c r="AA34" s="37">
        <v>5.6351265465790056E-24</v>
      </c>
      <c r="AB34" s="84">
        <v>1</v>
      </c>
      <c r="AC34" s="98" t="str">
        <v>Tin</v>
      </c>
    </row>
    <row r="35" spans="1:29" x14ac:dyDescent="0.25">
      <c r="A35" t="s">
        <v>815</v>
      </c>
      <c r="B35" s="44">
        <v>87</v>
      </c>
      <c r="C35" s="73">
        <v>11</v>
      </c>
      <c r="D35" s="73">
        <v>20</v>
      </c>
      <c r="E35" s="247">
        <v>45</v>
      </c>
      <c r="X35" s="83">
        <v>1.4410873257364865E-29</v>
      </c>
      <c r="Y35" s="37">
        <v>1.1100813430490532E-5</v>
      </c>
      <c r="Z35" s="37">
        <v>1.1855649976601342E-15</v>
      </c>
      <c r="AA35" s="37">
        <v>0.48729227239753881</v>
      </c>
      <c r="AB35" s="84">
        <v>0.5126966267890295</v>
      </c>
      <c r="AC35" s="98" t="str">
        <v>Tin</v>
      </c>
    </row>
    <row r="36" spans="1:29" x14ac:dyDescent="0.25">
      <c r="A36" t="s">
        <v>815</v>
      </c>
      <c r="B36" s="44">
        <v>63</v>
      </c>
      <c r="C36" s="73">
        <v>11</v>
      </c>
      <c r="D36" s="73">
        <v>34</v>
      </c>
      <c r="E36" s="247">
        <v>26</v>
      </c>
      <c r="X36" s="83">
        <v>3.4826424944376649E-159</v>
      </c>
      <c r="Y36" s="37">
        <v>2.9674208324325979E-132</v>
      </c>
      <c r="Z36" s="37">
        <v>2.6744654948304587E-43</v>
      </c>
      <c r="AA36" s="37">
        <v>0.45036606326289147</v>
      </c>
      <c r="AB36" s="84">
        <v>0.54963393673710847</v>
      </c>
      <c r="AC36" s="98" t="str">
        <v>Tin</v>
      </c>
    </row>
    <row r="37" spans="1:29" x14ac:dyDescent="0.25">
      <c r="A37" t="s">
        <v>815</v>
      </c>
      <c r="B37" s="44">
        <v>71</v>
      </c>
      <c r="C37" s="73">
        <v>21</v>
      </c>
      <c r="D37" s="73">
        <v>61</v>
      </c>
      <c r="E37" s="247">
        <v>26</v>
      </c>
      <c r="X37" s="83">
        <v>1.048380940967887E-43</v>
      </c>
      <c r="Y37" s="37">
        <v>4.2743546719356758E-11</v>
      </c>
      <c r="Z37" s="37">
        <v>4.293029055985421E-14</v>
      </c>
      <c r="AA37" s="37">
        <v>0.64247089042899586</v>
      </c>
      <c r="AB37" s="84">
        <v>0.35752910952821754</v>
      </c>
      <c r="AC37" s="98" t="str">
        <v>Nickel</v>
      </c>
    </row>
    <row r="38" spans="1:29" x14ac:dyDescent="0.25">
      <c r="A38" t="s">
        <v>815</v>
      </c>
      <c r="B38" s="44">
        <v>105</v>
      </c>
      <c r="C38" s="73">
        <v>7</v>
      </c>
      <c r="D38" s="73">
        <v>33</v>
      </c>
      <c r="E38" s="247">
        <v>40</v>
      </c>
      <c r="X38" s="83">
        <v>1.4301694840151103E-100</v>
      </c>
      <c r="Y38" s="37">
        <v>9.2455973616909767E-14</v>
      </c>
      <c r="Z38" s="37">
        <v>1.2062043698441119E-13</v>
      </c>
      <c r="AA38" s="37">
        <v>4.2239768960577857E-5</v>
      </c>
      <c r="AB38" s="84">
        <v>0.99995776023082628</v>
      </c>
      <c r="AC38" s="98" t="str">
        <v>Tin</v>
      </c>
    </row>
    <row r="39" spans="1:29" x14ac:dyDescent="0.25">
      <c r="A39" t="s">
        <v>815</v>
      </c>
      <c r="B39" s="45">
        <v>63</v>
      </c>
      <c r="C39" s="74">
        <v>26</v>
      </c>
      <c r="D39" s="74">
        <v>69</v>
      </c>
      <c r="E39" s="284">
        <v>18</v>
      </c>
      <c r="X39" s="83">
        <v>3.3077835587153666E-267</v>
      </c>
      <c r="Y39" s="37">
        <v>2.6191219052611359E-126</v>
      </c>
      <c r="Z39" s="37">
        <v>4.375350896620357E-87</v>
      </c>
      <c r="AA39" s="37">
        <v>7.8231674231095654E-3</v>
      </c>
      <c r="AB39" s="84">
        <v>0.99217683257689038</v>
      </c>
      <c r="AC39" s="98" t="str">
        <v>Tin</v>
      </c>
    </row>
    <row r="40" spans="1:29" x14ac:dyDescent="0.25">
      <c r="X40" s="85">
        <v>1.1557254018436152E-71</v>
      </c>
      <c r="Y40" s="86">
        <v>2.1462415092209012E-41</v>
      </c>
      <c r="Z40" s="86">
        <v>1.7729837841489758E-13</v>
      </c>
      <c r="AA40" s="86">
        <v>1.695762526069592E-6</v>
      </c>
      <c r="AB40" s="87">
        <v>0.99999830423729652</v>
      </c>
      <c r="AC40" s="99" t="str">
        <v>Tin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9"/>
  <dimension ref="A1:BB72"/>
  <sheetViews>
    <sheetView zoomScaleNormal="100" workbookViewId="0"/>
  </sheetViews>
  <sheetFormatPr defaultRowHeight="15" x14ac:dyDescent="0.25"/>
  <cols>
    <col min="9" max="9" width="9.140625" customWidth="1"/>
    <col min="21" max="21" width="4.85546875" customWidth="1"/>
    <col min="28" max="28" width="3.140625" customWidth="1"/>
    <col min="29" max="29" width="9.140625" customWidth="1"/>
    <col min="38" max="38" width="9.140625" customWidth="1"/>
    <col min="40" max="40" width="9.140625" customWidth="1"/>
    <col min="44" max="44" width="9.140625" customWidth="1"/>
    <col min="56" max="56" width="12" bestFit="1" customWidth="1"/>
  </cols>
  <sheetData>
    <row r="1" spans="1:54" s="337" customFormat="1" ht="14.45" x14ac:dyDescent="0.35">
      <c r="A1" s="336" t="s">
        <v>827</v>
      </c>
      <c r="B1" s="336"/>
      <c r="O1" s="337" t="s">
        <v>829</v>
      </c>
    </row>
    <row r="2" spans="1:54" s="337" customFormat="1" ht="14.45" x14ac:dyDescent="0.35"/>
    <row r="3" spans="1:54" s="337" customFormat="1" ht="15" customHeight="1" x14ac:dyDescent="0.35">
      <c r="B3" s="338" t="s">
        <v>830</v>
      </c>
      <c r="C3" s="338" t="s">
        <v>831</v>
      </c>
      <c r="D3" s="338" t="s">
        <v>832</v>
      </c>
      <c r="E3" s="338" t="s">
        <v>833</v>
      </c>
      <c r="P3" s="338" t="str">
        <f>B3</f>
        <v>Apple</v>
      </c>
      <c r="Q3" s="338" t="str">
        <f t="shared" ref="Q3:S3" si="0">C3</f>
        <v>Samsung</v>
      </c>
      <c r="R3" s="338" t="str">
        <f t="shared" si="0"/>
        <v>Nokia</v>
      </c>
      <c r="S3" s="338" t="str">
        <f t="shared" si="0"/>
        <v>Huawei</v>
      </c>
      <c r="V3" s="337" t="s">
        <v>834</v>
      </c>
      <c r="AD3" s="337" t="s">
        <v>835</v>
      </c>
      <c r="AH3" s="337" t="s">
        <v>836</v>
      </c>
    </row>
    <row r="4" spans="1:54" s="337" customFormat="1" ht="14.45" x14ac:dyDescent="0.35">
      <c r="A4" s="337" t="s">
        <v>837</v>
      </c>
      <c r="B4" s="339">
        <v>36</v>
      </c>
      <c r="C4" s="340">
        <v>42</v>
      </c>
      <c r="D4" s="340">
        <v>7</v>
      </c>
      <c r="E4" s="341">
        <v>22</v>
      </c>
      <c r="F4" s="337">
        <f t="shared" ref="F4:F10" si="1">SUM(B4:E4)</f>
        <v>107</v>
      </c>
      <c r="H4" s="342"/>
      <c r="O4" s="337" t="str">
        <f>A4</f>
        <v>screen</v>
      </c>
      <c r="P4" s="339">
        <f t="shared" ref="P4:S9" si="2">B4/$F$10</f>
        <v>5.4794520547945202E-2</v>
      </c>
      <c r="Q4" s="340">
        <f t="shared" si="2"/>
        <v>6.3926940639269403E-2</v>
      </c>
      <c r="R4" s="340">
        <f t="shared" si="2"/>
        <v>1.06544901065449E-2</v>
      </c>
      <c r="S4" s="341">
        <f t="shared" si="2"/>
        <v>3.3485540334855401E-2</v>
      </c>
      <c r="T4" s="337">
        <f t="shared" ref="T4:T10" si="3">SUM(P4:S4)</f>
        <v>0.16286149162861491</v>
      </c>
      <c r="V4" s="339">
        <f t="array" ref="V4:AA9">[1]!DIAGONAL(1/SQRT(T4:T9))</f>
        <v>2.4779400549423811</v>
      </c>
      <c r="W4" s="340">
        <v>0</v>
      </c>
      <c r="X4" s="340">
        <v>0</v>
      </c>
      <c r="Y4" s="340">
        <v>0</v>
      </c>
      <c r="Z4" s="340">
        <v>0</v>
      </c>
      <c r="AA4" s="341">
        <v>0</v>
      </c>
      <c r="AB4" s="344"/>
      <c r="AD4" s="339">
        <f t="array" ref="AD4:AF9">[1]!CARowFactors(B4:E9)</f>
        <v>-0.28861259679025908</v>
      </c>
      <c r="AE4" s="340">
        <v>-0.10890552822986671</v>
      </c>
      <c r="AF4" s="341">
        <v>6.0992385483933098E-2</v>
      </c>
      <c r="AH4" s="339">
        <f t="array" ref="AH4:AJ7">[1]!CAColFactors(B4:E9)</f>
        <v>-0.34040167699441493</v>
      </c>
      <c r="AI4" s="340">
        <v>0.1144597983462802</v>
      </c>
      <c r="AJ4" s="341">
        <v>-7.3261369197504353E-2</v>
      </c>
    </row>
    <row r="5" spans="1:54" s="337" customFormat="1" ht="14.45" x14ac:dyDescent="0.35">
      <c r="A5" s="337" t="s">
        <v>838</v>
      </c>
      <c r="B5" s="343">
        <v>3</v>
      </c>
      <c r="C5" s="344">
        <v>5</v>
      </c>
      <c r="D5" s="344">
        <v>43</v>
      </c>
      <c r="E5" s="345">
        <v>32</v>
      </c>
      <c r="F5" s="337">
        <f t="shared" si="1"/>
        <v>83</v>
      </c>
      <c r="O5" s="337" t="str">
        <f t="shared" ref="O5:O9" si="4">A5</f>
        <v>price</v>
      </c>
      <c r="P5" s="343">
        <f t="shared" si="2"/>
        <v>4.5662100456621002E-3</v>
      </c>
      <c r="Q5" s="344">
        <f t="shared" si="2"/>
        <v>7.6103500761035003E-3</v>
      </c>
      <c r="R5" s="344">
        <f t="shared" si="2"/>
        <v>6.5449010654490103E-2</v>
      </c>
      <c r="S5" s="345">
        <f t="shared" si="2"/>
        <v>4.8706240487062402E-2</v>
      </c>
      <c r="T5" s="337">
        <f t="shared" si="3"/>
        <v>0.12633181126331811</v>
      </c>
      <c r="V5" s="343">
        <v>0</v>
      </c>
      <c r="W5" s="344">
        <v>2.8134787453617647</v>
      </c>
      <c r="X5" s="344">
        <v>0</v>
      </c>
      <c r="Y5" s="344">
        <v>0</v>
      </c>
      <c r="Z5" s="344">
        <v>0</v>
      </c>
      <c r="AA5" s="345">
        <v>0</v>
      </c>
      <c r="AB5" s="344"/>
      <c r="AD5" s="343">
        <v>1.1631656524856755</v>
      </c>
      <c r="AE5" s="344">
        <v>2.1562865895509365E-2</v>
      </c>
      <c r="AF5" s="345">
        <v>5.0777133913905266E-2</v>
      </c>
      <c r="AH5" s="343">
        <v>-0.31670922413097358</v>
      </c>
      <c r="AI5" s="344">
        <v>-0.21611725353889036</v>
      </c>
      <c r="AJ5" s="345">
        <v>3.545255353391831E-2</v>
      </c>
    </row>
    <row r="6" spans="1:54" s="337" customFormat="1" ht="14.45" x14ac:dyDescent="0.35">
      <c r="A6" s="337" t="s">
        <v>839</v>
      </c>
      <c r="B6" s="343">
        <v>56</v>
      </c>
      <c r="C6" s="344">
        <v>29</v>
      </c>
      <c r="D6" s="344">
        <v>13</v>
      </c>
      <c r="E6" s="345">
        <v>35</v>
      </c>
      <c r="F6" s="337">
        <f t="shared" si="1"/>
        <v>133</v>
      </c>
      <c r="O6" s="337" t="str">
        <f t="shared" si="4"/>
        <v>design</v>
      </c>
      <c r="P6" s="343">
        <f t="shared" si="2"/>
        <v>8.5235920852359204E-2</v>
      </c>
      <c r="Q6" s="344">
        <f t="shared" si="2"/>
        <v>4.4140030441400302E-2</v>
      </c>
      <c r="R6" s="344">
        <f t="shared" si="2"/>
        <v>1.9786910197869101E-2</v>
      </c>
      <c r="S6" s="345">
        <f t="shared" si="2"/>
        <v>5.3272450532724502E-2</v>
      </c>
      <c r="T6" s="337">
        <f t="shared" si="3"/>
        <v>0.20243531202435311</v>
      </c>
      <c r="V6" s="343">
        <v>0</v>
      </c>
      <c r="W6" s="344">
        <v>0</v>
      </c>
      <c r="X6" s="344">
        <v>2.2225772481648756</v>
      </c>
      <c r="Y6" s="344">
        <v>0</v>
      </c>
      <c r="Z6" s="344">
        <v>0</v>
      </c>
      <c r="AA6" s="345">
        <v>0</v>
      </c>
      <c r="AB6" s="344"/>
      <c r="AD6" s="343">
        <v>-0.14114782228732226</v>
      </c>
      <c r="AE6" s="344">
        <v>0.22292108284256734</v>
      </c>
      <c r="AF6" s="345">
        <v>-7.1601060416086132E-2</v>
      </c>
      <c r="AH6" s="343">
        <v>0.96397532065955416</v>
      </c>
      <c r="AI6" s="344">
        <v>-0.10439130542805382</v>
      </c>
      <c r="AJ6" s="345">
        <v>-6.0594885267494923E-2</v>
      </c>
    </row>
    <row r="7" spans="1:54" s="337" customFormat="1" ht="14.45" x14ac:dyDescent="0.35">
      <c r="A7" s="337" t="s">
        <v>840</v>
      </c>
      <c r="B7" s="343">
        <v>27</v>
      </c>
      <c r="C7" s="349">
        <v>31</v>
      </c>
      <c r="D7" s="349">
        <v>24</v>
      </c>
      <c r="E7" s="345">
        <v>17</v>
      </c>
      <c r="F7" s="337">
        <f t="shared" si="1"/>
        <v>99</v>
      </c>
      <c r="O7" s="337" t="str">
        <f t="shared" si="4"/>
        <v>battery</v>
      </c>
      <c r="P7" s="343">
        <f t="shared" si="2"/>
        <v>4.1095890410958902E-2</v>
      </c>
      <c r="Q7" s="344">
        <f t="shared" si="2"/>
        <v>4.7184170471841702E-2</v>
      </c>
      <c r="R7" s="344">
        <f t="shared" si="2"/>
        <v>3.6529680365296802E-2</v>
      </c>
      <c r="S7" s="345">
        <f t="shared" si="2"/>
        <v>2.5875190258751901E-2</v>
      </c>
      <c r="T7" s="337">
        <f t="shared" si="3"/>
        <v>0.15068493150684931</v>
      </c>
      <c r="V7" s="343">
        <v>0</v>
      </c>
      <c r="W7" s="344">
        <v>0</v>
      </c>
      <c r="X7" s="344">
        <v>0</v>
      </c>
      <c r="Y7" s="344">
        <v>2.5761140573281369</v>
      </c>
      <c r="Z7" s="344">
        <v>0</v>
      </c>
      <c r="AA7" s="345">
        <v>0</v>
      </c>
      <c r="AB7" s="344"/>
      <c r="AD7" s="343">
        <v>0.16171270956823472</v>
      </c>
      <c r="AE7" s="344">
        <v>-0.19783714786196674</v>
      </c>
      <c r="AF7" s="345">
        <v>-0.11431659279614763</v>
      </c>
      <c r="AH7" s="346">
        <v>0.19799374104504258</v>
      </c>
      <c r="AI7" s="347">
        <v>0.17240486600808044</v>
      </c>
      <c r="AJ7" s="348">
        <v>9.1754385354945261E-2</v>
      </c>
    </row>
    <row r="8" spans="1:54" s="337" customFormat="1" ht="14.45" x14ac:dyDescent="0.35">
      <c r="A8" s="337" t="s">
        <v>841</v>
      </c>
      <c r="B8" s="343">
        <v>48</v>
      </c>
      <c r="C8" s="344">
        <v>36</v>
      </c>
      <c r="D8" s="344">
        <v>8</v>
      </c>
      <c r="E8" s="345">
        <v>35</v>
      </c>
      <c r="F8" s="337">
        <f t="shared" si="1"/>
        <v>127</v>
      </c>
      <c r="O8" s="337" t="str">
        <f t="shared" si="4"/>
        <v>software</v>
      </c>
      <c r="P8" s="343">
        <f t="shared" si="2"/>
        <v>7.3059360730593603E-2</v>
      </c>
      <c r="Q8" s="344">
        <f t="shared" si="2"/>
        <v>5.4794520547945202E-2</v>
      </c>
      <c r="R8" s="344">
        <f t="shared" si="2"/>
        <v>1.2176560121765601E-2</v>
      </c>
      <c r="S8" s="345">
        <f t="shared" si="2"/>
        <v>5.3272450532724502E-2</v>
      </c>
      <c r="T8" s="337">
        <f t="shared" si="3"/>
        <v>0.19330289193302891</v>
      </c>
      <c r="V8" s="343">
        <v>0</v>
      </c>
      <c r="W8" s="344">
        <v>0</v>
      </c>
      <c r="X8" s="344">
        <v>0</v>
      </c>
      <c r="Y8" s="344">
        <v>0</v>
      </c>
      <c r="Z8" s="344">
        <v>2.2744732019649501</v>
      </c>
      <c r="AA8" s="345">
        <v>0</v>
      </c>
      <c r="AB8" s="344"/>
      <c r="AD8" s="343">
        <v>-0.2203922647053852</v>
      </c>
      <c r="AE8" s="344">
        <v>0.14110005369720885</v>
      </c>
      <c r="AF8" s="345">
        <v>5.6037216773350031E-2</v>
      </c>
    </row>
    <row r="9" spans="1:54" s="337" customFormat="1" ht="14.45" x14ac:dyDescent="0.35">
      <c r="A9" s="337" t="s">
        <v>842</v>
      </c>
      <c r="B9" s="346">
        <v>37</v>
      </c>
      <c r="C9" s="347">
        <v>45</v>
      </c>
      <c r="D9" s="347">
        <v>7</v>
      </c>
      <c r="E9" s="348">
        <v>19</v>
      </c>
      <c r="F9" s="337">
        <f t="shared" si="1"/>
        <v>108</v>
      </c>
      <c r="O9" s="337" t="str">
        <f t="shared" si="4"/>
        <v>camera</v>
      </c>
      <c r="P9" s="346">
        <f t="shared" si="2"/>
        <v>5.6316590563165903E-2</v>
      </c>
      <c r="Q9" s="347">
        <f t="shared" si="2"/>
        <v>6.8493150684931503E-2</v>
      </c>
      <c r="R9" s="347">
        <f t="shared" si="2"/>
        <v>1.06544901065449E-2</v>
      </c>
      <c r="S9" s="348">
        <f t="shared" si="2"/>
        <v>2.8919330289193301E-2</v>
      </c>
      <c r="T9" s="337">
        <f t="shared" si="3"/>
        <v>0.16438356164383561</v>
      </c>
      <c r="V9" s="346">
        <v>0</v>
      </c>
      <c r="W9" s="347">
        <v>0</v>
      </c>
      <c r="X9" s="347">
        <v>0</v>
      </c>
      <c r="Y9" s="347">
        <v>0</v>
      </c>
      <c r="Z9" s="347">
        <v>0</v>
      </c>
      <c r="AA9" s="348">
        <v>2.4664414311581235</v>
      </c>
      <c r="AB9" s="344"/>
      <c r="AD9" s="346">
        <v>-0.32322482930722229</v>
      </c>
      <c r="AE9" s="347">
        <v>-0.16776999581485039</v>
      </c>
      <c r="AF9" s="348">
        <v>2.7619165095440858E-2</v>
      </c>
    </row>
    <row r="10" spans="1:54" s="337" customFormat="1" ht="14.45" x14ac:dyDescent="0.35">
      <c r="B10" s="337">
        <f>SUM(B4:B9)</f>
        <v>207</v>
      </c>
      <c r="C10" s="337">
        <f>SUM(C4:C9)</f>
        <v>188</v>
      </c>
      <c r="D10" s="337">
        <f>SUM(D4:D9)</f>
        <v>102</v>
      </c>
      <c r="E10" s="337">
        <f>SUM(E4:E9)</f>
        <v>160</v>
      </c>
      <c r="F10" s="337">
        <f t="shared" si="1"/>
        <v>657</v>
      </c>
      <c r="P10" s="337">
        <f>SUM(P4:P9)</f>
        <v>0.31506849315068491</v>
      </c>
      <c r="Q10" s="337">
        <f>SUM(Q4:Q9)</f>
        <v>0.28614916286149161</v>
      </c>
      <c r="R10" s="337">
        <f>SUM(R4:R9)</f>
        <v>0.15525114155251141</v>
      </c>
      <c r="S10" s="337">
        <f>SUM(S4:S9)</f>
        <v>0.24353120243531201</v>
      </c>
      <c r="T10" s="337">
        <f t="shared" si="3"/>
        <v>0.99999999999999989</v>
      </c>
    </row>
    <row r="11" spans="1:54" s="337" customFormat="1" ht="15" customHeight="1" x14ac:dyDescent="0.35">
      <c r="V11" s="337" t="s">
        <v>843</v>
      </c>
      <c r="AC11" s="337" t="s">
        <v>844</v>
      </c>
      <c r="AJ11" s="337" t="s">
        <v>845</v>
      </c>
    </row>
    <row r="12" spans="1:54" s="337" customFormat="1" ht="15" customHeight="1" x14ac:dyDescent="0.35">
      <c r="A12" s="337" t="s">
        <v>846</v>
      </c>
      <c r="H12" s="337" t="s">
        <v>847</v>
      </c>
      <c r="P12" s="337" t="s">
        <v>848</v>
      </c>
      <c r="W12" s="338" t="str">
        <f>P3</f>
        <v>Apple</v>
      </c>
      <c r="X12" s="338" t="str">
        <f>Q3</f>
        <v>Samsung</v>
      </c>
      <c r="Y12" s="338" t="str">
        <f>R3</f>
        <v>Nokia</v>
      </c>
      <c r="Z12" s="338" t="str">
        <f>S3</f>
        <v>Huawei</v>
      </c>
      <c r="AC12" s="339">
        <f t="array" ref="AC12:AF17">MMULT(V4:AA9,MMULT(V23:AA28,V32:Y37))</f>
        <v>1.0000000000000135</v>
      </c>
      <c r="AD12" s="340">
        <v>-0.28861259679025913</v>
      </c>
      <c r="AE12" s="340">
        <v>-0.10890552822986688</v>
      </c>
      <c r="AF12" s="341">
        <v>6.0992385483933133E-2</v>
      </c>
      <c r="AK12" s="350"/>
      <c r="AL12" s="350"/>
      <c r="AM12" s="350"/>
      <c r="AN12" s="350"/>
      <c r="AO12" s="447" t="s">
        <v>849</v>
      </c>
      <c r="AP12" s="448"/>
      <c r="AQ12" s="448"/>
      <c r="AR12" s="448"/>
      <c r="AS12" s="449"/>
      <c r="AT12" s="447" t="s">
        <v>850</v>
      </c>
      <c r="AU12" s="448"/>
      <c r="AV12" s="448"/>
      <c r="AW12" s="448"/>
      <c r="AX12" s="449"/>
    </row>
    <row r="13" spans="1:54" s="337" customFormat="1" ht="15" customHeight="1" x14ac:dyDescent="0.35">
      <c r="P13" s="339">
        <f t="array" ref="P13:S16">[1]!DIAGONAL(1/SQRT(P10:S10))</f>
        <v>1.7815479346563374</v>
      </c>
      <c r="Q13" s="340">
        <v>0</v>
      </c>
      <c r="R13" s="340">
        <v>0</v>
      </c>
      <c r="S13" s="341">
        <v>0</v>
      </c>
      <c r="V13" s="337" t="str">
        <f t="shared" ref="V13:V18" si="5">O4</f>
        <v>screen</v>
      </c>
      <c r="W13" s="339">
        <f t="array" ref="W13:Z18">MMULT(V4:AA9,MMULT(P4:S9,P13:S16))</f>
        <v>0.24189419107314031</v>
      </c>
      <c r="X13" s="340">
        <v>0.29612732048623536</v>
      </c>
      <c r="Y13" s="340">
        <v>6.7004823153412232E-2</v>
      </c>
      <c r="Z13" s="341">
        <v>0.1681399061418293</v>
      </c>
      <c r="AC13" s="343">
        <v>0.99999999999994504</v>
      </c>
      <c r="AD13" s="344">
        <v>1.1631656524856757</v>
      </c>
      <c r="AE13" s="344">
        <v>2.1562865895509053E-2</v>
      </c>
      <c r="AF13" s="345">
        <v>5.0777133913905349E-2</v>
      </c>
      <c r="AK13" s="351" t="s">
        <v>851</v>
      </c>
      <c r="AL13" s="352" t="s">
        <v>852</v>
      </c>
      <c r="AM13" s="352" t="s">
        <v>853</v>
      </c>
      <c r="AN13" s="352" t="s">
        <v>854</v>
      </c>
      <c r="AO13" s="351" t="s">
        <v>855</v>
      </c>
      <c r="AP13" s="352" t="s">
        <v>856</v>
      </c>
      <c r="AQ13" s="352" t="s">
        <v>857</v>
      </c>
      <c r="AR13" s="352" t="s">
        <v>858</v>
      </c>
      <c r="AS13" s="353" t="s">
        <v>386</v>
      </c>
      <c r="AT13" s="351" t="s">
        <v>855</v>
      </c>
      <c r="AU13" s="352" t="s">
        <v>856</v>
      </c>
      <c r="AV13" s="352" t="s">
        <v>857</v>
      </c>
      <c r="AW13" s="352" t="s">
        <v>858</v>
      </c>
      <c r="AX13" s="354" t="s">
        <v>386</v>
      </c>
      <c r="BA13" s="355" t="s">
        <v>859</v>
      </c>
      <c r="BB13" s="355" t="s">
        <v>860</v>
      </c>
    </row>
    <row r="14" spans="1:54" s="337" customFormat="1" thickBot="1" x14ac:dyDescent="0.4">
      <c r="A14" s="337" t="str">
        <f>IF(A3="","",A3)</f>
        <v/>
      </c>
      <c r="B14" s="338" t="str">
        <f t="shared" ref="B14:E14" si="6">IF(B3="","",B3)</f>
        <v>Apple</v>
      </c>
      <c r="C14" s="338" t="str">
        <f t="shared" si="6"/>
        <v>Samsung</v>
      </c>
      <c r="D14" s="338" t="str">
        <f t="shared" si="6"/>
        <v>Nokia</v>
      </c>
      <c r="E14" s="338" t="str">
        <f t="shared" si="6"/>
        <v>Huawei</v>
      </c>
      <c r="F14" s="338" t="s">
        <v>168</v>
      </c>
      <c r="H14" s="337" t="s">
        <v>861</v>
      </c>
      <c r="J14" s="337" t="s">
        <v>175</v>
      </c>
      <c r="K14" s="337">
        <v>0.05</v>
      </c>
      <c r="P14" s="343">
        <v>0</v>
      </c>
      <c r="Q14" s="344">
        <v>1.8694065505030815</v>
      </c>
      <c r="R14" s="344">
        <v>0</v>
      </c>
      <c r="S14" s="345">
        <v>0</v>
      </c>
      <c r="V14" s="337" t="str">
        <f t="shared" si="5"/>
        <v>price</v>
      </c>
      <c r="W14" s="343">
        <v>2.2887430356158697E-2</v>
      </c>
      <c r="X14" s="344">
        <v>4.0026907125422173E-2</v>
      </c>
      <c r="Y14" s="344">
        <v>0.46733609304241253</v>
      </c>
      <c r="Z14" s="345">
        <v>0.2776840538002493</v>
      </c>
      <c r="AC14" s="343">
        <v>1.0000000000000067</v>
      </c>
      <c r="AD14" s="344">
        <v>-0.14114782228732212</v>
      </c>
      <c r="AE14" s="344">
        <v>0.2229210828425674</v>
      </c>
      <c r="AF14" s="345">
        <v>-7.1601060416085646E-2</v>
      </c>
      <c r="AJ14" s="337" t="str">
        <f>O4</f>
        <v>screen</v>
      </c>
      <c r="AK14" s="339">
        <f t="shared" ref="AK14:AK19" si="7">AP14+AU14</f>
        <v>0.9623770528860055</v>
      </c>
      <c r="AL14" s="340">
        <f>T4</f>
        <v>0.16286149162861491</v>
      </c>
      <c r="AM14" s="340">
        <f t="shared" ref="AM14:AM19" si="8">T30</f>
        <v>9.8877716192090612E-2</v>
      </c>
      <c r="AN14" s="356">
        <f>(AL14*AM14)/AN$20</f>
        <v>6.4383086695105896E-2</v>
      </c>
      <c r="AO14" s="339">
        <f t="shared" ref="AO14:AO19" si="9">AD12</f>
        <v>-0.28861259679025913</v>
      </c>
      <c r="AP14" s="357">
        <f t="shared" ref="AP14:AP19" si="10">AO14^2/AM14</f>
        <v>0.84242672903361193</v>
      </c>
      <c r="AQ14" s="357">
        <f t="shared" ref="AQ14:AQ19" si="11">180*ACOS(SQRT(AP14))/PI()</f>
        <v>23.387958226632435</v>
      </c>
      <c r="AR14" s="357">
        <f t="shared" ref="AR14:AR19" si="12">AL14*AO14^2/$AD$36</f>
        <v>6.1938065490863004E-2</v>
      </c>
      <c r="AS14" s="341">
        <f t="shared" ref="AS14:AS19" si="13">AR14*$AD$36</f>
        <v>1.3565911293430421E-2</v>
      </c>
      <c r="AT14" s="339">
        <f t="shared" ref="AT14:AT19" si="14">AE12</f>
        <v>-0.10890552822986688</v>
      </c>
      <c r="AU14" s="357">
        <f t="shared" ref="AU14:AU19" si="15">AT14^2/AM14</f>
        <v>0.11995032385239361</v>
      </c>
      <c r="AV14" s="357">
        <f t="shared" ref="AV14:AV19" si="16">180*ACOS(SQRT(AU14))/PI()</f>
        <v>69.736478675070856</v>
      </c>
      <c r="AW14" s="357">
        <f t="shared" ref="AW14:AW19" si="17">AT14^2*AL14/$AD$37</f>
        <v>7.3102490137505402E-2</v>
      </c>
      <c r="AX14" s="341">
        <f t="shared" ref="AX14:AX19" si="18">AW14*$AD$37</f>
        <v>1.9316047282432536E-3</v>
      </c>
      <c r="AZ14" s="337" t="s">
        <v>862</v>
      </c>
      <c r="BA14" s="339">
        <f>AO14</f>
        <v>-0.28861259679025913</v>
      </c>
      <c r="BB14" s="341">
        <f>AT14</f>
        <v>-0.10890552822986688</v>
      </c>
    </row>
    <row r="15" spans="1:54" s="337" customFormat="1" thickTop="1" x14ac:dyDescent="0.35">
      <c r="A15" s="337" t="str">
        <f t="shared" ref="A15:A20" si="19">IF(A4="","",A4)</f>
        <v>screen</v>
      </c>
      <c r="B15" s="358">
        <f t="array" ref="B15:E20">MMULT(F15:F20,B21:E21)/F21</f>
        <v>33.712328767123289</v>
      </c>
      <c r="C15" s="359">
        <v>30.617960426179604</v>
      </c>
      <c r="D15" s="359">
        <v>16.611872146118721</v>
      </c>
      <c r="E15" s="360">
        <v>26.057838660578387</v>
      </c>
      <c r="F15" s="337">
        <f t="shared" ref="F15:F20" si="20">SUM(B4:E4)</f>
        <v>107</v>
      </c>
      <c r="H15" s="366" t="s">
        <v>100</v>
      </c>
      <c r="I15" s="366" t="s">
        <v>863</v>
      </c>
      <c r="J15" s="366" t="s">
        <v>864</v>
      </c>
      <c r="K15" s="366" t="s">
        <v>62</v>
      </c>
      <c r="P15" s="367">
        <v>0</v>
      </c>
      <c r="Q15" s="344">
        <v>0</v>
      </c>
      <c r="R15" s="344">
        <v>2.5379472946828971</v>
      </c>
      <c r="S15" s="368">
        <v>0</v>
      </c>
      <c r="V15" s="337" t="str">
        <f t="shared" si="5"/>
        <v>design</v>
      </c>
      <c r="W15" s="367">
        <v>0.33750253080762371</v>
      </c>
      <c r="X15" s="344">
        <v>0.18339743308194431</v>
      </c>
      <c r="Y15" s="344">
        <v>0.11161368475593524</v>
      </c>
      <c r="Z15" s="368">
        <v>0.23992871748434827</v>
      </c>
      <c r="AC15" s="367">
        <v>0.99999999999999212</v>
      </c>
      <c r="AD15" s="344">
        <v>0.16171270956823458</v>
      </c>
      <c r="AE15" s="344">
        <v>-0.19783714786196671</v>
      </c>
      <c r="AF15" s="368">
        <v>-0.11431659279614784</v>
      </c>
      <c r="AJ15" s="337" t="str">
        <f t="shared" ref="AJ15:AJ19" si="21">O5</f>
        <v>price</v>
      </c>
      <c r="AK15" s="367">
        <f t="shared" si="7"/>
        <v>0.9980985826891744</v>
      </c>
      <c r="AL15" s="344">
        <f>T5</f>
        <v>0.12633181126331811</v>
      </c>
      <c r="AM15" s="344">
        <f t="shared" si="8"/>
        <v>1.3559976096364563</v>
      </c>
      <c r="AN15" s="369">
        <f t="shared" ref="AN15:AN19" si="22">(AL15*AM15)/AN$20</f>
        <v>0.68489911634542422</v>
      </c>
      <c r="AO15" s="367">
        <f t="shared" si="9"/>
        <v>1.1631656524856757</v>
      </c>
      <c r="AP15" s="370">
        <f t="shared" si="10"/>
        <v>0.99775569330476588</v>
      </c>
      <c r="AQ15" s="370">
        <f t="shared" si="11"/>
        <v>2.7153531286977413</v>
      </c>
      <c r="AR15" s="370">
        <f t="shared" si="12"/>
        <v>0.78037711572205515</v>
      </c>
      <c r="AS15" s="368">
        <f t="shared" si="13"/>
        <v>0.17092117171257459</v>
      </c>
      <c r="AT15" s="367">
        <f t="shared" si="14"/>
        <v>2.1562865895509053E-2</v>
      </c>
      <c r="AU15" s="370">
        <f t="shared" si="15"/>
        <v>3.4288938440854826E-4</v>
      </c>
      <c r="AV15" s="370">
        <f t="shared" si="16"/>
        <v>88.938977790700378</v>
      </c>
      <c r="AW15" s="370">
        <f t="shared" si="17"/>
        <v>2.2230006911515741E-3</v>
      </c>
      <c r="AX15" s="368">
        <f t="shared" si="18"/>
        <v>5.8738883420243106E-5</v>
      </c>
      <c r="AZ15" s="337" t="s">
        <v>865</v>
      </c>
      <c r="BA15" s="367">
        <f t="shared" ref="BA15:BA19" si="23">AO15</f>
        <v>1.1631656524856757</v>
      </c>
      <c r="BB15" s="368">
        <f t="shared" ref="BB15:BB19" si="24">AT15</f>
        <v>2.1562865895509053E-2</v>
      </c>
    </row>
    <row r="16" spans="1:54" s="337" customFormat="1" ht="14.45" x14ac:dyDescent="0.35">
      <c r="A16" s="337" t="str">
        <f t="shared" si="19"/>
        <v>price</v>
      </c>
      <c r="B16" s="361">
        <v>26.150684931506849</v>
      </c>
      <c r="C16" s="344">
        <v>23.750380517503807</v>
      </c>
      <c r="D16" s="344">
        <v>12.885844748858448</v>
      </c>
      <c r="E16" s="362">
        <v>20.213089802130899</v>
      </c>
      <c r="F16" s="337">
        <f t="shared" si="20"/>
        <v>83</v>
      </c>
      <c r="H16" s="337">
        <f>F21</f>
        <v>657</v>
      </c>
      <c r="I16" s="337">
        <f>COUNT(B4:B9)</f>
        <v>6</v>
      </c>
      <c r="J16" s="337">
        <f>COUNT(B4:E4)</f>
        <v>4</v>
      </c>
      <c r="K16" s="337">
        <f>(I16-1)*(J16-1)</f>
        <v>15</v>
      </c>
      <c r="P16" s="371">
        <v>0</v>
      </c>
      <c r="Q16" s="372">
        <v>0</v>
      </c>
      <c r="R16" s="372">
        <v>0</v>
      </c>
      <c r="S16" s="373">
        <v>2.0263884129159444</v>
      </c>
      <c r="V16" s="337" t="str">
        <f t="shared" si="5"/>
        <v>battery</v>
      </c>
      <c r="W16" s="367">
        <v>0.18860838403857946</v>
      </c>
      <c r="X16" s="344">
        <v>0.22722974018566358</v>
      </c>
      <c r="Y16" s="344">
        <v>0.23883257361061283</v>
      </c>
      <c r="Z16" s="368">
        <v>0.13507386680979222</v>
      </c>
      <c r="AC16" s="367">
        <v>1.00000000000001</v>
      </c>
      <c r="AD16" s="344">
        <v>-0.22039226470538509</v>
      </c>
      <c r="AE16" s="344">
        <v>0.14110005369720865</v>
      </c>
      <c r="AF16" s="368">
        <v>5.603721677335035E-2</v>
      </c>
      <c r="AJ16" s="337" t="str">
        <f t="shared" si="21"/>
        <v>design</v>
      </c>
      <c r="AK16" s="367">
        <f t="shared" si="7"/>
        <v>0.93140901273012233</v>
      </c>
      <c r="AL16" s="344">
        <f>T6</f>
        <v>0.20243531202435311</v>
      </c>
      <c r="AM16" s="344">
        <f t="shared" si="8"/>
        <v>7.4743228764877531E-2</v>
      </c>
      <c r="AN16" s="369">
        <f t="shared" si="22"/>
        <v>6.0494109086312413E-2</v>
      </c>
      <c r="AO16" s="367">
        <f t="shared" si="9"/>
        <v>-0.14114782228732212</v>
      </c>
      <c r="AP16" s="370">
        <f t="shared" si="10"/>
        <v>0.26654866354683504</v>
      </c>
      <c r="AQ16" s="370">
        <f t="shared" si="11"/>
        <v>58.916714715203447</v>
      </c>
      <c r="AR16" s="370">
        <f t="shared" si="12"/>
        <v>1.8413794810152033E-2</v>
      </c>
      <c r="AS16" s="368">
        <f t="shared" si="13"/>
        <v>4.0330595569989507E-3</v>
      </c>
      <c r="AT16" s="367">
        <f t="shared" si="14"/>
        <v>0.2229210828425674</v>
      </c>
      <c r="AU16" s="370">
        <f t="shared" si="15"/>
        <v>0.66486034918328729</v>
      </c>
      <c r="AV16" s="370">
        <f t="shared" si="16"/>
        <v>35.37408804914454</v>
      </c>
      <c r="AW16" s="370">
        <f t="shared" si="17"/>
        <v>0.38071717603173505</v>
      </c>
      <c r="AX16" s="368">
        <f t="shared" si="18"/>
        <v>1.0059781766162058E-2</v>
      </c>
      <c r="AZ16" s="337" t="s">
        <v>866</v>
      </c>
      <c r="BA16" s="367">
        <f t="shared" si="23"/>
        <v>-0.14114782228732212</v>
      </c>
      <c r="BB16" s="368">
        <f t="shared" si="24"/>
        <v>0.2229210828425674</v>
      </c>
    </row>
    <row r="17" spans="1:54" s="337" customFormat="1" ht="14.45" x14ac:dyDescent="0.35">
      <c r="A17" s="337" t="str">
        <f t="shared" si="19"/>
        <v>design</v>
      </c>
      <c r="B17" s="361">
        <v>41.904109589041099</v>
      </c>
      <c r="C17" s="344">
        <v>38.057838660578383</v>
      </c>
      <c r="D17" s="344">
        <v>20.648401826484019</v>
      </c>
      <c r="E17" s="362">
        <v>32.389649923896499</v>
      </c>
      <c r="F17" s="337">
        <f t="shared" si="20"/>
        <v>133</v>
      </c>
      <c r="V17" s="337" t="str">
        <f t="shared" si="5"/>
        <v>software</v>
      </c>
      <c r="W17" s="367">
        <v>0.29604259619301138</v>
      </c>
      <c r="X17" s="344">
        <v>0.23298164946284908</v>
      </c>
      <c r="Y17" s="344">
        <v>7.0289109403417857E-2</v>
      </c>
      <c r="Z17" s="368">
        <v>0.24553092080401223</v>
      </c>
      <c r="AC17" s="371">
        <v>1.0000000000000151</v>
      </c>
      <c r="AD17" s="372">
        <v>-0.32322482930722235</v>
      </c>
      <c r="AE17" s="372">
        <v>-0.16776999581485053</v>
      </c>
      <c r="AF17" s="373">
        <v>2.7619165095440889E-2</v>
      </c>
      <c r="AJ17" s="337" t="str">
        <f t="shared" si="21"/>
        <v>battery</v>
      </c>
      <c r="AK17" s="367">
        <f t="shared" si="7"/>
        <v>0.83322511443322633</v>
      </c>
      <c r="AL17" s="344">
        <f t="shared" ref="AL17:AL19" si="25">T7</f>
        <v>0.15068493150684931</v>
      </c>
      <c r="AM17" s="344">
        <f t="shared" si="8"/>
        <v>7.8358820898563039E-2</v>
      </c>
      <c r="AN17" s="369">
        <f t="shared" si="22"/>
        <v>4.7207682037446776E-2</v>
      </c>
      <c r="AO17" s="367">
        <f t="shared" si="9"/>
        <v>0.16171270956823458</v>
      </c>
      <c r="AP17" s="370">
        <f t="shared" si="10"/>
        <v>0.33373397067514771</v>
      </c>
      <c r="AQ17" s="370">
        <f t="shared" si="11"/>
        <v>54.711266698468037</v>
      </c>
      <c r="AR17" s="370">
        <f t="shared" si="12"/>
        <v>1.7991476131292712E-2</v>
      </c>
      <c r="AS17" s="368">
        <f t="shared" si="13"/>
        <v>3.940561709519206E-3</v>
      </c>
      <c r="AT17" s="367">
        <f t="shared" si="14"/>
        <v>-0.19783714786196671</v>
      </c>
      <c r="AU17" s="370">
        <f t="shared" si="15"/>
        <v>0.49949114375807857</v>
      </c>
      <c r="AV17" s="370">
        <f t="shared" si="16"/>
        <v>45.029155320073869</v>
      </c>
      <c r="AW17" s="370">
        <f t="shared" si="17"/>
        <v>0.22320268817829633</v>
      </c>
      <c r="AX17" s="368">
        <f t="shared" si="18"/>
        <v>5.8977384632292393E-3</v>
      </c>
      <c r="AZ17" s="337" t="s">
        <v>867</v>
      </c>
      <c r="BA17" s="367">
        <f t="shared" si="23"/>
        <v>0.16171270956823458</v>
      </c>
      <c r="BB17" s="368">
        <f t="shared" si="24"/>
        <v>-0.19783714786196671</v>
      </c>
    </row>
    <row r="18" spans="1:54" s="337" customFormat="1" ht="15" customHeight="1" thickBot="1" x14ac:dyDescent="0.4">
      <c r="A18" s="337" t="str">
        <f t="shared" si="19"/>
        <v>battery</v>
      </c>
      <c r="B18" s="361">
        <v>31.19178082191781</v>
      </c>
      <c r="C18" s="344">
        <v>28.328767123287673</v>
      </c>
      <c r="D18" s="344">
        <v>15.36986301369863</v>
      </c>
      <c r="E18" s="362">
        <v>24.109589041095891</v>
      </c>
      <c r="F18" s="337">
        <f t="shared" si="20"/>
        <v>99</v>
      </c>
      <c r="H18" s="337" t="s">
        <v>868</v>
      </c>
      <c r="P18" s="337">
        <f>SUMPRODUCT((P4:P9/P$10-$T4:$T9)^2/$T4:$T9)</f>
        <v>0.13434157535478899</v>
      </c>
      <c r="Q18" s="337">
        <f t="shared" ref="Q18:S18" si="26">SUMPRODUCT((Q4:Q9/Q$10-$T4:$T9)^2/$T4:$T9)</f>
        <v>0.14826828347892551</v>
      </c>
      <c r="R18" s="337">
        <f t="shared" si="26"/>
        <v>0.94381770361020201</v>
      </c>
      <c r="S18" s="337">
        <f t="shared" si="26"/>
        <v>7.7343826548130656E-2</v>
      </c>
      <c r="V18" s="337" t="str">
        <f t="shared" si="5"/>
        <v>camera</v>
      </c>
      <c r="W18" s="371">
        <v>0.2474598091207478</v>
      </c>
      <c r="X18" s="372">
        <v>0.3158069703999446</v>
      </c>
      <c r="Y18" s="372">
        <v>6.6693894222086769E-2</v>
      </c>
      <c r="Z18" s="373">
        <v>0.14453789711941881</v>
      </c>
      <c r="AJ18" s="337" t="str">
        <f t="shared" si="21"/>
        <v>software</v>
      </c>
      <c r="AK18" s="367">
        <f t="shared" si="7"/>
        <v>0.95615644216253259</v>
      </c>
      <c r="AL18" s="344">
        <f t="shared" si="25"/>
        <v>0.19330289193302891</v>
      </c>
      <c r="AM18" s="344">
        <f t="shared" si="8"/>
        <v>7.1622145159047898E-2</v>
      </c>
      <c r="AN18" s="369">
        <f t="shared" si="22"/>
        <v>5.5352932625780234E-2</v>
      </c>
      <c r="AO18" s="367">
        <f t="shared" si="9"/>
        <v>-0.22039226470538509</v>
      </c>
      <c r="AP18" s="370">
        <f t="shared" si="10"/>
        <v>0.67818061346955372</v>
      </c>
      <c r="AQ18" s="370">
        <f t="shared" si="11"/>
        <v>34.561553041303547</v>
      </c>
      <c r="AR18" s="370">
        <f t="shared" si="12"/>
        <v>4.2868640482278703E-2</v>
      </c>
      <c r="AS18" s="368">
        <f t="shared" si="13"/>
        <v>9.389253110243535E-3</v>
      </c>
      <c r="AT18" s="367">
        <f t="shared" si="14"/>
        <v>0.14110005369720865</v>
      </c>
      <c r="AU18" s="370">
        <f t="shared" si="15"/>
        <v>0.27797582869297888</v>
      </c>
      <c r="AV18" s="370">
        <f t="shared" si="16"/>
        <v>58.181234032598226</v>
      </c>
      <c r="AW18" s="370">
        <f t="shared" si="17"/>
        <v>0.14564870263695121</v>
      </c>
      <c r="AX18" s="368">
        <f t="shared" si="18"/>
        <v>3.8485107982893546E-3</v>
      </c>
      <c r="AZ18" s="337" t="s">
        <v>869</v>
      </c>
      <c r="BA18" s="367">
        <f t="shared" si="23"/>
        <v>-0.22039226470538509</v>
      </c>
      <c r="BB18" s="368">
        <f t="shared" si="24"/>
        <v>0.14110005369720865</v>
      </c>
    </row>
    <row r="19" spans="1:54" s="337" customFormat="1" ht="15" customHeight="1" thickTop="1" x14ac:dyDescent="0.35">
      <c r="A19" s="337" t="str">
        <f t="shared" si="19"/>
        <v>software</v>
      </c>
      <c r="B19" s="361">
        <v>40.013698630136986</v>
      </c>
      <c r="C19" s="344">
        <v>36.340943683409435</v>
      </c>
      <c r="D19" s="344">
        <v>19.716894977168948</v>
      </c>
      <c r="E19" s="362">
        <v>30.928462709284627</v>
      </c>
      <c r="F19" s="337">
        <f t="shared" si="20"/>
        <v>127</v>
      </c>
      <c r="H19" s="366" t="s">
        <v>427</v>
      </c>
      <c r="I19" s="366" t="s">
        <v>870</v>
      </c>
      <c r="J19" s="366" t="s">
        <v>65</v>
      </c>
      <c r="K19" s="366" t="s">
        <v>871</v>
      </c>
      <c r="L19" s="366" t="s">
        <v>60</v>
      </c>
      <c r="M19" s="366" t="s">
        <v>872</v>
      </c>
      <c r="AC19" s="337" t="s">
        <v>873</v>
      </c>
      <c r="AJ19" s="337" t="str">
        <f t="shared" si="21"/>
        <v>camera</v>
      </c>
      <c r="AK19" s="371">
        <f t="shared" si="7"/>
        <v>0.99428103095911213</v>
      </c>
      <c r="AL19" s="372">
        <f t="shared" si="25"/>
        <v>0.16438356164383561</v>
      </c>
      <c r="AM19" s="372">
        <f t="shared" si="8"/>
        <v>0.13338388005699747</v>
      </c>
      <c r="AN19" s="374">
        <f t="shared" si="22"/>
        <v>8.7663073209930387E-2</v>
      </c>
      <c r="AO19" s="371">
        <f t="shared" si="9"/>
        <v>-0.32322482930722235</v>
      </c>
      <c r="AP19" s="375">
        <f t="shared" si="10"/>
        <v>0.78326024281224371</v>
      </c>
      <c r="AQ19" s="375">
        <f t="shared" si="11"/>
        <v>27.746028350822378</v>
      </c>
      <c r="AR19" s="375">
        <f t="shared" si="12"/>
        <v>7.8410907363359081E-2</v>
      </c>
      <c r="AS19" s="373">
        <f t="shared" si="13"/>
        <v>1.7173855936550634E-2</v>
      </c>
      <c r="AT19" s="371">
        <f t="shared" si="14"/>
        <v>-0.16776999581485053</v>
      </c>
      <c r="AU19" s="375">
        <f t="shared" si="15"/>
        <v>0.21102078814686837</v>
      </c>
      <c r="AV19" s="375">
        <f t="shared" si="16"/>
        <v>62.653538391321739</v>
      </c>
      <c r="AW19" s="375">
        <f t="shared" si="17"/>
        <v>0.17510594232436061</v>
      </c>
      <c r="AX19" s="373">
        <f t="shared" si="18"/>
        <v>4.6268665472408155E-3</v>
      </c>
      <c r="AZ19" s="337" t="s">
        <v>874</v>
      </c>
      <c r="BA19" s="371">
        <f t="shared" si="23"/>
        <v>-0.32322482930722235</v>
      </c>
      <c r="BB19" s="373">
        <f t="shared" si="24"/>
        <v>-0.16776999581485053</v>
      </c>
    </row>
    <row r="20" spans="1:54" s="337" customFormat="1" ht="15" customHeight="1" x14ac:dyDescent="0.35">
      <c r="A20" s="337" t="str">
        <f t="shared" si="19"/>
        <v>camera</v>
      </c>
      <c r="B20" s="363">
        <v>34.027397260273972</v>
      </c>
      <c r="C20" s="364">
        <v>30.904109589041095</v>
      </c>
      <c r="D20" s="364">
        <v>16.767123287671232</v>
      </c>
      <c r="E20" s="365">
        <v>26.301369863013697</v>
      </c>
      <c r="F20" s="337">
        <f t="shared" si="20"/>
        <v>108</v>
      </c>
      <c r="H20" s="337" t="s">
        <v>875</v>
      </c>
      <c r="I20" s="337">
        <f>[1]!CHI_STAT2(B4:E9,B15:E20)</f>
        <v>164.32756140842085</v>
      </c>
      <c r="J20" s="337">
        <f>CHIDIST(I20,K16)</f>
        <v>3.3521729448915903E-27</v>
      </c>
      <c r="K20" s="337">
        <f>CHIINV(K14,K16)</f>
        <v>24.99579013972863</v>
      </c>
      <c r="L20" s="338" t="str">
        <f>IF(K20&lt;I20,"yes","no")</f>
        <v>yes</v>
      </c>
      <c r="M20" s="337">
        <f>SQRT(I20/(H16*(MIN(I16,J16)-1)))</f>
        <v>0.28874328499787699</v>
      </c>
      <c r="P20" s="337" t="s">
        <v>876</v>
      </c>
      <c r="AC20" s="339">
        <f t="array" ref="AC20:AH23">MMULT(P13:S16,MMULT(V41:Y44,TRANSPOSE(V32:Y37)))</f>
        <v>1.000000000000034</v>
      </c>
      <c r="AD20" s="376">
        <v>-0.34040167699441487</v>
      </c>
      <c r="AE20" s="376">
        <v>0.11445979834628034</v>
      </c>
      <c r="AF20" s="376">
        <v>-7.3261369197504519E-2</v>
      </c>
      <c r="AG20" s="376">
        <v>0</v>
      </c>
      <c r="AH20" s="377">
        <v>0</v>
      </c>
      <c r="AN20" s="378">
        <f>SUMPRODUCT(AL14:AL19,AM14:AM19)</f>
        <v>0.25011805389409564</v>
      </c>
      <c r="AO20" s="344"/>
    </row>
    <row r="21" spans="1:54" s="337" customFormat="1" ht="14.45" x14ac:dyDescent="0.35">
      <c r="A21" s="337" t="s">
        <v>168</v>
      </c>
      <c r="B21" s="337">
        <f t="shared" ref="B21:E21" si="27">SUM(B4:B9)</f>
        <v>207</v>
      </c>
      <c r="C21" s="337">
        <f t="shared" si="27"/>
        <v>188</v>
      </c>
      <c r="D21" s="337">
        <f t="shared" si="27"/>
        <v>102</v>
      </c>
      <c r="E21" s="337">
        <f t="shared" si="27"/>
        <v>160</v>
      </c>
      <c r="F21" s="337">
        <f>SUM(F15:F20)</f>
        <v>657</v>
      </c>
      <c r="H21" s="337" t="s">
        <v>877</v>
      </c>
      <c r="I21" s="337">
        <f>[1]!CHI_MAX2(B4:E9,B15:E20)</f>
        <v>160.05506686433912</v>
      </c>
      <c r="J21" s="337">
        <f>CHIDIST(I21,K16)</f>
        <v>2.3971194597047906E-26</v>
      </c>
      <c r="K21" s="337">
        <f>CHIINV(K14,K16)</f>
        <v>24.99579013972863</v>
      </c>
      <c r="L21" s="338" t="str">
        <f>IF(K21&lt;I21,"yes","no")</f>
        <v>yes</v>
      </c>
      <c r="M21" s="337">
        <f>SQRT(I21/(H16*(MIN(I16,J16)-1)))</f>
        <v>0.28496492068226859</v>
      </c>
      <c r="P21" s="339">
        <f t="shared" ref="P21:S26" si="28">(P4/P$10-$T4)^2/$T4</f>
        <v>7.4994277078052651E-4</v>
      </c>
      <c r="Q21" s="376">
        <f t="shared" si="28"/>
        <v>2.2506402211066482E-2</v>
      </c>
      <c r="R21" s="376">
        <f t="shared" si="28"/>
        <v>5.4525193942965601E-2</v>
      </c>
      <c r="S21" s="377">
        <f t="shared" si="28"/>
        <v>3.9494005071195829E-3</v>
      </c>
      <c r="V21" s="337" t="s">
        <v>714</v>
      </c>
      <c r="AC21" s="367">
        <v>1.0000000000000313</v>
      </c>
      <c r="AD21" s="344">
        <v>-0.31670922413097391</v>
      </c>
      <c r="AE21" s="344">
        <v>-0.21611725353889033</v>
      </c>
      <c r="AF21" s="344">
        <v>3.5452553533918331E-2</v>
      </c>
      <c r="AG21" s="344">
        <v>0</v>
      </c>
      <c r="AH21" s="368">
        <v>0</v>
      </c>
    </row>
    <row r="22" spans="1:54" s="337" customFormat="1" ht="14.45" x14ac:dyDescent="0.35">
      <c r="H22" s="376"/>
      <c r="I22" s="376"/>
      <c r="J22" s="376"/>
      <c r="K22" s="376"/>
      <c r="L22" s="376"/>
      <c r="M22" s="376"/>
      <c r="P22" s="367">
        <f t="shared" si="28"/>
        <v>9.900890906852762E-2</v>
      </c>
      <c r="Q22" s="344">
        <f t="shared" si="28"/>
        <v>7.8739336338721572E-2</v>
      </c>
      <c r="R22" s="344">
        <f t="shared" si="28"/>
        <v>0.68996697475465374</v>
      </c>
      <c r="S22" s="368">
        <f t="shared" si="28"/>
        <v>4.2958317287414519E-2</v>
      </c>
      <c r="AC22" s="367">
        <v>0.99999999999990241</v>
      </c>
      <c r="AD22" s="344">
        <v>0.96397532065955427</v>
      </c>
      <c r="AE22" s="344">
        <v>-0.10439130542805364</v>
      </c>
      <c r="AF22" s="344">
        <v>-6.0594885267495166E-2</v>
      </c>
      <c r="AG22" s="344">
        <v>0</v>
      </c>
      <c r="AH22" s="368">
        <v>0</v>
      </c>
      <c r="AJ22" s="337" t="s">
        <v>878</v>
      </c>
    </row>
    <row r="23" spans="1:54" s="337" customFormat="1" x14ac:dyDescent="0.25">
      <c r="H23" s="379" t="s">
        <v>879</v>
      </c>
      <c r="I23" s="380">
        <f>I20/F21</f>
        <v>0.25011805389409564</v>
      </c>
      <c r="P23" s="367">
        <f t="shared" si="28"/>
        <v>2.2906464701256464E-2</v>
      </c>
      <c r="Q23" s="344">
        <f t="shared" si="28"/>
        <v>1.1466930795137022E-2</v>
      </c>
      <c r="R23" s="344">
        <f t="shared" si="28"/>
        <v>2.7775045440939568E-2</v>
      </c>
      <c r="S23" s="368">
        <f t="shared" si="28"/>
        <v>1.3148350506689117E-3</v>
      </c>
      <c r="T23" s="349"/>
      <c r="V23" s="358">
        <f t="array" ref="V23:AA28">[1]!SVD_U(W13:Z18,20)</f>
        <v>0.40356101351421381</v>
      </c>
      <c r="W23" s="359">
        <v>-0.2488735933980602</v>
      </c>
      <c r="X23" s="359">
        <v>-0.27037472170583066</v>
      </c>
      <c r="Y23" s="359">
        <v>0.36014709688707996</v>
      </c>
      <c r="Z23" s="359">
        <v>0.73151716470277173</v>
      </c>
      <c r="AA23" s="360">
        <v>0.19306646288784413</v>
      </c>
      <c r="AC23" s="371">
        <v>0.99999999999997924</v>
      </c>
      <c r="AD23" s="372">
        <v>0.19799374104504283</v>
      </c>
      <c r="AE23" s="372">
        <v>0.17240486600808</v>
      </c>
      <c r="AF23" s="372">
        <v>9.1754385354945636E-2</v>
      </c>
      <c r="AG23" s="372">
        <v>0</v>
      </c>
      <c r="AH23" s="373">
        <v>0</v>
      </c>
      <c r="AK23" s="350"/>
      <c r="AL23" s="350"/>
      <c r="AM23" s="350"/>
      <c r="AN23" s="350"/>
      <c r="AO23" s="447" t="s">
        <v>849</v>
      </c>
      <c r="AP23" s="448"/>
      <c r="AQ23" s="448"/>
      <c r="AR23" s="448"/>
      <c r="AS23" s="449"/>
      <c r="AT23" s="447" t="s">
        <v>850</v>
      </c>
      <c r="AU23" s="448"/>
      <c r="AV23" s="448"/>
      <c r="AW23" s="448"/>
      <c r="AX23" s="449"/>
    </row>
    <row r="24" spans="1:54" s="337" customFormat="1" ht="14.45" x14ac:dyDescent="0.35">
      <c r="P24" s="367">
        <f t="shared" si="28"/>
        <v>2.7213638835463408E-3</v>
      </c>
      <c r="Q24" s="344">
        <f t="shared" si="28"/>
        <v>1.3397938468633068E-3</v>
      </c>
      <c r="R24" s="344">
        <f t="shared" si="28"/>
        <v>4.7507831789957218E-2</v>
      </c>
      <c r="S24" s="368">
        <f t="shared" si="28"/>
        <v>1.3103255370485676E-2</v>
      </c>
      <c r="V24" s="361">
        <v>0.35543186585238012</v>
      </c>
      <c r="W24" s="344">
        <v>0.88338956056886642</v>
      </c>
      <c r="X24" s="344">
        <v>4.7148708265991483E-2</v>
      </c>
      <c r="Y24" s="344">
        <v>0.26407034931388812</v>
      </c>
      <c r="Z24" s="344">
        <v>2.9625567911103698E-2</v>
      </c>
      <c r="AA24" s="362">
        <v>-0.14302883857014348</v>
      </c>
      <c r="AK24" s="351" t="s">
        <v>851</v>
      </c>
      <c r="AL24" s="352" t="s">
        <v>852</v>
      </c>
      <c r="AM24" s="352" t="s">
        <v>853</v>
      </c>
      <c r="AN24" s="352" t="s">
        <v>854</v>
      </c>
      <c r="AO24" s="351" t="s">
        <v>855</v>
      </c>
      <c r="AP24" s="352" t="s">
        <v>856</v>
      </c>
      <c r="AQ24" s="352" t="s">
        <v>857</v>
      </c>
      <c r="AR24" s="352" t="s">
        <v>858</v>
      </c>
      <c r="AS24" s="353" t="s">
        <v>386</v>
      </c>
      <c r="AT24" s="351" t="s">
        <v>855</v>
      </c>
      <c r="AU24" s="352" t="s">
        <v>856</v>
      </c>
      <c r="AV24" s="352" t="s">
        <v>857</v>
      </c>
      <c r="AW24" s="352" t="s">
        <v>858</v>
      </c>
      <c r="AX24" s="354" t="s">
        <v>386</v>
      </c>
      <c r="BA24" s="355" t="s">
        <v>859</v>
      </c>
      <c r="BB24" s="355" t="s">
        <v>860</v>
      </c>
    </row>
    <row r="25" spans="1:54" s="337" customFormat="1" ht="17.25" x14ac:dyDescent="0.25">
      <c r="H25" s="379" t="s">
        <v>115</v>
      </c>
      <c r="I25" s="380">
        <f>[1]!CHI_STAT(B4:E9)</f>
        <v>164.32756140842085</v>
      </c>
      <c r="P25" s="367">
        <f t="shared" si="28"/>
        <v>7.700383361912224E-3</v>
      </c>
      <c r="Q25" s="344">
        <f t="shared" si="28"/>
        <v>1.7014188797197101E-5</v>
      </c>
      <c r="R25" s="344">
        <f t="shared" si="28"/>
        <v>6.8263158577898997E-2</v>
      </c>
      <c r="S25" s="368">
        <f t="shared" si="28"/>
        <v>3.349951480273017E-3</v>
      </c>
      <c r="V25" s="361">
        <v>0.44992811873048788</v>
      </c>
      <c r="W25" s="344">
        <v>-0.13569743848043717</v>
      </c>
      <c r="X25" s="344">
        <v>0.61702283266645408</v>
      </c>
      <c r="Y25" s="344">
        <v>-0.47136538293965879</v>
      </c>
      <c r="Z25" s="344">
        <v>0.2539693628886372</v>
      </c>
      <c r="AA25" s="362">
        <v>-0.33428723519427456</v>
      </c>
      <c r="AC25" s="337" t="s">
        <v>880</v>
      </c>
      <c r="AJ25" s="337" t="str">
        <f t="array" ref="AJ25:AJ28">TRANSPOSE(P3:S3)</f>
        <v>Apple</v>
      </c>
      <c r="AK25" s="339">
        <f>AP25+AU25</f>
        <v>0.96004789877941121</v>
      </c>
      <c r="AL25" s="376">
        <f t="array" ref="AL25:AL28">TRANSPOSE(P10:S10)</f>
        <v>0.31506849315068491</v>
      </c>
      <c r="AM25" s="376">
        <f t="array" ref="AM25:AM28">TRANSPOSE(P27:S27)</f>
        <v>0.13434157535478899</v>
      </c>
      <c r="AN25" s="381">
        <f>(AL25*AM25)/AN$29</f>
        <v>0.16922727910094992</v>
      </c>
      <c r="AO25" s="339">
        <f>AD20</f>
        <v>-0.34040167699441487</v>
      </c>
      <c r="AP25" s="382">
        <f>AO25^2/AM25</f>
        <v>0.8625274893092082</v>
      </c>
      <c r="AQ25" s="382">
        <f>180*ACOS(SQRT(AP25))/PI()</f>
        <v>21.763289201404664</v>
      </c>
      <c r="AR25" s="382">
        <f>AL25*AO25^2/$AD$36</f>
        <v>0.16668519285608652</v>
      </c>
      <c r="AS25" s="377">
        <f>AR25*$AD$36</f>
        <v>3.6508026563205877E-2</v>
      </c>
      <c r="AT25" s="376">
        <f>AE20</f>
        <v>0.11445979834628034</v>
      </c>
      <c r="AU25" s="382">
        <f>AT25^2/AM25</f>
        <v>9.7520409470203032E-2</v>
      </c>
      <c r="AV25" s="382">
        <f>180*ACOS(SQRT(AU25))/PI()</f>
        <v>71.803156699535975</v>
      </c>
      <c r="AW25" s="382">
        <f>AT25^2*AL25/$AD$37</f>
        <v>0.15621575776927527</v>
      </c>
      <c r="AX25" s="377">
        <f>AW25*$AD$37</f>
        <v>4.1277266446826935E-3</v>
      </c>
      <c r="AZ25" s="337" t="s">
        <v>881</v>
      </c>
      <c r="BA25" s="339">
        <f>AO25</f>
        <v>-0.34040167699441487</v>
      </c>
      <c r="BB25" s="377">
        <f>AT25</f>
        <v>0.11445979834628034</v>
      </c>
    </row>
    <row r="26" spans="1:54" s="337" customFormat="1" ht="14.45" x14ac:dyDescent="0.35">
      <c r="P26" s="371">
        <f t="shared" si="28"/>
        <v>1.2545115687657973E-3</v>
      </c>
      <c r="Q26" s="372">
        <f t="shared" si="28"/>
        <v>3.4198806098339939E-2</v>
      </c>
      <c r="R26" s="372">
        <f t="shared" si="28"/>
        <v>5.5779499103786906E-2</v>
      </c>
      <c r="S26" s="373">
        <f t="shared" si="28"/>
        <v>1.2668066852168949E-2</v>
      </c>
      <c r="V26" s="361">
        <v>0.38818157028231914</v>
      </c>
      <c r="W26" s="344">
        <v>0.13413230830524284</v>
      </c>
      <c r="X26" s="344">
        <v>-0.47244331742368451</v>
      </c>
      <c r="Y26" s="344">
        <v>-0.64929084468554554</v>
      </c>
      <c r="Z26" s="344">
        <v>-0.1320073781347666</v>
      </c>
      <c r="AA26" s="362">
        <v>0.41123758985419279</v>
      </c>
      <c r="AC26" s="339">
        <f t="array" ref="AC26:AH31">MMULT(V32:Y37,TRANSPOSE(V32:Y37))</f>
        <v>0.99999999999999911</v>
      </c>
      <c r="AD26" s="376">
        <v>0</v>
      </c>
      <c r="AE26" s="376">
        <v>0</v>
      </c>
      <c r="AF26" s="376">
        <v>0</v>
      </c>
      <c r="AG26" s="376">
        <v>0</v>
      </c>
      <c r="AH26" s="377">
        <v>0</v>
      </c>
      <c r="AJ26" s="337" t="str">
        <v>Samsung</v>
      </c>
      <c r="AK26" s="367">
        <f>AP26+AU26</f>
        <v>0.99152291020980443</v>
      </c>
      <c r="AL26" s="344">
        <v>0.28614916286149161</v>
      </c>
      <c r="AM26" s="344">
        <v>0.14826828347892551</v>
      </c>
      <c r="AN26" s="369">
        <f t="shared" ref="AN26:AN28" si="29">(AL26*AM26)/AN$29</f>
        <v>0.1696272801417571</v>
      </c>
      <c r="AO26" s="367">
        <f>AD21</f>
        <v>-0.31670922413097391</v>
      </c>
      <c r="AP26" s="370">
        <f>AO26^2/AM26</f>
        <v>0.67650835563831524</v>
      </c>
      <c r="AQ26" s="370">
        <f>180*ACOS(SQRT(AP26))/PI()</f>
        <v>34.664028969482949</v>
      </c>
      <c r="AR26" s="370">
        <f>AL26*AO26^2/$AD$36</f>
        <v>0.131045637658112</v>
      </c>
      <c r="AS26" s="368">
        <f>AR26*$AD$36</f>
        <v>2.8702115278741207E-2</v>
      </c>
      <c r="AT26" s="344">
        <f>AE21</f>
        <v>-0.21611725353889033</v>
      </c>
      <c r="AU26" s="370">
        <f>AT26^2/AM26</f>
        <v>0.31501455457148914</v>
      </c>
      <c r="AV26" s="370">
        <f>180*ACOS(SQRT(AU26))/PI()</f>
        <v>55.856911029346712</v>
      </c>
      <c r="AW26" s="370">
        <f>AT26^2*AL26/$AD$37</f>
        <v>0.50580750662051366</v>
      </c>
      <c r="AX26" s="368">
        <f>AW26*$AD$37</f>
        <v>1.3365073741419001E-2</v>
      </c>
      <c r="AZ26" s="337" t="s">
        <v>882</v>
      </c>
      <c r="BA26" s="367">
        <f>AO26</f>
        <v>-0.31670922413097391</v>
      </c>
      <c r="BB26" s="368">
        <f>AT26</f>
        <v>-0.21611725353889033</v>
      </c>
    </row>
    <row r="27" spans="1:54" s="337" customFormat="1" ht="15" customHeight="1" x14ac:dyDescent="0.35">
      <c r="P27" s="60">
        <f>SUM(P21:P26)</f>
        <v>0.13434157535478899</v>
      </c>
      <c r="Q27" s="60">
        <f t="shared" ref="Q27:S27" si="30">SUM(Q21:Q26)</f>
        <v>0.14826828347892551</v>
      </c>
      <c r="R27" s="60">
        <f t="shared" si="30"/>
        <v>0.94381770361020201</v>
      </c>
      <c r="S27" s="60">
        <f t="shared" si="30"/>
        <v>7.7343826548130656E-2</v>
      </c>
      <c r="T27"/>
      <c r="V27" s="361">
        <v>0.43966224756400568</v>
      </c>
      <c r="W27" s="344">
        <v>-0.20704743534339834</v>
      </c>
      <c r="X27" s="344">
        <v>0.38163949302574968</v>
      </c>
      <c r="Y27" s="344">
        <v>0.36048801239098682</v>
      </c>
      <c r="Z27" s="344">
        <v>-0.48273975091030058</v>
      </c>
      <c r="AA27" s="362">
        <v>0.50516382566567475</v>
      </c>
      <c r="AC27" s="367">
        <v>0</v>
      </c>
      <c r="AD27" s="344">
        <v>0.2190238133193172</v>
      </c>
      <c r="AE27" s="344">
        <v>0</v>
      </c>
      <c r="AF27" s="344">
        <v>0</v>
      </c>
      <c r="AG27" s="344">
        <v>0</v>
      </c>
      <c r="AH27" s="368">
        <v>0</v>
      </c>
      <c r="AJ27" s="337" t="str">
        <v>Nokia</v>
      </c>
      <c r="AK27" s="367">
        <f>AP27+AU27</f>
        <v>0.99610969352821677</v>
      </c>
      <c r="AL27" s="344">
        <v>0.15525114155251141</v>
      </c>
      <c r="AM27" s="344">
        <v>0.94381770361020201</v>
      </c>
      <c r="AN27" s="369">
        <f t="shared" si="29"/>
        <v>0.58583846156501995</v>
      </c>
      <c r="AO27" s="367">
        <f>AD22</f>
        <v>0.96397532065955427</v>
      </c>
      <c r="AP27" s="370">
        <f>AO27^2/AM27</f>
        <v>0.98456345466525741</v>
      </c>
      <c r="AQ27" s="370">
        <f>180*ACOS(SQRT(AP27))/PI()</f>
        <v>7.1370937534911469</v>
      </c>
      <c r="AR27" s="370">
        <f>AL27*AO27^2/$AD$36</f>
        <v>0.65868124394563066</v>
      </c>
      <c r="AS27" s="368">
        <f>AR27*$AD$36</f>
        <v>0.14426687781088343</v>
      </c>
      <c r="AT27" s="344">
        <f>AE22</f>
        <v>-0.10439130542805364</v>
      </c>
      <c r="AU27" s="370">
        <f>AT27^2/AM27</f>
        <v>1.1546238862959369E-2</v>
      </c>
      <c r="AV27" s="370">
        <f>180*ACOS(SQRT(AU27))/PI()</f>
        <v>83.831462534511289</v>
      </c>
      <c r="AW27" s="370">
        <f>AT27^2*AL27/$AD$37</f>
        <v>6.4029096011563535E-2</v>
      </c>
      <c r="AX27" s="368">
        <f>AW27*$AD$37</f>
        <v>1.6918562468725483E-3</v>
      </c>
      <c r="AZ27" s="337" t="s">
        <v>883</v>
      </c>
      <c r="BA27" s="367">
        <f>AO27</f>
        <v>0.96397532065955427</v>
      </c>
      <c r="BB27" s="368">
        <f>AT27</f>
        <v>-0.10439130542805364</v>
      </c>
    </row>
    <row r="28" spans="1:54" s="337" customFormat="1" ht="14.45" x14ac:dyDescent="0.35">
      <c r="P28"/>
      <c r="Q28"/>
      <c r="R28"/>
      <c r="S28"/>
      <c r="T28"/>
      <c r="V28" s="363">
        <v>0.40544242703969785</v>
      </c>
      <c r="W28" s="364">
        <v>-0.28001947675716971</v>
      </c>
      <c r="X28" s="364">
        <v>-0.41845661940559692</v>
      </c>
      <c r="Y28" s="364">
        <v>0.16384561914533741</v>
      </c>
      <c r="Z28" s="364">
        <v>-0.38605817073874571</v>
      </c>
      <c r="AA28" s="365">
        <v>-0.63734864129544899</v>
      </c>
      <c r="AC28" s="367">
        <v>0</v>
      </c>
      <c r="AD28" s="344">
        <v>0</v>
      </c>
      <c r="AE28" s="344">
        <v>2.6423241186584959E-2</v>
      </c>
      <c r="AF28" s="344">
        <v>0</v>
      </c>
      <c r="AG28" s="344">
        <v>0</v>
      </c>
      <c r="AH28" s="368">
        <v>0</v>
      </c>
      <c r="AJ28" s="337" t="str">
        <v>Huawei</v>
      </c>
      <c r="AK28" s="371">
        <f>AP28+AU28</f>
        <v>0.8911501071566954</v>
      </c>
      <c r="AL28" s="372">
        <v>0.24353120243531201</v>
      </c>
      <c r="AM28" s="372">
        <v>7.7343826548130656E-2</v>
      </c>
      <c r="AN28" s="374">
        <f t="shared" si="29"/>
        <v>7.5306979192272958E-2</v>
      </c>
      <c r="AO28" s="371">
        <f>AD23</f>
        <v>0.19799374104504283</v>
      </c>
      <c r="AP28" s="375">
        <f>AO28^2/AM28</f>
        <v>0.5068474530235012</v>
      </c>
      <c r="AQ28" s="375">
        <f>180*ACOS(SQRT(AP28))/PI()</f>
        <v>44.607657576687735</v>
      </c>
      <c r="AR28" s="375">
        <f>AL28*AO28^2/$AD$36</f>
        <v>4.3587925540171456E-2</v>
      </c>
      <c r="AS28" s="373">
        <f>AR28*$AD$36</f>
        <v>9.5467936664868115E-3</v>
      </c>
      <c r="AT28" s="372">
        <f>AE23</f>
        <v>0.17240486600808</v>
      </c>
      <c r="AU28" s="375">
        <f>AT28^2/AM28</f>
        <v>0.3843026541331942</v>
      </c>
      <c r="AV28" s="375">
        <f>180*ACOS(SQRT(AU28))/PI()</f>
        <v>51.689598493941496</v>
      </c>
      <c r="AW28" s="375">
        <f>AT28^2*AL28/$AD$37</f>
        <v>0.27394763959864765</v>
      </c>
      <c r="AX28" s="373">
        <f>AW28*$AD$37</f>
        <v>7.2385845536107191E-3</v>
      </c>
      <c r="AZ28" s="337" t="s">
        <v>884</v>
      </c>
      <c r="BA28" s="371">
        <f>AO28</f>
        <v>0.19799374104504283</v>
      </c>
      <c r="BB28" s="373">
        <f>AT28</f>
        <v>0.17240486600808</v>
      </c>
    </row>
    <row r="29" spans="1:54" s="337" customFormat="1" ht="14.45" x14ac:dyDescent="0.35">
      <c r="P29" t="s">
        <v>885</v>
      </c>
      <c r="Q29"/>
      <c r="R29"/>
      <c r="S29"/>
      <c r="T29"/>
      <c r="AC29" s="367">
        <v>0</v>
      </c>
      <c r="AD29" s="344">
        <v>0</v>
      </c>
      <c r="AE29" s="344">
        <v>0</v>
      </c>
      <c r="AF29" s="344">
        <v>4.6709993881934517E-3</v>
      </c>
      <c r="AG29" s="344">
        <v>0</v>
      </c>
      <c r="AH29" s="368">
        <v>0</v>
      </c>
      <c r="AN29" s="378">
        <f>SUMPRODUCT(AL25:AL28,AM25:AM28)</f>
        <v>0.25011805389409564</v>
      </c>
    </row>
    <row r="30" spans="1:54" s="337" customFormat="1" ht="14.45" x14ac:dyDescent="0.35">
      <c r="P30" s="138">
        <f t="shared" ref="P30:S35" si="31">(P4/$T4-P$10)^2/P$10</f>
        <v>1.4508238649679332E-3</v>
      </c>
      <c r="Q30" s="139">
        <f t="shared" si="31"/>
        <v>3.9543959025051402E-2</v>
      </c>
      <c r="R30" s="139">
        <f t="shared" si="31"/>
        <v>5.1977287683948527E-2</v>
      </c>
      <c r="S30" s="140">
        <f t="shared" si="31"/>
        <v>5.9056456181227476E-3</v>
      </c>
      <c r="T30" s="60">
        <f t="shared" ref="T30:T35" si="32">SUM(P30:S30)</f>
        <v>9.8877716192090612E-2</v>
      </c>
      <c r="V30" s="337" t="s">
        <v>715</v>
      </c>
      <c r="AC30" s="367">
        <v>0</v>
      </c>
      <c r="AD30" s="344">
        <v>0</v>
      </c>
      <c r="AE30" s="344">
        <v>0</v>
      </c>
      <c r="AF30" s="344">
        <v>0</v>
      </c>
      <c r="AG30" s="344">
        <v>0</v>
      </c>
      <c r="AH30" s="368">
        <v>0</v>
      </c>
    </row>
    <row r="31" spans="1:54" s="337" customFormat="1" ht="14.45" x14ac:dyDescent="0.35">
      <c r="P31" s="36">
        <f t="shared" si="31"/>
        <v>0.24692583346006283</v>
      </c>
      <c r="Q31" s="37">
        <f t="shared" si="31"/>
        <v>0.17834934014071874</v>
      </c>
      <c r="R31" s="37">
        <f t="shared" si="31"/>
        <v>0.84791122198764679</v>
      </c>
      <c r="S31" s="38">
        <f t="shared" si="31"/>
        <v>8.2811214048027992E-2</v>
      </c>
      <c r="T31" s="60">
        <f t="shared" si="32"/>
        <v>1.3559976096364563</v>
      </c>
      <c r="AC31" s="371">
        <v>0</v>
      </c>
      <c r="AD31" s="372">
        <v>0</v>
      </c>
      <c r="AE31" s="372">
        <v>0</v>
      </c>
      <c r="AF31" s="372">
        <v>0</v>
      </c>
      <c r="AG31" s="372">
        <v>0</v>
      </c>
      <c r="AH31" s="373">
        <v>0</v>
      </c>
      <c r="AJ31" s="337" t="s">
        <v>886</v>
      </c>
    </row>
    <row r="32" spans="1:54" s="337" customFormat="1" ht="14.45" x14ac:dyDescent="0.35">
      <c r="P32" s="36">
        <f t="shared" si="31"/>
        <v>3.5651414986166079E-2</v>
      </c>
      <c r="Q32" s="37">
        <f t="shared" si="31"/>
        <v>1.620889465778768E-2</v>
      </c>
      <c r="R32" s="37">
        <f t="shared" si="31"/>
        <v>2.1301162668991246E-2</v>
      </c>
      <c r="S32" s="38">
        <f t="shared" si="31"/>
        <v>1.5817564519325228E-3</v>
      </c>
      <c r="T32" s="60">
        <f t="shared" si="32"/>
        <v>7.4743228764877531E-2</v>
      </c>
      <c r="V32" s="358">
        <f t="array" ref="V32:Y37">[1]!SVD_D(W13:Z18,20)</f>
        <v>0.99999999999999956</v>
      </c>
      <c r="W32" s="359">
        <v>0</v>
      </c>
      <c r="X32" s="359">
        <v>0</v>
      </c>
      <c r="Y32" s="360">
        <v>0</v>
      </c>
      <c r="AK32" s="350"/>
      <c r="AL32" s="350"/>
      <c r="AM32" s="350"/>
      <c r="AN32" s="350"/>
      <c r="AO32" s="447" t="s">
        <v>849</v>
      </c>
      <c r="AP32" s="448"/>
      <c r="AQ32" s="448"/>
      <c r="AR32" s="448"/>
      <c r="AS32" s="449"/>
      <c r="AT32" s="447" t="s">
        <v>850</v>
      </c>
      <c r="AU32" s="448"/>
      <c r="AV32" s="448"/>
      <c r="AW32" s="448"/>
      <c r="AX32" s="449"/>
      <c r="BA32" s="355" t="s">
        <v>859</v>
      </c>
      <c r="BB32" s="355" t="s">
        <v>860</v>
      </c>
    </row>
    <row r="33" spans="14:54" s="337" customFormat="1" x14ac:dyDescent="0.25">
      <c r="P33" s="36">
        <f t="shared" si="31"/>
        <v>5.6901244837787163E-3</v>
      </c>
      <c r="Q33" s="37">
        <f t="shared" si="31"/>
        <v>2.5442549819222468E-3</v>
      </c>
      <c r="R33" s="37">
        <f t="shared" si="31"/>
        <v>4.8947463056319571E-2</v>
      </c>
      <c r="S33" s="38">
        <f t="shared" si="31"/>
        <v>2.1176978376542508E-2</v>
      </c>
      <c r="T33" s="60">
        <f t="shared" si="32"/>
        <v>7.8358820898563039E-2</v>
      </c>
      <c r="V33" s="361">
        <v>0</v>
      </c>
      <c r="W33" s="344">
        <v>0.46799980055478357</v>
      </c>
      <c r="X33" s="344">
        <v>0</v>
      </c>
      <c r="Y33" s="362">
        <v>0</v>
      </c>
      <c r="AC33" s="337" t="s">
        <v>622</v>
      </c>
      <c r="AK33" s="351" t="s">
        <v>851</v>
      </c>
      <c r="AL33" s="352" t="s">
        <v>852</v>
      </c>
      <c r="AM33" s="352" t="s">
        <v>853</v>
      </c>
      <c r="AN33" s="352" t="s">
        <v>854</v>
      </c>
      <c r="AO33" s="351" t="s">
        <v>855</v>
      </c>
      <c r="AP33" s="352" t="s">
        <v>856</v>
      </c>
      <c r="AQ33" s="352" t="s">
        <v>857</v>
      </c>
      <c r="AR33" s="352" t="s">
        <v>858</v>
      </c>
      <c r="AS33" s="353" t="s">
        <v>386</v>
      </c>
      <c r="AT33" s="351" t="s">
        <v>855</v>
      </c>
      <c r="AU33" s="352" t="s">
        <v>856</v>
      </c>
      <c r="AV33" s="352" t="s">
        <v>857</v>
      </c>
      <c r="AW33" s="352" t="s">
        <v>858</v>
      </c>
      <c r="AX33" s="354" t="s">
        <v>386</v>
      </c>
      <c r="AZ33" s="337" t="str">
        <f t="shared" ref="AZ33:BB38" si="33">AZ14</f>
        <v>scr</v>
      </c>
      <c r="BA33" s="339">
        <f t="shared" si="33"/>
        <v>-0.28861259679025913</v>
      </c>
      <c r="BB33" s="377">
        <f t="shared" si="33"/>
        <v>-0.10890552822986688</v>
      </c>
    </row>
    <row r="34" spans="14:54" s="337" customFormat="1" x14ac:dyDescent="0.25">
      <c r="P34" s="36">
        <f t="shared" si="31"/>
        <v>1.2551018550518345E-2</v>
      </c>
      <c r="Q34" s="37">
        <f t="shared" si="31"/>
        <v>2.518635821947291E-5</v>
      </c>
      <c r="R34" s="37">
        <f t="shared" si="31"/>
        <v>5.4825528936580291E-2</v>
      </c>
      <c r="S34" s="38">
        <f t="shared" si="31"/>
        <v>4.2204113137297881E-3</v>
      </c>
      <c r="T34" s="60">
        <f t="shared" si="32"/>
        <v>7.1622145159047898E-2</v>
      </c>
      <c r="V34" s="361">
        <v>0</v>
      </c>
      <c r="W34" s="344">
        <v>0</v>
      </c>
      <c r="X34" s="344">
        <v>0.16255227216678628</v>
      </c>
      <c r="Y34" s="362">
        <v>0</v>
      </c>
      <c r="AC34"/>
      <c r="AD34"/>
      <c r="AE34"/>
      <c r="AF34"/>
      <c r="AG34"/>
      <c r="AH34"/>
      <c r="AJ34" s="337" t="str">
        <f>AJ25</f>
        <v>Apple</v>
      </c>
      <c r="AK34" s="339">
        <f>AP34+AU34</f>
        <v>0.47143538791302814</v>
      </c>
      <c r="AL34" s="376"/>
      <c r="AM34" s="376">
        <f>AO49</f>
        <v>2.1739130434782612</v>
      </c>
      <c r="AN34" s="382"/>
      <c r="AO34" s="339">
        <f>AS42</f>
        <v>-0.72735432064477512</v>
      </c>
      <c r="AP34" s="382">
        <f>AO34^2/AM34</f>
        <v>0.24336038156988626</v>
      </c>
      <c r="AQ34" s="382">
        <f>180*ACOS(SQRT(AP34))/PI()</f>
        <v>60.441252996349029</v>
      </c>
      <c r="AR34" s="382"/>
      <c r="AS34" s="377"/>
      <c r="AT34" s="339">
        <f>AT42</f>
        <v>0.70414148520076791</v>
      </c>
      <c r="AU34" s="382">
        <f>AT34^2/AM34</f>
        <v>0.22807500634314187</v>
      </c>
      <c r="AV34" s="382">
        <f>180*ACOS(SQRT(AU34))/PI()</f>
        <v>61.473055387335855</v>
      </c>
      <c r="AW34" s="382"/>
      <c r="AX34" s="377"/>
      <c r="AZ34" s="337" t="str">
        <f t="shared" si="33"/>
        <v>pri</v>
      </c>
      <c r="BA34" s="367">
        <f t="shared" si="33"/>
        <v>1.1631656524856757</v>
      </c>
      <c r="BB34" s="368">
        <f t="shared" si="33"/>
        <v>2.1562865895509053E-2</v>
      </c>
    </row>
    <row r="35" spans="14:54" x14ac:dyDescent="0.25">
      <c r="N35" s="337"/>
      <c r="P35" s="39">
        <f t="shared" si="31"/>
        <v>2.4044805068011194E-3</v>
      </c>
      <c r="Q35" s="40">
        <f t="shared" si="31"/>
        <v>5.9531255060073229E-2</v>
      </c>
      <c r="R35" s="40">
        <f t="shared" si="31"/>
        <v>5.2680638042465415E-2</v>
      </c>
      <c r="S35" s="41">
        <f t="shared" si="31"/>
        <v>1.8767506447657695E-2</v>
      </c>
      <c r="T35" s="60">
        <f t="shared" si="32"/>
        <v>0.13338388005699747</v>
      </c>
      <c r="V35" s="361">
        <v>0</v>
      </c>
      <c r="W35" s="344">
        <v>0</v>
      </c>
      <c r="X35" s="344">
        <v>0</v>
      </c>
      <c r="Y35" s="362">
        <v>6.8344710023479152E-2</v>
      </c>
      <c r="Z35" s="337"/>
      <c r="AA35" s="337"/>
      <c r="AD35" s="32" t="s">
        <v>887</v>
      </c>
      <c r="AE35" s="32" t="s">
        <v>387</v>
      </c>
      <c r="AF35" s="32" t="s">
        <v>888</v>
      </c>
      <c r="AJ35" s="337" t="str">
        <f t="shared" ref="AJ35:AJ37" si="34">AJ26</f>
        <v>Samsung</v>
      </c>
      <c r="AK35" s="367">
        <f>AP35+AU35</f>
        <v>0.89213756032208336</v>
      </c>
      <c r="AL35" s="344"/>
      <c r="AM35" s="344">
        <f>AO50</f>
        <v>2.4946808510638299</v>
      </c>
      <c r="AN35" s="370"/>
      <c r="AO35" s="367">
        <f t="shared" ref="AO35:AO37" si="35">AS43</f>
        <v>-0.67672939978934943</v>
      </c>
      <c r="AP35" s="370">
        <f>AO35^2/AM35</f>
        <v>0.18357565872362386</v>
      </c>
      <c r="AQ35" s="370">
        <f>180*ACOS(SQRT(AP35))/PI()</f>
        <v>64.630303640190206</v>
      </c>
      <c r="AR35" s="370"/>
      <c r="AS35" s="368"/>
      <c r="AT35" s="367">
        <f t="shared" ref="AT35:AT37" si="36">AT43</f>
        <v>-1.329524654796236</v>
      </c>
      <c r="AU35" s="370">
        <f t="shared" ref="AU35:AU37" si="37">AT35^2/AM35</f>
        <v>0.70856190159845944</v>
      </c>
      <c r="AV35" s="370">
        <f t="shared" ref="AV35:AV37" si="38">180*ACOS(SQRT(AU35))/PI()</f>
        <v>32.673433065869261</v>
      </c>
      <c r="AW35" s="370"/>
      <c r="AX35" s="368"/>
      <c r="AZ35" s="337" t="str">
        <f t="shared" si="33"/>
        <v>des</v>
      </c>
      <c r="BA35" s="367">
        <f t="shared" si="33"/>
        <v>-0.14114782228732212</v>
      </c>
      <c r="BB35" s="368">
        <f t="shared" si="33"/>
        <v>0.2229210828425674</v>
      </c>
    </row>
    <row r="36" spans="14:54" x14ac:dyDescent="0.25">
      <c r="N36" s="337"/>
      <c r="V36" s="361">
        <v>0</v>
      </c>
      <c r="W36" s="344">
        <v>0</v>
      </c>
      <c r="X36" s="344">
        <v>0</v>
      </c>
      <c r="Y36" s="362">
        <v>0</v>
      </c>
      <c r="Z36" s="337"/>
      <c r="AA36" s="337"/>
      <c r="AC36">
        <v>1</v>
      </c>
      <c r="AD36" s="138">
        <f t="array" ref="AD36:AD38">[1]!DIAG(AD27:AF29)</f>
        <v>0.2190238133193172</v>
      </c>
      <c r="AE36" s="383">
        <f>AD36/AD$39</f>
        <v>0.87568174271840349</v>
      </c>
      <c r="AF36" s="384">
        <f>AE36</f>
        <v>0.87568174271840349</v>
      </c>
      <c r="AJ36" s="337" t="str">
        <f t="shared" si="34"/>
        <v>Nokia</v>
      </c>
      <c r="AK36" s="367">
        <f>AP36+AU36</f>
        <v>0.85553278081419215</v>
      </c>
      <c r="AL36" s="344"/>
      <c r="AM36" s="344">
        <f>AO51</f>
        <v>5.4411764705882355</v>
      </c>
      <c r="AN36" s="370"/>
      <c r="AO36" s="367">
        <f t="shared" si="35"/>
        <v>2.0597772040005653</v>
      </c>
      <c r="AP36" s="370">
        <f>AO36^2/AM36</f>
        <v>0.77973617526536831</v>
      </c>
      <c r="AQ36" s="370">
        <f>180*ACOS(SQRT(AP36))/PI()</f>
        <v>27.990342441330277</v>
      </c>
      <c r="AR36" s="370"/>
      <c r="AS36" s="368"/>
      <c r="AT36" s="367">
        <f t="shared" si="36"/>
        <v>-0.64220145333276701</v>
      </c>
      <c r="AU36" s="370">
        <f t="shared" si="37"/>
        <v>7.5796605548823864E-2</v>
      </c>
      <c r="AV36" s="370">
        <f t="shared" si="38"/>
        <v>74.019401752907754</v>
      </c>
      <c r="AW36" s="370"/>
      <c r="AX36" s="368"/>
      <c r="AZ36" s="337" t="str">
        <f t="shared" si="33"/>
        <v>bat</v>
      </c>
      <c r="BA36" s="367">
        <f t="shared" si="33"/>
        <v>0.16171270956823458</v>
      </c>
      <c r="BB36" s="368">
        <f t="shared" si="33"/>
        <v>-0.19783714786196671</v>
      </c>
    </row>
    <row r="37" spans="14:54" x14ac:dyDescent="0.25">
      <c r="V37" s="363">
        <v>0</v>
      </c>
      <c r="W37" s="364">
        <v>0</v>
      </c>
      <c r="X37" s="364">
        <v>0</v>
      </c>
      <c r="Y37" s="365">
        <v>0</v>
      </c>
      <c r="Z37" s="337"/>
      <c r="AA37" s="337"/>
      <c r="AC37">
        <f>AC36+1</f>
        <v>2</v>
      </c>
      <c r="AD37" s="36">
        <v>2.6423241186584959E-2</v>
      </c>
      <c r="AE37" s="385">
        <f>AD37/AD$39</f>
        <v>0.10564307843916389</v>
      </c>
      <c r="AF37" s="386">
        <f>AE37+AF36</f>
        <v>0.98132482115756736</v>
      </c>
      <c r="AJ37" s="337" t="str">
        <f t="shared" si="34"/>
        <v>Huawei</v>
      </c>
      <c r="AK37" s="371">
        <f>AP37+AU37</f>
        <v>0.41976029435855955</v>
      </c>
      <c r="AL37" s="372"/>
      <c r="AM37" s="372">
        <f>AO52</f>
        <v>3.1062500000000006</v>
      </c>
      <c r="AN37" s="375"/>
      <c r="AO37" s="371">
        <f t="shared" si="35"/>
        <v>0.42306372953649557</v>
      </c>
      <c r="AP37" s="375">
        <f>AO37^2/AM37</f>
        <v>5.7620255693948984E-2</v>
      </c>
      <c r="AQ37" s="375">
        <f>180*ACOS(SQRT(AP37))/PI()</f>
        <v>76.110969203351161</v>
      </c>
      <c r="AR37" s="375"/>
      <c r="AS37" s="373"/>
      <c r="AT37" s="371">
        <f t="shared" si="36"/>
        <v>1.0606118494067218</v>
      </c>
      <c r="AU37" s="375">
        <f t="shared" si="37"/>
        <v>0.36214003866461059</v>
      </c>
      <c r="AV37" s="375">
        <f t="shared" si="38"/>
        <v>53.00246071935193</v>
      </c>
      <c r="AW37" s="375"/>
      <c r="AX37" s="373"/>
      <c r="AZ37" s="337" t="str">
        <f t="shared" si="33"/>
        <v>sof</v>
      </c>
      <c r="BA37" s="367">
        <f t="shared" si="33"/>
        <v>-0.22039226470538509</v>
      </c>
      <c r="BB37" s="368">
        <f t="shared" si="33"/>
        <v>0.14110005369720865</v>
      </c>
    </row>
    <row r="38" spans="14:54" x14ac:dyDescent="0.25">
      <c r="V38" s="337"/>
      <c r="W38" s="337"/>
      <c r="X38" s="337"/>
      <c r="Y38" s="337"/>
      <c r="Z38" s="337"/>
      <c r="AA38" s="337"/>
      <c r="AC38">
        <f>AC37+1</f>
        <v>3</v>
      </c>
      <c r="AD38" s="39">
        <v>4.6709993881934517E-3</v>
      </c>
      <c r="AE38" s="387">
        <f>AD38/AD$39</f>
        <v>1.8675178842432683E-2</v>
      </c>
      <c r="AF38" s="388">
        <f>AE38+AF37</f>
        <v>1</v>
      </c>
      <c r="AZ38" s="337" t="str">
        <f t="shared" si="33"/>
        <v>cam</v>
      </c>
      <c r="BA38" s="367">
        <f t="shared" si="33"/>
        <v>-0.32322482930722235</v>
      </c>
      <c r="BB38" s="368">
        <f t="shared" si="33"/>
        <v>-0.16776999581485053</v>
      </c>
    </row>
    <row r="39" spans="14:54" x14ac:dyDescent="0.25">
      <c r="V39" s="337" t="s">
        <v>718</v>
      </c>
      <c r="W39" s="337"/>
      <c r="X39" s="337"/>
      <c r="Y39" s="337"/>
      <c r="Z39" s="337"/>
      <c r="AA39" s="337"/>
      <c r="AD39">
        <f>SUM(AD36:AD38)</f>
        <v>0.25011805389409558</v>
      </c>
      <c r="AZ39" t="str">
        <f t="shared" ref="AZ39:BB42" si="39">AZ25</f>
        <v>APP</v>
      </c>
      <c r="BA39" s="389">
        <f t="shared" si="39"/>
        <v>-0.34040167699441487</v>
      </c>
      <c r="BB39" s="390">
        <f t="shared" si="39"/>
        <v>0.11445979834628034</v>
      </c>
    </row>
    <row r="40" spans="14:54" x14ac:dyDescent="0.25">
      <c r="V40" s="337"/>
      <c r="W40" s="337"/>
      <c r="X40" s="337"/>
      <c r="Y40" s="337"/>
      <c r="Z40" s="337"/>
      <c r="AA40" s="337"/>
      <c r="AJ40" t="s">
        <v>889</v>
      </c>
      <c r="AQ40" s="349" t="s">
        <v>890</v>
      </c>
      <c r="AZ40" t="str">
        <f t="shared" si="39"/>
        <v>SAM</v>
      </c>
      <c r="BA40" s="389">
        <f t="shared" si="39"/>
        <v>-0.31670922413097391</v>
      </c>
      <c r="BB40" s="390">
        <f t="shared" si="39"/>
        <v>-0.21611725353889033</v>
      </c>
    </row>
    <row r="41" spans="14:54" x14ac:dyDescent="0.25">
      <c r="V41" s="358">
        <f t="array" ref="V41:Y44">[1]!SVD_V(W13:Z18,20)</f>
        <v>0.56130962324790634</v>
      </c>
      <c r="W41" s="359">
        <v>-0.40827097968884152</v>
      </c>
      <c r="X41" s="359">
        <v>0.39524139177125067</v>
      </c>
      <c r="Y41" s="360">
        <v>-0.60168975080512377</v>
      </c>
      <c r="Z41" s="337"/>
      <c r="AA41" s="337"/>
      <c r="AD41" t="s">
        <v>891</v>
      </c>
      <c r="AJ41" s="337"/>
      <c r="AK41" s="338" t="s">
        <v>830</v>
      </c>
      <c r="AL41" s="338" t="s">
        <v>831</v>
      </c>
      <c r="AM41" s="338" t="s">
        <v>832</v>
      </c>
      <c r="AN41" s="338" t="s">
        <v>833</v>
      </c>
      <c r="AQ41" s="337"/>
      <c r="AR41" s="338"/>
      <c r="AS41" s="338">
        <v>1</v>
      </c>
      <c r="AT41" s="338">
        <v>2</v>
      </c>
      <c r="AU41" s="338">
        <v>3</v>
      </c>
      <c r="AZ41" t="str">
        <f t="shared" si="39"/>
        <v>NOK</v>
      </c>
      <c r="BA41" s="389">
        <f t="shared" si="39"/>
        <v>0.96397532065955427</v>
      </c>
      <c r="BB41" s="390">
        <f t="shared" si="39"/>
        <v>-0.10439130542805364</v>
      </c>
    </row>
    <row r="42" spans="14:54" x14ac:dyDescent="0.25">
      <c r="V42" s="361">
        <v>0.53492911947426247</v>
      </c>
      <c r="W42" s="344">
        <v>-0.36200226195165131</v>
      </c>
      <c r="X42" s="344">
        <v>-0.71120145290945069</v>
      </c>
      <c r="Y42" s="362">
        <v>0.27748458130113335</v>
      </c>
      <c r="Z42" s="337"/>
      <c r="AA42" s="337"/>
      <c r="AD42" s="146">
        <f t="array" ref="AD42:AD44">[1]!CAEigen(B4:E9)</f>
        <v>0.21902381331931714</v>
      </c>
      <c r="AJ42" s="337" t="s">
        <v>892</v>
      </c>
      <c r="AK42" s="339">
        <f t="array" ref="AK42:AN45">[1]!IDENTITY()</f>
        <v>1</v>
      </c>
      <c r="AL42" s="376">
        <v>0</v>
      </c>
      <c r="AM42" s="376">
        <v>0</v>
      </c>
      <c r="AN42" s="377">
        <v>0</v>
      </c>
      <c r="AO42">
        <f>SUM(AK42:AN42)</f>
        <v>1</v>
      </c>
      <c r="AQ42" s="337" t="s">
        <v>892</v>
      </c>
      <c r="AR42" s="339">
        <f t="array" ref="AR42:AU45">MMULT(AK42:AN45,AC20:AF23)/AR46:AU46</f>
        <v>1.0000000000000344</v>
      </c>
      <c r="AS42" s="376">
        <v>-0.72735432064477512</v>
      </c>
      <c r="AT42" s="376">
        <v>0.70414148520076791</v>
      </c>
      <c r="AU42" s="377">
        <v>-1.0719391328507546</v>
      </c>
      <c r="AZ42" t="str">
        <f t="shared" si="39"/>
        <v>HUA</v>
      </c>
      <c r="BA42" s="391">
        <f t="shared" si="39"/>
        <v>0.19799374104504283</v>
      </c>
      <c r="BB42" s="392">
        <f t="shared" si="39"/>
        <v>0.17240486600808</v>
      </c>
    </row>
    <row r="43" spans="14:54" x14ac:dyDescent="0.25">
      <c r="V43" s="361">
        <v>0.3940192146995895</v>
      </c>
      <c r="W43" s="344">
        <v>0.81159179637649781</v>
      </c>
      <c r="X43" s="344">
        <v>-0.25303971232113653</v>
      </c>
      <c r="Y43" s="362">
        <v>-0.34934011863844738</v>
      </c>
      <c r="Z43" s="337"/>
      <c r="AA43" s="337"/>
      <c r="AD43" s="49">
        <v>2.642324118658498E-2</v>
      </c>
      <c r="AJ43" s="337" t="s">
        <v>893</v>
      </c>
      <c r="AK43" s="367">
        <v>0</v>
      </c>
      <c r="AL43" s="344">
        <v>1</v>
      </c>
      <c r="AM43" s="344">
        <v>0</v>
      </c>
      <c r="AN43" s="368">
        <v>0</v>
      </c>
      <c r="AO43">
        <f>SUM(AK43:AN43)</f>
        <v>1</v>
      </c>
      <c r="AQ43" s="337" t="s">
        <v>893</v>
      </c>
      <c r="AR43" s="367">
        <v>1.0000000000000318</v>
      </c>
      <c r="AS43" s="344">
        <v>-0.67672939978934943</v>
      </c>
      <c r="AT43" s="344">
        <v>-1.329524654796236</v>
      </c>
      <c r="AU43" s="368">
        <v>0.51873149394794349</v>
      </c>
    </row>
    <row r="44" spans="14:54" x14ac:dyDescent="0.25">
      <c r="V44" s="363">
        <v>0.49348880679839346</v>
      </c>
      <c r="W44" s="364">
        <v>0.20877721508864772</v>
      </c>
      <c r="X44" s="364">
        <v>0.5234000760399713</v>
      </c>
      <c r="Y44" s="365">
        <v>0.66252036378203394</v>
      </c>
      <c r="Z44" s="337"/>
      <c r="AA44" s="337"/>
      <c r="AD44" s="52">
        <v>4.6709993881934213E-3</v>
      </c>
      <c r="AJ44" s="337" t="s">
        <v>894</v>
      </c>
      <c r="AK44" s="367">
        <v>0</v>
      </c>
      <c r="AL44" s="344">
        <v>0</v>
      </c>
      <c r="AM44" s="344">
        <v>1</v>
      </c>
      <c r="AN44" s="368">
        <v>0</v>
      </c>
      <c r="AO44">
        <f>SUM(AK44:AN44)</f>
        <v>1</v>
      </c>
      <c r="AQ44" s="337" t="s">
        <v>894</v>
      </c>
      <c r="AR44" s="367">
        <v>0.99999999999990286</v>
      </c>
      <c r="AS44" s="344">
        <v>2.0597772040005653</v>
      </c>
      <c r="AT44" s="344">
        <v>-0.64220145333276701</v>
      </c>
      <c r="AU44" s="368">
        <v>-0.88660680902264988</v>
      </c>
    </row>
    <row r="45" spans="14:54" x14ac:dyDescent="0.25">
      <c r="AJ45" s="337" t="s">
        <v>895</v>
      </c>
      <c r="AK45" s="371">
        <v>0</v>
      </c>
      <c r="AL45" s="372">
        <v>0</v>
      </c>
      <c r="AM45" s="372">
        <v>0</v>
      </c>
      <c r="AN45" s="373">
        <v>1</v>
      </c>
      <c r="AO45">
        <f>SUM(AK45:AN45)</f>
        <v>1</v>
      </c>
      <c r="AQ45" s="337" t="s">
        <v>895</v>
      </c>
      <c r="AR45" s="371">
        <v>0.99999999999997968</v>
      </c>
      <c r="AS45" s="372">
        <v>0.42306372953649557</v>
      </c>
      <c r="AT45" s="372">
        <v>1.0606118494067218</v>
      </c>
      <c r="AU45" s="373">
        <v>1.3425235884887698</v>
      </c>
      <c r="AZ45" s="337"/>
      <c r="BA45" s="355" t="s">
        <v>859</v>
      </c>
      <c r="BB45" s="355" t="s">
        <v>860</v>
      </c>
    </row>
    <row r="46" spans="14:54" x14ac:dyDescent="0.25">
      <c r="AQ46" s="349" t="s">
        <v>896</v>
      </c>
      <c r="AR46">
        <f t="array" ref="AR46:AU46">[1]!DIAG(V32:Y35)</f>
        <v>0.99999999999999956</v>
      </c>
      <c r="AS46">
        <v>0.46799980055478357</v>
      </c>
      <c r="AT46">
        <v>0.16255227216678628</v>
      </c>
      <c r="AU46">
        <v>6.8344710023479152E-2</v>
      </c>
      <c r="AZ46" s="337" t="s">
        <v>862</v>
      </c>
      <c r="BA46" s="339">
        <f t="shared" ref="BA46:BB51" si="40">BA14</f>
        <v>-0.28861259679025913</v>
      </c>
      <c r="BB46" s="377">
        <f t="shared" si="40"/>
        <v>-0.10890552822986688</v>
      </c>
    </row>
    <row r="47" spans="14:54" x14ac:dyDescent="0.25">
      <c r="AJ47" s="349" t="s">
        <v>897</v>
      </c>
      <c r="AZ47" s="337" t="s">
        <v>865</v>
      </c>
      <c r="BA47" s="367">
        <f t="shared" si="40"/>
        <v>1.1631656524856757</v>
      </c>
      <c r="BB47" s="368">
        <f t="shared" si="40"/>
        <v>2.1562865895509053E-2</v>
      </c>
    </row>
    <row r="48" spans="14:54" x14ac:dyDescent="0.25">
      <c r="AJ48" s="337"/>
      <c r="AK48" s="338" t="s">
        <v>830</v>
      </c>
      <c r="AL48" s="338" t="s">
        <v>831</v>
      </c>
      <c r="AM48" s="338" t="s">
        <v>832</v>
      </c>
      <c r="AN48" s="338" t="s">
        <v>833</v>
      </c>
      <c r="AR48" t="s">
        <v>835</v>
      </c>
      <c r="AZ48" s="337" t="s">
        <v>866</v>
      </c>
      <c r="BA48" s="367">
        <f t="shared" si="40"/>
        <v>-0.14114782228732212</v>
      </c>
      <c r="BB48" s="368">
        <f t="shared" si="40"/>
        <v>0.2229210828425674</v>
      </c>
    </row>
    <row r="49" spans="34:54" x14ac:dyDescent="0.25">
      <c r="AH49">
        <f t="array" ref="AH49">SUMPRODUCT((AK42:AN42-AK$53:AN$53)^2/AK$53:AN$53)</f>
        <v>2.1739130434782612</v>
      </c>
      <c r="AJ49" s="337" t="s">
        <v>892</v>
      </c>
      <c r="AK49" s="339">
        <f t="shared" ref="AK49:AN52" si="41">(AK42-AK$53)^2/AK$53</f>
        <v>1.4889815366289463</v>
      </c>
      <c r="AL49" s="376">
        <f t="shared" si="41"/>
        <v>0.28614916286149161</v>
      </c>
      <c r="AM49" s="376">
        <f t="shared" si="41"/>
        <v>0.15525114155251141</v>
      </c>
      <c r="AN49" s="377">
        <f t="shared" si="41"/>
        <v>0.24353120243531201</v>
      </c>
      <c r="AO49">
        <f>SUM(AK49:AN49)</f>
        <v>2.1739130434782612</v>
      </c>
      <c r="AR49" s="138">
        <f t="array" ref="AR49:AT52">[1]!CARowFactors(B4:E9,AK42:AN45)</f>
        <v>-0.72735432064477534</v>
      </c>
      <c r="AS49" s="139">
        <v>0.7041414852007668</v>
      </c>
      <c r="AT49" s="140">
        <v>-1.0719391328507557</v>
      </c>
      <c r="AZ49" s="337" t="s">
        <v>867</v>
      </c>
      <c r="BA49" s="367">
        <f t="shared" si="40"/>
        <v>0.16171270956823458</v>
      </c>
      <c r="BB49" s="368">
        <f t="shared" si="40"/>
        <v>-0.19783714786196671</v>
      </c>
    </row>
    <row r="50" spans="34:54" x14ac:dyDescent="0.25">
      <c r="AH50">
        <f t="array" ref="AH50">SUMPRODUCT((AK43:AN43-AK$53:AN$53)^2/AK$53:AN$53)</f>
        <v>2.4946808510638299</v>
      </c>
      <c r="AJ50" s="337" t="s">
        <v>893</v>
      </c>
      <c r="AK50" s="367">
        <f t="shared" si="41"/>
        <v>0.31506849315068491</v>
      </c>
      <c r="AL50" s="344">
        <f t="shared" si="41"/>
        <v>1.7808300139253217</v>
      </c>
      <c r="AM50" s="344">
        <f t="shared" si="41"/>
        <v>0.15525114155251141</v>
      </c>
      <c r="AN50" s="368">
        <f t="shared" si="41"/>
        <v>0.24353120243531201</v>
      </c>
      <c r="AO50">
        <f t="shared" ref="AO50:AO52" si="42">SUM(AK50:AN50)</f>
        <v>2.4946808510638299</v>
      </c>
      <c r="AR50" s="36">
        <v>-0.67672939978934876</v>
      </c>
      <c r="AS50" s="37">
        <v>-1.3295246547962358</v>
      </c>
      <c r="AT50" s="38">
        <v>0.51873149394794493</v>
      </c>
      <c r="AZ50" s="337" t="s">
        <v>869</v>
      </c>
      <c r="BA50" s="367">
        <f t="shared" si="40"/>
        <v>-0.22039226470538509</v>
      </c>
      <c r="BB50" s="368">
        <f t="shared" si="40"/>
        <v>0.14110005369720865</v>
      </c>
    </row>
    <row r="51" spans="34:54" x14ac:dyDescent="0.25">
      <c r="AH51">
        <f t="array" ref="AH51">SUMPRODUCT((AK44:AN44-AK$53:AN$53)^2/AK$53:AN$53)</f>
        <v>5.4411764705882355</v>
      </c>
      <c r="AJ51" s="337" t="s">
        <v>894</v>
      </c>
      <c r="AK51" s="367">
        <f t="shared" si="41"/>
        <v>0.31506849315068491</v>
      </c>
      <c r="AL51" s="344">
        <f t="shared" si="41"/>
        <v>0.28614916286149161</v>
      </c>
      <c r="AM51" s="344">
        <f t="shared" si="41"/>
        <v>4.5964276121407472</v>
      </c>
      <c r="AN51" s="368">
        <f t="shared" si="41"/>
        <v>0.24353120243531201</v>
      </c>
      <c r="AO51">
        <f t="shared" si="42"/>
        <v>5.4411764705882355</v>
      </c>
      <c r="AR51" s="36">
        <v>2.0597772040005653</v>
      </c>
      <c r="AS51" s="37">
        <v>-0.6422014533327679</v>
      </c>
      <c r="AT51" s="38">
        <v>-0.88660680902264921</v>
      </c>
      <c r="AZ51" s="337" t="s">
        <v>874</v>
      </c>
      <c r="BA51" s="367">
        <f t="shared" si="40"/>
        <v>-0.32322482930722235</v>
      </c>
      <c r="BB51" s="368">
        <f t="shared" si="40"/>
        <v>-0.16776999581485053</v>
      </c>
    </row>
    <row r="52" spans="34:54" x14ac:dyDescent="0.25">
      <c r="AH52">
        <f t="array" ref="AH52">SUMPRODUCT((AK45:AN45-AK$53:AN$53)^2/AK$53:AN$53)</f>
        <v>3.1062500000000006</v>
      </c>
      <c r="AJ52" s="337" t="s">
        <v>895</v>
      </c>
      <c r="AK52" s="371">
        <f t="shared" si="41"/>
        <v>0.31506849315068491</v>
      </c>
      <c r="AL52" s="372">
        <f t="shared" si="41"/>
        <v>0.28614916286149161</v>
      </c>
      <c r="AM52" s="372">
        <f t="shared" si="41"/>
        <v>0.15525114155251141</v>
      </c>
      <c r="AN52" s="373">
        <f t="shared" si="41"/>
        <v>2.3497812024353126</v>
      </c>
      <c r="AO52">
        <f t="shared" si="42"/>
        <v>3.1062500000000006</v>
      </c>
      <c r="AR52" s="39">
        <v>0.42306372953649507</v>
      </c>
      <c r="AS52" s="40">
        <v>1.0606118494067243</v>
      </c>
      <c r="AT52" s="41">
        <v>1.3425235884887687</v>
      </c>
      <c r="AZ52" s="337" t="s">
        <v>892</v>
      </c>
      <c r="BA52" s="389">
        <f t="shared" ref="BA52:BB55" si="43">AS42</f>
        <v>-0.72735432064477512</v>
      </c>
      <c r="BB52" s="390">
        <f t="shared" si="43"/>
        <v>0.70414148520076791</v>
      </c>
    </row>
    <row r="53" spans="34:54" x14ac:dyDescent="0.25">
      <c r="AK53">
        <f>P10</f>
        <v>0.31506849315068491</v>
      </c>
      <c r="AL53">
        <f>Q10</f>
        <v>0.28614916286149161</v>
      </c>
      <c r="AM53">
        <f>R10</f>
        <v>0.15525114155251141</v>
      </c>
      <c r="AN53">
        <f>S10</f>
        <v>0.24353120243531201</v>
      </c>
      <c r="AZ53" s="337" t="s">
        <v>893</v>
      </c>
      <c r="BA53" s="389">
        <f t="shared" si="43"/>
        <v>-0.67672939978934943</v>
      </c>
      <c r="BB53" s="390">
        <f t="shared" si="43"/>
        <v>-1.329524654796236</v>
      </c>
    </row>
    <row r="54" spans="34:54" x14ac:dyDescent="0.25">
      <c r="AZ54" s="337" t="s">
        <v>894</v>
      </c>
      <c r="BA54" s="389">
        <f t="shared" si="43"/>
        <v>2.0597772040005653</v>
      </c>
      <c r="BB54" s="390">
        <f t="shared" si="43"/>
        <v>-0.64220145333276701</v>
      </c>
    </row>
    <row r="55" spans="34:54" x14ac:dyDescent="0.25">
      <c r="AJ55" s="349" t="s">
        <v>898</v>
      </c>
      <c r="AP55" t="s">
        <v>899</v>
      </c>
      <c r="AZ55" s="337" t="s">
        <v>895</v>
      </c>
      <c r="BA55" s="391">
        <f t="shared" si="43"/>
        <v>0.42306372953649557</v>
      </c>
      <c r="BB55" s="392">
        <f t="shared" si="43"/>
        <v>1.0606118494067218</v>
      </c>
    </row>
    <row r="57" spans="34:54" x14ac:dyDescent="0.25">
      <c r="AJ57" s="337"/>
      <c r="AK57" s="338" t="s">
        <v>900</v>
      </c>
      <c r="AL57" s="32" t="s">
        <v>901</v>
      </c>
      <c r="AM57" s="32" t="s">
        <v>902</v>
      </c>
      <c r="AN57" t="s">
        <v>853</v>
      </c>
      <c r="AQ57">
        <v>1</v>
      </c>
      <c r="AR57">
        <v>2</v>
      </c>
      <c r="AS57">
        <v>3</v>
      </c>
    </row>
    <row r="58" spans="34:54" x14ac:dyDescent="0.25">
      <c r="AJ58" s="337" t="s">
        <v>837</v>
      </c>
      <c r="AK58" s="393">
        <v>30</v>
      </c>
      <c r="AL58" s="139">
        <f>AK58/AK$64</f>
        <v>0.16853932584269662</v>
      </c>
      <c r="AM58" s="139">
        <f>T4</f>
        <v>0.16286149162861491</v>
      </c>
      <c r="AN58" s="140">
        <f>(AL58-AM58)^2/AM58</f>
        <v>1.9794612612360931E-4</v>
      </c>
      <c r="AP58" t="s">
        <v>900</v>
      </c>
      <c r="AQ58" s="53">
        <f t="array" ref="AQ58:AS58">MMULT(TRANSPOSE(AL58:AL63),AD12:AF17)/AS46:AU46</f>
        <v>0.17003099643984143</v>
      </c>
      <c r="AR58" s="147">
        <v>-6.7520350204329907E-2</v>
      </c>
      <c r="AS58" s="148">
        <v>2.2714090317083213E-2</v>
      </c>
    </row>
    <row r="59" spans="34:54" x14ac:dyDescent="0.25">
      <c r="AJ59" s="337" t="s">
        <v>838</v>
      </c>
      <c r="AK59" s="394">
        <v>32</v>
      </c>
      <c r="AL59" s="37">
        <f t="shared" ref="AL59:AL63" si="44">AK59/AK$64</f>
        <v>0.1797752808988764</v>
      </c>
      <c r="AM59" s="37">
        <f t="shared" ref="AM59:AM63" si="45">T5</f>
        <v>0.12633181126331811</v>
      </c>
      <c r="AN59" s="38">
        <f t="shared" ref="AN59:AN63" si="46">(AL59-AM59)^2/AM59</f>
        <v>2.2608750861123551E-2</v>
      </c>
    </row>
    <row r="60" spans="34:54" x14ac:dyDescent="0.25">
      <c r="AJ60" s="337" t="s">
        <v>839</v>
      </c>
      <c r="AK60" s="394">
        <v>30</v>
      </c>
      <c r="AL60" s="37">
        <f t="shared" si="44"/>
        <v>0.16853932584269662</v>
      </c>
      <c r="AM60" s="37">
        <f t="shared" si="45"/>
        <v>0.20243531202435311</v>
      </c>
      <c r="AN60" s="38">
        <f t="shared" si="46"/>
        <v>5.675580350768197E-3</v>
      </c>
      <c r="AQ60" t="s">
        <v>836</v>
      </c>
    </row>
    <row r="61" spans="34:54" x14ac:dyDescent="0.25">
      <c r="AJ61" s="337" t="s">
        <v>840</v>
      </c>
      <c r="AK61" s="394">
        <v>30</v>
      </c>
      <c r="AL61" s="37">
        <f t="shared" si="44"/>
        <v>0.16853932584269662</v>
      </c>
      <c r="AM61" s="37">
        <f t="shared" si="45"/>
        <v>0.15068493150684931</v>
      </c>
      <c r="AN61" s="38">
        <f t="shared" si="46"/>
        <v>2.1155359989359444E-3</v>
      </c>
      <c r="AQ61" s="53">
        <f t="array" ref="AQ61:AS61">[1]!CAColFactors(B4:E9,AK58:AK63)</f>
        <v>0.17003099643984135</v>
      </c>
      <c r="AR61" s="147">
        <v>-6.7520350204329074E-2</v>
      </c>
      <c r="AS61" s="148">
        <v>2.2714090317081423E-2</v>
      </c>
      <c r="AU61" s="337"/>
      <c r="AV61" s="355" t="s">
        <v>859</v>
      </c>
      <c r="AW61" s="355" t="s">
        <v>860</v>
      </c>
    </row>
    <row r="62" spans="34:54" x14ac:dyDescent="0.25">
      <c r="AJ62" s="337" t="s">
        <v>841</v>
      </c>
      <c r="AK62" s="394">
        <v>30</v>
      </c>
      <c r="AL62" s="37">
        <f t="shared" si="44"/>
        <v>0.16853932584269662</v>
      </c>
      <c r="AM62" s="37">
        <f t="shared" si="45"/>
        <v>0.19330289193302891</v>
      </c>
      <c r="AN62" s="38">
        <f t="shared" si="46"/>
        <v>3.1724005749625005E-3</v>
      </c>
      <c r="AU62" s="337" t="s">
        <v>881</v>
      </c>
      <c r="AV62" s="339">
        <f>BA25</f>
        <v>-0.34040167699441487</v>
      </c>
      <c r="AW62" s="377">
        <f>BB25</f>
        <v>0.11445979834628034</v>
      </c>
    </row>
    <row r="63" spans="34:54" x14ac:dyDescent="0.25">
      <c r="AJ63" s="337" t="s">
        <v>842</v>
      </c>
      <c r="AK63" s="395">
        <v>26</v>
      </c>
      <c r="AL63" s="40">
        <f t="shared" si="44"/>
        <v>0.14606741573033707</v>
      </c>
      <c r="AM63" s="40">
        <f t="shared" si="45"/>
        <v>0.16438356164383561</v>
      </c>
      <c r="AN63" s="41">
        <f t="shared" si="46"/>
        <v>2.0408439735077949E-3</v>
      </c>
      <c r="AU63" s="337" t="s">
        <v>882</v>
      </c>
      <c r="AV63" s="367">
        <f t="shared" ref="AV63:AW65" si="47">BA26</f>
        <v>-0.31670922413097391</v>
      </c>
      <c r="AW63" s="368">
        <f t="shared" si="47"/>
        <v>-0.21611725353889033</v>
      </c>
    </row>
    <row r="64" spans="34:54" x14ac:dyDescent="0.25">
      <c r="AJ64" s="337"/>
      <c r="AK64" s="338">
        <f>SUM(AK58:AK63)</f>
        <v>178</v>
      </c>
      <c r="AL64" s="337">
        <f>SUM(AL58:AL63)</f>
        <v>0.99999999999999989</v>
      </c>
      <c r="AM64" s="337">
        <f>SUM(AM58:AM63)</f>
        <v>1</v>
      </c>
      <c r="AN64" s="337">
        <f>SUM(AN58:AN63)</f>
        <v>3.5811057885421597E-2</v>
      </c>
      <c r="AU64" s="337" t="s">
        <v>883</v>
      </c>
      <c r="AV64" s="367">
        <f t="shared" si="47"/>
        <v>0.96397532065955427</v>
      </c>
      <c r="AW64" s="368">
        <f t="shared" si="47"/>
        <v>-0.10439130542805364</v>
      </c>
    </row>
    <row r="65" spans="36:49" x14ac:dyDescent="0.25">
      <c r="AU65" s="337" t="s">
        <v>884</v>
      </c>
      <c r="AV65" s="367">
        <f t="shared" si="47"/>
        <v>0.19799374104504283</v>
      </c>
      <c r="AW65" s="368">
        <f t="shared" si="47"/>
        <v>0.17240486600808</v>
      </c>
    </row>
    <row r="66" spans="36:49" x14ac:dyDescent="0.25">
      <c r="AJ66" s="337" t="s">
        <v>903</v>
      </c>
      <c r="AU66" s="349" t="s">
        <v>900</v>
      </c>
      <c r="AV66" s="391">
        <f>AQ58</f>
        <v>0.17003099643984143</v>
      </c>
      <c r="AW66" s="392">
        <f>AR58</f>
        <v>-6.7520350204329907E-2</v>
      </c>
    </row>
    <row r="67" spans="36:49" x14ac:dyDescent="0.25">
      <c r="AK67" s="337"/>
      <c r="AL67" s="337"/>
      <c r="AM67" s="337"/>
      <c r="AN67" s="337"/>
      <c r="AO67" s="337"/>
      <c r="AP67" s="337"/>
      <c r="AQ67" s="337"/>
      <c r="AT67" s="337"/>
      <c r="AU67" s="337"/>
      <c r="AV67" s="337"/>
    </row>
    <row r="68" spans="36:49" x14ac:dyDescent="0.25">
      <c r="AJ68" s="337"/>
      <c r="AK68" s="350"/>
      <c r="AL68" s="350"/>
      <c r="AM68" s="447" t="s">
        <v>849</v>
      </c>
      <c r="AN68" s="448"/>
      <c r="AO68" s="449"/>
      <c r="AP68" s="447" t="s">
        <v>850</v>
      </c>
      <c r="AQ68" s="448"/>
      <c r="AR68" s="449"/>
    </row>
    <row r="69" spans="36:49" x14ac:dyDescent="0.25">
      <c r="AJ69" s="337"/>
      <c r="AK69" s="351" t="s">
        <v>851</v>
      </c>
      <c r="AL69" s="352" t="s">
        <v>853</v>
      </c>
      <c r="AM69" s="351" t="s">
        <v>855</v>
      </c>
      <c r="AN69" s="352" t="s">
        <v>856</v>
      </c>
      <c r="AO69" s="352" t="s">
        <v>857</v>
      </c>
      <c r="AP69" s="351" t="s">
        <v>855</v>
      </c>
      <c r="AQ69" s="352" t="s">
        <v>856</v>
      </c>
      <c r="AR69" s="354" t="s">
        <v>857</v>
      </c>
    </row>
    <row r="70" spans="36:49" x14ac:dyDescent="0.25">
      <c r="AJ70" s="337" t="s">
        <v>900</v>
      </c>
      <c r="AK70" s="396">
        <f>AN70+AQ70</f>
        <v>0.93461459723215579</v>
      </c>
      <c r="AL70" s="397">
        <f>AN64</f>
        <v>3.5811057885421597E-2</v>
      </c>
      <c r="AM70" s="396">
        <f>AQ58</f>
        <v>0.17003099643984143</v>
      </c>
      <c r="AN70" s="398">
        <f>AM70^2/AL70</f>
        <v>0.80730761550874552</v>
      </c>
      <c r="AO70" s="398">
        <f>180*ACOS(SQRT(AN70))/PI()</f>
        <v>26.038016195572933</v>
      </c>
      <c r="AP70" s="396">
        <f>AR58</f>
        <v>-6.7520350204329907E-2</v>
      </c>
      <c r="AQ70" s="398">
        <f>AP70^2/AL70</f>
        <v>0.12730698172341026</v>
      </c>
      <c r="AR70" s="399">
        <f>180*ACOS(SQRT(AQ70))/PI()</f>
        <v>69.096133632725767</v>
      </c>
    </row>
    <row r="71" spans="36:49" x14ac:dyDescent="0.25">
      <c r="AN71" s="350"/>
    </row>
    <row r="72" spans="36:49" x14ac:dyDescent="0.25">
      <c r="AL72">
        <f>SUMPRODUCT((AK58:AK63/SUM(AK58:AK63)-AM58:AM63)^2/AM58:AM63)</f>
        <v>3.5811057885421597E-2</v>
      </c>
    </row>
  </sheetData>
  <mergeCells count="8">
    <mergeCell ref="AM68:AO68"/>
    <mergeCell ref="AP68:AR68"/>
    <mergeCell ref="AO12:AS12"/>
    <mergeCell ref="AT12:AX12"/>
    <mergeCell ref="AO23:AS23"/>
    <mergeCell ref="AT23:AX23"/>
    <mergeCell ref="AO32:AS32"/>
    <mergeCell ref="AT32:AX32"/>
  </mergeCells>
  <pageMargins left="0.7" right="0.7" top="0.75" bottom="0.75" header="0.3" footer="0.3"/>
  <drawing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0"/>
  <dimension ref="A1:AD25"/>
  <sheetViews>
    <sheetView workbookViewId="0"/>
  </sheetViews>
  <sheetFormatPr defaultRowHeight="15" x14ac:dyDescent="0.25"/>
  <sheetData>
    <row r="1" spans="1:30" ht="14.45" x14ac:dyDescent="0.35">
      <c r="A1" s="336" t="s">
        <v>827</v>
      </c>
      <c r="B1" s="336"/>
      <c r="C1" s="337"/>
      <c r="D1" s="337"/>
      <c r="E1" s="337"/>
      <c r="F1" s="337"/>
      <c r="H1" t="s">
        <v>827</v>
      </c>
    </row>
    <row r="2" spans="1:30" ht="14.45" x14ac:dyDescent="0.35">
      <c r="A2" s="337"/>
      <c r="B2" s="337"/>
      <c r="C2" s="337"/>
      <c r="D2" s="337"/>
      <c r="E2" s="337"/>
      <c r="F2" s="337"/>
    </row>
    <row r="3" spans="1:30" ht="14.45" x14ac:dyDescent="0.35">
      <c r="A3" s="337"/>
      <c r="B3" s="338" t="s">
        <v>830</v>
      </c>
      <c r="C3" s="338" t="s">
        <v>831</v>
      </c>
      <c r="D3" s="338" t="s">
        <v>832</v>
      </c>
      <c r="E3" s="338" t="s">
        <v>833</v>
      </c>
      <c r="F3" s="337"/>
      <c r="H3" t="s">
        <v>829</v>
      </c>
      <c r="O3" t="s">
        <v>622</v>
      </c>
      <c r="T3" t="s">
        <v>845</v>
      </c>
    </row>
    <row r="4" spans="1:30" thickBot="1" x14ac:dyDescent="0.4">
      <c r="A4" s="337" t="s">
        <v>837</v>
      </c>
      <c r="B4" s="339">
        <v>36</v>
      </c>
      <c r="C4" s="376">
        <v>42</v>
      </c>
      <c r="D4" s="376">
        <v>7</v>
      </c>
      <c r="E4" s="377">
        <v>22</v>
      </c>
      <c r="F4" s="337">
        <f t="shared" ref="F4:F10" si="0">SUM(B4:E4)</f>
        <v>107</v>
      </c>
    </row>
    <row r="5" spans="1:30" thickTop="1" x14ac:dyDescent="0.35">
      <c r="A5" s="337" t="s">
        <v>838</v>
      </c>
      <c r="B5" s="367">
        <v>3</v>
      </c>
      <c r="C5" s="344">
        <v>5</v>
      </c>
      <c r="D5" s="344">
        <v>43</v>
      </c>
      <c r="E5" s="368">
        <v>32</v>
      </c>
      <c r="F5" s="337">
        <f t="shared" si="0"/>
        <v>83</v>
      </c>
      <c r="I5" s="32" t="str">
        <f>B3</f>
        <v>Apple</v>
      </c>
      <c r="J5" s="32" t="str">
        <f t="shared" ref="J5:L5" si="1">C3</f>
        <v>Samsung</v>
      </c>
      <c r="K5" s="32" t="str">
        <f t="shared" si="1"/>
        <v>Nokia</v>
      </c>
      <c r="L5" s="32" t="str">
        <f t="shared" si="1"/>
        <v>Huawei</v>
      </c>
      <c r="P5" s="32" t="s">
        <v>386</v>
      </c>
      <c r="Q5" s="32" t="s">
        <v>387</v>
      </c>
      <c r="R5" s="32" t="s">
        <v>888</v>
      </c>
      <c r="T5" s="94"/>
      <c r="U5" s="94" t="s">
        <v>851</v>
      </c>
      <c r="V5" s="94" t="s">
        <v>852</v>
      </c>
      <c r="W5" s="94" t="s">
        <v>853</v>
      </c>
      <c r="X5" s="94" t="s">
        <v>854</v>
      </c>
      <c r="Y5" s="94" t="s">
        <v>859</v>
      </c>
      <c r="Z5" s="94" t="s">
        <v>860</v>
      </c>
      <c r="AA5" s="94" t="s">
        <v>905</v>
      </c>
      <c r="AB5" s="94" t="s">
        <v>906</v>
      </c>
      <c r="AC5" s="94" t="s">
        <v>907</v>
      </c>
      <c r="AD5" s="94" t="s">
        <v>908</v>
      </c>
    </row>
    <row r="6" spans="1:30" ht="14.45" x14ac:dyDescent="0.35">
      <c r="A6" s="337" t="s">
        <v>839</v>
      </c>
      <c r="B6" s="367">
        <v>56</v>
      </c>
      <c r="C6" s="344">
        <v>29</v>
      </c>
      <c r="D6" s="344">
        <v>13</v>
      </c>
      <c r="E6" s="368">
        <v>35</v>
      </c>
      <c r="F6" s="337">
        <f t="shared" si="0"/>
        <v>133</v>
      </c>
      <c r="H6" t="str">
        <f>A4</f>
        <v>screen</v>
      </c>
      <c r="I6" s="149">
        <f>B4/$M$12</f>
        <v>5.4794520547945202E-2</v>
      </c>
      <c r="J6" s="141">
        <f t="shared" ref="J6:L11" si="2">C4/$M$12</f>
        <v>6.3926940639269403E-2</v>
      </c>
      <c r="K6" s="141">
        <f t="shared" si="2"/>
        <v>1.06544901065449E-2</v>
      </c>
      <c r="L6" s="150">
        <f t="shared" si="2"/>
        <v>3.3485540334855401E-2</v>
      </c>
      <c r="M6">
        <f>SUM(I6:L6)</f>
        <v>0.16286149162861491</v>
      </c>
      <c r="O6">
        <v>1</v>
      </c>
      <c r="P6" s="149">
        <f t="array" ref="P6:P8">[1]!CAEigen(B4:E9)</f>
        <v>0.21902381331931714</v>
      </c>
      <c r="Q6" s="141">
        <f>100*P6/P$9</f>
        <v>87.568174271840348</v>
      </c>
      <c r="R6" s="150">
        <f>Q6</f>
        <v>87.568174271840348</v>
      </c>
      <c r="T6" t="str">
        <f>H6</f>
        <v>screen</v>
      </c>
      <c r="U6">
        <f>AA6+AB6</f>
        <v>0.96237705288600472</v>
      </c>
      <c r="V6">
        <f>M6</f>
        <v>0.16286149162861491</v>
      </c>
      <c r="W6">
        <f>SUMPRODUCT((I6:L6/V6-I$12:L$12)^2/I$12:L$12)</f>
        <v>9.8877716192090612E-2</v>
      </c>
      <c r="X6">
        <f>(V6*W6)/X$16</f>
        <v>6.4383086695105896E-2</v>
      </c>
      <c r="Y6">
        <f t="array" ref="Y6:Z11">[1]!CARowFactors(B4:E9)</f>
        <v>-0.28861259679025908</v>
      </c>
      <c r="Z6">
        <v>-0.10890552822986671</v>
      </c>
      <c r="AA6">
        <f>Y6^2/W6</f>
        <v>0.84242672903361149</v>
      </c>
      <c r="AB6">
        <f>Z6^2/W6</f>
        <v>0.11995032385239324</v>
      </c>
      <c r="AC6">
        <f>V6*Y6^2/P$6</f>
        <v>6.1938065490862983E-2</v>
      </c>
      <c r="AD6">
        <f>V6*Z6^2/P$7</f>
        <v>7.3102490137505111E-2</v>
      </c>
    </row>
    <row r="7" spans="1:30" ht="14.45" x14ac:dyDescent="0.35">
      <c r="A7" s="337" t="s">
        <v>840</v>
      </c>
      <c r="B7" s="367">
        <v>27</v>
      </c>
      <c r="C7" s="349">
        <v>31</v>
      </c>
      <c r="D7" s="349">
        <v>24</v>
      </c>
      <c r="E7" s="368">
        <v>17</v>
      </c>
      <c r="F7" s="337">
        <f t="shared" si="0"/>
        <v>99</v>
      </c>
      <c r="H7" t="str">
        <f t="shared" ref="H7:H11" si="3">A5</f>
        <v>price</v>
      </c>
      <c r="I7" s="83">
        <f t="shared" ref="I7:I11" si="4">B5/$M$12</f>
        <v>4.5662100456621002E-3</v>
      </c>
      <c r="J7" s="37">
        <f t="shared" si="2"/>
        <v>7.6103500761035003E-3</v>
      </c>
      <c r="K7" s="37">
        <f t="shared" si="2"/>
        <v>6.5449010654490103E-2</v>
      </c>
      <c r="L7" s="84">
        <f t="shared" si="2"/>
        <v>4.8706240487062402E-2</v>
      </c>
      <c r="M7">
        <f t="shared" ref="M7:M11" si="5">SUM(I7:L7)</f>
        <v>0.12633181126331811</v>
      </c>
      <c r="O7">
        <f>O6+1</f>
        <v>2</v>
      </c>
      <c r="P7" s="83">
        <v>2.642324118658498E-2</v>
      </c>
      <c r="Q7" s="37">
        <f t="shared" ref="Q7:Q8" si="6">100*P7/P$9</f>
        <v>10.564307843916399</v>
      </c>
      <c r="R7" s="84">
        <f>Q7+R6</f>
        <v>98.132482115756744</v>
      </c>
      <c r="T7" t="str">
        <f t="shared" ref="T7:T11" si="7">H7</f>
        <v>price</v>
      </c>
      <c r="U7">
        <f t="shared" ref="U7:U11" si="8">AA7+AB7</f>
        <v>0.99809858268917395</v>
      </c>
      <c r="V7">
        <f t="shared" ref="V7:V11" si="9">M7</f>
        <v>0.12633181126331811</v>
      </c>
      <c r="W7">
        <f t="shared" ref="W7:W11" si="10">SUMPRODUCT((I7:L7/V7-I$12:L$12)^2/I$12:L$12)</f>
        <v>1.3559976096364563</v>
      </c>
      <c r="X7">
        <f t="shared" ref="X7:X11" si="11">(V7*W7)/X$16</f>
        <v>0.68489911634542422</v>
      </c>
      <c r="Y7">
        <v>1.1631656524856755</v>
      </c>
      <c r="Z7">
        <v>2.1562865895509365E-2</v>
      </c>
      <c r="AA7">
        <f t="shared" ref="AA7:AA11" si="12">Y7^2/W7</f>
        <v>0.99775569330476543</v>
      </c>
      <c r="AB7">
        <f t="shared" ref="AB7:AB11" si="13">Z7^2/W7</f>
        <v>3.4288938440855818E-4</v>
      </c>
      <c r="AC7">
        <f t="shared" ref="AC7:AC11" si="14">V7*Y7^2/P$6</f>
        <v>0.78037711572205493</v>
      </c>
      <c r="AD7">
        <f t="shared" ref="AD7:AD11" si="15">V7*Z7^2/P$7</f>
        <v>2.2230006911516361E-3</v>
      </c>
    </row>
    <row r="8" spans="1:30" ht="14.45" x14ac:dyDescent="0.35">
      <c r="A8" s="337" t="s">
        <v>841</v>
      </c>
      <c r="B8" s="367">
        <v>48</v>
      </c>
      <c r="C8" s="344">
        <v>36</v>
      </c>
      <c r="D8" s="344">
        <v>8</v>
      </c>
      <c r="E8" s="368">
        <v>35</v>
      </c>
      <c r="F8" s="337">
        <f t="shared" si="0"/>
        <v>127</v>
      </c>
      <c r="H8" t="str">
        <f t="shared" si="3"/>
        <v>design</v>
      </c>
      <c r="I8" s="83">
        <f t="shared" si="4"/>
        <v>8.5235920852359204E-2</v>
      </c>
      <c r="J8" s="37">
        <f t="shared" si="2"/>
        <v>4.4140030441400302E-2</v>
      </c>
      <c r="K8" s="37">
        <f t="shared" si="2"/>
        <v>1.9786910197869101E-2</v>
      </c>
      <c r="L8" s="84">
        <f t="shared" si="2"/>
        <v>5.3272450532724502E-2</v>
      </c>
      <c r="M8">
        <f t="shared" si="5"/>
        <v>0.20243531202435311</v>
      </c>
      <c r="O8">
        <f>O7+1</f>
        <v>3</v>
      </c>
      <c r="P8" s="85">
        <v>4.6709993881934213E-3</v>
      </c>
      <c r="Q8" s="86">
        <f t="shared" si="6"/>
        <v>1.8675178842432567</v>
      </c>
      <c r="R8" s="87">
        <f>Q8+R7</f>
        <v>100</v>
      </c>
      <c r="T8" t="str">
        <f t="shared" si="7"/>
        <v>design</v>
      </c>
      <c r="U8">
        <f t="shared" si="8"/>
        <v>0.93140901273012255</v>
      </c>
      <c r="V8">
        <f t="shared" si="9"/>
        <v>0.20243531202435311</v>
      </c>
      <c r="W8">
        <f t="shared" si="10"/>
        <v>7.4743228764877531E-2</v>
      </c>
      <c r="X8">
        <f t="shared" si="11"/>
        <v>6.0494109086312413E-2</v>
      </c>
      <c r="Y8">
        <v>-0.14114782228732226</v>
      </c>
      <c r="Z8">
        <v>0.22292108284256734</v>
      </c>
      <c r="AA8">
        <f t="shared" si="12"/>
        <v>0.2665486635468356</v>
      </c>
      <c r="AB8">
        <f t="shared" si="13"/>
        <v>0.66486034918328696</v>
      </c>
      <c r="AC8">
        <f t="shared" si="14"/>
        <v>1.8413794810152075E-2</v>
      </c>
      <c r="AD8">
        <f t="shared" si="15"/>
        <v>0.38071717603173455</v>
      </c>
    </row>
    <row r="9" spans="1:30" ht="14.45" x14ac:dyDescent="0.35">
      <c r="A9" s="337" t="s">
        <v>842</v>
      </c>
      <c r="B9" s="371">
        <v>37</v>
      </c>
      <c r="C9" s="372">
        <v>45</v>
      </c>
      <c r="D9" s="372">
        <v>7</v>
      </c>
      <c r="E9" s="373">
        <v>19</v>
      </c>
      <c r="F9" s="337">
        <f t="shared" si="0"/>
        <v>108</v>
      </c>
      <c r="H9" t="str">
        <f t="shared" si="3"/>
        <v>battery</v>
      </c>
      <c r="I9" s="83">
        <f t="shared" si="4"/>
        <v>4.1095890410958902E-2</v>
      </c>
      <c r="J9" s="37">
        <f t="shared" si="2"/>
        <v>4.7184170471841702E-2</v>
      </c>
      <c r="K9" s="37">
        <f t="shared" si="2"/>
        <v>3.6529680365296802E-2</v>
      </c>
      <c r="L9" s="84">
        <f t="shared" si="2"/>
        <v>2.5875190258751901E-2</v>
      </c>
      <c r="M9">
        <f t="shared" si="5"/>
        <v>0.15068493150684931</v>
      </c>
      <c r="P9">
        <f>SUM(P6:P8)</f>
        <v>0.25011805389409553</v>
      </c>
      <c r="T9" t="str">
        <f t="shared" si="7"/>
        <v>battery</v>
      </c>
      <c r="U9">
        <f t="shared" si="8"/>
        <v>0.833225114433227</v>
      </c>
      <c r="V9">
        <f t="shared" si="9"/>
        <v>0.15068493150684931</v>
      </c>
      <c r="W9">
        <f t="shared" si="10"/>
        <v>7.8358820898563039E-2</v>
      </c>
      <c r="X9">
        <f t="shared" si="11"/>
        <v>4.7207682037446776E-2</v>
      </c>
      <c r="Y9">
        <v>0.16171270956823472</v>
      </c>
      <c r="Z9">
        <v>-0.19783714786196674</v>
      </c>
      <c r="AA9">
        <f t="shared" si="12"/>
        <v>0.33373397067514826</v>
      </c>
      <c r="AB9">
        <f t="shared" si="13"/>
        <v>0.49949114375807868</v>
      </c>
      <c r="AC9">
        <f t="shared" si="14"/>
        <v>1.7991476131292747E-2</v>
      </c>
      <c r="AD9">
        <f t="shared" si="15"/>
        <v>0.22320268817829619</v>
      </c>
    </row>
    <row r="10" spans="1:30" ht="14.45" x14ac:dyDescent="0.35">
      <c r="A10" s="337"/>
      <c r="B10" s="337">
        <f>SUM(B4:B9)</f>
        <v>207</v>
      </c>
      <c r="C10" s="337">
        <f>SUM(C4:C9)</f>
        <v>188</v>
      </c>
      <c r="D10" s="337">
        <f>SUM(D4:D9)</f>
        <v>102</v>
      </c>
      <c r="E10" s="337">
        <f>SUM(E4:E9)</f>
        <v>160</v>
      </c>
      <c r="F10" s="337">
        <f t="shared" si="0"/>
        <v>657</v>
      </c>
      <c r="H10" t="str">
        <f t="shared" si="3"/>
        <v>software</v>
      </c>
      <c r="I10" s="83">
        <f t="shared" si="4"/>
        <v>7.3059360730593603E-2</v>
      </c>
      <c r="J10" s="37">
        <f t="shared" si="2"/>
        <v>5.4794520547945202E-2</v>
      </c>
      <c r="K10" s="37">
        <f t="shared" si="2"/>
        <v>1.2176560121765601E-2</v>
      </c>
      <c r="L10" s="84">
        <f t="shared" si="2"/>
        <v>5.3272450532724502E-2</v>
      </c>
      <c r="M10">
        <f t="shared" si="5"/>
        <v>0.19330289193302891</v>
      </c>
      <c r="T10" t="str">
        <f t="shared" si="7"/>
        <v>software</v>
      </c>
      <c r="U10">
        <f t="shared" si="8"/>
        <v>0.95615644216253404</v>
      </c>
      <c r="V10">
        <f t="shared" si="9"/>
        <v>0.19330289193302891</v>
      </c>
      <c r="W10">
        <f t="shared" si="10"/>
        <v>7.1622145159047898E-2</v>
      </c>
      <c r="X10">
        <f t="shared" si="11"/>
        <v>5.5352932625780234E-2</v>
      </c>
      <c r="Y10">
        <v>-0.2203922647053852</v>
      </c>
      <c r="Z10">
        <v>0.14110005369720885</v>
      </c>
      <c r="AA10">
        <f t="shared" si="12"/>
        <v>0.67818061346955438</v>
      </c>
      <c r="AB10">
        <f t="shared" si="13"/>
        <v>0.27797582869297965</v>
      </c>
      <c r="AC10">
        <f t="shared" si="14"/>
        <v>4.2868640482278765E-2</v>
      </c>
      <c r="AD10">
        <f t="shared" si="15"/>
        <v>0.14564870263695148</v>
      </c>
    </row>
    <row r="11" spans="1:30" ht="14.45" x14ac:dyDescent="0.35">
      <c r="H11" t="str">
        <f t="shared" si="3"/>
        <v>camera</v>
      </c>
      <c r="I11" s="85">
        <f t="shared" si="4"/>
        <v>5.6316590563165903E-2</v>
      </c>
      <c r="J11" s="86">
        <f t="shared" si="2"/>
        <v>6.8493150684931503E-2</v>
      </c>
      <c r="K11" s="86">
        <f t="shared" si="2"/>
        <v>1.06544901065449E-2</v>
      </c>
      <c r="L11" s="87">
        <f t="shared" si="2"/>
        <v>2.8919330289193301E-2</v>
      </c>
      <c r="M11">
        <f t="shared" si="5"/>
        <v>0.16438356164383561</v>
      </c>
      <c r="T11" s="40" t="str">
        <f t="shared" si="7"/>
        <v>camera</v>
      </c>
      <c r="U11" s="40">
        <f t="shared" si="8"/>
        <v>0.99428103095911136</v>
      </c>
      <c r="V11" s="40">
        <f t="shared" si="9"/>
        <v>0.16438356164383561</v>
      </c>
      <c r="W11" s="40">
        <f t="shared" si="10"/>
        <v>0.13338388005699747</v>
      </c>
      <c r="X11" s="40">
        <f t="shared" si="11"/>
        <v>8.7663073209930387E-2</v>
      </c>
      <c r="Y11" s="40">
        <v>-0.32322482930722229</v>
      </c>
      <c r="Z11" s="40">
        <v>-0.16776999581485039</v>
      </c>
      <c r="AA11" s="40">
        <f t="shared" si="12"/>
        <v>0.78326024281224338</v>
      </c>
      <c r="AB11" s="40">
        <f t="shared" si="13"/>
        <v>0.211020788146868</v>
      </c>
      <c r="AC11" s="40">
        <f t="shared" si="14"/>
        <v>7.8410907363359067E-2</v>
      </c>
      <c r="AD11" s="40">
        <f t="shared" si="15"/>
        <v>0.17510594232436016</v>
      </c>
    </row>
    <row r="12" spans="1:30" ht="14.45" x14ac:dyDescent="0.35">
      <c r="A12" s="337"/>
      <c r="B12" s="338" t="s">
        <v>830</v>
      </c>
      <c r="C12" s="338" t="s">
        <v>831</v>
      </c>
      <c r="D12" s="338" t="s">
        <v>832</v>
      </c>
      <c r="E12" s="338" t="s">
        <v>833</v>
      </c>
      <c r="I12">
        <f>SUM(I6:I11)</f>
        <v>0.31506849315068491</v>
      </c>
      <c r="J12">
        <f t="shared" ref="J12:L12" si="16">SUM(J6:J11)</f>
        <v>0.28614916286149161</v>
      </c>
      <c r="K12">
        <f t="shared" si="16"/>
        <v>0.15525114155251141</v>
      </c>
      <c r="L12">
        <f t="shared" si="16"/>
        <v>0.24353120243531201</v>
      </c>
      <c r="M12">
        <f>SUM(B4:E9)</f>
        <v>657</v>
      </c>
      <c r="T12" t="str">
        <f>A13</f>
        <v>app</v>
      </c>
      <c r="U12">
        <f>AA12+AB12</f>
        <v>0.47143538791302753</v>
      </c>
      <c r="W12">
        <f>SUMPRODUCT((B13:E13/SUM(B13:E13)-I$12:L$12)^2/I$12:L$12)</f>
        <v>2.1739130434782612</v>
      </c>
      <c r="Y12">
        <f t="array" ref="Y12:Z15">[1]!CARowFactors(B4:E9,B13:E16)</f>
        <v>-0.72735432064477534</v>
      </c>
      <c r="Z12">
        <v>0.7041414852007668</v>
      </c>
      <c r="AA12">
        <f>Y12^2/W12</f>
        <v>0.24336038156988637</v>
      </c>
      <c r="AB12">
        <f>Z12^2/W12</f>
        <v>0.22807500634314115</v>
      </c>
    </row>
    <row r="13" spans="1:30" ht="14.45" x14ac:dyDescent="0.35">
      <c r="A13" s="337" t="s">
        <v>892</v>
      </c>
      <c r="B13" s="339">
        <f t="array" ref="B13:E16">[1]!IDENTITY()</f>
        <v>1</v>
      </c>
      <c r="C13" s="376">
        <v>0</v>
      </c>
      <c r="D13" s="376">
        <v>0</v>
      </c>
      <c r="E13" s="377">
        <v>0</v>
      </c>
      <c r="T13" t="str">
        <f t="shared" ref="T13:T15" si="17">A14</f>
        <v>sam</v>
      </c>
      <c r="U13">
        <f t="shared" ref="U13:U15" si="18">AA13+AB13</f>
        <v>0.8921375603220828</v>
      </c>
      <c r="W13">
        <f t="shared" ref="W13:W15" si="19">SUMPRODUCT((B14:E14/SUM(B14:E14)-I$12:L$12)^2/I$12:L$12)</f>
        <v>2.4946808510638299</v>
      </c>
      <c r="Y13">
        <v>-0.67672939978934876</v>
      </c>
      <c r="Z13">
        <v>-1.3295246547962358</v>
      </c>
      <c r="AA13">
        <f t="shared" ref="AA13:AA15" si="20">Y13^2/W13</f>
        <v>0.18357565872362347</v>
      </c>
      <c r="AB13">
        <f t="shared" ref="AB13:AB15" si="21">Z13^2/W13</f>
        <v>0.70856190159845933</v>
      </c>
    </row>
    <row r="14" spans="1:30" ht="14.45" x14ac:dyDescent="0.35">
      <c r="A14" s="337" t="s">
        <v>893</v>
      </c>
      <c r="B14" s="367">
        <v>0</v>
      </c>
      <c r="C14" s="344">
        <v>1</v>
      </c>
      <c r="D14" s="344">
        <v>0</v>
      </c>
      <c r="E14" s="368">
        <v>0</v>
      </c>
      <c r="T14" t="str">
        <f t="shared" si="17"/>
        <v>nok</v>
      </c>
      <c r="U14">
        <f t="shared" si="18"/>
        <v>0.85553278081419237</v>
      </c>
      <c r="W14">
        <f t="shared" si="19"/>
        <v>5.4411764705882355</v>
      </c>
      <c r="Y14">
        <v>2.0597772040005653</v>
      </c>
      <c r="Z14">
        <v>-0.6422014533327679</v>
      </c>
      <c r="AA14">
        <f t="shared" si="20"/>
        <v>0.77973617526536831</v>
      </c>
      <c r="AB14">
        <f t="shared" si="21"/>
        <v>7.5796605548824086E-2</v>
      </c>
    </row>
    <row r="15" spans="1:30" ht="14.45" x14ac:dyDescent="0.35">
      <c r="A15" s="337" t="s">
        <v>894</v>
      </c>
      <c r="B15" s="367">
        <v>0</v>
      </c>
      <c r="C15" s="344">
        <v>0</v>
      </c>
      <c r="D15" s="344">
        <v>1</v>
      </c>
      <c r="E15" s="368">
        <v>0</v>
      </c>
      <c r="T15" s="40" t="str">
        <f t="shared" si="17"/>
        <v>hua</v>
      </c>
      <c r="U15" s="40">
        <f t="shared" si="18"/>
        <v>0.41976029435856105</v>
      </c>
      <c r="V15" s="40"/>
      <c r="W15" s="40">
        <f t="shared" si="19"/>
        <v>3.1062500000000006</v>
      </c>
      <c r="X15" s="40"/>
      <c r="Y15" s="40">
        <v>0.42306372953649507</v>
      </c>
      <c r="Z15" s="40">
        <v>1.0606118494067243</v>
      </c>
      <c r="AA15" s="40">
        <f t="shared" si="20"/>
        <v>5.7620255693948852E-2</v>
      </c>
      <c r="AB15" s="40">
        <f t="shared" si="21"/>
        <v>0.3621400386646122</v>
      </c>
      <c r="AC15" s="40"/>
      <c r="AD15" s="40"/>
    </row>
    <row r="16" spans="1:30" ht="14.45" x14ac:dyDescent="0.35">
      <c r="A16" s="337" t="s">
        <v>895</v>
      </c>
      <c r="B16" s="371">
        <v>0</v>
      </c>
      <c r="C16" s="372">
        <v>0</v>
      </c>
      <c r="D16" s="372">
        <v>0</v>
      </c>
      <c r="E16" s="373">
        <v>1</v>
      </c>
      <c r="X16">
        <f>SUMPRODUCT(V6:V11,W6:W11)</f>
        <v>0.25011805389409564</v>
      </c>
    </row>
    <row r="18" spans="20:30" ht="14.45" x14ac:dyDescent="0.35">
      <c r="T18" t="s">
        <v>878</v>
      </c>
    </row>
    <row r="19" spans="20:30" thickBot="1" x14ac:dyDescent="0.4"/>
    <row r="20" spans="20:30" thickTop="1" x14ac:dyDescent="0.35">
      <c r="T20" s="94"/>
      <c r="U20" s="94" t="s">
        <v>851</v>
      </c>
      <c r="V20" s="94" t="s">
        <v>852</v>
      </c>
      <c r="W20" s="94" t="s">
        <v>853</v>
      </c>
      <c r="X20" s="94" t="s">
        <v>854</v>
      </c>
      <c r="Y20" s="94" t="s">
        <v>859</v>
      </c>
      <c r="Z20" s="94" t="s">
        <v>860</v>
      </c>
      <c r="AA20" s="94" t="s">
        <v>905</v>
      </c>
      <c r="AB20" s="94" t="s">
        <v>906</v>
      </c>
      <c r="AC20" s="94" t="s">
        <v>907</v>
      </c>
      <c r="AD20" s="94" t="s">
        <v>908</v>
      </c>
    </row>
    <row r="21" spans="20:30" ht="14.45" x14ac:dyDescent="0.35">
      <c r="T21" t="str">
        <f t="array" ref="T21:T24">TRANSPOSE(I5:L5)</f>
        <v>Apple</v>
      </c>
      <c r="U21">
        <f>AA21+AB21</f>
        <v>0.96004789877941132</v>
      </c>
      <c r="V21">
        <f t="array" ref="V21:V24">TRANSPOSE(I12:L12)</f>
        <v>0.31506849315068491</v>
      </c>
      <c r="W21">
        <f>SUMPRODUCT((I6:I11/I12-M6:M11)^2/M6:M11)</f>
        <v>0.13434157535478899</v>
      </c>
      <c r="X21">
        <f>(V21*W21)/X$25</f>
        <v>0.16922727910094992</v>
      </c>
      <c r="Y21">
        <f t="array" ref="Y21:Z24">[1]!CAColFactors(B4:E9)</f>
        <v>-0.34040167699441493</v>
      </c>
      <c r="Z21">
        <v>0.1144597983462802</v>
      </c>
      <c r="AA21">
        <f>Y21^2/W21</f>
        <v>0.86252748930920853</v>
      </c>
      <c r="AB21">
        <f>Z21^2/W21</f>
        <v>9.7520409470202796E-2</v>
      </c>
      <c r="AC21">
        <f>V21*Y21^2/P$6</f>
        <v>0.16668519285608663</v>
      </c>
      <c r="AD21">
        <f>V21*Z21^2/P$7</f>
        <v>0.15621575776927477</v>
      </c>
    </row>
    <row r="22" spans="20:30" ht="14.45" x14ac:dyDescent="0.35">
      <c r="T22" t="str">
        <v>Samsung</v>
      </c>
      <c r="U22">
        <f t="shared" ref="U22:U24" si="22">AA22+AB22</f>
        <v>0.99152291020980288</v>
      </c>
      <c r="V22">
        <v>0.28614916286149161</v>
      </c>
      <c r="W22">
        <f>SUMPRODUCT((J6:J11/J12-M6:M11)^2/M6:M11)</f>
        <v>0.14826828347892551</v>
      </c>
      <c r="X22">
        <f t="shared" ref="X22:X24" si="23">(V22*W22)/X$25</f>
        <v>0.1696272801417571</v>
      </c>
      <c r="Y22">
        <v>-0.31670922413097358</v>
      </c>
      <c r="Z22">
        <v>-0.21611725353889036</v>
      </c>
      <c r="AA22">
        <f t="shared" ref="AA22:AA24" si="24">Y22^2/W22</f>
        <v>0.67650835563831369</v>
      </c>
      <c r="AB22">
        <f t="shared" ref="AB22:AB24" si="25">Z22^2/W22</f>
        <v>0.31501455457148925</v>
      </c>
      <c r="AC22">
        <f t="shared" ref="AC22:AC24" si="26">V22*Y22^2/P$6</f>
        <v>0.13104563765811175</v>
      </c>
      <c r="AD22">
        <f t="shared" ref="AD22:AD24" si="27">V22*Z22^2/P$7</f>
        <v>0.50580750662051344</v>
      </c>
    </row>
    <row r="23" spans="20:30" ht="14.45" x14ac:dyDescent="0.35">
      <c r="T23" t="str">
        <v>Nokia</v>
      </c>
      <c r="U23">
        <f t="shared" si="22"/>
        <v>0.99610969352821654</v>
      </c>
      <c r="V23">
        <v>0.15525114155251141</v>
      </c>
      <c r="W23">
        <f>SUMPRODUCT((K6:K11/K12-M6:M11)^2/M6:M11)</f>
        <v>0.94381770361020201</v>
      </c>
      <c r="X23">
        <f t="shared" si="23"/>
        <v>0.58583846156501995</v>
      </c>
      <c r="Y23">
        <v>0.96397532065955416</v>
      </c>
      <c r="Z23">
        <v>-0.10439130542805382</v>
      </c>
      <c r="AA23">
        <f t="shared" si="24"/>
        <v>0.98456345466525719</v>
      </c>
      <c r="AB23">
        <f t="shared" si="25"/>
        <v>1.1546238862959409E-2</v>
      </c>
      <c r="AC23">
        <f t="shared" si="26"/>
        <v>0.65868124394563077</v>
      </c>
      <c r="AD23">
        <f t="shared" si="27"/>
        <v>6.4029096011563716E-2</v>
      </c>
    </row>
    <row r="24" spans="20:30" ht="14.45" x14ac:dyDescent="0.35">
      <c r="T24" s="40" t="str">
        <v>Huawei</v>
      </c>
      <c r="U24" s="40">
        <f t="shared" si="22"/>
        <v>0.89115010715669607</v>
      </c>
      <c r="V24" s="40">
        <v>0.24353120243531201</v>
      </c>
      <c r="W24" s="40">
        <f>SUMPRODUCT((L6:L11/L12-M6:M11)^2/M6:M11)</f>
        <v>7.7343826548130656E-2</v>
      </c>
      <c r="X24" s="40">
        <f t="shared" si="23"/>
        <v>7.5306979192272958E-2</v>
      </c>
      <c r="Y24" s="40">
        <v>0.19799374104504258</v>
      </c>
      <c r="Z24" s="40">
        <v>0.17240486600808044</v>
      </c>
      <c r="AA24" s="40">
        <f t="shared" si="24"/>
        <v>0.50684745302349987</v>
      </c>
      <c r="AB24" s="40">
        <f t="shared" si="25"/>
        <v>0.38430265413319614</v>
      </c>
      <c r="AC24" s="40">
        <f t="shared" si="26"/>
        <v>4.3587925540171366E-2</v>
      </c>
      <c r="AD24" s="40">
        <f t="shared" si="27"/>
        <v>0.27394763959864882</v>
      </c>
    </row>
    <row r="25" spans="20:30" ht="14.45" x14ac:dyDescent="0.35">
      <c r="X25">
        <f>SUMPRODUCT(V21:V26,W21:W26)</f>
        <v>0.25011805389409564</v>
      </c>
    </row>
  </sheetData>
  <pageMargins left="0.7" right="0.7" top="0.75" bottom="0.75" header="0.3" footer="0.3"/>
  <drawing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1"/>
  <dimension ref="A1:AG26"/>
  <sheetViews>
    <sheetView workbookViewId="0"/>
  </sheetViews>
  <sheetFormatPr defaultRowHeight="15" x14ac:dyDescent="0.25"/>
  <sheetData>
    <row r="1" spans="1:33" ht="14.45" x14ac:dyDescent="0.35">
      <c r="A1" s="336" t="s">
        <v>827</v>
      </c>
      <c r="B1" s="336"/>
      <c r="C1" s="337"/>
      <c r="D1" s="337"/>
      <c r="E1" s="337"/>
      <c r="F1" s="337"/>
      <c r="K1" t="s">
        <v>827</v>
      </c>
    </row>
    <row r="2" spans="1:33" ht="14.45" x14ac:dyDescent="0.35">
      <c r="A2" s="337"/>
      <c r="B2" s="337"/>
      <c r="C2" s="337"/>
      <c r="D2" s="337"/>
      <c r="E2" s="337"/>
      <c r="F2" s="337"/>
    </row>
    <row r="3" spans="1:33" ht="14.45" x14ac:dyDescent="0.35">
      <c r="A3" s="337"/>
      <c r="B3" s="338" t="s">
        <v>830</v>
      </c>
      <c r="C3" s="338" t="s">
        <v>831</v>
      </c>
      <c r="D3" s="338" t="s">
        <v>832</v>
      </c>
      <c r="E3" s="338" t="s">
        <v>833</v>
      </c>
      <c r="F3" s="337"/>
      <c r="H3" s="337"/>
      <c r="I3" s="338" t="s">
        <v>900</v>
      </c>
      <c r="K3" t="s">
        <v>829</v>
      </c>
      <c r="R3" t="s">
        <v>622</v>
      </c>
      <c r="W3" t="s">
        <v>845</v>
      </c>
    </row>
    <row r="4" spans="1:33" thickBot="1" x14ac:dyDescent="0.4">
      <c r="A4" s="337" t="s">
        <v>837</v>
      </c>
      <c r="B4" s="339">
        <v>36</v>
      </c>
      <c r="C4" s="376">
        <v>42</v>
      </c>
      <c r="D4" s="376">
        <v>7</v>
      </c>
      <c r="E4" s="377">
        <v>22</v>
      </c>
      <c r="F4" s="337">
        <f t="shared" ref="F4:F10" si="0">SUM(B4:E4)</f>
        <v>107</v>
      </c>
      <c r="H4" s="337" t="s">
        <v>837</v>
      </c>
      <c r="I4" s="400">
        <v>30</v>
      </c>
    </row>
    <row r="5" spans="1:33" thickTop="1" x14ac:dyDescent="0.35">
      <c r="A5" s="337" t="s">
        <v>838</v>
      </c>
      <c r="B5" s="367">
        <v>3</v>
      </c>
      <c r="C5" s="344">
        <v>5</v>
      </c>
      <c r="D5" s="344">
        <v>43</v>
      </c>
      <c r="E5" s="368">
        <v>32</v>
      </c>
      <c r="F5" s="337">
        <f t="shared" si="0"/>
        <v>83</v>
      </c>
      <c r="H5" s="337" t="s">
        <v>838</v>
      </c>
      <c r="I5" s="401">
        <v>32</v>
      </c>
      <c r="L5" s="32" t="str">
        <f>B3</f>
        <v>Apple</v>
      </c>
      <c r="M5" s="32" t="str">
        <f t="shared" ref="M5:O5" si="1">C3</f>
        <v>Samsung</v>
      </c>
      <c r="N5" s="32" t="str">
        <f t="shared" si="1"/>
        <v>Nokia</v>
      </c>
      <c r="O5" s="32" t="str">
        <f t="shared" si="1"/>
        <v>Huawei</v>
      </c>
      <c r="S5" s="32" t="s">
        <v>386</v>
      </c>
      <c r="T5" s="32" t="s">
        <v>387</v>
      </c>
      <c r="U5" s="32" t="s">
        <v>888</v>
      </c>
      <c r="W5" s="94"/>
      <c r="X5" s="94" t="s">
        <v>851</v>
      </c>
      <c r="Y5" s="94" t="s">
        <v>852</v>
      </c>
      <c r="Z5" s="94" t="s">
        <v>853</v>
      </c>
      <c r="AA5" s="94" t="s">
        <v>854</v>
      </c>
      <c r="AB5" s="94" t="s">
        <v>859</v>
      </c>
      <c r="AC5" s="94" t="s">
        <v>860</v>
      </c>
      <c r="AD5" s="94" t="s">
        <v>905</v>
      </c>
      <c r="AE5" s="94" t="s">
        <v>906</v>
      </c>
      <c r="AF5" s="94" t="s">
        <v>907</v>
      </c>
      <c r="AG5" s="94" t="s">
        <v>908</v>
      </c>
    </row>
    <row r="6" spans="1:33" ht="14.45" x14ac:dyDescent="0.35">
      <c r="A6" s="337" t="s">
        <v>839</v>
      </c>
      <c r="B6" s="367">
        <v>56</v>
      </c>
      <c r="C6" s="344">
        <v>29</v>
      </c>
      <c r="D6" s="344">
        <v>13</v>
      </c>
      <c r="E6" s="368">
        <v>35</v>
      </c>
      <c r="F6" s="337">
        <f t="shared" si="0"/>
        <v>133</v>
      </c>
      <c r="H6" s="337" t="s">
        <v>839</v>
      </c>
      <c r="I6" s="401">
        <v>30</v>
      </c>
      <c r="K6" t="str">
        <f>A4</f>
        <v>screen</v>
      </c>
      <c r="L6" s="149">
        <f>B4/$P$12</f>
        <v>5.4794520547945202E-2</v>
      </c>
      <c r="M6" s="141">
        <f t="shared" ref="M6:O11" si="2">C4/$P$12</f>
        <v>6.3926940639269403E-2</v>
      </c>
      <c r="N6" s="141">
        <f t="shared" si="2"/>
        <v>1.06544901065449E-2</v>
      </c>
      <c r="O6" s="150">
        <f t="shared" si="2"/>
        <v>3.3485540334855401E-2</v>
      </c>
      <c r="P6">
        <f>SUM(L6:O6)</f>
        <v>0.16286149162861491</v>
      </c>
      <c r="R6">
        <v>1</v>
      </c>
      <c r="S6" s="149">
        <f t="array" ref="S6:S8">[1]!CAEigen(B4:E9)</f>
        <v>0.21902381331931714</v>
      </c>
      <c r="T6" s="141">
        <f>100*S6/S$9</f>
        <v>87.568174271840348</v>
      </c>
      <c r="U6" s="150">
        <f>T6</f>
        <v>87.568174271840348</v>
      </c>
      <c r="W6" t="str">
        <f>K6</f>
        <v>screen</v>
      </c>
      <c r="X6">
        <f>AD6+AE6</f>
        <v>0.96237705288600472</v>
      </c>
      <c r="Y6">
        <f>P6</f>
        <v>0.16286149162861491</v>
      </c>
      <c r="Z6">
        <f>SUMPRODUCT((L6:O6/Y6-L$12:O$12)^2/L$12:O$12)</f>
        <v>9.8877716192090612E-2</v>
      </c>
      <c r="AA6">
        <f>(Y6*Z6)/AA$16</f>
        <v>6.4383086695105896E-2</v>
      </c>
      <c r="AB6">
        <f t="array" ref="AB6:AC11">[1]!CARowFactors(B4:E9)</f>
        <v>-0.28861259679025908</v>
      </c>
      <c r="AC6">
        <v>-0.10890552822986671</v>
      </c>
      <c r="AD6">
        <f>AB6^2/Z6</f>
        <v>0.84242672903361149</v>
      </c>
      <c r="AE6">
        <f>AC6^2/Z6</f>
        <v>0.11995032385239324</v>
      </c>
      <c r="AF6">
        <f>Y6*AB6^2/S$6</f>
        <v>6.1938065490862983E-2</v>
      </c>
      <c r="AG6">
        <f>Y6*AC6^2/S$7</f>
        <v>7.3102490137505111E-2</v>
      </c>
    </row>
    <row r="7" spans="1:33" ht="14.45" x14ac:dyDescent="0.35">
      <c r="A7" s="337" t="s">
        <v>840</v>
      </c>
      <c r="B7" s="367">
        <v>27</v>
      </c>
      <c r="C7" s="349">
        <v>31</v>
      </c>
      <c r="D7" s="349">
        <v>24</v>
      </c>
      <c r="E7" s="368">
        <v>17</v>
      </c>
      <c r="F7" s="337">
        <f t="shared" si="0"/>
        <v>99</v>
      </c>
      <c r="H7" s="337" t="s">
        <v>840</v>
      </c>
      <c r="I7" s="401">
        <v>30</v>
      </c>
      <c r="K7" t="str">
        <f t="shared" ref="K7:K11" si="3">A5</f>
        <v>price</v>
      </c>
      <c r="L7" s="83">
        <f t="shared" ref="L7:L11" si="4">B5/$P$12</f>
        <v>4.5662100456621002E-3</v>
      </c>
      <c r="M7" s="37">
        <f t="shared" si="2"/>
        <v>7.6103500761035003E-3</v>
      </c>
      <c r="N7" s="37">
        <f t="shared" si="2"/>
        <v>6.5449010654490103E-2</v>
      </c>
      <c r="O7" s="84">
        <f t="shared" si="2"/>
        <v>4.8706240487062402E-2</v>
      </c>
      <c r="P7">
        <f t="shared" ref="P7:P11" si="5">SUM(L7:O7)</f>
        <v>0.12633181126331811</v>
      </c>
      <c r="R7">
        <f>R6+1</f>
        <v>2</v>
      </c>
      <c r="S7" s="83">
        <v>2.642324118658498E-2</v>
      </c>
      <c r="T7" s="37">
        <f t="shared" ref="T7:T8" si="6">100*S7/S$9</f>
        <v>10.564307843916399</v>
      </c>
      <c r="U7" s="84">
        <f>T7+U6</f>
        <v>98.132482115756744</v>
      </c>
      <c r="W7" t="str">
        <f t="shared" ref="W7:W11" si="7">K7</f>
        <v>price</v>
      </c>
      <c r="X7">
        <f t="shared" ref="X7:X11" si="8">AD7+AE7</f>
        <v>0.99809858268917395</v>
      </c>
      <c r="Y7">
        <f t="shared" ref="Y7:Y11" si="9">P7</f>
        <v>0.12633181126331811</v>
      </c>
      <c r="Z7">
        <f t="shared" ref="Z7:Z11" si="10">SUMPRODUCT((L7:O7/Y7-L$12:O$12)^2/L$12:O$12)</f>
        <v>1.3559976096364563</v>
      </c>
      <c r="AA7">
        <f t="shared" ref="AA7:AA11" si="11">(Y7*Z7)/AA$16</f>
        <v>0.68489911634542422</v>
      </c>
      <c r="AB7">
        <v>1.1631656524856755</v>
      </c>
      <c r="AC7">
        <v>2.1562865895509365E-2</v>
      </c>
      <c r="AD7">
        <f t="shared" ref="AD7:AD11" si="12">AB7^2/Z7</f>
        <v>0.99775569330476543</v>
      </c>
      <c r="AE7">
        <f t="shared" ref="AE7:AE11" si="13">AC7^2/Z7</f>
        <v>3.4288938440855818E-4</v>
      </c>
      <c r="AF7">
        <f t="shared" ref="AF7:AF11" si="14">Y7*AB7^2/S$6</f>
        <v>0.78037711572205493</v>
      </c>
      <c r="AG7">
        <f t="shared" ref="AG7:AG11" si="15">Y7*AC7^2/S$7</f>
        <v>2.2230006911516361E-3</v>
      </c>
    </row>
    <row r="8" spans="1:33" ht="14.45" x14ac:dyDescent="0.35">
      <c r="A8" s="337" t="s">
        <v>841</v>
      </c>
      <c r="B8" s="367">
        <v>48</v>
      </c>
      <c r="C8" s="344">
        <v>36</v>
      </c>
      <c r="D8" s="344">
        <v>8</v>
      </c>
      <c r="E8" s="368">
        <v>35</v>
      </c>
      <c r="F8" s="337">
        <f t="shared" si="0"/>
        <v>127</v>
      </c>
      <c r="H8" s="337" t="s">
        <v>841</v>
      </c>
      <c r="I8" s="401">
        <v>30</v>
      </c>
      <c r="K8" t="str">
        <f t="shared" si="3"/>
        <v>design</v>
      </c>
      <c r="L8" s="83">
        <f t="shared" si="4"/>
        <v>8.5235920852359204E-2</v>
      </c>
      <c r="M8" s="37">
        <f t="shared" si="2"/>
        <v>4.4140030441400302E-2</v>
      </c>
      <c r="N8" s="37">
        <f t="shared" si="2"/>
        <v>1.9786910197869101E-2</v>
      </c>
      <c r="O8" s="84">
        <f t="shared" si="2"/>
        <v>5.3272450532724502E-2</v>
      </c>
      <c r="P8">
        <f t="shared" si="5"/>
        <v>0.20243531202435311</v>
      </c>
      <c r="R8">
        <f>R7+1</f>
        <v>3</v>
      </c>
      <c r="S8" s="85">
        <v>4.6709993881934213E-3</v>
      </c>
      <c r="T8" s="86">
        <f t="shared" si="6"/>
        <v>1.8675178842432567</v>
      </c>
      <c r="U8" s="87">
        <f>T8+U7</f>
        <v>100</v>
      </c>
      <c r="W8" t="str">
        <f t="shared" si="7"/>
        <v>design</v>
      </c>
      <c r="X8">
        <f t="shared" si="8"/>
        <v>0.93140901273012255</v>
      </c>
      <c r="Y8">
        <f t="shared" si="9"/>
        <v>0.20243531202435311</v>
      </c>
      <c r="Z8">
        <f t="shared" si="10"/>
        <v>7.4743228764877531E-2</v>
      </c>
      <c r="AA8">
        <f t="shared" si="11"/>
        <v>6.0494109086312413E-2</v>
      </c>
      <c r="AB8">
        <v>-0.14114782228732226</v>
      </c>
      <c r="AC8">
        <v>0.22292108284256734</v>
      </c>
      <c r="AD8">
        <f t="shared" si="12"/>
        <v>0.2665486635468356</v>
      </c>
      <c r="AE8">
        <f t="shared" si="13"/>
        <v>0.66486034918328696</v>
      </c>
      <c r="AF8">
        <f t="shared" si="14"/>
        <v>1.8413794810152075E-2</v>
      </c>
      <c r="AG8">
        <f t="shared" si="15"/>
        <v>0.38071717603173455</v>
      </c>
    </row>
    <row r="9" spans="1:33" ht="14.45" x14ac:dyDescent="0.35">
      <c r="A9" s="337" t="s">
        <v>842</v>
      </c>
      <c r="B9" s="371">
        <v>37</v>
      </c>
      <c r="C9" s="372">
        <v>45</v>
      </c>
      <c r="D9" s="372">
        <v>7</v>
      </c>
      <c r="E9" s="373">
        <v>19</v>
      </c>
      <c r="F9" s="337">
        <f t="shared" si="0"/>
        <v>108</v>
      </c>
      <c r="H9" s="337" t="s">
        <v>842</v>
      </c>
      <c r="I9" s="402">
        <v>26</v>
      </c>
      <c r="K9" t="str">
        <f t="shared" si="3"/>
        <v>battery</v>
      </c>
      <c r="L9" s="83">
        <f t="shared" si="4"/>
        <v>4.1095890410958902E-2</v>
      </c>
      <c r="M9" s="37">
        <f t="shared" si="2"/>
        <v>4.7184170471841702E-2</v>
      </c>
      <c r="N9" s="37">
        <f t="shared" si="2"/>
        <v>3.6529680365296802E-2</v>
      </c>
      <c r="O9" s="84">
        <f t="shared" si="2"/>
        <v>2.5875190258751901E-2</v>
      </c>
      <c r="P9">
        <f t="shared" si="5"/>
        <v>0.15068493150684931</v>
      </c>
      <c r="S9">
        <f>SUM(S6:S8)</f>
        <v>0.25011805389409553</v>
      </c>
      <c r="W9" t="str">
        <f t="shared" si="7"/>
        <v>battery</v>
      </c>
      <c r="X9">
        <f t="shared" si="8"/>
        <v>0.833225114433227</v>
      </c>
      <c r="Y9">
        <f t="shared" si="9"/>
        <v>0.15068493150684931</v>
      </c>
      <c r="Z9">
        <f t="shared" si="10"/>
        <v>7.8358820898563039E-2</v>
      </c>
      <c r="AA9">
        <f t="shared" si="11"/>
        <v>4.7207682037446776E-2</v>
      </c>
      <c r="AB9">
        <v>0.16171270956823472</v>
      </c>
      <c r="AC9">
        <v>-0.19783714786196674</v>
      </c>
      <c r="AD9">
        <f t="shared" si="12"/>
        <v>0.33373397067514826</v>
      </c>
      <c r="AE9">
        <f t="shared" si="13"/>
        <v>0.49949114375807868</v>
      </c>
      <c r="AF9">
        <f t="shared" si="14"/>
        <v>1.7991476131292747E-2</v>
      </c>
      <c r="AG9">
        <f t="shared" si="15"/>
        <v>0.22320268817829619</v>
      </c>
    </row>
    <row r="10" spans="1:33" ht="14.45" x14ac:dyDescent="0.35">
      <c r="A10" s="337"/>
      <c r="B10" s="337">
        <f>SUM(B4:B9)</f>
        <v>207</v>
      </c>
      <c r="C10" s="337">
        <f>SUM(C4:C9)</f>
        <v>188</v>
      </c>
      <c r="D10" s="337">
        <f>SUM(D4:D9)</f>
        <v>102</v>
      </c>
      <c r="E10" s="337">
        <f>SUM(E4:E9)</f>
        <v>160</v>
      </c>
      <c r="F10" s="337">
        <f t="shared" si="0"/>
        <v>657</v>
      </c>
      <c r="H10" s="337"/>
      <c r="I10" s="338">
        <f>SUM(I4:I9)</f>
        <v>178</v>
      </c>
      <c r="K10" t="str">
        <f t="shared" si="3"/>
        <v>software</v>
      </c>
      <c r="L10" s="83">
        <f t="shared" si="4"/>
        <v>7.3059360730593603E-2</v>
      </c>
      <c r="M10" s="37">
        <f t="shared" si="2"/>
        <v>5.4794520547945202E-2</v>
      </c>
      <c r="N10" s="37">
        <f t="shared" si="2"/>
        <v>1.2176560121765601E-2</v>
      </c>
      <c r="O10" s="84">
        <f t="shared" si="2"/>
        <v>5.3272450532724502E-2</v>
      </c>
      <c r="P10">
        <f t="shared" si="5"/>
        <v>0.19330289193302891</v>
      </c>
      <c r="W10" t="str">
        <f t="shared" si="7"/>
        <v>software</v>
      </c>
      <c r="X10">
        <f t="shared" si="8"/>
        <v>0.95615644216253404</v>
      </c>
      <c r="Y10">
        <f t="shared" si="9"/>
        <v>0.19330289193302891</v>
      </c>
      <c r="Z10">
        <f t="shared" si="10"/>
        <v>7.1622145159047898E-2</v>
      </c>
      <c r="AA10">
        <f t="shared" si="11"/>
        <v>5.5352932625780234E-2</v>
      </c>
      <c r="AB10">
        <v>-0.2203922647053852</v>
      </c>
      <c r="AC10">
        <v>0.14110005369720885</v>
      </c>
      <c r="AD10">
        <f t="shared" si="12"/>
        <v>0.67818061346955438</v>
      </c>
      <c r="AE10">
        <f t="shared" si="13"/>
        <v>0.27797582869297965</v>
      </c>
      <c r="AF10">
        <f t="shared" si="14"/>
        <v>4.2868640482278765E-2</v>
      </c>
      <c r="AG10">
        <f t="shared" si="15"/>
        <v>0.14564870263695148</v>
      </c>
    </row>
    <row r="11" spans="1:33" ht="14.45" x14ac:dyDescent="0.35">
      <c r="K11" t="str">
        <f t="shared" si="3"/>
        <v>camera</v>
      </c>
      <c r="L11" s="85">
        <f t="shared" si="4"/>
        <v>5.6316590563165903E-2</v>
      </c>
      <c r="M11" s="86">
        <f t="shared" si="2"/>
        <v>6.8493150684931503E-2</v>
      </c>
      <c r="N11" s="86">
        <f t="shared" si="2"/>
        <v>1.06544901065449E-2</v>
      </c>
      <c r="O11" s="87">
        <f t="shared" si="2"/>
        <v>2.8919330289193301E-2</v>
      </c>
      <c r="P11">
        <f t="shared" si="5"/>
        <v>0.16438356164383561</v>
      </c>
      <c r="W11" s="40" t="str">
        <f t="shared" si="7"/>
        <v>camera</v>
      </c>
      <c r="X11" s="40">
        <f t="shared" si="8"/>
        <v>0.99428103095911136</v>
      </c>
      <c r="Y11" s="40">
        <f t="shared" si="9"/>
        <v>0.16438356164383561</v>
      </c>
      <c r="Z11" s="40">
        <f t="shared" si="10"/>
        <v>0.13338388005699747</v>
      </c>
      <c r="AA11" s="40">
        <f t="shared" si="11"/>
        <v>8.7663073209930387E-2</v>
      </c>
      <c r="AB11" s="40">
        <v>-0.32322482930722229</v>
      </c>
      <c r="AC11" s="40">
        <v>-0.16776999581485039</v>
      </c>
      <c r="AD11" s="40">
        <f t="shared" si="12"/>
        <v>0.78326024281224338</v>
      </c>
      <c r="AE11" s="40">
        <f t="shared" si="13"/>
        <v>0.211020788146868</v>
      </c>
      <c r="AF11" s="40">
        <f t="shared" si="14"/>
        <v>7.8410907363359067E-2</v>
      </c>
      <c r="AG11" s="40">
        <f t="shared" si="15"/>
        <v>0.17510594232436016</v>
      </c>
    </row>
    <row r="12" spans="1:33" ht="14.45" x14ac:dyDescent="0.35">
      <c r="A12" s="337"/>
      <c r="B12" s="338" t="s">
        <v>830</v>
      </c>
      <c r="C12" s="338" t="s">
        <v>831</v>
      </c>
      <c r="D12" s="338" t="s">
        <v>832</v>
      </c>
      <c r="E12" s="338" t="s">
        <v>833</v>
      </c>
      <c r="L12">
        <f>SUM(L6:L11)</f>
        <v>0.31506849315068491</v>
      </c>
      <c r="M12">
        <f t="shared" ref="M12:O12" si="16">SUM(M6:M11)</f>
        <v>0.28614916286149161</v>
      </c>
      <c r="N12">
        <f t="shared" si="16"/>
        <v>0.15525114155251141</v>
      </c>
      <c r="O12">
        <f t="shared" si="16"/>
        <v>0.24353120243531201</v>
      </c>
      <c r="P12">
        <f>SUM(B4:E9)</f>
        <v>657</v>
      </c>
      <c r="W12" t="str">
        <f>A13</f>
        <v>app</v>
      </c>
      <c r="X12">
        <f>AD12+AE12</f>
        <v>0.47143538791302753</v>
      </c>
      <c r="Z12">
        <f>SUMPRODUCT((B13:E13/SUM(B13:E13)-L$12:O$12)^2/L$12:O$12)</f>
        <v>2.1739130434782612</v>
      </c>
      <c r="AB12">
        <f t="array" ref="AB12:AC15">[1]!CARowFactors(B4:E9,B13:E16)</f>
        <v>-0.72735432064477534</v>
      </c>
      <c r="AC12">
        <v>0.7041414852007668</v>
      </c>
      <c r="AD12">
        <f>AB12^2/Z12</f>
        <v>0.24336038156988637</v>
      </c>
      <c r="AE12">
        <f>AC12^2/Z12</f>
        <v>0.22807500634314115</v>
      </c>
    </row>
    <row r="13" spans="1:33" ht="14.45" x14ac:dyDescent="0.35">
      <c r="A13" s="337" t="s">
        <v>892</v>
      </c>
      <c r="B13" s="339">
        <f t="array" ref="B13:E16">[1]!IDENTITY()</f>
        <v>1</v>
      </c>
      <c r="C13" s="376">
        <v>0</v>
      </c>
      <c r="D13" s="376">
        <v>0</v>
      </c>
      <c r="E13" s="377">
        <v>0</v>
      </c>
      <c r="W13" t="str">
        <f t="shared" ref="W13:W15" si="17">A14</f>
        <v>sam</v>
      </c>
      <c r="X13">
        <f t="shared" ref="X13:X15" si="18">AD13+AE13</f>
        <v>0.8921375603220828</v>
      </c>
      <c r="Z13">
        <f t="shared" ref="Z13:Z15" si="19">SUMPRODUCT((B14:E14/SUM(B14:E14)-L$12:O$12)^2/L$12:O$12)</f>
        <v>2.4946808510638299</v>
      </c>
      <c r="AB13">
        <v>-0.67672939978934876</v>
      </c>
      <c r="AC13">
        <v>-1.3295246547962358</v>
      </c>
      <c r="AD13">
        <f t="shared" ref="AD13:AD15" si="20">AB13^2/Z13</f>
        <v>0.18357565872362347</v>
      </c>
      <c r="AE13">
        <f t="shared" ref="AE13:AE15" si="21">AC13^2/Z13</f>
        <v>0.70856190159845933</v>
      </c>
    </row>
    <row r="14" spans="1:33" ht="14.45" x14ac:dyDescent="0.35">
      <c r="A14" s="337" t="s">
        <v>893</v>
      </c>
      <c r="B14" s="367">
        <v>0</v>
      </c>
      <c r="C14" s="344">
        <v>1</v>
      </c>
      <c r="D14" s="344">
        <v>0</v>
      </c>
      <c r="E14" s="368">
        <v>0</v>
      </c>
      <c r="W14" t="str">
        <f t="shared" si="17"/>
        <v>nok</v>
      </c>
      <c r="X14">
        <f t="shared" si="18"/>
        <v>0.85553278081419237</v>
      </c>
      <c r="Z14">
        <f t="shared" si="19"/>
        <v>5.4411764705882355</v>
      </c>
      <c r="AB14">
        <v>2.0597772040005653</v>
      </c>
      <c r="AC14">
        <v>-0.6422014533327679</v>
      </c>
      <c r="AD14">
        <f t="shared" si="20"/>
        <v>0.77973617526536831</v>
      </c>
      <c r="AE14">
        <f t="shared" si="21"/>
        <v>7.5796605548824086E-2</v>
      </c>
    </row>
    <row r="15" spans="1:33" ht="14.45" x14ac:dyDescent="0.35">
      <c r="A15" s="337" t="s">
        <v>894</v>
      </c>
      <c r="B15" s="367">
        <v>0</v>
      </c>
      <c r="C15" s="344">
        <v>0</v>
      </c>
      <c r="D15" s="344">
        <v>1</v>
      </c>
      <c r="E15" s="368">
        <v>0</v>
      </c>
      <c r="W15" s="40" t="str">
        <f t="shared" si="17"/>
        <v>hua</v>
      </c>
      <c r="X15" s="40">
        <f t="shared" si="18"/>
        <v>0.41976029435856105</v>
      </c>
      <c r="Y15" s="40"/>
      <c r="Z15" s="40">
        <f t="shared" si="19"/>
        <v>3.1062500000000006</v>
      </c>
      <c r="AA15" s="40"/>
      <c r="AB15" s="40">
        <v>0.42306372953649507</v>
      </c>
      <c r="AC15" s="40">
        <v>1.0606118494067243</v>
      </c>
      <c r="AD15" s="40">
        <f t="shared" si="20"/>
        <v>5.7620255693948852E-2</v>
      </c>
      <c r="AE15" s="40">
        <f t="shared" si="21"/>
        <v>0.3621400386646122</v>
      </c>
      <c r="AF15" s="40"/>
      <c r="AG15" s="40"/>
    </row>
    <row r="16" spans="1:33" ht="14.45" x14ac:dyDescent="0.35">
      <c r="A16" s="337" t="s">
        <v>895</v>
      </c>
      <c r="B16" s="371">
        <v>0</v>
      </c>
      <c r="C16" s="372">
        <v>0</v>
      </c>
      <c r="D16" s="372">
        <v>0</v>
      </c>
      <c r="E16" s="373">
        <v>1</v>
      </c>
      <c r="AA16">
        <f>SUMPRODUCT(Y6:Y11,Z6:Z11)</f>
        <v>0.25011805389409564</v>
      </c>
    </row>
    <row r="18" spans="23:33" ht="14.45" x14ac:dyDescent="0.35">
      <c r="W18" t="s">
        <v>878</v>
      </c>
    </row>
    <row r="19" spans="23:33" thickBot="1" x14ac:dyDescent="0.4"/>
    <row r="20" spans="23:33" thickTop="1" x14ac:dyDescent="0.35">
      <c r="W20" s="94"/>
      <c r="X20" s="94" t="s">
        <v>851</v>
      </c>
      <c r="Y20" s="94" t="s">
        <v>852</v>
      </c>
      <c r="Z20" s="94" t="s">
        <v>853</v>
      </c>
      <c r="AA20" s="94" t="s">
        <v>854</v>
      </c>
      <c r="AB20" s="94" t="s">
        <v>859</v>
      </c>
      <c r="AC20" s="94" t="s">
        <v>860</v>
      </c>
      <c r="AD20" s="94" t="s">
        <v>905</v>
      </c>
      <c r="AE20" s="94" t="s">
        <v>906</v>
      </c>
      <c r="AF20" s="94" t="s">
        <v>907</v>
      </c>
      <c r="AG20" s="94" t="s">
        <v>908</v>
      </c>
    </row>
    <row r="21" spans="23:33" ht="14.45" x14ac:dyDescent="0.35">
      <c r="W21" t="str">
        <f t="array" ref="W21:W24">TRANSPOSE(L5:O5)</f>
        <v>Apple</v>
      </c>
      <c r="X21">
        <f>AD21+AE21</f>
        <v>0.96004789877941132</v>
      </c>
      <c r="Y21">
        <f t="array" ref="Y21:Y24">TRANSPOSE(L12:O12)</f>
        <v>0.31506849315068491</v>
      </c>
      <c r="Z21">
        <f>SUMPRODUCT((L6:L11/L12-P6:P11)^2/P6:P11)</f>
        <v>0.13434157535478899</v>
      </c>
      <c r="AA21">
        <f>(Y21*Z21)/AA$26</f>
        <v>0.16922727910094992</v>
      </c>
      <c r="AB21">
        <f t="array" ref="AB21:AC24">[1]!CAColFactors(B4:E9)</f>
        <v>-0.34040167699441493</v>
      </c>
      <c r="AC21">
        <v>0.1144597983462802</v>
      </c>
      <c r="AD21">
        <f>AB21^2/Z21</f>
        <v>0.86252748930920853</v>
      </c>
      <c r="AE21">
        <f>AC21^2/Z21</f>
        <v>9.7520409470202796E-2</v>
      </c>
      <c r="AF21">
        <f>Y21*AB21^2/S$6</f>
        <v>0.16668519285608663</v>
      </c>
      <c r="AG21">
        <f>Y21*AC21^2/S$7</f>
        <v>0.15621575776927477</v>
      </c>
    </row>
    <row r="22" spans="23:33" ht="14.45" x14ac:dyDescent="0.35">
      <c r="W22" t="str">
        <v>Samsung</v>
      </c>
      <c r="X22">
        <f t="shared" ref="X22:X24" si="22">AD22+AE22</f>
        <v>0.99152291020980288</v>
      </c>
      <c r="Y22">
        <v>0.28614916286149161</v>
      </c>
      <c r="Z22">
        <f>SUMPRODUCT((M6:M11/M12-P6:P11)^2/P6:P11)</f>
        <v>0.14826828347892551</v>
      </c>
      <c r="AA22">
        <f t="shared" ref="AA22:AA24" si="23">(Y22*Z22)/AA$26</f>
        <v>0.1696272801417571</v>
      </c>
      <c r="AB22">
        <v>-0.31670922413097358</v>
      </c>
      <c r="AC22">
        <v>-0.21611725353889036</v>
      </c>
      <c r="AD22">
        <f t="shared" ref="AD22:AD24" si="24">AB22^2/Z22</f>
        <v>0.67650835563831369</v>
      </c>
      <c r="AE22">
        <f t="shared" ref="AE22:AE24" si="25">AC22^2/Z22</f>
        <v>0.31501455457148925</v>
      </c>
      <c r="AF22">
        <f t="shared" ref="AF22:AF24" si="26">Y22*AB22^2/S$6</f>
        <v>0.13104563765811175</v>
      </c>
      <c r="AG22">
        <f t="shared" ref="AG22:AG24" si="27">Y22*AC22^2/S$7</f>
        <v>0.50580750662051344</v>
      </c>
    </row>
    <row r="23" spans="23:33" ht="14.45" x14ac:dyDescent="0.35">
      <c r="W23" t="str">
        <v>Nokia</v>
      </c>
      <c r="X23">
        <f t="shared" si="22"/>
        <v>0.99610969352821654</v>
      </c>
      <c r="Y23">
        <v>0.15525114155251141</v>
      </c>
      <c r="Z23">
        <f>SUMPRODUCT((N6:N11/N12-P6:P11)^2/P6:P11)</f>
        <v>0.94381770361020201</v>
      </c>
      <c r="AA23">
        <f t="shared" si="23"/>
        <v>0.58583846156501995</v>
      </c>
      <c r="AB23">
        <v>0.96397532065955416</v>
      </c>
      <c r="AC23">
        <v>-0.10439130542805382</v>
      </c>
      <c r="AD23">
        <f t="shared" si="24"/>
        <v>0.98456345466525719</v>
      </c>
      <c r="AE23">
        <f t="shared" si="25"/>
        <v>1.1546238862959409E-2</v>
      </c>
      <c r="AF23">
        <f t="shared" si="26"/>
        <v>0.65868124394563077</v>
      </c>
      <c r="AG23">
        <f t="shared" si="27"/>
        <v>6.4029096011563716E-2</v>
      </c>
    </row>
    <row r="24" spans="23:33" ht="14.45" x14ac:dyDescent="0.35">
      <c r="W24" s="40" t="str">
        <v>Huawei</v>
      </c>
      <c r="X24" s="40">
        <f t="shared" si="22"/>
        <v>0.89115010715669607</v>
      </c>
      <c r="Y24" s="40">
        <v>0.24353120243531201</v>
      </c>
      <c r="Z24" s="40">
        <f>SUMPRODUCT((O6:O11/O12-P6:P11)^2/P6:P11)</f>
        <v>7.7343826548130656E-2</v>
      </c>
      <c r="AA24" s="40">
        <f t="shared" si="23"/>
        <v>7.5306979192272958E-2</v>
      </c>
      <c r="AB24" s="40">
        <v>0.19799374104504258</v>
      </c>
      <c r="AC24" s="40">
        <v>0.17240486600808044</v>
      </c>
      <c r="AD24" s="40">
        <f t="shared" si="24"/>
        <v>0.50684745302349987</v>
      </c>
      <c r="AE24" s="40">
        <f t="shared" si="25"/>
        <v>0.38430265413319614</v>
      </c>
      <c r="AF24" s="40">
        <f t="shared" si="26"/>
        <v>4.3587925540171366E-2</v>
      </c>
      <c r="AG24" s="40">
        <f t="shared" si="27"/>
        <v>0.27394763959864882</v>
      </c>
    </row>
    <row r="25" spans="23:33" ht="14.45" x14ac:dyDescent="0.35">
      <c r="W25" s="147" t="str">
        <f t="array" ref="W25">TRANSPOSE(I3)</f>
        <v>NEW</v>
      </c>
      <c r="X25" s="147">
        <f>AD25+AE25</f>
        <v>0.93461459723215179</v>
      </c>
      <c r="Y25" s="147"/>
      <c r="Z25" s="147">
        <f>SUMPRODUCT((I4:I9/SUM(I4:I9)-P6:P11)^2/P6:P11)</f>
        <v>3.5811057885421597E-2</v>
      </c>
      <c r="AA25" s="147"/>
      <c r="AB25" s="147">
        <f t="array" ref="AB25:AC25">[1]!CAColFactors(B4:E9,I4:I9)</f>
        <v>0.17003099643984135</v>
      </c>
      <c r="AC25" s="147">
        <v>-6.7520350204329074E-2</v>
      </c>
      <c r="AD25" s="147">
        <f>AB25^2/Z25</f>
        <v>0.80730761550874475</v>
      </c>
      <c r="AE25" s="147">
        <f>AC25^2/Z25</f>
        <v>0.1273069817234071</v>
      </c>
      <c r="AF25" s="147"/>
      <c r="AG25" s="147"/>
    </row>
    <row r="26" spans="23:33" ht="14.45" x14ac:dyDescent="0.35">
      <c r="AA26">
        <f>SUMPRODUCT(Y21:Y26,Z21:Z26)</f>
        <v>0.25011805389409564</v>
      </c>
    </row>
  </sheetData>
  <pageMargins left="0.7" right="0.7" top="0.75" bottom="0.75" header="0.3" footer="0.3"/>
  <drawing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2"/>
  <dimension ref="A1:AK26"/>
  <sheetViews>
    <sheetView workbookViewId="0"/>
  </sheetViews>
  <sheetFormatPr defaultRowHeight="15" x14ac:dyDescent="0.25"/>
  <cols>
    <col min="7" max="7" width="5.42578125" customWidth="1"/>
    <col min="18" max="18" width="4.28515625" customWidth="1"/>
  </cols>
  <sheetData>
    <row r="1" spans="1:37" ht="14.45" x14ac:dyDescent="0.35">
      <c r="A1" s="336" t="s">
        <v>827</v>
      </c>
      <c r="B1" s="336"/>
      <c r="C1" s="337"/>
      <c r="D1" s="337"/>
      <c r="E1" s="337"/>
      <c r="F1" s="337"/>
      <c r="K1" t="s">
        <v>827</v>
      </c>
    </row>
    <row r="2" spans="1:37" ht="14.45" x14ac:dyDescent="0.35">
      <c r="A2" s="337"/>
      <c r="B2" s="337"/>
      <c r="C2" s="337"/>
      <c r="D2" s="337"/>
      <c r="E2" s="337"/>
      <c r="F2" s="337"/>
    </row>
    <row r="3" spans="1:37" ht="14.45" x14ac:dyDescent="0.35">
      <c r="A3" s="337"/>
      <c r="B3" s="338" t="s">
        <v>830</v>
      </c>
      <c r="C3" s="338" t="s">
        <v>831</v>
      </c>
      <c r="D3" s="338" t="s">
        <v>832</v>
      </c>
      <c r="E3" s="338" t="s">
        <v>833</v>
      </c>
      <c r="F3" s="337"/>
      <c r="H3" s="337"/>
      <c r="I3" s="338" t="s">
        <v>911</v>
      </c>
      <c r="K3" t="s">
        <v>829</v>
      </c>
      <c r="R3" t="s">
        <v>622</v>
      </c>
      <c r="W3" t="s">
        <v>845</v>
      </c>
      <c r="AI3" t="s">
        <v>912</v>
      </c>
    </row>
    <row r="4" spans="1:37" thickBot="1" x14ac:dyDescent="0.4">
      <c r="A4" s="337" t="s">
        <v>837</v>
      </c>
      <c r="B4" s="339">
        <v>36</v>
      </c>
      <c r="C4" s="376">
        <v>42</v>
      </c>
      <c r="D4" s="376">
        <v>7</v>
      </c>
      <c r="E4" s="377">
        <v>22</v>
      </c>
      <c r="F4" s="337">
        <f t="shared" ref="F4:F10" si="0">SUM(B4:E4)</f>
        <v>107</v>
      </c>
      <c r="H4" s="337" t="s">
        <v>837</v>
      </c>
      <c r="I4" s="400">
        <v>30</v>
      </c>
    </row>
    <row r="5" spans="1:37" thickTop="1" x14ac:dyDescent="0.35">
      <c r="A5" s="337" t="s">
        <v>838</v>
      </c>
      <c r="B5" s="367">
        <v>3</v>
      </c>
      <c r="C5" s="344">
        <v>5</v>
      </c>
      <c r="D5" s="344">
        <v>43</v>
      </c>
      <c r="E5" s="368">
        <v>32</v>
      </c>
      <c r="F5" s="337">
        <f t="shared" si="0"/>
        <v>83</v>
      </c>
      <c r="H5" s="337" t="s">
        <v>838</v>
      </c>
      <c r="I5" s="401">
        <v>32</v>
      </c>
      <c r="L5" s="32" t="str">
        <f>B3</f>
        <v>Apple</v>
      </c>
      <c r="M5" s="32" t="str">
        <f t="shared" ref="M5:O5" si="1">C3</f>
        <v>Samsung</v>
      </c>
      <c r="N5" s="32" t="str">
        <f t="shared" si="1"/>
        <v>Nokia</v>
      </c>
      <c r="O5" s="32" t="str">
        <f t="shared" si="1"/>
        <v>Huawei</v>
      </c>
      <c r="S5" s="32" t="s">
        <v>386</v>
      </c>
      <c r="T5" s="32" t="s">
        <v>387</v>
      </c>
      <c r="U5" s="32" t="s">
        <v>888</v>
      </c>
      <c r="W5" s="94"/>
      <c r="X5" s="94" t="s">
        <v>851</v>
      </c>
      <c r="Y5" s="94" t="s">
        <v>852</v>
      </c>
      <c r="Z5" s="94" t="s">
        <v>853</v>
      </c>
      <c r="AA5" s="94" t="s">
        <v>854</v>
      </c>
      <c r="AB5" s="94" t="s">
        <v>859</v>
      </c>
      <c r="AC5" s="94" t="s">
        <v>860</v>
      </c>
      <c r="AD5" s="94" t="s">
        <v>905</v>
      </c>
      <c r="AE5" s="94" t="s">
        <v>906</v>
      </c>
      <c r="AF5" s="94" t="s">
        <v>907</v>
      </c>
      <c r="AG5" s="94" t="s">
        <v>908</v>
      </c>
      <c r="AI5" t="str">
        <f>W6</f>
        <v>screen</v>
      </c>
      <c r="AJ5">
        <f>AB6</f>
        <v>-0.28861259679025908</v>
      </c>
      <c r="AK5">
        <f>AC6</f>
        <v>-0.10890552822986671</v>
      </c>
    </row>
    <row r="6" spans="1:37" ht="14.45" x14ac:dyDescent="0.35">
      <c r="A6" s="337" t="s">
        <v>839</v>
      </c>
      <c r="B6" s="367">
        <v>56</v>
      </c>
      <c r="C6" s="344">
        <v>29</v>
      </c>
      <c r="D6" s="344">
        <v>13</v>
      </c>
      <c r="E6" s="368">
        <v>35</v>
      </c>
      <c r="F6" s="337">
        <f t="shared" si="0"/>
        <v>133</v>
      </c>
      <c r="H6" s="337" t="s">
        <v>839</v>
      </c>
      <c r="I6" s="401">
        <v>30</v>
      </c>
      <c r="K6" t="str">
        <f>A4</f>
        <v>screen</v>
      </c>
      <c r="L6" s="149">
        <f>B4/$P$12</f>
        <v>5.4794520547945202E-2</v>
      </c>
      <c r="M6" s="141">
        <f t="shared" ref="M6:O11" si="2">C4/$P$12</f>
        <v>6.3926940639269403E-2</v>
      </c>
      <c r="N6" s="141">
        <f t="shared" si="2"/>
        <v>1.06544901065449E-2</v>
      </c>
      <c r="O6" s="150">
        <f t="shared" si="2"/>
        <v>3.3485540334855401E-2</v>
      </c>
      <c r="P6">
        <f>SUM(L6:O6)</f>
        <v>0.16286149162861491</v>
      </c>
      <c r="R6">
        <v>1</v>
      </c>
      <c r="S6" s="149">
        <f t="array" ref="S6:S8">[1]!CAEigen(B4:E9)</f>
        <v>0.21902381331931714</v>
      </c>
      <c r="T6" s="141">
        <f>100*S6/S$9</f>
        <v>87.568174271840348</v>
      </c>
      <c r="U6" s="150">
        <f>T6</f>
        <v>87.568174271840348</v>
      </c>
      <c r="W6" t="str">
        <f>K6</f>
        <v>screen</v>
      </c>
      <c r="X6">
        <f>AD6+AE6</f>
        <v>0.96237705288600472</v>
      </c>
      <c r="Y6">
        <f>P6</f>
        <v>0.16286149162861491</v>
      </c>
      <c r="Z6">
        <f>SUMPRODUCT((L6:O6/Y6-L$12:O$12)^2/L$12:O$12)</f>
        <v>9.8877716192090612E-2</v>
      </c>
      <c r="AA6">
        <f>(Y6*Z6)/AA$16</f>
        <v>6.4383086695105896E-2</v>
      </c>
      <c r="AB6">
        <f t="array" ref="AB6:AC11">[1]!CARowFactors(B4:E9)</f>
        <v>-0.28861259679025908</v>
      </c>
      <c r="AC6">
        <v>-0.10890552822986671</v>
      </c>
      <c r="AD6">
        <f>AB6^2/Z6</f>
        <v>0.84242672903361149</v>
      </c>
      <c r="AE6">
        <f>AC6^2/Z6</f>
        <v>0.11995032385239324</v>
      </c>
      <c r="AF6">
        <f>Y6*AB6^2/S$6</f>
        <v>6.1938065490862983E-2</v>
      </c>
      <c r="AG6">
        <f>Y6*AC6^2/S$7</f>
        <v>7.3102490137505111E-2</v>
      </c>
      <c r="AI6" t="str">
        <f t="shared" ref="AI6:AI10" si="3">W7</f>
        <v>price</v>
      </c>
      <c r="AJ6">
        <f t="shared" ref="AJ6:AK10" si="4">AB7</f>
        <v>1.1631656524856755</v>
      </c>
      <c r="AK6">
        <f t="shared" si="4"/>
        <v>2.1562865895509365E-2</v>
      </c>
    </row>
    <row r="7" spans="1:37" ht="14.45" x14ac:dyDescent="0.35">
      <c r="A7" s="337" t="s">
        <v>840</v>
      </c>
      <c r="B7" s="367">
        <v>27</v>
      </c>
      <c r="C7" s="349">
        <v>31</v>
      </c>
      <c r="D7" s="349">
        <v>24</v>
      </c>
      <c r="E7" s="368">
        <v>17</v>
      </c>
      <c r="F7" s="337">
        <f t="shared" si="0"/>
        <v>99</v>
      </c>
      <c r="H7" s="337" t="s">
        <v>840</v>
      </c>
      <c r="I7" s="401">
        <v>30</v>
      </c>
      <c r="K7" t="str">
        <f t="shared" ref="K7:K11" si="5">A5</f>
        <v>price</v>
      </c>
      <c r="L7" s="83">
        <f t="shared" ref="L7:L11" si="6">B5/$P$12</f>
        <v>4.5662100456621002E-3</v>
      </c>
      <c r="M7" s="37">
        <f t="shared" si="2"/>
        <v>7.6103500761035003E-3</v>
      </c>
      <c r="N7" s="37">
        <f t="shared" si="2"/>
        <v>6.5449010654490103E-2</v>
      </c>
      <c r="O7" s="84">
        <f t="shared" si="2"/>
        <v>4.8706240487062402E-2</v>
      </c>
      <c r="P7">
        <f t="shared" ref="P7:P11" si="7">SUM(L7:O7)</f>
        <v>0.12633181126331811</v>
      </c>
      <c r="R7">
        <f>R6+1</f>
        <v>2</v>
      </c>
      <c r="S7" s="83">
        <v>2.642324118658498E-2</v>
      </c>
      <c r="T7" s="37">
        <f t="shared" ref="T7:T8" si="8">100*S7/S$9</f>
        <v>10.564307843916399</v>
      </c>
      <c r="U7" s="84">
        <f>T7+U6</f>
        <v>98.132482115756744</v>
      </c>
      <c r="W7" t="str">
        <f t="shared" ref="W7:W11" si="9">K7</f>
        <v>price</v>
      </c>
      <c r="X7">
        <f t="shared" ref="X7:X11" si="10">AD7+AE7</f>
        <v>0.99809858268917395</v>
      </c>
      <c r="Y7">
        <f t="shared" ref="Y7:Y11" si="11">P7</f>
        <v>0.12633181126331811</v>
      </c>
      <c r="Z7">
        <f t="shared" ref="Z7:Z11" si="12">SUMPRODUCT((L7:O7/Y7-L$12:O$12)^2/L$12:O$12)</f>
        <v>1.3559976096364563</v>
      </c>
      <c r="AA7">
        <f t="shared" ref="AA7:AA11" si="13">(Y7*Z7)/AA$16</f>
        <v>0.68489911634542422</v>
      </c>
      <c r="AB7">
        <v>1.1631656524856755</v>
      </c>
      <c r="AC7">
        <v>2.1562865895509365E-2</v>
      </c>
      <c r="AD7">
        <f t="shared" ref="AD7:AD11" si="14">AB7^2/Z7</f>
        <v>0.99775569330476543</v>
      </c>
      <c r="AE7">
        <f t="shared" ref="AE7:AE11" si="15">AC7^2/Z7</f>
        <v>3.4288938440855818E-4</v>
      </c>
      <c r="AF7">
        <f t="shared" ref="AF7:AF11" si="16">Y7*AB7^2/S$6</f>
        <v>0.78037711572205493</v>
      </c>
      <c r="AG7">
        <f t="shared" ref="AG7:AG11" si="17">Y7*AC7^2/S$7</f>
        <v>2.2230006911516361E-3</v>
      </c>
      <c r="AI7" t="str">
        <f t="shared" si="3"/>
        <v>design</v>
      </c>
      <c r="AJ7">
        <f t="shared" si="4"/>
        <v>-0.14114782228732226</v>
      </c>
      <c r="AK7">
        <f t="shared" si="4"/>
        <v>0.22292108284256734</v>
      </c>
    </row>
    <row r="8" spans="1:37" ht="14.45" x14ac:dyDescent="0.35">
      <c r="A8" s="337" t="s">
        <v>841</v>
      </c>
      <c r="B8" s="367">
        <v>48</v>
      </c>
      <c r="C8" s="344">
        <v>36</v>
      </c>
      <c r="D8" s="344">
        <v>8</v>
      </c>
      <c r="E8" s="368">
        <v>35</v>
      </c>
      <c r="F8" s="337">
        <f t="shared" si="0"/>
        <v>127</v>
      </c>
      <c r="H8" s="337" t="s">
        <v>841</v>
      </c>
      <c r="I8" s="401">
        <v>30</v>
      </c>
      <c r="K8" t="str">
        <f t="shared" si="5"/>
        <v>design</v>
      </c>
      <c r="L8" s="83">
        <f t="shared" si="6"/>
        <v>8.5235920852359204E-2</v>
      </c>
      <c r="M8" s="37">
        <f t="shared" si="2"/>
        <v>4.4140030441400302E-2</v>
      </c>
      <c r="N8" s="37">
        <f t="shared" si="2"/>
        <v>1.9786910197869101E-2</v>
      </c>
      <c r="O8" s="84">
        <f t="shared" si="2"/>
        <v>5.3272450532724502E-2</v>
      </c>
      <c r="P8">
        <f t="shared" si="7"/>
        <v>0.20243531202435311</v>
      </c>
      <c r="R8">
        <f>R7+1</f>
        <v>3</v>
      </c>
      <c r="S8" s="85">
        <v>4.6709993881934213E-3</v>
      </c>
      <c r="T8" s="86">
        <f t="shared" si="8"/>
        <v>1.8675178842432567</v>
      </c>
      <c r="U8" s="87">
        <f>T8+U7</f>
        <v>100</v>
      </c>
      <c r="W8" t="str">
        <f t="shared" si="9"/>
        <v>design</v>
      </c>
      <c r="X8">
        <f t="shared" si="10"/>
        <v>0.93140901273012255</v>
      </c>
      <c r="Y8">
        <f t="shared" si="11"/>
        <v>0.20243531202435311</v>
      </c>
      <c r="Z8">
        <f t="shared" si="12"/>
        <v>7.4743228764877531E-2</v>
      </c>
      <c r="AA8">
        <f t="shared" si="13"/>
        <v>6.0494109086312413E-2</v>
      </c>
      <c r="AB8">
        <v>-0.14114782228732226</v>
      </c>
      <c r="AC8">
        <v>0.22292108284256734</v>
      </c>
      <c r="AD8">
        <f t="shared" si="14"/>
        <v>0.2665486635468356</v>
      </c>
      <c r="AE8">
        <f t="shared" si="15"/>
        <v>0.66486034918328696</v>
      </c>
      <c r="AF8">
        <f t="shared" si="16"/>
        <v>1.8413794810152075E-2</v>
      </c>
      <c r="AG8">
        <f t="shared" si="17"/>
        <v>0.38071717603173455</v>
      </c>
      <c r="AI8" t="str">
        <f t="shared" si="3"/>
        <v>battery</v>
      </c>
      <c r="AJ8">
        <f t="shared" si="4"/>
        <v>0.16171270956823472</v>
      </c>
      <c r="AK8">
        <f t="shared" si="4"/>
        <v>-0.19783714786196674</v>
      </c>
    </row>
    <row r="9" spans="1:37" ht="14.45" x14ac:dyDescent="0.35">
      <c r="A9" s="337" t="s">
        <v>842</v>
      </c>
      <c r="B9" s="371">
        <v>37</v>
      </c>
      <c r="C9" s="372">
        <v>45</v>
      </c>
      <c r="D9" s="372">
        <v>7</v>
      </c>
      <c r="E9" s="373">
        <v>19</v>
      </c>
      <c r="F9" s="337">
        <f t="shared" si="0"/>
        <v>108</v>
      </c>
      <c r="H9" s="337" t="s">
        <v>842</v>
      </c>
      <c r="I9" s="402">
        <v>26</v>
      </c>
      <c r="K9" t="str">
        <f t="shared" si="5"/>
        <v>battery</v>
      </c>
      <c r="L9" s="83">
        <f t="shared" si="6"/>
        <v>4.1095890410958902E-2</v>
      </c>
      <c r="M9" s="37">
        <f t="shared" si="2"/>
        <v>4.7184170471841702E-2</v>
      </c>
      <c r="N9" s="37">
        <f t="shared" si="2"/>
        <v>3.6529680365296802E-2</v>
      </c>
      <c r="O9" s="84">
        <f t="shared" si="2"/>
        <v>2.5875190258751901E-2</v>
      </c>
      <c r="P9">
        <f t="shared" si="7"/>
        <v>0.15068493150684931</v>
      </c>
      <c r="S9">
        <f>SUM(S6:S8)</f>
        <v>0.25011805389409553</v>
      </c>
      <c r="W9" t="str">
        <f t="shared" si="9"/>
        <v>battery</v>
      </c>
      <c r="X9">
        <f t="shared" si="10"/>
        <v>0.833225114433227</v>
      </c>
      <c r="Y9">
        <f t="shared" si="11"/>
        <v>0.15068493150684931</v>
      </c>
      <c r="Z9">
        <f t="shared" si="12"/>
        <v>7.8358820898563039E-2</v>
      </c>
      <c r="AA9">
        <f t="shared" si="13"/>
        <v>4.7207682037446776E-2</v>
      </c>
      <c r="AB9">
        <v>0.16171270956823472</v>
      </c>
      <c r="AC9">
        <v>-0.19783714786196674</v>
      </c>
      <c r="AD9">
        <f t="shared" si="14"/>
        <v>0.33373397067514826</v>
      </c>
      <c r="AE9">
        <f t="shared" si="15"/>
        <v>0.49949114375807868</v>
      </c>
      <c r="AF9">
        <f t="shared" si="16"/>
        <v>1.7991476131292747E-2</v>
      </c>
      <c r="AG9">
        <f t="shared" si="17"/>
        <v>0.22320268817829619</v>
      </c>
      <c r="AI9" t="str">
        <f t="shared" si="3"/>
        <v>software</v>
      </c>
      <c r="AJ9">
        <f t="shared" si="4"/>
        <v>-0.2203922647053852</v>
      </c>
      <c r="AK9">
        <f t="shared" si="4"/>
        <v>0.14110005369720885</v>
      </c>
    </row>
    <row r="10" spans="1:37" ht="14.45" x14ac:dyDescent="0.35">
      <c r="A10" s="337"/>
      <c r="B10" s="337">
        <f>SUM(B4:B9)</f>
        <v>207</v>
      </c>
      <c r="C10" s="337">
        <f>SUM(C4:C9)</f>
        <v>188</v>
      </c>
      <c r="D10" s="337">
        <f>SUM(D4:D9)</f>
        <v>102</v>
      </c>
      <c r="E10" s="337">
        <f>SUM(E4:E9)</f>
        <v>160</v>
      </c>
      <c r="F10" s="337">
        <f t="shared" si="0"/>
        <v>657</v>
      </c>
      <c r="H10" s="337"/>
      <c r="I10" s="338">
        <f>SUM(I4:I9)</f>
        <v>178</v>
      </c>
      <c r="K10" t="str">
        <f t="shared" si="5"/>
        <v>software</v>
      </c>
      <c r="L10" s="83">
        <f t="shared" si="6"/>
        <v>7.3059360730593603E-2</v>
      </c>
      <c r="M10" s="37">
        <f t="shared" si="2"/>
        <v>5.4794520547945202E-2</v>
      </c>
      <c r="N10" s="37">
        <f t="shared" si="2"/>
        <v>1.2176560121765601E-2</v>
      </c>
      <c r="O10" s="84">
        <f t="shared" si="2"/>
        <v>5.3272450532724502E-2</v>
      </c>
      <c r="P10">
        <f t="shared" si="7"/>
        <v>0.19330289193302891</v>
      </c>
      <c r="W10" t="str">
        <f t="shared" si="9"/>
        <v>software</v>
      </c>
      <c r="X10">
        <f t="shared" si="10"/>
        <v>0.95615644216253404</v>
      </c>
      <c r="Y10">
        <f t="shared" si="11"/>
        <v>0.19330289193302891</v>
      </c>
      <c r="Z10">
        <f t="shared" si="12"/>
        <v>7.1622145159047898E-2</v>
      </c>
      <c r="AA10">
        <f t="shared" si="13"/>
        <v>5.5352932625780234E-2</v>
      </c>
      <c r="AB10">
        <v>-0.2203922647053852</v>
      </c>
      <c r="AC10">
        <v>0.14110005369720885</v>
      </c>
      <c r="AD10">
        <f t="shared" si="14"/>
        <v>0.67818061346955438</v>
      </c>
      <c r="AE10">
        <f t="shared" si="15"/>
        <v>0.27797582869297965</v>
      </c>
      <c r="AF10">
        <f t="shared" si="16"/>
        <v>4.2868640482278765E-2</v>
      </c>
      <c r="AG10">
        <f t="shared" si="17"/>
        <v>0.14564870263695148</v>
      </c>
      <c r="AI10" t="str">
        <f t="shared" si="3"/>
        <v>camera</v>
      </c>
      <c r="AJ10">
        <f t="shared" si="4"/>
        <v>-0.32322482930722229</v>
      </c>
      <c r="AK10">
        <f t="shared" si="4"/>
        <v>-0.16776999581485039</v>
      </c>
    </row>
    <row r="11" spans="1:37" ht="14.45" x14ac:dyDescent="0.35">
      <c r="K11" t="str">
        <f t="shared" si="5"/>
        <v>camera</v>
      </c>
      <c r="L11" s="85">
        <f t="shared" si="6"/>
        <v>5.6316590563165903E-2</v>
      </c>
      <c r="M11" s="86">
        <f t="shared" si="2"/>
        <v>6.8493150684931503E-2</v>
      </c>
      <c r="N11" s="86">
        <f t="shared" si="2"/>
        <v>1.06544901065449E-2</v>
      </c>
      <c r="O11" s="87">
        <f t="shared" si="2"/>
        <v>2.8919330289193301E-2</v>
      </c>
      <c r="P11">
        <f t="shared" si="7"/>
        <v>0.16438356164383561</v>
      </c>
      <c r="W11" s="40" t="str">
        <f t="shared" si="9"/>
        <v>camera</v>
      </c>
      <c r="X11" s="40">
        <f t="shared" si="10"/>
        <v>0.99428103095911136</v>
      </c>
      <c r="Y11" s="40">
        <f t="shared" si="11"/>
        <v>0.16438356164383561</v>
      </c>
      <c r="Z11" s="40">
        <f t="shared" si="12"/>
        <v>0.13338388005699747</v>
      </c>
      <c r="AA11" s="40">
        <f t="shared" si="13"/>
        <v>8.7663073209930387E-2</v>
      </c>
      <c r="AB11" s="40">
        <v>-0.32322482930722229</v>
      </c>
      <c r="AC11" s="40">
        <v>-0.16776999581485039</v>
      </c>
      <c r="AD11" s="40">
        <f t="shared" si="14"/>
        <v>0.78326024281224338</v>
      </c>
      <c r="AE11" s="40">
        <f t="shared" si="15"/>
        <v>0.211020788146868</v>
      </c>
      <c r="AF11" s="40">
        <f t="shared" si="16"/>
        <v>7.8410907363359067E-2</v>
      </c>
      <c r="AG11" s="40">
        <f t="shared" si="17"/>
        <v>0.17510594232436016</v>
      </c>
      <c r="AI11" t="str">
        <f>W21</f>
        <v>Apple</v>
      </c>
      <c r="AJ11">
        <f>AB21</f>
        <v>-0.34040167699441493</v>
      </c>
      <c r="AK11">
        <f>AC21</f>
        <v>0.1144597983462802</v>
      </c>
    </row>
    <row r="12" spans="1:37" ht="14.45" x14ac:dyDescent="0.35">
      <c r="A12" s="337"/>
      <c r="B12" s="338" t="s">
        <v>830</v>
      </c>
      <c r="C12" s="338" t="s">
        <v>831</v>
      </c>
      <c r="D12" s="338" t="s">
        <v>832</v>
      </c>
      <c r="E12" s="338" t="s">
        <v>833</v>
      </c>
      <c r="L12">
        <f>SUM(L6:L11)</f>
        <v>0.31506849315068491</v>
      </c>
      <c r="M12">
        <f t="shared" ref="M12:O12" si="18">SUM(M6:M11)</f>
        <v>0.28614916286149161</v>
      </c>
      <c r="N12">
        <f t="shared" si="18"/>
        <v>0.15525114155251141</v>
      </c>
      <c r="O12">
        <f t="shared" si="18"/>
        <v>0.24353120243531201</v>
      </c>
      <c r="P12">
        <f>SUM(B4:E9)</f>
        <v>657</v>
      </c>
      <c r="W12" t="str">
        <f>A13</f>
        <v>app</v>
      </c>
      <c r="X12">
        <f>AD12+AE12</f>
        <v>0.47143538791302753</v>
      </c>
      <c r="Z12">
        <f>SUMPRODUCT((B13:E13/SUM(B13:E13)-L$12:O$12)^2/L$12:O$12)</f>
        <v>2.1739130434782612</v>
      </c>
      <c r="AB12">
        <f t="array" ref="AB12:AC15">[1]!CARowFactors(B4:E9,B13:E16)</f>
        <v>-0.72735432064477534</v>
      </c>
      <c r="AC12">
        <v>0.7041414852007668</v>
      </c>
      <c r="AD12">
        <f>AB12^2/Z12</f>
        <v>0.24336038156988637</v>
      </c>
      <c r="AE12">
        <f>AC12^2/Z12</f>
        <v>0.22807500634314115</v>
      </c>
      <c r="AI12" t="str">
        <f t="shared" ref="AI12:AI14" si="19">W22</f>
        <v>Samsung</v>
      </c>
      <c r="AJ12">
        <f t="shared" ref="AJ12:AK14" si="20">AB22</f>
        <v>-0.31670922413097358</v>
      </c>
      <c r="AK12">
        <f t="shared" si="20"/>
        <v>-0.21611725353889036</v>
      </c>
    </row>
    <row r="13" spans="1:37" ht="14.45" x14ac:dyDescent="0.35">
      <c r="A13" s="337" t="s">
        <v>892</v>
      </c>
      <c r="B13" s="339">
        <f t="array" ref="B13:E16">[1]!IDENTITY()</f>
        <v>1</v>
      </c>
      <c r="C13" s="376">
        <v>0</v>
      </c>
      <c r="D13" s="376">
        <v>0</v>
      </c>
      <c r="E13" s="377">
        <v>0</v>
      </c>
      <c r="W13" t="str">
        <f t="shared" ref="W13:W15" si="21">A14</f>
        <v>sam</v>
      </c>
      <c r="X13">
        <f t="shared" ref="X13:X15" si="22">AD13+AE13</f>
        <v>0.8921375603220828</v>
      </c>
      <c r="Z13">
        <f t="shared" ref="Z13:Z15" si="23">SUMPRODUCT((B14:E14/SUM(B14:E14)-L$12:O$12)^2/L$12:O$12)</f>
        <v>2.4946808510638299</v>
      </c>
      <c r="AB13">
        <v>-0.67672939978934876</v>
      </c>
      <c r="AC13">
        <v>-1.3295246547962358</v>
      </c>
      <c r="AD13">
        <f t="shared" ref="AD13:AD15" si="24">AB13^2/Z13</f>
        <v>0.18357565872362347</v>
      </c>
      <c r="AE13">
        <f t="shared" ref="AE13:AE15" si="25">AC13^2/Z13</f>
        <v>0.70856190159845933</v>
      </c>
      <c r="AI13" t="str">
        <f t="shared" si="19"/>
        <v>Nokia</v>
      </c>
      <c r="AJ13">
        <f t="shared" si="20"/>
        <v>0.96397532065955416</v>
      </c>
      <c r="AK13">
        <f t="shared" si="20"/>
        <v>-0.10439130542805382</v>
      </c>
    </row>
    <row r="14" spans="1:37" ht="14.45" x14ac:dyDescent="0.35">
      <c r="A14" s="337" t="s">
        <v>893</v>
      </c>
      <c r="B14" s="367">
        <v>0</v>
      </c>
      <c r="C14" s="344">
        <v>1</v>
      </c>
      <c r="D14" s="344">
        <v>0</v>
      </c>
      <c r="E14" s="368">
        <v>0</v>
      </c>
      <c r="W14" t="str">
        <f t="shared" si="21"/>
        <v>nok</v>
      </c>
      <c r="X14">
        <f t="shared" si="22"/>
        <v>0.85553278081419237</v>
      </c>
      <c r="Z14">
        <f t="shared" si="23"/>
        <v>5.4411764705882355</v>
      </c>
      <c r="AB14">
        <v>2.0597772040005653</v>
      </c>
      <c r="AC14">
        <v>-0.6422014533327679</v>
      </c>
      <c r="AD14">
        <f t="shared" si="24"/>
        <v>0.77973617526536831</v>
      </c>
      <c r="AE14">
        <f t="shared" si="25"/>
        <v>7.5796605548824086E-2</v>
      </c>
      <c r="AI14" t="str">
        <f t="shared" si="19"/>
        <v>Huawei</v>
      </c>
      <c r="AJ14">
        <f t="shared" si="20"/>
        <v>0.19799374104504258</v>
      </c>
      <c r="AK14">
        <f t="shared" si="20"/>
        <v>0.17240486600808044</v>
      </c>
    </row>
    <row r="15" spans="1:37" ht="14.45" x14ac:dyDescent="0.35">
      <c r="A15" s="337" t="s">
        <v>894</v>
      </c>
      <c r="B15" s="367">
        <v>0</v>
      </c>
      <c r="C15" s="344">
        <v>0</v>
      </c>
      <c r="D15" s="344">
        <v>1</v>
      </c>
      <c r="E15" s="368">
        <v>0</v>
      </c>
      <c r="W15" s="40" t="str">
        <f t="shared" si="21"/>
        <v>hua</v>
      </c>
      <c r="X15" s="40">
        <f t="shared" si="22"/>
        <v>0.41976029435856105</v>
      </c>
      <c r="Y15" s="40"/>
      <c r="Z15" s="40">
        <f t="shared" si="23"/>
        <v>3.1062500000000006</v>
      </c>
      <c r="AA15" s="40"/>
      <c r="AB15" s="40">
        <v>0.42306372953649507</v>
      </c>
      <c r="AC15" s="40">
        <v>1.0606118494067243</v>
      </c>
      <c r="AD15" s="40">
        <f t="shared" si="24"/>
        <v>5.7620255693948852E-2</v>
      </c>
      <c r="AE15" s="40">
        <f t="shared" si="25"/>
        <v>0.3621400386646122</v>
      </c>
      <c r="AF15" s="40"/>
      <c r="AG15" s="40"/>
    </row>
    <row r="16" spans="1:37" ht="14.45" x14ac:dyDescent="0.35">
      <c r="A16" s="337" t="s">
        <v>895</v>
      </c>
      <c r="B16" s="371">
        <v>0</v>
      </c>
      <c r="C16" s="372">
        <v>0</v>
      </c>
      <c r="D16" s="372">
        <v>0</v>
      </c>
      <c r="E16" s="373">
        <v>1</v>
      </c>
      <c r="AA16">
        <f>SUMPRODUCT(Y6:Y11,Z6:Z11)</f>
        <v>0.25011805389409564</v>
      </c>
    </row>
    <row r="18" spans="23:33" ht="14.45" x14ac:dyDescent="0.35">
      <c r="W18" t="s">
        <v>878</v>
      </c>
    </row>
    <row r="19" spans="23:33" thickBot="1" x14ac:dyDescent="0.4"/>
    <row r="20" spans="23:33" thickTop="1" x14ac:dyDescent="0.35">
      <c r="W20" s="94"/>
      <c r="X20" s="94" t="s">
        <v>851</v>
      </c>
      <c r="Y20" s="94" t="s">
        <v>852</v>
      </c>
      <c r="Z20" s="94" t="s">
        <v>853</v>
      </c>
      <c r="AA20" s="94" t="s">
        <v>854</v>
      </c>
      <c r="AB20" s="94" t="s">
        <v>859</v>
      </c>
      <c r="AC20" s="94" t="s">
        <v>860</v>
      </c>
      <c r="AD20" s="94" t="s">
        <v>905</v>
      </c>
      <c r="AE20" s="94" t="s">
        <v>906</v>
      </c>
      <c r="AF20" s="94" t="s">
        <v>907</v>
      </c>
      <c r="AG20" s="94" t="s">
        <v>908</v>
      </c>
    </row>
    <row r="21" spans="23:33" ht="14.45" x14ac:dyDescent="0.35">
      <c r="W21" t="str">
        <f t="array" ref="W21:W24">TRANSPOSE(L5:O5)</f>
        <v>Apple</v>
      </c>
      <c r="X21">
        <f>AD21+AE21</f>
        <v>0.96004789877941132</v>
      </c>
      <c r="Y21">
        <f t="array" ref="Y21:Y24">TRANSPOSE(L12:O12)</f>
        <v>0.31506849315068491</v>
      </c>
      <c r="Z21">
        <f>SUMPRODUCT((L6:L11/L12-P6:P11)^2/P6:P11)</f>
        <v>0.13434157535478899</v>
      </c>
      <c r="AA21">
        <f>(Y21*Z21)/AA$26</f>
        <v>0.16922727910094992</v>
      </c>
      <c r="AB21">
        <f t="array" ref="AB21:AC24">[1]!CAColFactors(B4:E9)</f>
        <v>-0.34040167699441493</v>
      </c>
      <c r="AC21">
        <v>0.1144597983462802</v>
      </c>
      <c r="AD21">
        <f>AB21^2/Z21</f>
        <v>0.86252748930920853</v>
      </c>
      <c r="AE21">
        <f>AC21^2/Z21</f>
        <v>9.7520409470202796E-2</v>
      </c>
      <c r="AF21">
        <f>Y21*AB21^2/S$6</f>
        <v>0.16668519285608663</v>
      </c>
      <c r="AG21">
        <f>Y21*AC21^2/S$7</f>
        <v>0.15621575776927477</v>
      </c>
    </row>
    <row r="22" spans="23:33" ht="14.45" x14ac:dyDescent="0.35">
      <c r="W22" t="str">
        <v>Samsung</v>
      </c>
      <c r="X22">
        <f t="shared" ref="X22:X24" si="26">AD22+AE22</f>
        <v>0.99152291020980288</v>
      </c>
      <c r="Y22">
        <v>0.28614916286149161</v>
      </c>
      <c r="Z22">
        <f>SUMPRODUCT((M6:M11/M12-P6:P11)^2/P6:P11)</f>
        <v>0.14826828347892551</v>
      </c>
      <c r="AA22">
        <f t="shared" ref="AA22:AA24" si="27">(Y22*Z22)/AA$26</f>
        <v>0.1696272801417571</v>
      </c>
      <c r="AB22">
        <v>-0.31670922413097358</v>
      </c>
      <c r="AC22">
        <v>-0.21611725353889036</v>
      </c>
      <c r="AD22">
        <f t="shared" ref="AD22:AD24" si="28">AB22^2/Z22</f>
        <v>0.67650835563831369</v>
      </c>
      <c r="AE22">
        <f t="shared" ref="AE22:AE24" si="29">AC22^2/Z22</f>
        <v>0.31501455457148925</v>
      </c>
      <c r="AF22">
        <f t="shared" ref="AF22:AF24" si="30">Y22*AB22^2/S$6</f>
        <v>0.13104563765811175</v>
      </c>
      <c r="AG22">
        <f t="shared" ref="AG22:AG24" si="31">Y22*AC22^2/S$7</f>
        <v>0.50580750662051344</v>
      </c>
    </row>
    <row r="23" spans="23:33" ht="14.45" x14ac:dyDescent="0.35">
      <c r="W23" t="str">
        <v>Nokia</v>
      </c>
      <c r="X23">
        <f t="shared" si="26"/>
        <v>0.99610969352821654</v>
      </c>
      <c r="Y23">
        <v>0.15525114155251141</v>
      </c>
      <c r="Z23">
        <f>SUMPRODUCT((N6:N11/N12-P6:P11)^2/P6:P11)</f>
        <v>0.94381770361020201</v>
      </c>
      <c r="AA23">
        <f t="shared" si="27"/>
        <v>0.58583846156501995</v>
      </c>
      <c r="AB23">
        <v>0.96397532065955416</v>
      </c>
      <c r="AC23">
        <v>-0.10439130542805382</v>
      </c>
      <c r="AD23">
        <f t="shared" si="28"/>
        <v>0.98456345466525719</v>
      </c>
      <c r="AE23">
        <f t="shared" si="29"/>
        <v>1.1546238862959409E-2</v>
      </c>
      <c r="AF23">
        <f t="shared" si="30"/>
        <v>0.65868124394563077</v>
      </c>
      <c r="AG23">
        <f t="shared" si="31"/>
        <v>6.4029096011563716E-2</v>
      </c>
    </row>
    <row r="24" spans="23:33" ht="14.45" x14ac:dyDescent="0.35">
      <c r="W24" s="40" t="str">
        <v>Huawei</v>
      </c>
      <c r="X24" s="40">
        <f t="shared" si="26"/>
        <v>0.89115010715669607</v>
      </c>
      <c r="Y24" s="40">
        <v>0.24353120243531201</v>
      </c>
      <c r="Z24" s="40">
        <f>SUMPRODUCT((O6:O11/O12-P6:P11)^2/P6:P11)</f>
        <v>7.7343826548130656E-2</v>
      </c>
      <c r="AA24" s="40">
        <f t="shared" si="27"/>
        <v>7.5306979192272958E-2</v>
      </c>
      <c r="AB24" s="40">
        <v>0.19799374104504258</v>
      </c>
      <c r="AC24" s="40">
        <v>0.17240486600808044</v>
      </c>
      <c r="AD24" s="40">
        <f t="shared" si="28"/>
        <v>0.50684745302349987</v>
      </c>
      <c r="AE24" s="40">
        <f t="shared" si="29"/>
        <v>0.38430265413319614</v>
      </c>
      <c r="AF24" s="40">
        <f t="shared" si="30"/>
        <v>4.3587925540171366E-2</v>
      </c>
      <c r="AG24" s="40">
        <f t="shared" si="31"/>
        <v>0.27394763959864882</v>
      </c>
    </row>
    <row r="25" spans="23:33" ht="14.45" x14ac:dyDescent="0.35">
      <c r="W25" s="147" t="str">
        <f t="array" ref="W25">TRANSPOSE(I3)</f>
        <v>New</v>
      </c>
      <c r="X25" s="147">
        <f>AD25+AE25</f>
        <v>0.93461459723215179</v>
      </c>
      <c r="Y25" s="147"/>
      <c r="Z25" s="147">
        <f>SUMPRODUCT((I4:I9/SUM(I4:I9)-P6:P11)^2/P6:P11)</f>
        <v>3.5811057885421597E-2</v>
      </c>
      <c r="AA25" s="147"/>
      <c r="AB25" s="147">
        <f t="array" ref="AB25:AC25">[1]!CAColFactors(B4:E9,I4:I9)</f>
        <v>0.17003099643984135</v>
      </c>
      <c r="AC25" s="147">
        <v>-6.7520350204329074E-2</v>
      </c>
      <c r="AD25" s="147">
        <f>AB25^2/Z25</f>
        <v>0.80730761550874475</v>
      </c>
      <c r="AE25" s="147">
        <f>AC25^2/Z25</f>
        <v>0.1273069817234071</v>
      </c>
      <c r="AF25" s="147"/>
      <c r="AG25" s="147"/>
    </row>
    <row r="26" spans="23:33" ht="14.45" x14ac:dyDescent="0.35">
      <c r="AA26">
        <f>SUMPRODUCT(Y21:Y26,Z21:Z26)</f>
        <v>0.25011805389409564</v>
      </c>
    </row>
  </sheetData>
  <pageMargins left="0.7" right="0.7" top="0.75" bottom="0.75" header="0.3" footer="0.3"/>
  <drawing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/>
  <dimension ref="A1:Y258"/>
  <sheetViews>
    <sheetView workbookViewId="0"/>
  </sheetViews>
  <sheetFormatPr defaultRowHeight="15" x14ac:dyDescent="0.25"/>
  <cols>
    <col min="1" max="1" width="9.5703125" customWidth="1"/>
    <col min="2" max="2" width="9.140625" customWidth="1"/>
    <col min="3" max="3" width="9.42578125" bestFit="1" customWidth="1"/>
    <col min="6" max="6" width="3.7109375" customWidth="1"/>
    <col min="8" max="8" width="3.5703125" customWidth="1"/>
    <col min="10" max="10" width="3.85546875" customWidth="1"/>
    <col min="14" max="14" width="4.42578125" customWidth="1"/>
    <col min="15" max="15" width="9.7109375" customWidth="1"/>
    <col min="16" max="16" width="9.5703125" customWidth="1"/>
    <col min="17" max="17" width="9.28515625" bestFit="1" customWidth="1"/>
    <col min="23" max="25" width="9.140625" customWidth="1"/>
    <col min="27" max="29" width="9.140625" customWidth="1"/>
  </cols>
  <sheetData>
    <row r="1" spans="1:17" ht="14.45" x14ac:dyDescent="0.35">
      <c r="A1" s="42" t="s">
        <v>490</v>
      </c>
    </row>
    <row r="3" spans="1:17" ht="14.45" x14ac:dyDescent="0.35">
      <c r="A3" t="s">
        <v>591</v>
      </c>
    </row>
    <row r="5" spans="1:17" ht="16.5" x14ac:dyDescent="0.45">
      <c r="A5" t="s">
        <v>462</v>
      </c>
      <c r="K5" t="s">
        <v>481</v>
      </c>
      <c r="O5" t="s">
        <v>567</v>
      </c>
    </row>
    <row r="6" spans="1:17" ht="14.45" x14ac:dyDescent="0.35">
      <c r="A6" s="225">
        <v>2</v>
      </c>
      <c r="B6" s="226">
        <v>1</v>
      </c>
      <c r="C6" s="227">
        <v>1</v>
      </c>
      <c r="K6" s="217">
        <v>1</v>
      </c>
      <c r="L6" s="218">
        <v>0</v>
      </c>
      <c r="M6" s="219">
        <v>0</v>
      </c>
      <c r="O6" s="217">
        <v>1</v>
      </c>
      <c r="P6" s="218">
        <v>0</v>
      </c>
      <c r="Q6" s="219">
        <v>0</v>
      </c>
    </row>
    <row r="7" spans="1:17" ht="14.45" x14ac:dyDescent="0.35">
      <c r="A7" s="228">
        <v>1</v>
      </c>
      <c r="B7" s="2">
        <v>2</v>
      </c>
      <c r="C7" s="229">
        <v>1</v>
      </c>
      <c r="K7" s="123">
        <v>0</v>
      </c>
      <c r="L7" s="37">
        <v>1</v>
      </c>
      <c r="M7" s="90">
        <v>0</v>
      </c>
      <c r="O7" s="123">
        <v>0</v>
      </c>
      <c r="P7" s="37">
        <v>1</v>
      </c>
      <c r="Q7" s="90">
        <v>0</v>
      </c>
    </row>
    <row r="8" spans="1:17" ht="14.45" x14ac:dyDescent="0.35">
      <c r="A8" s="230">
        <v>1</v>
      </c>
      <c r="B8" s="231">
        <v>1</v>
      </c>
      <c r="C8" s="232">
        <v>2</v>
      </c>
      <c r="K8" s="91">
        <v>0</v>
      </c>
      <c r="L8" s="92">
        <v>0</v>
      </c>
      <c r="M8" s="93">
        <v>1</v>
      </c>
      <c r="O8" s="91">
        <v>0</v>
      </c>
      <c r="P8" s="92">
        <v>0</v>
      </c>
      <c r="Q8" s="93">
        <v>1</v>
      </c>
    </row>
    <row r="10" spans="1:17" ht="16.5" x14ac:dyDescent="0.45">
      <c r="A10" t="s">
        <v>568</v>
      </c>
      <c r="E10" t="s">
        <v>569</v>
      </c>
      <c r="G10" t="s">
        <v>570</v>
      </c>
      <c r="I10" t="s">
        <v>571</v>
      </c>
      <c r="K10" t="s">
        <v>572</v>
      </c>
      <c r="O10" t="s">
        <v>573</v>
      </c>
    </row>
    <row r="11" spans="1:17" ht="14.45" x14ac:dyDescent="0.35">
      <c r="A11" s="217">
        <f t="array" ref="A11:C13">A6:C8</f>
        <v>2</v>
      </c>
      <c r="B11" s="218">
        <v>1</v>
      </c>
      <c r="C11" s="219">
        <v>1</v>
      </c>
      <c r="E11" s="223">
        <f>A6</f>
        <v>2</v>
      </c>
      <c r="G11" s="223">
        <f>E11/E15</f>
        <v>0.81649658092772615</v>
      </c>
      <c r="I11" s="223">
        <f>SQRT((1-G11/G15)/2)</f>
        <v>0.95302061387142256</v>
      </c>
      <c r="K11" s="217">
        <f t="array" ref="K11:M13">K$6:M$8-2*MMULT(I11:I13,TRANSPOSE(I11:I13))</f>
        <v>-0.81649658092772626</v>
      </c>
      <c r="L11" s="218">
        <v>-0.40824829046386307</v>
      </c>
      <c r="M11" s="219">
        <v>-0.40824829046386307</v>
      </c>
      <c r="O11" s="217">
        <f t="array" ref="O11:Q13">MMULT(K11:M13,O6:Q8)</f>
        <v>-0.81649658092772626</v>
      </c>
      <c r="P11" s="218">
        <v>-0.40824829046386307</v>
      </c>
      <c r="Q11" s="219">
        <v>-0.40824829046386307</v>
      </c>
    </row>
    <row r="12" spans="1:17" ht="14.45" x14ac:dyDescent="0.35">
      <c r="A12" s="123">
        <v>1</v>
      </c>
      <c r="B12" s="37">
        <v>2</v>
      </c>
      <c r="C12" s="90">
        <v>1</v>
      </c>
      <c r="E12" s="173">
        <f>A7</f>
        <v>1</v>
      </c>
      <c r="F12" s="233"/>
      <c r="G12" s="173">
        <f>E12/E15</f>
        <v>0.40824829046386307</v>
      </c>
      <c r="I12" s="173">
        <f>G12/(-2*G15*I11)</f>
        <v>0.21418649529806613</v>
      </c>
      <c r="K12" s="123">
        <v>-0.40824829046386307</v>
      </c>
      <c r="L12" s="37">
        <v>0.90824829046386302</v>
      </c>
      <c r="M12" s="90">
        <v>-9.1751709536137011E-2</v>
      </c>
      <c r="O12" s="123">
        <v>-0.40824829046386307</v>
      </c>
      <c r="P12" s="37">
        <v>0.90824829046386302</v>
      </c>
      <c r="Q12" s="90">
        <v>-9.1751709536137011E-2</v>
      </c>
    </row>
    <row r="13" spans="1:17" ht="14.45" x14ac:dyDescent="0.35">
      <c r="A13" s="91">
        <v>1</v>
      </c>
      <c r="B13" s="92">
        <v>1</v>
      </c>
      <c r="C13" s="93">
        <v>2</v>
      </c>
      <c r="E13" s="174">
        <f>A8</f>
        <v>1</v>
      </c>
      <c r="G13" s="174">
        <f>E13/E15</f>
        <v>0.40824829046386307</v>
      </c>
      <c r="I13" s="174">
        <f>G13/(-2*G15*I11)</f>
        <v>0.21418649529806613</v>
      </c>
      <c r="K13" s="91">
        <v>-0.40824829046386307</v>
      </c>
      <c r="L13" s="92">
        <v>-9.1751709536137011E-2</v>
      </c>
      <c r="M13" s="93">
        <v>0.90824829046386302</v>
      </c>
      <c r="O13" s="91">
        <v>-0.40824829046386307</v>
      </c>
      <c r="P13" s="92">
        <v>-9.1751709536137011E-2</v>
      </c>
      <c r="Q13" s="93">
        <v>0.90824829046386302</v>
      </c>
    </row>
    <row r="15" spans="1:17" ht="14.45" x14ac:dyDescent="0.35">
      <c r="D15" s="47" t="s">
        <v>576</v>
      </c>
      <c r="E15">
        <f>SQRT(E11^2+E12^2+E13^2)</f>
        <v>2.4494897427831779</v>
      </c>
      <c r="F15" s="47" t="s">
        <v>468</v>
      </c>
      <c r="G15">
        <f>-SIGN(G11)*SQRT(G11^2+G12^2+G13^2)</f>
        <v>-1</v>
      </c>
    </row>
    <row r="17" spans="1:25" ht="16.5" x14ac:dyDescent="0.45">
      <c r="A17" t="s">
        <v>577</v>
      </c>
      <c r="E17" t="s">
        <v>578</v>
      </c>
      <c r="G17" t="s">
        <v>579</v>
      </c>
      <c r="I17" t="s">
        <v>580</v>
      </c>
      <c r="K17" t="s">
        <v>581</v>
      </c>
      <c r="O17" t="s">
        <v>582</v>
      </c>
    </row>
    <row r="18" spans="1:25" ht="14.45" x14ac:dyDescent="0.35">
      <c r="A18" s="217">
        <f t="array" ref="A18:C20">MMULT(K11:M13,A11:C13)</f>
        <v>-2.4494897427831788</v>
      </c>
      <c r="B18" s="218">
        <v>-2.0412414523193156</v>
      </c>
      <c r="C18" s="219">
        <v>-2.0412414523193156</v>
      </c>
      <c r="E18" s="223">
        <f>B18</f>
        <v>-2.0412414523193156</v>
      </c>
      <c r="G18" s="223">
        <f>E18/E22</f>
        <v>-0.83333333333333348</v>
      </c>
      <c r="I18" s="223">
        <v>0</v>
      </c>
      <c r="K18" s="217">
        <f t="array" ref="K18:M20">K$6:M$8-2*MMULT(I18:I20,TRANSPOSE(I18:I20))</f>
        <v>1</v>
      </c>
      <c r="L18" s="218">
        <v>0</v>
      </c>
      <c r="M18" s="219">
        <v>0</v>
      </c>
      <c r="O18" s="217">
        <f t="array" ref="O18:Q20">MMULT(K18:M20,O11:Q13)</f>
        <v>-0.81649658092772626</v>
      </c>
      <c r="P18" s="218">
        <v>-0.40824829046386307</v>
      </c>
      <c r="Q18" s="219">
        <v>-0.40824829046386307</v>
      </c>
    </row>
    <row r="19" spans="1:25" ht="14.45" x14ac:dyDescent="0.35">
      <c r="A19" s="123">
        <v>-1.3877787807814457E-16</v>
      </c>
      <c r="B19" s="37">
        <v>1.3164965809277258</v>
      </c>
      <c r="C19" s="90">
        <v>0.31649658092772592</v>
      </c>
      <c r="E19" s="173">
        <f>B19</f>
        <v>1.3164965809277258</v>
      </c>
      <c r="F19" s="233"/>
      <c r="G19" s="173">
        <f>E19/E22</f>
        <v>0.53745747856526471</v>
      </c>
      <c r="I19" s="173">
        <f>SQRT((1-G19/G22)/2)</f>
        <v>0.99305014024809579</v>
      </c>
      <c r="K19" s="123">
        <v>0</v>
      </c>
      <c r="L19" s="37">
        <v>-0.97229716209352546</v>
      </c>
      <c r="M19" s="90">
        <v>-0.23374821621752903</v>
      </c>
      <c r="O19" s="123">
        <v>0.49236596391733101</v>
      </c>
      <c r="P19" s="37">
        <v>-0.86164043685532909</v>
      </c>
      <c r="Q19" s="90">
        <v>-0.1230914909793327</v>
      </c>
    </row>
    <row r="20" spans="1:25" ht="14.45" x14ac:dyDescent="0.35">
      <c r="A20" s="91">
        <v>-1.1102230246251565E-16</v>
      </c>
      <c r="B20" s="92">
        <v>0.31649658092772592</v>
      </c>
      <c r="C20" s="93">
        <v>1.3164965809277258</v>
      </c>
      <c r="E20" s="174">
        <f>B20</f>
        <v>0.31649658092772592</v>
      </c>
      <c r="G20" s="174">
        <f>E20/E22</f>
        <v>0.12920918810140178</v>
      </c>
      <c r="I20" s="174">
        <f>G20/(-2*G22*I19)</f>
        <v>0.11769205135962783</v>
      </c>
      <c r="K20" s="91">
        <v>0</v>
      </c>
      <c r="L20" s="92">
        <v>-0.23374821621752903</v>
      </c>
      <c r="M20" s="93">
        <v>0.97229716209352546</v>
      </c>
      <c r="O20" s="91">
        <v>-0.30151134457776363</v>
      </c>
      <c r="P20" s="92">
        <v>-0.30151134457776363</v>
      </c>
      <c r="Q20" s="93">
        <v>0.90453403373329089</v>
      </c>
    </row>
    <row r="22" spans="1:25" ht="14.45" x14ac:dyDescent="0.35">
      <c r="D22" s="47" t="s">
        <v>576</v>
      </c>
      <c r="E22">
        <f>SQRT(E18^2+E19^2+E20^2)</f>
        <v>2.4494897427831783</v>
      </c>
      <c r="F22" s="47" t="s">
        <v>468</v>
      </c>
      <c r="G22">
        <f>-SIGN(G19)*SQRT(G19^2+G20^2)</f>
        <v>-0.55277079839256649</v>
      </c>
    </row>
    <row r="24" spans="1:25" ht="17.45" x14ac:dyDescent="0.45">
      <c r="A24" t="s">
        <v>583</v>
      </c>
      <c r="K24" t="s">
        <v>491</v>
      </c>
      <c r="O24" t="s">
        <v>584</v>
      </c>
      <c r="S24" t="s">
        <v>585</v>
      </c>
      <c r="W24" t="s">
        <v>586</v>
      </c>
    </row>
    <row r="25" spans="1:25" s="46" customFormat="1" ht="14.45" x14ac:dyDescent="0.35">
      <c r="A25" s="234">
        <f t="array" ref="A25:C27">MMULT(K18:M20,A18:C20)</f>
        <v>-2.4494897427831788</v>
      </c>
      <c r="B25" s="235">
        <v>-2.0412414523193156</v>
      </c>
      <c r="C25" s="236">
        <v>-2.0412414523193156</v>
      </c>
      <c r="K25" s="234">
        <f>A25</f>
        <v>-2.4494897427831788</v>
      </c>
      <c r="L25" s="235">
        <f>B25</f>
        <v>-2.0412414523193156</v>
      </c>
      <c r="M25" s="235">
        <f>C25</f>
        <v>-2.0412414523193156</v>
      </c>
      <c r="O25" s="234">
        <f t="array" ref="O25:Q27">TRANSPOSE(O18:Q20)</f>
        <v>-0.81649658092772626</v>
      </c>
      <c r="P25" s="235">
        <v>0.49236596391733101</v>
      </c>
      <c r="Q25" s="236">
        <v>-0.30151134457776363</v>
      </c>
      <c r="S25" s="234">
        <f t="array" ref="S25:U27">MMULT(TRANSPOSE(O25:Q27),O25:Q27)</f>
        <v>1.0000000000000004</v>
      </c>
      <c r="T25" s="235">
        <v>-1.7347234759768071E-16</v>
      </c>
      <c r="U25" s="236">
        <v>5.5511151231257827E-17</v>
      </c>
      <c r="W25" s="234">
        <f t="array" ref="W25:Y27">MMULT(O25:Q27,K25:M27)</f>
        <v>2.0000000000000009</v>
      </c>
      <c r="X25" s="235">
        <v>1.0000000000000009</v>
      </c>
      <c r="Y25" s="236">
        <v>1.0000000000000011</v>
      </c>
    </row>
    <row r="26" spans="1:25" s="46" customFormat="1" ht="14.45" x14ac:dyDescent="0.35">
      <c r="A26" s="124">
        <v>1.6088460217771726E-16</v>
      </c>
      <c r="B26" s="3">
        <v>-1.3540064007726598</v>
      </c>
      <c r="C26" s="179">
        <v>-0.61545745489666348</v>
      </c>
      <c r="K26" s="124">
        <v>0</v>
      </c>
      <c r="L26" s="3">
        <f>B26</f>
        <v>-1.3540064007726598</v>
      </c>
      <c r="M26" s="179">
        <f>C26</f>
        <v>-0.61545745489666348</v>
      </c>
      <c r="O26" s="124">
        <v>-0.40824829046386307</v>
      </c>
      <c r="P26" s="3">
        <v>-0.86164043685532909</v>
      </c>
      <c r="Q26" s="179">
        <v>-0.30151134457776363</v>
      </c>
      <c r="S26" s="124">
        <v>-1.7347234759768071E-16</v>
      </c>
      <c r="T26" s="3">
        <v>1</v>
      </c>
      <c r="U26" s="179">
        <v>1.3877787807814457E-17</v>
      </c>
      <c r="W26" s="124">
        <v>1.0000000000000004</v>
      </c>
      <c r="X26" s="3">
        <v>2</v>
      </c>
      <c r="Y26" s="179">
        <v>1.0000000000000002</v>
      </c>
    </row>
    <row r="27" spans="1:25" s="46" customFormat="1" ht="14.45" x14ac:dyDescent="0.35">
      <c r="A27" s="180">
        <v>-7.5507588162172983E-17</v>
      </c>
      <c r="B27" s="181">
        <v>0</v>
      </c>
      <c r="C27" s="182">
        <v>1.2060453783110543</v>
      </c>
      <c r="K27" s="180">
        <v>0</v>
      </c>
      <c r="L27" s="181">
        <v>0</v>
      </c>
      <c r="M27" s="182">
        <f>C27</f>
        <v>1.2060453783110543</v>
      </c>
      <c r="O27" s="180">
        <v>-0.40824829046386307</v>
      </c>
      <c r="P27" s="181">
        <v>-0.1230914909793327</v>
      </c>
      <c r="Q27" s="182">
        <v>0.90453403373329089</v>
      </c>
      <c r="S27" s="180">
        <v>5.5511151231257827E-17</v>
      </c>
      <c r="T27" s="181">
        <v>1.3877787807814457E-17</v>
      </c>
      <c r="U27" s="182">
        <v>1</v>
      </c>
      <c r="W27" s="180">
        <v>1.0000000000000004</v>
      </c>
      <c r="X27" s="181">
        <v>1.0000000000000002</v>
      </c>
      <c r="Y27" s="182">
        <v>2</v>
      </c>
    </row>
    <row r="29" spans="1:25" ht="14.45" x14ac:dyDescent="0.35">
      <c r="S29" t="s">
        <v>587</v>
      </c>
      <c r="U29">
        <f>MDETERM(O25:Q27)</f>
        <v>1.0000000000000002</v>
      </c>
    </row>
    <row r="31" spans="1:25" ht="16.5" x14ac:dyDescent="0.45">
      <c r="A31" t="s">
        <v>588</v>
      </c>
      <c r="K31" t="s">
        <v>593</v>
      </c>
      <c r="O31" t="s">
        <v>567</v>
      </c>
    </row>
    <row r="32" spans="1:25" ht="14.45" x14ac:dyDescent="0.35">
      <c r="A32" s="225">
        <f t="array" ref="A32:C34">MMULT(K25:M27,O25:Q27)</f>
        <v>3.6666666666666687</v>
      </c>
      <c r="B32" s="226">
        <v>0.80403025220736946</v>
      </c>
      <c r="C32" s="227">
        <v>-0.49236596391733101</v>
      </c>
      <c r="K32" s="217">
        <f t="array" ref="K32:M34">O25:Q27</f>
        <v>-0.81649658092772626</v>
      </c>
      <c r="L32" s="218">
        <v>0.49236596391733101</v>
      </c>
      <c r="M32" s="219">
        <v>-0.30151134457776363</v>
      </c>
      <c r="O32" s="217">
        <v>1</v>
      </c>
      <c r="P32" s="218">
        <v>0</v>
      </c>
      <c r="Q32" s="219">
        <v>0</v>
      </c>
    </row>
    <row r="33" spans="1:17" x14ac:dyDescent="0.25">
      <c r="A33" s="228">
        <v>0.80403025220736957</v>
      </c>
      <c r="B33" s="2">
        <v>1.242424242424242</v>
      </c>
      <c r="C33" s="229">
        <v>-0.14845392380504102</v>
      </c>
      <c r="K33" s="123">
        <v>-0.40824829046386307</v>
      </c>
      <c r="L33" s="37">
        <v>-0.86164043685532909</v>
      </c>
      <c r="M33" s="90">
        <v>-0.30151134457776363</v>
      </c>
      <c r="O33" s="123">
        <v>0</v>
      </c>
      <c r="P33" s="37">
        <v>1</v>
      </c>
      <c r="Q33" s="90">
        <v>0</v>
      </c>
    </row>
    <row r="34" spans="1:17" x14ac:dyDescent="0.25">
      <c r="A34" s="230">
        <v>-0.4923659639173309</v>
      </c>
      <c r="B34" s="231">
        <v>-0.14845392380504102</v>
      </c>
      <c r="C34" s="232">
        <v>1.0909090909090908</v>
      </c>
      <c r="K34" s="91">
        <v>-0.40824829046386307</v>
      </c>
      <c r="L34" s="92">
        <v>-0.1230914909793327</v>
      </c>
      <c r="M34" s="93">
        <v>0.90453403373329089</v>
      </c>
      <c r="O34" s="91">
        <v>0</v>
      </c>
      <c r="P34" s="92">
        <v>0</v>
      </c>
      <c r="Q34" s="93">
        <v>1</v>
      </c>
    </row>
    <row r="36" spans="1:17" ht="18" x14ac:dyDescent="0.35">
      <c r="A36" t="s">
        <v>568</v>
      </c>
      <c r="E36" t="s">
        <v>569</v>
      </c>
      <c r="G36" t="s">
        <v>570</v>
      </c>
      <c r="I36" t="s">
        <v>571</v>
      </c>
      <c r="K36" t="s">
        <v>572</v>
      </c>
      <c r="O36" t="s">
        <v>573</v>
      </c>
    </row>
    <row r="37" spans="1:17" x14ac:dyDescent="0.25">
      <c r="A37" s="217">
        <f t="array" ref="A37:C39">A32:C34</f>
        <v>3.6666666666666687</v>
      </c>
      <c r="B37" s="218">
        <v>0.80403025220736946</v>
      </c>
      <c r="C37" s="219">
        <v>-0.49236596391733101</v>
      </c>
      <c r="E37" s="223">
        <f>A32</f>
        <v>3.6666666666666687</v>
      </c>
      <c r="G37" s="223">
        <f>E37/E41</f>
        <v>0.96849599695818633</v>
      </c>
      <c r="I37" s="223">
        <f>SQRT((1-G37/G41)/2)</f>
        <v>0.99209273683415966</v>
      </c>
      <c r="K37" s="217">
        <f t="array" ref="K37:M39">K$6:M$8-2*MMULT(I37:I39,TRANSPOSE(I37:I39))</f>
        <v>-0.96849599695818633</v>
      </c>
      <c r="L37" s="218">
        <v>-0.21237274928075944</v>
      </c>
      <c r="M37" s="219">
        <v>0.13005121775247094</v>
      </c>
      <c r="O37" s="217">
        <f t="array" ref="O37:Q39">MMULT(K37:M39,O32:Q34)</f>
        <v>-0.96849599695818633</v>
      </c>
      <c r="P37" s="218">
        <v>-0.21237274928075944</v>
      </c>
      <c r="Q37" s="219">
        <v>0.13005121775247094</v>
      </c>
    </row>
    <row r="38" spans="1:17" x14ac:dyDescent="0.25">
      <c r="A38" s="123">
        <v>0.80403025220736957</v>
      </c>
      <c r="B38" s="37">
        <v>1.242424242424242</v>
      </c>
      <c r="C38" s="90">
        <v>-0.14845392380504102</v>
      </c>
      <c r="E38" s="173">
        <f>A33</f>
        <v>0.80403025220736957</v>
      </c>
      <c r="F38" s="233"/>
      <c r="G38" s="173">
        <f>E38/E41</f>
        <v>0.21237274928075944</v>
      </c>
      <c r="I38" s="173">
        <f>G38/(-2*G41*I37)</f>
        <v>0.10703271044925518</v>
      </c>
      <c r="K38" s="123">
        <v>-0.21237274928075944</v>
      </c>
      <c r="L38" s="37">
        <v>0.97708799778777178</v>
      </c>
      <c r="M38" s="90">
        <v>1.4030678601369612E-2</v>
      </c>
      <c r="O38" s="123">
        <v>-0.21237274928075944</v>
      </c>
      <c r="P38" s="37">
        <v>0.97708799778777178</v>
      </c>
      <c r="Q38" s="90">
        <v>1.4030678601369612E-2</v>
      </c>
    </row>
    <row r="39" spans="1:17" x14ac:dyDescent="0.25">
      <c r="A39" s="91">
        <v>-0.4923659639173309</v>
      </c>
      <c r="B39" s="92">
        <v>-0.14845392380504102</v>
      </c>
      <c r="C39" s="93">
        <v>1.0909090909090908</v>
      </c>
      <c r="E39" s="174">
        <f>A34</f>
        <v>-0.4923659639173309</v>
      </c>
      <c r="G39" s="174">
        <f>E39/E41</f>
        <v>-0.13005121775247094</v>
      </c>
      <c r="I39" s="174">
        <f>G39/(-2*G41*I37)</f>
        <v>-6.5543881596933098E-2</v>
      </c>
      <c r="K39" s="91">
        <v>0.13005121775247094</v>
      </c>
      <c r="L39" s="92">
        <v>1.4030678601369612E-2</v>
      </c>
      <c r="M39" s="93">
        <v>0.99140799917041444</v>
      </c>
      <c r="O39" s="91">
        <v>0.13005121775247094</v>
      </c>
      <c r="P39" s="92">
        <v>1.4030678601369612E-2</v>
      </c>
      <c r="Q39" s="93">
        <v>0.99140799917041444</v>
      </c>
    </row>
    <row r="41" spans="1:17" x14ac:dyDescent="0.25">
      <c r="D41" s="47" t="s">
        <v>576</v>
      </c>
      <c r="E41">
        <f>SQRT(E37^2+E38^2+E39^2)</f>
        <v>3.7859388972001842</v>
      </c>
      <c r="F41" s="47" t="s">
        <v>468</v>
      </c>
      <c r="G41">
        <f>-SIGN(G37)*SQRT(G37^2+G38^2+G39^2)</f>
        <v>-1</v>
      </c>
    </row>
    <row r="43" spans="1:17" ht="18" x14ac:dyDescent="0.35">
      <c r="A43" t="s">
        <v>577</v>
      </c>
      <c r="E43" t="s">
        <v>578</v>
      </c>
      <c r="G43" t="s">
        <v>579</v>
      </c>
      <c r="I43" t="s">
        <v>580</v>
      </c>
      <c r="K43" t="s">
        <v>581</v>
      </c>
      <c r="O43" t="s">
        <v>582</v>
      </c>
    </row>
    <row r="44" spans="1:17" x14ac:dyDescent="0.25">
      <c r="A44" s="217">
        <f t="array" ref="A44:C46">MMULT(K37:M39,A37:C39)</f>
        <v>-3.7859388972001851</v>
      </c>
      <c r="B44" s="218">
        <v>-1.0618637464037974</v>
      </c>
      <c r="C44" s="219">
        <v>0.65025608876235508</v>
      </c>
      <c r="E44" s="223">
        <f>B44</f>
        <v>-1.0618637464037974</v>
      </c>
      <c r="G44" s="223">
        <f>E44/E48</f>
        <v>-0.7139443046999141</v>
      </c>
      <c r="I44" s="223">
        <v>0</v>
      </c>
      <c r="K44" s="217">
        <f t="array" ref="K44:M46">K$6:M$8-2*MMULT(I44:I46,TRANSPOSE(I44:I46))</f>
        <v>1</v>
      </c>
      <c r="L44" s="218">
        <v>0</v>
      </c>
      <c r="M44" s="219">
        <v>0</v>
      </c>
      <c r="O44" s="217">
        <f t="array" ref="O44:Q46">MMULT(K44:M46,O37:Q39)</f>
        <v>-0.96849599695818633</v>
      </c>
      <c r="P44" s="218">
        <v>-0.21237274928075944</v>
      </c>
      <c r="Q44" s="219">
        <v>0.13005121775247094</v>
      </c>
    </row>
    <row r="45" spans="1:17" x14ac:dyDescent="0.25">
      <c r="A45" s="123">
        <v>-6.6786853825107073E-17</v>
      </c>
      <c r="B45" s="37">
        <v>1.0411207909750895</v>
      </c>
      <c r="C45" s="90">
        <v>-2.5181238927153425E-2</v>
      </c>
      <c r="E45" s="173">
        <f>B45</f>
        <v>1.0411207909750895</v>
      </c>
      <c r="F45" s="233"/>
      <c r="G45" s="173">
        <f>E45/E48</f>
        <v>0.69999777442131217</v>
      </c>
      <c r="I45" s="173">
        <f>SQRT((1-G45/G48)/2)</f>
        <v>0.99992690505551474</v>
      </c>
      <c r="K45" s="123">
        <v>0</v>
      </c>
      <c r="L45" s="37">
        <v>-0.99970763090780079</v>
      </c>
      <c r="M45" s="90">
        <v>2.417959273256912E-2</v>
      </c>
      <c r="O45" s="123">
        <v>0.21545524353247378</v>
      </c>
      <c r="P45" s="37">
        <v>-0.97646307136251709</v>
      </c>
      <c r="Q45" s="90">
        <v>9.9452651871478545E-3</v>
      </c>
    </row>
    <row r="46" spans="1:17" x14ac:dyDescent="0.25">
      <c r="A46" s="91">
        <v>-5.5511151231257827E-17</v>
      </c>
      <c r="B46" s="92">
        <v>-2.5181238927153474E-2</v>
      </c>
      <c r="C46" s="93">
        <v>1.0154202966156587</v>
      </c>
      <c r="E46" s="174">
        <f>B46</f>
        <v>-2.5181238927153474E-2</v>
      </c>
      <c r="G46" s="174">
        <f>E46/E48</f>
        <v>-1.6930611086605891E-2</v>
      </c>
      <c r="I46" s="174">
        <f>G46/(-2*G48*I45)</f>
        <v>-1.2090680133877735E-2</v>
      </c>
      <c r="K46" s="91">
        <v>0</v>
      </c>
      <c r="L46" s="92">
        <v>2.417959273256912E-2</v>
      </c>
      <c r="M46" s="93">
        <v>0.99970763090780046</v>
      </c>
      <c r="O46" s="91">
        <v>0.12487810821089243</v>
      </c>
      <c r="P46" s="92">
        <v>3.7652166314993706E-2</v>
      </c>
      <c r="Q46" s="93">
        <v>0.99145739820804035</v>
      </c>
    </row>
    <row r="48" spans="1:17" x14ac:dyDescent="0.25">
      <c r="D48" s="47" t="s">
        <v>576</v>
      </c>
      <c r="E48">
        <f>SQRT(E44^2+E45^2+E46^2)</f>
        <v>1.4873201444615785</v>
      </c>
      <c r="F48" s="47" t="s">
        <v>468</v>
      </c>
      <c r="G48">
        <f>-SIGN(G45)*SQRT(G45^2+G46^2)</f>
        <v>-0.70020249198825057</v>
      </c>
    </row>
    <row r="50" spans="1:21" ht="18.75" x14ac:dyDescent="0.35">
      <c r="A50" t="s">
        <v>583</v>
      </c>
      <c r="K50" t="s">
        <v>491</v>
      </c>
      <c r="O50" t="s">
        <v>584</v>
      </c>
      <c r="S50" t="s">
        <v>585</v>
      </c>
    </row>
    <row r="51" spans="1:21" s="46" customFormat="1" x14ac:dyDescent="0.25">
      <c r="A51" s="234">
        <f t="array" ref="A51:C53">MMULT(K44:M46,A44:C46)</f>
        <v>-3.7859388972001851</v>
      </c>
      <c r="B51" s="235">
        <v>-1.0618637464037974</v>
      </c>
      <c r="C51" s="236">
        <v>0.65025608876235508</v>
      </c>
      <c r="K51" s="217">
        <f>A51</f>
        <v>-3.7859388972001851</v>
      </c>
      <c r="L51" s="218">
        <f>B51</f>
        <v>-1.0618637464037974</v>
      </c>
      <c r="M51" s="219">
        <f>C51</f>
        <v>0.65025608876235508</v>
      </c>
      <c r="O51" s="234">
        <f t="array" ref="O51:Q53">TRANSPOSE(O44:Q46)</f>
        <v>-0.96849599695818633</v>
      </c>
      <c r="P51" s="235">
        <v>0.21545524353247378</v>
      </c>
      <c r="Q51" s="236">
        <v>0.12487810821089243</v>
      </c>
      <c r="S51" s="234">
        <f t="array" ref="S51:U53">MMULT(TRANSPOSE(O51:Q53),O51:Q53)</f>
        <v>1.0000000000000002</v>
      </c>
      <c r="T51" s="235">
        <v>-2.7321894746634712E-17</v>
      </c>
      <c r="U51" s="236">
        <v>0</v>
      </c>
    </row>
    <row r="52" spans="1:21" s="46" customFormat="1" x14ac:dyDescent="0.25">
      <c r="A52" s="124">
        <v>6.542509038439552E-17</v>
      </c>
      <c r="B52" s="3">
        <v>-1.0414252715363224</v>
      </c>
      <c r="C52" s="179">
        <v>4.9726325935739002E-2</v>
      </c>
      <c r="K52" s="123">
        <v>0</v>
      </c>
      <c r="L52" s="37">
        <f>B52</f>
        <v>-1.0414252715363224</v>
      </c>
      <c r="M52" s="90">
        <f>C52</f>
        <v>4.9726325935739002E-2</v>
      </c>
      <c r="O52" s="124">
        <v>-0.21237274928075944</v>
      </c>
      <c r="P52" s="3">
        <v>-0.97646307136251709</v>
      </c>
      <c r="Q52" s="179">
        <v>3.7652166314993706E-2</v>
      </c>
      <c r="S52" s="124">
        <v>-2.7321894746634712E-17</v>
      </c>
      <c r="T52" s="3">
        <v>1.0000000000000004</v>
      </c>
      <c r="U52" s="179">
        <v>-6.9388939039072284E-18</v>
      </c>
    </row>
    <row r="53" spans="1:21" s="46" customFormat="1" x14ac:dyDescent="0.25">
      <c r="A53" s="180">
        <v>-5.7109800411746114E-17</v>
      </c>
      <c r="B53" s="181">
        <v>6.9388939039072284E-18</v>
      </c>
      <c r="C53" s="182">
        <v>1.0145145470035761</v>
      </c>
      <c r="K53" s="91">
        <v>0</v>
      </c>
      <c r="L53" s="92">
        <v>0</v>
      </c>
      <c r="M53" s="93">
        <f>C53</f>
        <v>1.0145145470035761</v>
      </c>
      <c r="O53" s="180">
        <v>0.13005121775247094</v>
      </c>
      <c r="P53" s="181">
        <v>9.9452651871478545E-3</v>
      </c>
      <c r="Q53" s="182">
        <v>0.99145739820804035</v>
      </c>
      <c r="S53" s="180">
        <v>0</v>
      </c>
      <c r="T53" s="181">
        <v>-6.9388939039072284E-18</v>
      </c>
      <c r="U53" s="182">
        <v>1</v>
      </c>
    </row>
    <row r="55" spans="1:21" x14ac:dyDescent="0.25">
      <c r="S55" t="s">
        <v>587</v>
      </c>
      <c r="U55">
        <f>MDETERM(O51:Q53)</f>
        <v>1.0000000000000002</v>
      </c>
    </row>
    <row r="57" spans="1:21" ht="18" x14ac:dyDescent="0.35">
      <c r="A57" t="s">
        <v>588</v>
      </c>
      <c r="K57" t="s">
        <v>593</v>
      </c>
      <c r="O57" t="s">
        <v>567</v>
      </c>
    </row>
    <row r="58" spans="1:21" x14ac:dyDescent="0.25">
      <c r="A58" s="225">
        <f t="array" ref="A58:C60">MMULT(K51:M53,O51:Q53)</f>
        <v>3.9767441860465143</v>
      </c>
      <c r="B58" s="226">
        <v>0.22763731732892911</v>
      </c>
      <c r="C58" s="227">
        <v>0.13193885226541158</v>
      </c>
      <c r="K58" s="234">
        <f t="array" ref="K58:M60">MMULT(K32:M34,O51:Q53)</f>
        <v>0.64699663922063089</v>
      </c>
      <c r="L58" s="235">
        <v>-0.65969426132705811</v>
      </c>
      <c r="M58" s="236">
        <v>-0.38235955645093622</v>
      </c>
      <c r="O58" s="217">
        <v>1</v>
      </c>
      <c r="P58" s="218">
        <v>0</v>
      </c>
      <c r="Q58" s="219">
        <v>0</v>
      </c>
    </row>
    <row r="59" spans="1:21" x14ac:dyDescent="0.25">
      <c r="A59" s="228">
        <v>0.22763731732892936</v>
      </c>
      <c r="B59" s="2">
        <v>1.017407860737114</v>
      </c>
      <c r="C59" s="229">
        <v>1.0089616206169695E-2</v>
      </c>
      <c r="K59" s="124">
        <v>0.53916386601719213</v>
      </c>
      <c r="L59" s="3">
        <v>0.75040222225952857</v>
      </c>
      <c r="M59" s="179">
        <v>-0.38235955645093633</v>
      </c>
      <c r="O59" s="123">
        <v>0</v>
      </c>
      <c r="P59" s="37">
        <v>1</v>
      </c>
      <c r="Q59" s="90">
        <v>0</v>
      </c>
    </row>
    <row r="60" spans="1:21" x14ac:dyDescent="0.25">
      <c r="A60" s="230">
        <v>0.13193885226541149</v>
      </c>
      <c r="B60" s="231">
        <v>1.0089616206169742E-2</v>
      </c>
      <c r="C60" s="232">
        <v>1.0058479532163742</v>
      </c>
      <c r="K60" s="180">
        <v>0.53916386601719213</v>
      </c>
      <c r="L60" s="181">
        <v>4.1230891332941187E-2</v>
      </c>
      <c r="M60" s="182">
        <v>0.84119102419205982</v>
      </c>
      <c r="O60" s="91">
        <v>0</v>
      </c>
      <c r="P60" s="92">
        <v>0</v>
      </c>
      <c r="Q60" s="93">
        <v>1</v>
      </c>
    </row>
    <row r="62" spans="1:21" ht="18" x14ac:dyDescent="0.35">
      <c r="A62" t="s">
        <v>568</v>
      </c>
      <c r="E62" t="s">
        <v>569</v>
      </c>
      <c r="G62" t="s">
        <v>570</v>
      </c>
      <c r="I62" t="s">
        <v>571</v>
      </c>
      <c r="K62" t="s">
        <v>572</v>
      </c>
      <c r="O62" t="s">
        <v>573</v>
      </c>
    </row>
    <row r="63" spans="1:21" x14ac:dyDescent="0.25">
      <c r="A63" s="217">
        <f t="array" ref="A63:C65">A58:C60</f>
        <v>3.9767441860465143</v>
      </c>
      <c r="B63" s="218">
        <v>0.22763731732892911</v>
      </c>
      <c r="C63" s="219">
        <v>0.13193885226541158</v>
      </c>
      <c r="E63" s="223">
        <f>A58</f>
        <v>3.9767441860465143</v>
      </c>
      <c r="G63" s="223">
        <f>E63/E67</f>
        <v>0.99781845191295693</v>
      </c>
      <c r="I63" s="223">
        <f>SQRT((1-G63/G67)/2)</f>
        <v>0.99945446417357031</v>
      </c>
      <c r="K63" s="217">
        <f t="array" ref="K63:M65">K$6:M$8-2*MMULT(I63:I65,TRANSPOSE(I63:I65))</f>
        <v>-0.99781845191295715</v>
      </c>
      <c r="L63" s="218">
        <v>-5.7117255963246426E-2</v>
      </c>
      <c r="M63" s="219">
        <v>-3.3105227582045267E-2</v>
      </c>
      <c r="O63" s="217">
        <f t="array" ref="O63:Q65">MMULT(K63:M65,O58:Q60)</f>
        <v>-0.99781845191295715</v>
      </c>
      <c r="P63" s="218">
        <v>-5.7117255963246426E-2</v>
      </c>
      <c r="Q63" s="219">
        <v>-3.3105227582045267E-2</v>
      </c>
    </row>
    <row r="64" spans="1:21" x14ac:dyDescent="0.25">
      <c r="A64" s="123">
        <v>0.22763731732892936</v>
      </c>
      <c r="B64" s="37">
        <v>1.017407860737114</v>
      </c>
      <c r="C64" s="90">
        <v>1.0089616206169695E-2</v>
      </c>
      <c r="E64" s="173">
        <f>A59</f>
        <v>0.22763731732892936</v>
      </c>
      <c r="F64" s="233"/>
      <c r="G64" s="173">
        <f>E64/E67</f>
        <v>5.7117255963246426E-2</v>
      </c>
      <c r="I64" s="173">
        <f>G64/(-2*G67*I63)</f>
        <v>2.8574216240294444E-2</v>
      </c>
      <c r="K64" s="123">
        <v>-5.7117255963246426E-2</v>
      </c>
      <c r="L64" s="37">
        <v>0.99836702833250579</v>
      </c>
      <c r="M64" s="90">
        <v>-9.4647226614342464E-4</v>
      </c>
      <c r="O64" s="123">
        <v>-5.7117255963246426E-2</v>
      </c>
      <c r="P64" s="37">
        <v>0.99836702833250579</v>
      </c>
      <c r="Q64" s="90">
        <v>-9.4647226614342464E-4</v>
      </c>
    </row>
    <row r="65" spans="1:21" x14ac:dyDescent="0.25">
      <c r="A65" s="91">
        <v>0.13193885226541149</v>
      </c>
      <c r="B65" s="92">
        <v>1.0089616206169742E-2</v>
      </c>
      <c r="C65" s="93">
        <v>1.0058479532163742</v>
      </c>
      <c r="E65" s="174">
        <f>A60</f>
        <v>0.13193885226541149</v>
      </c>
      <c r="G65" s="174">
        <f>E65/E67</f>
        <v>3.3105227582045267E-2</v>
      </c>
      <c r="I65" s="174">
        <f>G65/(-2*G67*I63)</f>
        <v>1.6561648763768012E-2</v>
      </c>
      <c r="K65" s="91">
        <v>-3.3105227582045267E-2</v>
      </c>
      <c r="L65" s="92">
        <v>-9.4647226614342464E-4</v>
      </c>
      <c r="M65" s="93">
        <v>0.99945142358045114</v>
      </c>
      <c r="O65" s="91">
        <v>-3.3105227582045267E-2</v>
      </c>
      <c r="P65" s="92">
        <v>-9.4647226614342464E-4</v>
      </c>
      <c r="Q65" s="93">
        <v>0.99945142358045114</v>
      </c>
    </row>
    <row r="67" spans="1:21" x14ac:dyDescent="0.25">
      <c r="D67" s="47" t="s">
        <v>576</v>
      </c>
      <c r="E67">
        <f>SQRT(E63^2+E64^2+E65^2)</f>
        <v>3.9854386120266083</v>
      </c>
      <c r="F67" s="47" t="s">
        <v>468</v>
      </c>
      <c r="G67">
        <f>-SIGN(G63)*SQRT(G63^2+G64^2+G65^2)</f>
        <v>-1</v>
      </c>
    </row>
    <row r="69" spans="1:21" ht="18" x14ac:dyDescent="0.35">
      <c r="A69" t="s">
        <v>577</v>
      </c>
      <c r="E69" t="s">
        <v>578</v>
      </c>
      <c r="G69" t="s">
        <v>579</v>
      </c>
      <c r="I69" t="s">
        <v>580</v>
      </c>
      <c r="K69" t="s">
        <v>581</v>
      </c>
      <c r="O69" t="s">
        <v>582</v>
      </c>
    </row>
    <row r="70" spans="1:21" x14ac:dyDescent="0.25">
      <c r="A70" s="217">
        <f t="array" ref="A70:C72">MMULT(K63:M65,A63:C65)</f>
        <v>-3.9854386120266092</v>
      </c>
      <c r="B70" s="218">
        <v>-0.28558627981623202</v>
      </c>
      <c r="C70" s="219">
        <v>-0.16552613791022655</v>
      </c>
      <c r="E70" s="223">
        <f>B70</f>
        <v>-0.28558627981623202</v>
      </c>
      <c r="G70" s="223">
        <f>E70/E74</f>
        <v>-0.27391430629890828</v>
      </c>
      <c r="I70" s="223">
        <v>0</v>
      </c>
      <c r="K70" s="217">
        <f t="array" ref="K70:M72">K$6:M$8-2*MMULT(I70:I72,TRANSPOSE(I70:I72))</f>
        <v>1</v>
      </c>
      <c r="L70" s="218">
        <v>0</v>
      </c>
      <c r="M70" s="219">
        <v>0</v>
      </c>
      <c r="O70" s="217">
        <f t="array" ref="O70:Q72">MMULT(K70:M72,O63:Q65)</f>
        <v>-0.99781845191295715</v>
      </c>
      <c r="P70" s="218">
        <v>-5.7117255963246426E-2</v>
      </c>
      <c r="Q70" s="219">
        <v>-3.3105227582045267E-2</v>
      </c>
    </row>
    <row r="71" spans="1:21" x14ac:dyDescent="0.25">
      <c r="A71" s="123">
        <v>1.4446993948369347E-17</v>
      </c>
      <c r="B71" s="37">
        <v>1.002734894063666</v>
      </c>
      <c r="C71" s="90">
        <v>1.5851477607522347E-3</v>
      </c>
      <c r="E71" s="173">
        <f>B71</f>
        <v>1.002734894063666</v>
      </c>
      <c r="F71" s="233"/>
      <c r="G71" s="173">
        <f>E71/E74</f>
        <v>0.96175290033505023</v>
      </c>
      <c r="I71" s="173">
        <f>SQRT((1-G71/G74)/2)</f>
        <v>0.99999968762482427</v>
      </c>
      <c r="K71" s="123">
        <v>0</v>
      </c>
      <c r="L71" s="37">
        <v>-0.99999875049949227</v>
      </c>
      <c r="M71" s="90">
        <v>-1.5808223983164963E-3</v>
      </c>
      <c r="O71" s="123">
        <v>5.7169518080469162E-2</v>
      </c>
      <c r="P71" s="37">
        <v>-0.99836428466783933</v>
      </c>
      <c r="Q71" s="90">
        <v>-6.3348411289943765E-4</v>
      </c>
    </row>
    <row r="72" spans="1:21" x14ac:dyDescent="0.25">
      <c r="A72" s="91">
        <v>0</v>
      </c>
      <c r="B72" s="92">
        <v>1.5851477607522948E-3</v>
      </c>
      <c r="C72" s="93">
        <v>1.0009187534745128</v>
      </c>
      <c r="E72" s="174">
        <f>B72</f>
        <v>1.5851477607522948E-3</v>
      </c>
      <c r="G72" s="174">
        <f>E72/E74</f>
        <v>1.5203624261891243E-3</v>
      </c>
      <c r="I72" s="174">
        <f>G72/(-2*G74*I71)</f>
        <v>7.9041144606316251E-4</v>
      </c>
      <c r="K72" s="91">
        <v>0</v>
      </c>
      <c r="L72" s="92">
        <v>-1.5808223983164963E-3</v>
      </c>
      <c r="M72" s="93">
        <v>0.99999875049949183</v>
      </c>
      <c r="O72" s="91">
        <v>-3.30148939794895E-2</v>
      </c>
      <c r="P72" s="92">
        <v>-2.5247120436545523E-3</v>
      </c>
      <c r="Q72" s="93">
        <v>0.99945167096994714</v>
      </c>
    </row>
    <row r="74" spans="1:21" x14ac:dyDescent="0.25">
      <c r="D74" s="47" t="s">
        <v>576</v>
      </c>
      <c r="E74">
        <f>SQRT(E70^2+E71^2+E72^2)</f>
        <v>1.0426117703563345</v>
      </c>
      <c r="F74" s="47" t="s">
        <v>468</v>
      </c>
      <c r="G74">
        <f>-SIGN(G71)*SQRT(G71^2+G72^2)</f>
        <v>-0.96175410204728939</v>
      </c>
    </row>
    <row r="76" spans="1:21" ht="18.75" x14ac:dyDescent="0.35">
      <c r="A76" t="s">
        <v>583</v>
      </c>
      <c r="K76" t="s">
        <v>491</v>
      </c>
      <c r="O76" t="s">
        <v>584</v>
      </c>
      <c r="S76" t="s">
        <v>585</v>
      </c>
    </row>
    <row r="77" spans="1:21" s="46" customFormat="1" x14ac:dyDescent="0.25">
      <c r="A77" s="234">
        <f t="array" ref="A77:C79">MMULT(K70:M72,A70:C72)</f>
        <v>-3.9854386120266092</v>
      </c>
      <c r="B77" s="235">
        <v>-0.28558627981623202</v>
      </c>
      <c r="C77" s="236">
        <v>-0.16552613791022655</v>
      </c>
      <c r="K77" s="234">
        <f>A77</f>
        <v>-3.9854386120266092</v>
      </c>
      <c r="L77" s="235">
        <f>B77</f>
        <v>-0.28558627981623202</v>
      </c>
      <c r="M77" s="236">
        <f>C77</f>
        <v>-0.16552613791022655</v>
      </c>
      <c r="O77" s="234">
        <f t="array" ref="O77:Q79">TRANSPOSE(O70:Q72)</f>
        <v>-0.99781845191295715</v>
      </c>
      <c r="P77" s="235">
        <v>5.7169518080469162E-2</v>
      </c>
      <c r="Q77" s="236">
        <v>-3.30148939794895E-2</v>
      </c>
      <c r="S77" s="234">
        <f t="array" ref="S77:U79">MMULT(TRANSPOSE(O77:Q79),O77:Q79)</f>
        <v>1.0000000000000004</v>
      </c>
      <c r="T77" s="235">
        <v>-7.1083004933580884E-18</v>
      </c>
      <c r="U77" s="236">
        <v>6.9388939039072284E-18</v>
      </c>
    </row>
    <row r="78" spans="1:21" s="46" customFormat="1" x14ac:dyDescent="0.25">
      <c r="A78" s="124">
        <v>-1.4446975896843072E-17</v>
      </c>
      <c r="B78" s="3">
        <v>-1.0027361469829916</v>
      </c>
      <c r="C78" s="179">
        <v>-3.1674205644968401E-3</v>
      </c>
      <c r="K78" s="124">
        <v>0</v>
      </c>
      <c r="L78" s="3">
        <f>B78</f>
        <v>-1.0027361469829916</v>
      </c>
      <c r="M78" s="179">
        <f>C78</f>
        <v>-3.1674205644968401E-3</v>
      </c>
      <c r="O78" s="124">
        <v>-5.7117255963246426E-2</v>
      </c>
      <c r="P78" s="3">
        <v>-0.99836428466783933</v>
      </c>
      <c r="Q78" s="179">
        <v>-2.5247120436545523E-3</v>
      </c>
      <c r="S78" s="124">
        <v>-7.1083004933580884E-18</v>
      </c>
      <c r="T78" s="3">
        <v>1.0000000000000009</v>
      </c>
      <c r="U78" s="179">
        <v>8.6736173798840355E-19</v>
      </c>
    </row>
    <row r="79" spans="1:21" s="46" customFormat="1" x14ac:dyDescent="0.25">
      <c r="A79" s="180">
        <v>-2.2838131621925137E-20</v>
      </c>
      <c r="B79" s="181">
        <v>-2.1684043449710089E-19</v>
      </c>
      <c r="C79" s="182">
        <v>1.0009149969889366</v>
      </c>
      <c r="K79" s="180">
        <v>0</v>
      </c>
      <c r="L79" s="181">
        <v>0</v>
      </c>
      <c r="M79" s="182">
        <f>C79</f>
        <v>1.0009149969889366</v>
      </c>
      <c r="O79" s="180">
        <v>-3.3105227582045267E-2</v>
      </c>
      <c r="P79" s="181">
        <v>-6.3348411289943765E-4</v>
      </c>
      <c r="Q79" s="182">
        <v>0.99945167096994714</v>
      </c>
      <c r="S79" s="180">
        <v>6.9388939039072284E-18</v>
      </c>
      <c r="T79" s="181">
        <v>8.6736173798840355E-19</v>
      </c>
      <c r="U79" s="182">
        <v>0.99999999999999978</v>
      </c>
    </row>
    <row r="81" spans="1:21" x14ac:dyDescent="0.25">
      <c r="S81" t="s">
        <v>587</v>
      </c>
      <c r="U81">
        <f>MDETERM(O77:Q79)</f>
        <v>1.0000000000000004</v>
      </c>
    </row>
    <row r="83" spans="1:21" ht="18" x14ac:dyDescent="0.35">
      <c r="A83" t="s">
        <v>588</v>
      </c>
      <c r="K83" t="s">
        <v>593</v>
      </c>
      <c r="O83" t="s">
        <v>567</v>
      </c>
    </row>
    <row r="84" spans="1:21" x14ac:dyDescent="0.25">
      <c r="A84" s="225">
        <f t="array" ref="A84:C86">MMULT(K77:M79,O77:Q79)</f>
        <v>3.9985358711566659</v>
      </c>
      <c r="B84" s="226">
        <v>5.7378395349462485E-2</v>
      </c>
      <c r="C84" s="227">
        <v>-3.3135518765601002E-2</v>
      </c>
      <c r="K84" s="234">
        <f t="array" ref="K84:M86">MMULT(K58:M60,O77:Q79)</f>
        <v>-0.5952471588238355</v>
      </c>
      <c r="L84" s="235">
        <v>0.69584589407762065</v>
      </c>
      <c r="M84" s="236">
        <v>-0.40184488500846899</v>
      </c>
      <c r="O84" s="217">
        <v>1</v>
      </c>
      <c r="P84" s="218">
        <v>0</v>
      </c>
      <c r="Q84" s="219">
        <v>0</v>
      </c>
    </row>
    <row r="85" spans="1:21" x14ac:dyDescent="0.25">
      <c r="A85" s="228">
        <v>5.7378395349462742E-2</v>
      </c>
      <c r="B85" s="2">
        <v>1.0010979626038663</v>
      </c>
      <c r="C85" s="229">
        <v>-6.3406374895521971E-4</v>
      </c>
      <c r="K85" s="124">
        <v>-0.56819046978638799</v>
      </c>
      <c r="L85" s="3">
        <v>-0.71810882074825866</v>
      </c>
      <c r="M85" s="179">
        <v>-0.40184488500846921</v>
      </c>
      <c r="O85" s="123">
        <v>0</v>
      </c>
      <c r="P85" s="37">
        <v>1</v>
      </c>
      <c r="Q85" s="90">
        <v>0</v>
      </c>
    </row>
    <row r="86" spans="1:21" x14ac:dyDescent="0.25">
      <c r="A86" s="230">
        <v>-3.3135518765600898E-2</v>
      </c>
      <c r="B86" s="231">
        <v>-6.3406374895527977E-4</v>
      </c>
      <c r="C86" s="232">
        <v>1.0003661662394723</v>
      </c>
      <c r="K86" s="180">
        <v>-0.56819046978638799</v>
      </c>
      <c r="L86" s="181">
        <v>-1.0872592094963001E-2</v>
      </c>
      <c r="M86" s="182">
        <v>0.82282524073162722</v>
      </c>
      <c r="O86" s="91">
        <v>0</v>
      </c>
      <c r="P86" s="92">
        <v>0</v>
      </c>
      <c r="Q86" s="93">
        <v>1</v>
      </c>
    </row>
    <row r="88" spans="1:21" ht="18" x14ac:dyDescent="0.35">
      <c r="A88" t="s">
        <v>568</v>
      </c>
      <c r="E88" t="s">
        <v>569</v>
      </c>
      <c r="G88" t="s">
        <v>570</v>
      </c>
      <c r="I88" t="s">
        <v>571</v>
      </c>
      <c r="K88" t="s">
        <v>572</v>
      </c>
      <c r="O88" t="s">
        <v>573</v>
      </c>
    </row>
    <row r="89" spans="1:21" x14ac:dyDescent="0.25">
      <c r="A89" s="217">
        <f t="array" ref="A89:C91">A84:C86</f>
        <v>3.9985358711566659</v>
      </c>
      <c r="B89" s="218">
        <v>5.7378395349462485E-2</v>
      </c>
      <c r="C89" s="219">
        <v>-3.3135518765601002E-2</v>
      </c>
      <c r="E89" s="223">
        <f>A84</f>
        <v>3.9985358711566659</v>
      </c>
      <c r="G89" s="223">
        <f>E89/E93</f>
        <v>0.99986273268855819</v>
      </c>
      <c r="I89" s="223">
        <f>SQRT((1-G89/G93)/2)</f>
        <v>0.99996568258329699</v>
      </c>
      <c r="K89" s="217">
        <f t="array" ref="K89:M91">K$6:M$8-2*MMULT(I89:I91,TRANSPOSE(I89:I91))</f>
        <v>-0.99986273268855808</v>
      </c>
      <c r="L89" s="218">
        <v>-1.4347881579664951E-2</v>
      </c>
      <c r="M89" s="219">
        <v>8.285775446211726E-3</v>
      </c>
      <c r="O89" s="217">
        <f t="array" ref="O89:Q91">MMULT(K89:M91,O84:Q86)</f>
        <v>-0.99986273268855808</v>
      </c>
      <c r="P89" s="218">
        <v>-1.4347881579664951E-2</v>
      </c>
      <c r="Q89" s="219">
        <v>8.285775446211726E-3</v>
      </c>
    </row>
    <row r="90" spans="1:21" x14ac:dyDescent="0.25">
      <c r="A90" s="123">
        <v>5.7378395349462742E-2</v>
      </c>
      <c r="B90" s="37">
        <v>1.0010979626038663</v>
      </c>
      <c r="C90" s="90">
        <v>-6.3406374895521971E-4</v>
      </c>
      <c r="E90" s="173">
        <f>A85</f>
        <v>5.7378395349462742E-2</v>
      </c>
      <c r="F90" s="233"/>
      <c r="G90" s="173">
        <f>E90/E93</f>
        <v>1.4347881579664951E-2</v>
      </c>
      <c r="I90" s="173">
        <f>G90/(-2*G93*I89)</f>
        <v>7.1741869893968959E-3</v>
      </c>
      <c r="K90" s="123">
        <v>-1.4347881579664951E-2</v>
      </c>
      <c r="L90" s="37">
        <v>0.99989706208208229</v>
      </c>
      <c r="M90" s="90">
        <v>5.9445742427590533E-5</v>
      </c>
      <c r="O90" s="123">
        <v>-1.4347881579664951E-2</v>
      </c>
      <c r="P90" s="37">
        <v>0.99989706208208229</v>
      </c>
      <c r="Q90" s="90">
        <v>5.9445742427590533E-5</v>
      </c>
    </row>
    <row r="91" spans="1:21" x14ac:dyDescent="0.25">
      <c r="A91" s="91">
        <v>-3.3135518765600898E-2</v>
      </c>
      <c r="B91" s="92">
        <v>-6.3406374895527977E-4</v>
      </c>
      <c r="C91" s="93">
        <v>1.0003661662394723</v>
      </c>
      <c r="E91" s="174">
        <f>A86</f>
        <v>-3.3135518765600898E-2</v>
      </c>
      <c r="G91" s="174">
        <f>E91/E93</f>
        <v>-8.285775446211726E-3</v>
      </c>
      <c r="I91" s="174">
        <f>G91/(-2*G93*I89)</f>
        <v>-4.1430299011893951E-3</v>
      </c>
      <c r="K91" s="91">
        <v>8.285775446211726E-3</v>
      </c>
      <c r="L91" s="92">
        <v>5.9445742427590533E-5</v>
      </c>
      <c r="M91" s="93">
        <v>0.99996567060647568</v>
      </c>
      <c r="O91" s="91">
        <v>8.285775446211726E-3</v>
      </c>
      <c r="P91" s="92">
        <v>5.9445742427590533E-5</v>
      </c>
      <c r="Q91" s="93">
        <v>0.99996567060647568</v>
      </c>
    </row>
    <row r="93" spans="1:21" x14ac:dyDescent="0.25">
      <c r="D93" s="47" t="s">
        <v>576</v>
      </c>
      <c r="E93">
        <f>SQRT(E89^2+E90^2+E91^2)</f>
        <v>3.9990848147774183</v>
      </c>
      <c r="F93" s="47" t="s">
        <v>468</v>
      </c>
      <c r="G93">
        <f>-SIGN(G89)*SQRT(G89^2+G90^2+G91^2)</f>
        <v>-1</v>
      </c>
    </row>
    <row r="95" spans="1:21" ht="18" x14ac:dyDescent="0.35">
      <c r="A95" t="s">
        <v>577</v>
      </c>
      <c r="E95" t="s">
        <v>578</v>
      </c>
      <c r="G95" t="s">
        <v>579</v>
      </c>
      <c r="I95" t="s">
        <v>580</v>
      </c>
      <c r="K95" t="s">
        <v>581</v>
      </c>
      <c r="O95" t="s">
        <v>582</v>
      </c>
    </row>
    <row r="96" spans="1:21" x14ac:dyDescent="0.25">
      <c r="A96" s="217">
        <f t="array" ref="A96:C98">MMULT(K89:M91,A89:C91)</f>
        <v>-3.9990848147774192</v>
      </c>
      <c r="B96" s="218">
        <v>-7.1739407898324573E-2</v>
      </c>
      <c r="C96" s="219">
        <v>4.1428877231058758E-2</v>
      </c>
      <c r="E96" s="223">
        <f>B96</f>
        <v>-7.1739407898324573E-2</v>
      </c>
      <c r="G96" s="223">
        <f>E96/E100</f>
        <v>-7.1543297021230301E-2</v>
      </c>
      <c r="I96" s="223">
        <v>0</v>
      </c>
      <c r="K96" s="217">
        <f t="array" ref="K96:M98">K$6:M$8-2*MMULT(I96:I98,TRANSPOSE(I96:I98))</f>
        <v>1</v>
      </c>
      <c r="L96" s="218">
        <v>0</v>
      </c>
      <c r="M96" s="219">
        <v>0</v>
      </c>
      <c r="O96" s="217">
        <f t="array" ref="O96:Q98">MMULT(K96:M98,O89:Q91)</f>
        <v>-0.99986273268855808</v>
      </c>
      <c r="P96" s="218">
        <v>-1.4347881579664951E-2</v>
      </c>
      <c r="Q96" s="219">
        <v>8.285775446211726E-3</v>
      </c>
    </row>
    <row r="97" spans="1:21" x14ac:dyDescent="0.25">
      <c r="A97" s="123">
        <v>-4.3300324263639833E-18</v>
      </c>
      <c r="B97" s="37">
        <v>1.0001716155498686</v>
      </c>
      <c r="C97" s="90">
        <v>-9.9106470971918348E-5</v>
      </c>
      <c r="E97" s="173">
        <f>B97</f>
        <v>1.0001716155498686</v>
      </c>
      <c r="F97" s="233"/>
      <c r="G97" s="173">
        <f>E97/E100</f>
        <v>0.99743749021322969</v>
      </c>
      <c r="I97" s="173">
        <f>SQRT((1-G97/G100)/2)</f>
        <v>0.99999999877265966</v>
      </c>
      <c r="K97" s="123">
        <v>0</v>
      </c>
      <c r="L97" s="37">
        <v>-0.99999999509063864</v>
      </c>
      <c r="M97" s="90">
        <v>9.9089465192377335E-5</v>
      </c>
      <c r="O97" s="123">
        <v>1.4348702542283685E-2</v>
      </c>
      <c r="P97" s="37">
        <v>-0.9998970512827795</v>
      </c>
      <c r="Q97" s="90">
        <v>3.964032137538272E-5</v>
      </c>
    </row>
    <row r="98" spans="1:21" x14ac:dyDescent="0.25">
      <c r="A98" s="91">
        <v>6.9388939039072284E-18</v>
      </c>
      <c r="B98" s="92">
        <v>-9.9106470971981964E-5</v>
      </c>
      <c r="C98" s="93">
        <v>1.0000572331155073</v>
      </c>
      <c r="E98" s="174">
        <f>B98</f>
        <v>-9.9106470971981964E-5</v>
      </c>
      <c r="G98" s="174">
        <f>E98/E100</f>
        <v>-9.883554795327543E-5</v>
      </c>
      <c r="I98" s="174">
        <f>G98/(-2*G100*I97)</f>
        <v>-4.9544732656996919E-5</v>
      </c>
      <c r="K98" s="91">
        <v>0</v>
      </c>
      <c r="L98" s="92">
        <v>9.9089465192377335E-5</v>
      </c>
      <c r="M98" s="93">
        <v>0.99999999509063897</v>
      </c>
      <c r="O98" s="91">
        <v>8.2843536816214897E-3</v>
      </c>
      <c r="P98" s="92">
        <v>1.5852500726489275E-4</v>
      </c>
      <c r="Q98" s="93">
        <v>0.99996567158772998</v>
      </c>
    </row>
    <row r="100" spans="1:21" x14ac:dyDescent="0.25">
      <c r="D100" s="47" t="s">
        <v>576</v>
      </c>
      <c r="E100">
        <f>SQRT(E96^2+E97^2+E98^2)</f>
        <v>1.0027411495592113</v>
      </c>
      <c r="F100" s="47" t="s">
        <v>468</v>
      </c>
      <c r="G100">
        <f>-SIGN(G97)*SQRT(G97^2+G98^2)</f>
        <v>-0.99743749511001056</v>
      </c>
    </row>
    <row r="102" spans="1:21" ht="18.75" x14ac:dyDescent="0.35">
      <c r="A102" t="s">
        <v>583</v>
      </c>
      <c r="K102" t="s">
        <v>491</v>
      </c>
      <c r="O102" t="s">
        <v>584</v>
      </c>
      <c r="S102" t="s">
        <v>585</v>
      </c>
    </row>
    <row r="103" spans="1:21" s="46" customFormat="1" x14ac:dyDescent="0.25">
      <c r="A103" s="234">
        <f t="array" ref="A103:C105">MMULT(K96:M98,A96:C98)</f>
        <v>-3.9990848147774192</v>
      </c>
      <c r="B103" s="235">
        <v>-7.1739407898324573E-2</v>
      </c>
      <c r="C103" s="236">
        <v>4.1428877231058758E-2</v>
      </c>
      <c r="K103" s="234">
        <f>A103</f>
        <v>-3.9990848147774192</v>
      </c>
      <c r="L103" s="235">
        <f>B103</f>
        <v>-7.1739407898324573E-2</v>
      </c>
      <c r="M103" s="236">
        <f>C103</f>
        <v>4.1428877231058758E-2</v>
      </c>
      <c r="O103" s="234">
        <f t="array" ref="O103:Q105">TRANSPOSE(O96:Q98)</f>
        <v>-0.99986273268855808</v>
      </c>
      <c r="P103" s="235">
        <v>1.4348702542283685E-2</v>
      </c>
      <c r="Q103" s="236">
        <v>8.2843536816214897E-3</v>
      </c>
      <c r="S103" s="234">
        <f t="array" ref="S103:U105">MMULT(TRANSPOSE(O103:Q105),O103:Q105)</f>
        <v>1</v>
      </c>
      <c r="T103" s="235">
        <v>-2.6040969172149396E-19</v>
      </c>
      <c r="U103" s="236">
        <v>0</v>
      </c>
    </row>
    <row r="104" spans="1:21" s="46" customFormat="1" x14ac:dyDescent="0.25">
      <c r="A104" s="124">
        <v>4.3307199763922541E-18</v>
      </c>
      <c r="B104" s="3">
        <v>-1.0001716204600719</v>
      </c>
      <c r="C104" s="179">
        <v>1.9820160687655312E-4</v>
      </c>
      <c r="K104" s="124">
        <v>0</v>
      </c>
      <c r="L104" s="3">
        <f>B104</f>
        <v>-1.0001716204600719</v>
      </c>
      <c r="M104" s="179">
        <f>C104</f>
        <v>1.9820160687655312E-4</v>
      </c>
      <c r="O104" s="124">
        <v>-1.4347881579664951E-2</v>
      </c>
      <c r="P104" s="3">
        <v>-0.9998970512827795</v>
      </c>
      <c r="Q104" s="179">
        <v>1.5852500726489275E-4</v>
      </c>
      <c r="S104" s="124">
        <v>-2.6040969172149396E-19</v>
      </c>
      <c r="T104" s="3">
        <v>0.99999999999999933</v>
      </c>
      <c r="U104" s="179">
        <v>4.7433845046240819E-20</v>
      </c>
    </row>
    <row r="105" spans="1:21" s="46" customFormat="1" x14ac:dyDescent="0.25">
      <c r="A105" s="180">
        <v>6.9384648092442987E-18</v>
      </c>
      <c r="B105" s="181">
        <v>-1.3552527156068805E-20</v>
      </c>
      <c r="C105" s="182">
        <v>1.0000572183854581</v>
      </c>
      <c r="K105" s="180">
        <v>0</v>
      </c>
      <c r="L105" s="181">
        <v>0</v>
      </c>
      <c r="M105" s="182">
        <f>C105</f>
        <v>1.0000572183854581</v>
      </c>
      <c r="O105" s="180">
        <v>8.285775446211726E-3</v>
      </c>
      <c r="P105" s="181">
        <v>3.964032137538272E-5</v>
      </c>
      <c r="Q105" s="182">
        <v>0.99996567158772998</v>
      </c>
      <c r="S105" s="180">
        <v>0</v>
      </c>
      <c r="T105" s="181">
        <v>4.7433845046240819E-20</v>
      </c>
      <c r="U105" s="182">
        <v>1</v>
      </c>
    </row>
    <row r="107" spans="1:21" x14ac:dyDescent="0.25">
      <c r="S107" t="s">
        <v>587</v>
      </c>
      <c r="U107">
        <f>MDETERM(O103:Q105)</f>
        <v>0.99999999999999978</v>
      </c>
    </row>
    <row r="109" spans="1:21" ht="18" x14ac:dyDescent="0.35">
      <c r="A109" t="s">
        <v>588</v>
      </c>
      <c r="K109" t="s">
        <v>593</v>
      </c>
      <c r="O109" t="s">
        <v>567</v>
      </c>
    </row>
    <row r="110" spans="1:21" x14ac:dyDescent="0.25">
      <c r="A110" s="225">
        <f t="array" ref="A110:C112">MMULT(K103:M105,O103:Q105)</f>
        <v>3.9999084500595119</v>
      </c>
      <c r="B110" s="226">
        <v>1.4351986223710112E-2</v>
      </c>
      <c r="C110" s="227">
        <v>8.2862495449051166E-3</v>
      </c>
      <c r="K110" s="234">
        <f t="array" ref="K110:M112">MMULT(K84:M86,O103:Q105)</f>
        <v>0.58185193987938966</v>
      </c>
      <c r="L110" s="235">
        <v>-0.70433121131692966</v>
      </c>
      <c r="M110" s="236">
        <v>-0.40665201932785089</v>
      </c>
      <c r="O110" s="217">
        <v>1</v>
      </c>
      <c r="P110" s="218">
        <v>0</v>
      </c>
      <c r="Q110" s="219">
        <v>0</v>
      </c>
    </row>
    <row r="111" spans="1:21" x14ac:dyDescent="0.25">
      <c r="A111" s="228">
        <v>1.4351986223710369E-2</v>
      </c>
      <c r="B111" s="2">
        <v>1.0000686619315207</v>
      </c>
      <c r="C111" s="229">
        <v>3.96425895305072E-5</v>
      </c>
      <c r="K111" s="124">
        <v>0.57508621964823337</v>
      </c>
      <c r="L111" s="3">
        <v>0.70986616706762784</v>
      </c>
      <c r="M111" s="179">
        <v>-0.40665201932785122</v>
      </c>
      <c r="O111" s="123">
        <v>0</v>
      </c>
      <c r="P111" s="37">
        <v>1</v>
      </c>
      <c r="Q111" s="90">
        <v>0</v>
      </c>
    </row>
    <row r="112" spans="1:21" x14ac:dyDescent="0.25">
      <c r="A112" s="230">
        <v>8.2862495449050264E-3</v>
      </c>
      <c r="B112" s="231">
        <v>3.9642589530570863E-5</v>
      </c>
      <c r="C112" s="232">
        <v>1.0000228880089719</v>
      </c>
      <c r="K112" s="180">
        <v>0.57508621964823337</v>
      </c>
      <c r="L112" s="181">
        <v>2.7512937942070345E-3</v>
      </c>
      <c r="M112" s="182">
        <v>0.81808818005955919</v>
      </c>
      <c r="O112" s="91">
        <v>0</v>
      </c>
      <c r="P112" s="92">
        <v>0</v>
      </c>
      <c r="Q112" s="93">
        <v>1</v>
      </c>
    </row>
    <row r="114" spans="1:19" ht="18" x14ac:dyDescent="0.35">
      <c r="A114" t="s">
        <v>568</v>
      </c>
      <c r="E114" t="s">
        <v>569</v>
      </c>
      <c r="G114" t="s">
        <v>570</v>
      </c>
      <c r="I114" t="s">
        <v>571</v>
      </c>
      <c r="K114" t="s">
        <v>572</v>
      </c>
      <c r="O114" t="s">
        <v>573</v>
      </c>
    </row>
    <row r="115" spans="1:19" x14ac:dyDescent="0.25">
      <c r="A115" s="217">
        <f t="array" ref="A115:C117">A110:C112</f>
        <v>3.9999084500595119</v>
      </c>
      <c r="B115" s="218">
        <v>1.4351986223710112E-2</v>
      </c>
      <c r="C115" s="219">
        <v>8.2862495449051166E-3</v>
      </c>
      <c r="E115" s="223">
        <f>A110</f>
        <v>3.9999084500595119</v>
      </c>
      <c r="G115" s="223">
        <f>E115/E119</f>
        <v>0.99999141717261675</v>
      </c>
      <c r="I115" s="223">
        <f>SQRT((1-G115/G119)/2)</f>
        <v>0.9999978542908522</v>
      </c>
      <c r="K115" s="217">
        <f t="array" ref="K115:M117">K$6:M$8-2*MMULT(I115:I117,TRANSPOSE(I115:I117))</f>
        <v>-0.99999141717261697</v>
      </c>
      <c r="L115" s="218">
        <v>-3.5880478821650212E-3</v>
      </c>
      <c r="M115" s="219">
        <v>-2.0715920198954162E-3</v>
      </c>
      <c r="O115" s="217">
        <f t="array" ref="O115:Q117">MMULT(K115:M117,O110:Q112)</f>
        <v>-0.99999141717261697</v>
      </c>
      <c r="P115" s="218">
        <v>-3.5880478821650212E-3</v>
      </c>
      <c r="Q115" s="219">
        <v>-2.0715920198954162E-3</v>
      </c>
    </row>
    <row r="116" spans="1:19" x14ac:dyDescent="0.25">
      <c r="A116" s="123">
        <v>1.4351986223710369E-2</v>
      </c>
      <c r="B116" s="37">
        <v>1.0000686619315207</v>
      </c>
      <c r="C116" s="90">
        <v>3.96425895305072E-5</v>
      </c>
      <c r="E116" s="173">
        <f>A111</f>
        <v>1.4351986223710369E-2</v>
      </c>
      <c r="F116" s="233"/>
      <c r="G116" s="173">
        <f>E116/E119</f>
        <v>3.5880478821650212E-3</v>
      </c>
      <c r="I116" s="173">
        <f>G116/(-2*G119*I115)</f>
        <v>1.7940277905443521E-3</v>
      </c>
      <c r="K116" s="123">
        <v>-3.5880478821650212E-3</v>
      </c>
      <c r="L116" s="37">
        <v>0.99999356292857355</v>
      </c>
      <c r="M116" s="90">
        <v>-3.7165016288938276E-6</v>
      </c>
      <c r="O116" s="123">
        <v>-3.5880478821650212E-3</v>
      </c>
      <c r="P116" s="37">
        <v>0.99999356292857355</v>
      </c>
      <c r="Q116" s="90">
        <v>-3.7165016288938276E-6</v>
      </c>
    </row>
    <row r="117" spans="1:19" x14ac:dyDescent="0.25">
      <c r="A117" s="91">
        <v>8.2862495449050264E-3</v>
      </c>
      <c r="B117" s="92">
        <v>3.9642589530570863E-5</v>
      </c>
      <c r="C117" s="93">
        <v>1.0000228880089719</v>
      </c>
      <c r="E117" s="174">
        <f>A112</f>
        <v>8.2862495449050264E-3</v>
      </c>
      <c r="G117" s="174">
        <f>E117/E119</f>
        <v>2.0715920198954162E-3</v>
      </c>
      <c r="I117" s="174">
        <f>G117/(-2*G119*I115)</f>
        <v>1.0357982324694507E-3</v>
      </c>
      <c r="K117" s="91">
        <v>-2.0715920198954162E-3</v>
      </c>
      <c r="L117" s="92">
        <v>-3.7165016288938276E-6</v>
      </c>
      <c r="M117" s="93">
        <v>0.99999785424404319</v>
      </c>
      <c r="O117" s="91">
        <v>-2.0715920198954162E-3</v>
      </c>
      <c r="P117" s="92">
        <v>-3.7165016288938276E-6</v>
      </c>
      <c r="Q117" s="93">
        <v>0.99999785424404319</v>
      </c>
    </row>
    <row r="119" spans="1:19" x14ac:dyDescent="0.25">
      <c r="D119" s="47" t="s">
        <v>576</v>
      </c>
      <c r="E119">
        <f>SQRT(E115^2+E116^2+E117^2)</f>
        <v>3.9999427808779431</v>
      </c>
      <c r="F119" s="47" t="s">
        <v>468</v>
      </c>
      <c r="G119">
        <f>-SIGN(G115)*SQRT(G115^2+G116^2+G117^2)</f>
        <v>-1</v>
      </c>
    </row>
    <row r="121" spans="1:19" ht="18" x14ac:dyDescent="0.35">
      <c r="A121" t="s">
        <v>577</v>
      </c>
      <c r="E121" t="s">
        <v>578</v>
      </c>
      <c r="G121" t="s">
        <v>579</v>
      </c>
      <c r="I121" t="s">
        <v>580</v>
      </c>
      <c r="K121" t="s">
        <v>581</v>
      </c>
      <c r="O121" t="s">
        <v>582</v>
      </c>
    </row>
    <row r="122" spans="1:19" x14ac:dyDescent="0.25">
      <c r="A122" s="217">
        <f t="array" ref="A122:C124">MMULT(K115:M117,A115:C117)</f>
        <v>-3.999942780877944</v>
      </c>
      <c r="B122" s="218">
        <v>-1.7940239410824871E-2</v>
      </c>
      <c r="C122" s="219">
        <v>-1.0357960099477183E-2</v>
      </c>
      <c r="E122" s="223">
        <f>B122</f>
        <v>-1.7940239410824871E-2</v>
      </c>
      <c r="G122" s="223">
        <f>E122/E126</f>
        <v>-1.793716067479733E-2</v>
      </c>
      <c r="I122" s="223">
        <v>0</v>
      </c>
      <c r="K122" s="217">
        <f t="array" ref="K122:M124">K$6:M$8-2*MMULT(I122:I124,TRANSPOSE(I122:I124))</f>
        <v>1</v>
      </c>
      <c r="L122" s="218">
        <v>0</v>
      </c>
      <c r="M122" s="219">
        <v>0</v>
      </c>
      <c r="O122" s="217">
        <f t="array" ref="O122:Q124">MMULT(K122:M124,O115:Q117)</f>
        <v>-0.99999141717261697</v>
      </c>
      <c r="P122" s="218">
        <v>-3.5880478821650212E-3</v>
      </c>
      <c r="Q122" s="219">
        <v>-2.0715920198954162E-3</v>
      </c>
    </row>
    <row r="123" spans="1:19" x14ac:dyDescent="0.25">
      <c r="A123" s="123">
        <v>5.3801150529429005E-19</v>
      </c>
      <c r="B123" s="37">
        <v>1.0000107286570059</v>
      </c>
      <c r="C123" s="90">
        <v>6.1942875254227318E-6</v>
      </c>
      <c r="E123" s="173">
        <f>B123</f>
        <v>1.0000107286570059</v>
      </c>
      <c r="F123" s="233"/>
      <c r="G123" s="173">
        <f>E123/E126</f>
        <v>0.99983911617248211</v>
      </c>
      <c r="I123" s="173">
        <f>SQRT((1-G123/G126)/2)</f>
        <v>0.99999999999520395</v>
      </c>
      <c r="K123" s="123">
        <v>0</v>
      </c>
      <c r="L123" s="37">
        <v>-0.99999999998081579</v>
      </c>
      <c r="M123" s="90">
        <v>-6.1942210696951396E-6</v>
      </c>
      <c r="O123" s="123">
        <v>3.5880607139951249E-3</v>
      </c>
      <c r="P123" s="37">
        <v>-0.99999356288636865</v>
      </c>
      <c r="Q123" s="90">
        <v>-2.4777061495858522E-6</v>
      </c>
    </row>
    <row r="124" spans="1:19" x14ac:dyDescent="0.25">
      <c r="A124" s="91">
        <v>-1.7347234759768071E-18</v>
      </c>
      <c r="B124" s="92">
        <v>6.1942875254872469E-6</v>
      </c>
      <c r="C124" s="93">
        <v>1.000003576328139</v>
      </c>
      <c r="E124" s="174">
        <f>B124</f>
        <v>6.1942875254872469E-6</v>
      </c>
      <c r="G124" s="174">
        <f>E124/E126</f>
        <v>6.1932245198197669E-6</v>
      </c>
      <c r="I124" s="174">
        <f>G124/(-2*G126*I123)</f>
        <v>3.0971105348624238E-6</v>
      </c>
      <c r="K124" s="91">
        <v>0</v>
      </c>
      <c r="L124" s="92">
        <v>-6.1942210696951396E-6</v>
      </c>
      <c r="M124" s="93">
        <v>0.99999999998081579</v>
      </c>
      <c r="O124" s="91">
        <v>-2.0715697946938837E-3</v>
      </c>
      <c r="P124" s="92">
        <v>-9.9106828258742122E-6</v>
      </c>
      <c r="Q124" s="93">
        <v>0.99999785424787979</v>
      </c>
    </row>
    <row r="126" spans="1:19" x14ac:dyDescent="0.25">
      <c r="D126" s="47" t="s">
        <v>576</v>
      </c>
      <c r="E126">
        <f>SQRT(E122^2+E123^2+E124^2)</f>
        <v>1.0001716400986398</v>
      </c>
      <c r="F126" s="47" t="s">
        <v>468</v>
      </c>
      <c r="G126">
        <f>-SIGN(G123)*SQRT(G123^2+G124^2)</f>
        <v>-0.99983911619166321</v>
      </c>
    </row>
    <row r="128" spans="1:19" ht="18.75" x14ac:dyDescent="0.35">
      <c r="A128" t="s">
        <v>583</v>
      </c>
      <c r="K128" t="s">
        <v>491</v>
      </c>
      <c r="O128" t="s">
        <v>584</v>
      </c>
      <c r="S128" t="s">
        <v>585</v>
      </c>
    </row>
    <row r="129" spans="1:21" s="46" customFormat="1" x14ac:dyDescent="0.25">
      <c r="A129" s="234">
        <f t="array" ref="A129:C131">MMULT(K122:M124,A122:C124)</f>
        <v>-3.999942780877944</v>
      </c>
      <c r="B129" s="235">
        <v>-1.7940239410824871E-2</v>
      </c>
      <c r="C129" s="236">
        <v>-1.0357960099477183E-2</v>
      </c>
      <c r="K129" s="234">
        <f>A129</f>
        <v>-3.999942780877944</v>
      </c>
      <c r="L129" s="235">
        <f>B129</f>
        <v>-1.7940239410824871E-2</v>
      </c>
      <c r="M129" s="236">
        <f>C129</f>
        <v>-1.0357960099477183E-2</v>
      </c>
      <c r="O129" s="234">
        <f t="array" ref="O129:Q131">TRANSPOSE(O122:Q124)</f>
        <v>-0.99999141717261697</v>
      </c>
      <c r="P129" s="235">
        <v>3.5880607139951249E-3</v>
      </c>
      <c r="Q129" s="236">
        <v>-2.0715697946938837E-3</v>
      </c>
      <c r="S129" s="234">
        <f t="array" ref="S129:U131">MMULT(TRANSPOSE(O129:Q131),O129:Q131)</f>
        <v>1.0000000000000004</v>
      </c>
      <c r="T129" s="235">
        <v>-6.9746463043429953E-19</v>
      </c>
      <c r="U129" s="236">
        <v>8.6736173798840355E-19</v>
      </c>
    </row>
    <row r="130" spans="1:21" s="46" customFormat="1" x14ac:dyDescent="0.25">
      <c r="A130" s="124">
        <v>-5.3800076002326374E-19</v>
      </c>
      <c r="B130" s="3">
        <v>-1.0000107286761903</v>
      </c>
      <c r="C130" s="179">
        <v>-1.238853074756615E-5</v>
      </c>
      <c r="K130" s="124">
        <v>0</v>
      </c>
      <c r="L130" s="3">
        <f>B130</f>
        <v>-1.0000107286761903</v>
      </c>
      <c r="M130" s="179">
        <f>C130</f>
        <v>-1.238853074756615E-5</v>
      </c>
      <c r="O130" s="124">
        <v>-3.5880478821650212E-3</v>
      </c>
      <c r="P130" s="3">
        <v>-0.99999356288636865</v>
      </c>
      <c r="Q130" s="179">
        <v>-9.9106828258742122E-6</v>
      </c>
      <c r="S130" s="124">
        <v>-6.9746463043429953E-19</v>
      </c>
      <c r="T130" s="3">
        <v>1</v>
      </c>
      <c r="U130" s="179">
        <v>-1.6940658945086007E-21</v>
      </c>
    </row>
    <row r="131" spans="1:21" s="46" customFormat="1" x14ac:dyDescent="0.25">
      <c r="A131" s="180">
        <v>-1.7347268085057297E-18</v>
      </c>
      <c r="B131" s="181">
        <v>-8.4703294725430034E-22</v>
      </c>
      <c r="C131" s="182">
        <v>1.0000035762705859</v>
      </c>
      <c r="K131" s="180">
        <v>0</v>
      </c>
      <c r="L131" s="181">
        <v>0</v>
      </c>
      <c r="M131" s="182">
        <f>C131</f>
        <v>1.0000035762705859</v>
      </c>
      <c r="O131" s="180">
        <v>-2.0715920198954162E-3</v>
      </c>
      <c r="P131" s="181">
        <v>-2.4777061495858522E-6</v>
      </c>
      <c r="Q131" s="182">
        <v>0.99999785424787979</v>
      </c>
      <c r="S131" s="180">
        <v>8.6736173798840355E-19</v>
      </c>
      <c r="T131" s="181">
        <v>-1.6940658945086007E-21</v>
      </c>
      <c r="U131" s="182">
        <v>0.99999999999999967</v>
      </c>
    </row>
    <row r="133" spans="1:21" x14ac:dyDescent="0.25">
      <c r="S133" t="s">
        <v>587</v>
      </c>
      <c r="U133">
        <f>MDETERM(O129:Q131)</f>
        <v>0.99999999999999989</v>
      </c>
    </row>
    <row r="135" spans="1:21" ht="18" x14ac:dyDescent="0.35">
      <c r="A135" t="s">
        <v>588</v>
      </c>
      <c r="K135" t="s">
        <v>593</v>
      </c>
      <c r="O135" t="s">
        <v>567</v>
      </c>
    </row>
    <row r="136" spans="1:21" x14ac:dyDescent="0.25">
      <c r="A136" s="225">
        <f t="array" ref="A136:C138">MMULT(K129:M131,O129:Q131)</f>
        <v>3.9999942779650217</v>
      </c>
      <c r="B136" s="226">
        <v>3.5881120411500851E-3</v>
      </c>
      <c r="C136" s="227">
        <v>-2.0715994284691112E-3</v>
      </c>
      <c r="K136" s="234">
        <f t="array" ref="K136:M138">MMULT(K110:M112,O129:Q131)</f>
        <v>-0.57847735475540474</v>
      </c>
      <c r="L136" s="235">
        <v>0.70641540510794043</v>
      </c>
      <c r="M136" s="236">
        <v>-0.40784951325381669</v>
      </c>
      <c r="O136" s="217">
        <v>1</v>
      </c>
      <c r="P136" s="218">
        <v>0</v>
      </c>
      <c r="Q136" s="219">
        <v>0</v>
      </c>
    </row>
    <row r="137" spans="1:21" x14ac:dyDescent="0.25">
      <c r="A137" s="228">
        <v>3.5881120411503393E-3</v>
      </c>
      <c r="B137" s="2">
        <v>1.0000042915241925</v>
      </c>
      <c r="C137" s="229">
        <v>-2.4777150104689556E-6</v>
      </c>
      <c r="K137" s="124">
        <v>-0.57678590050173351</v>
      </c>
      <c r="L137" s="3">
        <v>-0.70779714574235852</v>
      </c>
      <c r="M137" s="179">
        <v>-0.40784951325381719</v>
      </c>
      <c r="O137" s="123">
        <v>0</v>
      </c>
      <c r="P137" s="37">
        <v>1</v>
      </c>
      <c r="Q137" s="90">
        <v>0</v>
      </c>
    </row>
    <row r="138" spans="1:21" x14ac:dyDescent="0.25">
      <c r="A138" s="230">
        <v>-2.0715994284690228E-3</v>
      </c>
      <c r="B138" s="231">
        <v>-2.4777150105334754E-6</v>
      </c>
      <c r="C138" s="232">
        <v>1.0000014305107918</v>
      </c>
      <c r="K138" s="180">
        <v>-0.57678590050173351</v>
      </c>
      <c r="L138" s="181">
        <v>-6.8985879405108726E-4</v>
      </c>
      <c r="M138" s="182">
        <v>0.8168950661359442</v>
      </c>
      <c r="O138" s="91">
        <v>0</v>
      </c>
      <c r="P138" s="92">
        <v>0</v>
      </c>
      <c r="Q138" s="93">
        <v>1</v>
      </c>
    </row>
    <row r="140" spans="1:21" ht="18" x14ac:dyDescent="0.35">
      <c r="A140" t="s">
        <v>568</v>
      </c>
      <c r="E140" t="s">
        <v>569</v>
      </c>
      <c r="G140" t="s">
        <v>570</v>
      </c>
      <c r="I140" t="s">
        <v>571</v>
      </c>
      <c r="K140" t="s">
        <v>572</v>
      </c>
      <c r="O140" t="s">
        <v>573</v>
      </c>
    </row>
    <row r="141" spans="1:21" x14ac:dyDescent="0.25">
      <c r="A141" s="217">
        <f t="array" ref="A141:C143">A136:C138</f>
        <v>3.9999942779650217</v>
      </c>
      <c r="B141" s="218">
        <v>3.5881120411500851E-3</v>
      </c>
      <c r="C141" s="219">
        <v>-2.0715994284691112E-3</v>
      </c>
      <c r="E141" s="223">
        <f>A136</f>
        <v>3.9999942779650217</v>
      </c>
      <c r="G141" s="223">
        <f>E141/E145</f>
        <v>0.99999946355914027</v>
      </c>
      <c r="I141" s="223">
        <f>SQRT((1-G141/G145)/2)</f>
        <v>0.99999986588977607</v>
      </c>
      <c r="K141" s="217">
        <f t="array" ref="K141:M143">K$6:M$8-2*MMULT(I141:I143,TRANSPOSE(I141:I143))</f>
        <v>-0.99999946355914027</v>
      </c>
      <c r="L141" s="218">
        <v>-8.9702881229266793E-4</v>
      </c>
      <c r="M141" s="219">
        <v>5.1790032015554786E-4</v>
      </c>
      <c r="O141" s="217">
        <f t="array" ref="O141:Q143">MMULT(K141:M143,O136:Q138)</f>
        <v>-0.99999946355914027</v>
      </c>
      <c r="P141" s="218">
        <v>-8.9702881229266793E-4</v>
      </c>
      <c r="Q141" s="219">
        <v>5.1790032015554786E-4</v>
      </c>
    </row>
    <row r="142" spans="1:21" x14ac:dyDescent="0.25">
      <c r="A142" s="123">
        <v>3.5881120411503393E-3</v>
      </c>
      <c r="B142" s="37">
        <v>1.0000042915241925</v>
      </c>
      <c r="C142" s="90">
        <v>-2.4777150104689556E-6</v>
      </c>
      <c r="E142" s="173">
        <f>A137</f>
        <v>3.5881120411503393E-3</v>
      </c>
      <c r="F142" s="233"/>
      <c r="G142" s="173">
        <f>E142/E145</f>
        <v>8.9702881229266793E-4</v>
      </c>
      <c r="I142" s="173">
        <f>G142/(-2*G145*I141)</f>
        <v>4.4851446629670948E-4</v>
      </c>
      <c r="K142" s="123">
        <v>-8.9702881229266793E-4</v>
      </c>
      <c r="L142" s="37">
        <v>0.99999959766954705</v>
      </c>
      <c r="M142" s="90">
        <v>2.322858168413634E-7</v>
      </c>
      <c r="O142" s="123">
        <v>-8.9702881229266793E-4</v>
      </c>
      <c r="P142" s="37">
        <v>0.99999959766954705</v>
      </c>
      <c r="Q142" s="90">
        <v>2.322858168413634E-7</v>
      </c>
    </row>
    <row r="143" spans="1:21" x14ac:dyDescent="0.25">
      <c r="A143" s="91">
        <v>-2.0715994284690228E-3</v>
      </c>
      <c r="B143" s="92">
        <v>-2.4777150105334754E-6</v>
      </c>
      <c r="C143" s="93">
        <v>1.0000014305107918</v>
      </c>
      <c r="E143" s="174">
        <f>A138</f>
        <v>-2.0715994284690228E-3</v>
      </c>
      <c r="G143" s="174">
        <f>E143/E145</f>
        <v>-5.1790032015554786E-4</v>
      </c>
      <c r="I143" s="174">
        <f>G143/(-2*G145*I141)</f>
        <v>-2.5895019480564252E-4</v>
      </c>
      <c r="K143" s="91">
        <v>5.1790032015554786E-4</v>
      </c>
      <c r="L143" s="92">
        <v>2.322858168413634E-7</v>
      </c>
      <c r="M143" s="93">
        <v>0.99999986588959322</v>
      </c>
      <c r="O143" s="91">
        <v>5.1790032015554786E-4</v>
      </c>
      <c r="P143" s="92">
        <v>2.322858168413634E-7</v>
      </c>
      <c r="Q143" s="93">
        <v>0.99999986588959322</v>
      </c>
    </row>
    <row r="145" spans="1:21" x14ac:dyDescent="0.25">
      <c r="D145" s="47" t="s">
        <v>576</v>
      </c>
      <c r="E145">
        <f>SQRT(E141^2+E142^2+E143^2)</f>
        <v>3.9999964237265422</v>
      </c>
      <c r="F145" s="47" t="s">
        <v>468</v>
      </c>
      <c r="G145">
        <f>-SIGN(G141)*SQRT(G141^2+G142^2+G143^2)</f>
        <v>-1</v>
      </c>
    </row>
    <row r="147" spans="1:21" ht="18" x14ac:dyDescent="0.35">
      <c r="A147" t="s">
        <v>577</v>
      </c>
      <c r="E147" t="s">
        <v>578</v>
      </c>
      <c r="G147" t="s">
        <v>579</v>
      </c>
      <c r="I147" t="s">
        <v>580</v>
      </c>
      <c r="K147" t="s">
        <v>581</v>
      </c>
      <c r="O147" t="s">
        <v>582</v>
      </c>
    </row>
    <row r="148" spans="1:21" x14ac:dyDescent="0.25">
      <c r="A148" s="217">
        <f t="array" ref="A148:C150">MMULT(K141:M143,A141:C143)</f>
        <v>-3.9999964237265422</v>
      </c>
      <c r="B148" s="218">
        <v>-4.4851440614630915E-3</v>
      </c>
      <c r="C148" s="219">
        <v>2.5895016007778313E-3</v>
      </c>
      <c r="E148" s="223">
        <f>B148</f>
        <v>-4.4851440614630915E-3</v>
      </c>
      <c r="G148" s="223">
        <f>E148/E152</f>
        <v>-4.4850959419768747E-3</v>
      </c>
      <c r="I148" s="223">
        <v>0</v>
      </c>
      <c r="K148" s="217">
        <f t="array" ref="K148:M150">K$6:M$8-2*MMULT(I148:I150,TRANSPOSE(I148:I150))</f>
        <v>1</v>
      </c>
      <c r="L148" s="218">
        <v>0</v>
      </c>
      <c r="M148" s="219">
        <v>0</v>
      </c>
      <c r="O148" s="217">
        <f t="array" ref="O148:Q150">MMULT(K148:M150,O141:Q143)</f>
        <v>-0.99999946355914027</v>
      </c>
      <c r="P148" s="218">
        <v>-8.9702881229266793E-4</v>
      </c>
      <c r="Q148" s="219">
        <v>5.1790032015554786E-4</v>
      </c>
    </row>
    <row r="149" spans="1:21" x14ac:dyDescent="0.25">
      <c r="A149" s="123">
        <v>-4.2163112221598868E-19</v>
      </c>
      <c r="B149" s="37">
        <v>1.0000006705515547</v>
      </c>
      <c r="C149" s="90">
        <v>-3.8714348961420557E-7</v>
      </c>
      <c r="E149" s="173">
        <f>B149</f>
        <v>1.0000006705515547</v>
      </c>
      <c r="F149" s="233"/>
      <c r="G149" s="173">
        <f>E149/E152</f>
        <v>0.99998994190653812</v>
      </c>
      <c r="I149" s="173">
        <f>SQRT((1-G149/G152)/2)</f>
        <v>0.99999999999998124</v>
      </c>
      <c r="K149" s="123">
        <v>0</v>
      </c>
      <c r="L149" s="37">
        <v>-0.99999999999992495</v>
      </c>
      <c r="M149" s="90">
        <v>3.8714323007941223E-7</v>
      </c>
      <c r="O149" s="123">
        <v>8.9702901279420345E-4</v>
      </c>
      <c r="P149" s="37">
        <v>-0.99999959766938207</v>
      </c>
      <c r="Q149" s="90">
        <v>1.5485736131813018E-7</v>
      </c>
    </row>
    <row r="150" spans="1:21" x14ac:dyDescent="0.25">
      <c r="A150" s="91">
        <v>-4.3368086899420177E-19</v>
      </c>
      <c r="B150" s="92">
        <v>-3.8714348967893604E-7</v>
      </c>
      <c r="C150" s="93">
        <v>1.0000002235176104</v>
      </c>
      <c r="E150" s="174">
        <f>B150</f>
        <v>-3.8714348967893604E-7</v>
      </c>
      <c r="G150" s="174">
        <f>E150/E152</f>
        <v>-3.8713933615664994E-7</v>
      </c>
      <c r="I150" s="174">
        <f>G150/(-2*G152*I149)</f>
        <v>-1.9357161503970974E-7</v>
      </c>
      <c r="K150" s="91">
        <v>0</v>
      </c>
      <c r="L150" s="92">
        <v>3.8714323007941223E-7</v>
      </c>
      <c r="M150" s="93">
        <v>0.99999999999992506</v>
      </c>
      <c r="O150" s="91">
        <v>5.178999728768772E-4</v>
      </c>
      <c r="P150" s="92">
        <v>6.1942889116124705E-7</v>
      </c>
      <c r="Q150" s="93">
        <v>0.99999986588960821</v>
      </c>
    </row>
    <row r="152" spans="1:21" x14ac:dyDescent="0.25">
      <c r="D152" s="47" t="s">
        <v>576</v>
      </c>
      <c r="E152">
        <f>SQRT(E148^2+E149^2+E150^2)</f>
        <v>1.0000107287529274</v>
      </c>
      <c r="F152" s="47" t="s">
        <v>468</v>
      </c>
      <c r="G152">
        <f>-SIGN(G149)*SQRT(G149^2+G150^2)</f>
        <v>-0.99998994190661306</v>
      </c>
    </row>
    <row r="154" spans="1:21" ht="18.75" x14ac:dyDescent="0.35">
      <c r="A154" t="s">
        <v>583</v>
      </c>
      <c r="K154" t="s">
        <v>491</v>
      </c>
      <c r="O154" t="s">
        <v>584</v>
      </c>
      <c r="S154" t="s">
        <v>585</v>
      </c>
    </row>
    <row r="155" spans="1:21" s="46" customFormat="1" x14ac:dyDescent="0.25">
      <c r="A155" s="234">
        <f t="array" ref="A155:C157">MMULT(K148:M150,A148:C150)</f>
        <v>-3.9999964237265422</v>
      </c>
      <c r="B155" s="235">
        <v>-4.4851440614630915E-3</v>
      </c>
      <c r="C155" s="236">
        <v>2.5895016007778313E-3</v>
      </c>
      <c r="K155" s="234">
        <f>A155</f>
        <v>-3.9999964237265422</v>
      </c>
      <c r="L155" s="235">
        <f>B155</f>
        <v>-4.4851440614630915E-3</v>
      </c>
      <c r="M155" s="236">
        <f>C155</f>
        <v>2.5895016007778313E-3</v>
      </c>
      <c r="O155" s="234">
        <f t="array" ref="O155:Q157">TRANSPOSE(O148:Q150)</f>
        <v>-0.99999946355914027</v>
      </c>
      <c r="P155" s="235">
        <v>8.9702901279420345E-4</v>
      </c>
      <c r="Q155" s="236">
        <v>5.178999728768772E-4</v>
      </c>
      <c r="S155" s="234">
        <f t="array" ref="S155:U157">MMULT(TRANSPOSE(O155:Q157),O155:Q157)</f>
        <v>1</v>
      </c>
      <c r="T155" s="235">
        <v>-4.0582928417923506E-20</v>
      </c>
      <c r="U155" s="236">
        <v>0</v>
      </c>
    </row>
    <row r="156" spans="1:21" s="46" customFormat="1" x14ac:dyDescent="0.25">
      <c r="A156" s="124">
        <v>4.2163095431934462E-19</v>
      </c>
      <c r="B156" s="3">
        <v>-1.0000006705516296</v>
      </c>
      <c r="C156" s="179">
        <v>7.7428680622691837E-7</v>
      </c>
      <c r="K156" s="124">
        <v>0</v>
      </c>
      <c r="L156" s="3">
        <f>B156</f>
        <v>-1.0000006705516296</v>
      </c>
      <c r="M156" s="179">
        <f>C156</f>
        <v>7.7428680622691837E-7</v>
      </c>
      <c r="O156" s="124">
        <v>-8.9702881229266793E-4</v>
      </c>
      <c r="P156" s="3">
        <v>-0.99999959766938207</v>
      </c>
      <c r="Q156" s="179">
        <v>6.1942889116124705E-7</v>
      </c>
      <c r="S156" s="124">
        <v>-4.0582928417923506E-20</v>
      </c>
      <c r="T156" s="3">
        <v>0.99999999999999978</v>
      </c>
      <c r="U156" s="179">
        <v>2.1175823681357508E-22</v>
      </c>
    </row>
    <row r="157" spans="1:21" s="46" customFormat="1" x14ac:dyDescent="0.25">
      <c r="A157" s="180">
        <v>-4.3368103222580382E-19</v>
      </c>
      <c r="B157" s="181">
        <v>0</v>
      </c>
      <c r="C157" s="182">
        <v>1.0000002235173857</v>
      </c>
      <c r="K157" s="180">
        <v>0</v>
      </c>
      <c r="L157" s="181">
        <v>0</v>
      </c>
      <c r="M157" s="182">
        <f>C157</f>
        <v>1.0000002235173857</v>
      </c>
      <c r="O157" s="180">
        <v>5.1790032015554786E-4</v>
      </c>
      <c r="P157" s="181">
        <v>1.5485736131813018E-7</v>
      </c>
      <c r="Q157" s="182">
        <v>0.99999986588960821</v>
      </c>
      <c r="S157" s="180">
        <v>0</v>
      </c>
      <c r="T157" s="181">
        <v>2.1175823681357508E-22</v>
      </c>
      <c r="U157" s="182">
        <v>1</v>
      </c>
    </row>
    <row r="159" spans="1:21" x14ac:dyDescent="0.25">
      <c r="S159" t="s">
        <v>587</v>
      </c>
      <c r="U159">
        <f>MDETERM(O155:Q157)</f>
        <v>1</v>
      </c>
    </row>
    <row r="161" spans="1:17" ht="18" x14ac:dyDescent="0.35">
      <c r="A161" t="s">
        <v>588</v>
      </c>
      <c r="K161" t="s">
        <v>593</v>
      </c>
      <c r="O161" t="s">
        <v>567</v>
      </c>
    </row>
    <row r="162" spans="1:17" x14ac:dyDescent="0.25">
      <c r="A162" s="225">
        <f t="array" ref="A162:C164">MMULT(K155:M157,O155:Q157)</f>
        <v>3.9999996423721802</v>
      </c>
      <c r="B162" s="226">
        <v>8.9702981479992993E-4</v>
      </c>
      <c r="C162" s="227">
        <v>5.1790043591536192E-4</v>
      </c>
      <c r="K162" s="234">
        <f t="array" ref="K162:M164">MMULT(K136:M138,O155:Q157)</f>
        <v>0.57763214407119667</v>
      </c>
      <c r="L162" s="235">
        <v>-0.70693409502435345</v>
      </c>
      <c r="M162" s="236">
        <v>-0.40814861438918532</v>
      </c>
      <c r="O162" s="217">
        <v>1</v>
      </c>
      <c r="P162" s="218">
        <v>0</v>
      </c>
      <c r="Q162" s="219">
        <v>0</v>
      </c>
    </row>
    <row r="163" spans="1:17" x14ac:dyDescent="0.25">
      <c r="A163" s="228">
        <v>8.9702981480018461E-4</v>
      </c>
      <c r="B163" s="2">
        <v>1.0000002682208617</v>
      </c>
      <c r="C163" s="229">
        <v>1.5485739586671209E-7</v>
      </c>
      <c r="K163" s="124">
        <v>0.57720928012970907</v>
      </c>
      <c r="L163" s="3">
        <v>0.70727940412847534</v>
      </c>
      <c r="M163" s="179">
        <v>-0.40814861438918598</v>
      </c>
      <c r="O163" s="123">
        <v>0</v>
      </c>
      <c r="P163" s="37">
        <v>1</v>
      </c>
      <c r="Q163" s="90">
        <v>0</v>
      </c>
    </row>
    <row r="164" spans="1:17" x14ac:dyDescent="0.25">
      <c r="A164" s="230">
        <v>5.1790043591527345E-4</v>
      </c>
      <c r="B164" s="231">
        <v>1.5485739593144274E-7</v>
      </c>
      <c r="C164" s="232">
        <v>1.0000000894069641</v>
      </c>
      <c r="K164" s="180">
        <v>0.57720928012970907</v>
      </c>
      <c r="L164" s="181">
        <v>1.7259133179350225E-4</v>
      </c>
      <c r="M164" s="182">
        <v>0.81659623875228282</v>
      </c>
      <c r="O164" s="91">
        <v>0</v>
      </c>
      <c r="P164" s="92">
        <v>0</v>
      </c>
      <c r="Q164" s="93">
        <v>1</v>
      </c>
    </row>
    <row r="166" spans="1:17" ht="18" x14ac:dyDescent="0.35">
      <c r="A166" t="s">
        <v>568</v>
      </c>
      <c r="E166" t="s">
        <v>569</v>
      </c>
      <c r="G166" t="s">
        <v>570</v>
      </c>
      <c r="I166" t="s">
        <v>571</v>
      </c>
      <c r="K166" t="s">
        <v>572</v>
      </c>
      <c r="O166" t="s">
        <v>573</v>
      </c>
    </row>
    <row r="167" spans="1:17" x14ac:dyDescent="0.25">
      <c r="A167" s="217">
        <f t="array" ref="A167:C169">A162:C164</f>
        <v>3.9999996423721802</v>
      </c>
      <c r="B167" s="218">
        <v>8.9702981479992993E-4</v>
      </c>
      <c r="C167" s="219">
        <v>5.1790043591536192E-4</v>
      </c>
      <c r="E167" s="223">
        <f>A162</f>
        <v>3.9999996423721802</v>
      </c>
      <c r="G167" s="223">
        <f>E167/E171</f>
        <v>0.99999996647239098</v>
      </c>
      <c r="I167" s="223">
        <f>SQRT((1-G167/G171)/2)</f>
        <v>0.99999999161809772</v>
      </c>
      <c r="K167" s="217">
        <f t="array" ref="K167:M169">K$6:M$8-2*MMULT(I167:I169,TRANSPOSE(I167:I169))</f>
        <v>-0.99999996647239109</v>
      </c>
      <c r="L167" s="218">
        <v>-2.2425746623140711E-4</v>
      </c>
      <c r="M167" s="219">
        <v>-1.2947511621380341E-4</v>
      </c>
      <c r="O167" s="217">
        <f t="array" ref="O167:Q169">MMULT(K167:M169,O162:Q164)</f>
        <v>-0.99999996647239109</v>
      </c>
      <c r="P167" s="218">
        <v>-2.2425746623140711E-4</v>
      </c>
      <c r="Q167" s="219">
        <v>-1.2947511621380341E-4</v>
      </c>
    </row>
    <row r="168" spans="1:17" x14ac:dyDescent="0.25">
      <c r="A168" s="123">
        <v>8.9702981480018461E-4</v>
      </c>
      <c r="B168" s="37">
        <v>1.0000002682208617</v>
      </c>
      <c r="C168" s="90">
        <v>1.5485739586671209E-7</v>
      </c>
      <c r="E168" s="173">
        <f>A163</f>
        <v>8.9702981480018461E-4</v>
      </c>
      <c r="F168" s="233"/>
      <c r="G168" s="173">
        <f>E168/E171</f>
        <v>2.2425746623140711E-4</v>
      </c>
      <c r="I168" s="173">
        <f>G168/(-2*G171*I167)</f>
        <v>1.1212873405555565E-4</v>
      </c>
      <c r="K168" s="123">
        <v>-2.2425746623140711E-4</v>
      </c>
      <c r="L168" s="37">
        <v>0.99999997485429404</v>
      </c>
      <c r="M168" s="90">
        <v>-1.4517880994437182E-8</v>
      </c>
      <c r="O168" s="123">
        <v>-2.2425746623140711E-4</v>
      </c>
      <c r="P168" s="37">
        <v>0.99999997485429404</v>
      </c>
      <c r="Q168" s="90">
        <v>-1.4517880994437182E-8</v>
      </c>
    </row>
    <row r="169" spans="1:17" x14ac:dyDescent="0.25">
      <c r="A169" s="91">
        <v>5.1790043591527345E-4</v>
      </c>
      <c r="B169" s="92">
        <v>1.5485739593144274E-7</v>
      </c>
      <c r="C169" s="93">
        <v>1.0000000894069641</v>
      </c>
      <c r="E169" s="174">
        <f>A164</f>
        <v>5.1790043591527345E-4</v>
      </c>
      <c r="G169" s="174">
        <f>E169/E171</f>
        <v>1.2947511621380341E-4</v>
      </c>
      <c r="I169" s="174">
        <f>G169/(-2*G171*I167)</f>
        <v>6.4737558649525593E-5</v>
      </c>
      <c r="K169" s="91">
        <v>-1.2947511621380341E-4</v>
      </c>
      <c r="L169" s="92">
        <v>-1.4517880994437182E-8</v>
      </c>
      <c r="M169" s="93">
        <v>0.99999999161809705</v>
      </c>
      <c r="O169" s="91">
        <v>-1.2947511621380341E-4</v>
      </c>
      <c r="P169" s="92">
        <v>-1.4517880994437182E-8</v>
      </c>
      <c r="Q169" s="93">
        <v>0.99999999161809705</v>
      </c>
    </row>
    <row r="171" spans="1:17" x14ac:dyDescent="0.25">
      <c r="D171" s="47" t="s">
        <v>576</v>
      </c>
      <c r="E171">
        <f>SQRT(E167^2+E168^2+E169^2)</f>
        <v>3.9999997764826087</v>
      </c>
      <c r="F171" s="47" t="s">
        <v>468</v>
      </c>
      <c r="G171">
        <f>-SIGN(G167)*SQRT(G167^2+G168^2+G169^2)</f>
        <v>-1</v>
      </c>
    </row>
    <row r="173" spans="1:17" ht="18" x14ac:dyDescent="0.35">
      <c r="A173" t="s">
        <v>577</v>
      </c>
      <c r="E173" t="s">
        <v>578</v>
      </c>
      <c r="G173" t="s">
        <v>579</v>
      </c>
      <c r="I173" t="s">
        <v>580</v>
      </c>
      <c r="K173" t="s">
        <v>581</v>
      </c>
      <c r="O173" t="s">
        <v>582</v>
      </c>
    </row>
    <row r="174" spans="1:17" x14ac:dyDescent="0.25">
      <c r="A174" s="217">
        <f t="array" ref="A174:C176">MMULT(K167:M169,A167:C169)</f>
        <v>-3.9999997764826092</v>
      </c>
      <c r="B174" s="218">
        <v>-1.1212873311567824E-3</v>
      </c>
      <c r="C174" s="219">
        <v>-6.4737558106910641E-4</v>
      </c>
      <c r="E174" s="223">
        <f>B174</f>
        <v>-1.1212873311567824E-3</v>
      </c>
      <c r="G174" s="223">
        <f>E174/E178</f>
        <v>-1.1212865792759035E-3</v>
      </c>
      <c r="I174" s="223">
        <v>0</v>
      </c>
      <c r="K174" s="217">
        <f t="array" ref="K174:M176">K$6:M$8-2*MMULT(I174:I176,TRANSPOSE(I174:I176))</f>
        <v>1</v>
      </c>
      <c r="L174" s="218">
        <v>0</v>
      </c>
      <c r="M174" s="219">
        <v>0</v>
      </c>
      <c r="O174" s="217">
        <f t="array" ref="O174:Q176">MMULT(K174:M176,O167:Q169)</f>
        <v>-0.99999996647239109</v>
      </c>
      <c r="P174" s="218">
        <v>-2.2425746623140711E-4</v>
      </c>
      <c r="Q174" s="219">
        <v>-1.2947511621380341E-4</v>
      </c>
    </row>
    <row r="175" spans="1:17" x14ac:dyDescent="0.25">
      <c r="A175" s="123">
        <v>5.3671187530499853E-20</v>
      </c>
      <c r="B175" s="37">
        <v>1.0000000419095134</v>
      </c>
      <c r="C175" s="90">
        <v>2.4196470161756384E-8</v>
      </c>
      <c r="E175" s="173">
        <f>B175</f>
        <v>1.0000000419095134</v>
      </c>
      <c r="F175" s="233"/>
      <c r="G175" s="173">
        <f>E175/E178</f>
        <v>0.99999937135800565</v>
      </c>
      <c r="I175" s="173">
        <f>SQRT((1-G175/G178)/2)</f>
        <v>0.99999999999999989</v>
      </c>
      <c r="K175" s="123">
        <v>0</v>
      </c>
      <c r="L175" s="37">
        <v>-0.99999999999999956</v>
      </c>
      <c r="M175" s="90">
        <v>-2.4196469212477627E-8</v>
      </c>
      <c r="O175" s="123">
        <v>2.2425746936424767E-4</v>
      </c>
      <c r="P175" s="37">
        <v>-0.99999997485429326</v>
      </c>
      <c r="Q175" s="90">
        <v>-9.6785880152279943E-9</v>
      </c>
    </row>
    <row r="176" spans="1:17" x14ac:dyDescent="0.25">
      <c r="A176" s="91">
        <v>0</v>
      </c>
      <c r="B176" s="92">
        <v>2.4196470226539886E-8</v>
      </c>
      <c r="C176" s="93">
        <v>1.0000000139698391</v>
      </c>
      <c r="E176" s="174">
        <f>B176</f>
        <v>2.4196470226539886E-8</v>
      </c>
      <c r="G176" s="174">
        <f>E176/E178</f>
        <v>2.4196454001560972E-8</v>
      </c>
      <c r="I176" s="174">
        <f>G176/(-2*G178*I175)</f>
        <v>1.2098234606238815E-8</v>
      </c>
      <c r="K176" s="91">
        <v>0</v>
      </c>
      <c r="L176" s="92">
        <v>-2.4196469212477627E-8</v>
      </c>
      <c r="M176" s="93">
        <v>0.99999999999999967</v>
      </c>
      <c r="O176" s="91">
        <v>-1.2947511078756447E-4</v>
      </c>
      <c r="P176" s="92">
        <v>-3.8714349598477502E-8</v>
      </c>
      <c r="Q176" s="93">
        <v>0.99999999161809705</v>
      </c>
    </row>
    <row r="178" spans="1:21" x14ac:dyDescent="0.25">
      <c r="D178" s="47" t="s">
        <v>576</v>
      </c>
      <c r="E178">
        <f>SQRT(E174^2+E175^2+E176^2)</f>
        <v>1.0000006705519293</v>
      </c>
      <c r="F178" s="47" t="s">
        <v>468</v>
      </c>
      <c r="G178">
        <f>-SIGN(G175)*SQRT(G175^2+G176^2)</f>
        <v>-0.99999937135800598</v>
      </c>
    </row>
    <row r="180" spans="1:21" ht="18.75" x14ac:dyDescent="0.35">
      <c r="A180" t="s">
        <v>583</v>
      </c>
      <c r="K180" t="s">
        <v>491</v>
      </c>
      <c r="O180" t="s">
        <v>584</v>
      </c>
      <c r="S180" t="s">
        <v>585</v>
      </c>
    </row>
    <row r="181" spans="1:21" s="46" customFormat="1" x14ac:dyDescent="0.25">
      <c r="A181" s="234">
        <f t="array" ref="A181:C183">MMULT(K174:M176,A174:C176)</f>
        <v>-3.9999997764826092</v>
      </c>
      <c r="B181" s="235">
        <v>-1.1212873311567824E-3</v>
      </c>
      <c r="C181" s="236">
        <v>-6.4737558106910641E-4</v>
      </c>
      <c r="K181" s="234">
        <f>A181</f>
        <v>-3.9999997764826092</v>
      </c>
      <c r="L181" s="235">
        <f>B181</f>
        <v>-1.1212873311567824E-3</v>
      </c>
      <c r="M181" s="236">
        <f>C181</f>
        <v>-6.4737558106910641E-4</v>
      </c>
      <c r="O181" s="234">
        <f t="array" ref="O181:Q183">TRANSPOSE(O174:Q176)</f>
        <v>-0.99999996647239109</v>
      </c>
      <c r="P181" s="235">
        <v>2.2425746936424767E-4</v>
      </c>
      <c r="Q181" s="236">
        <v>-1.2947511078756447E-4</v>
      </c>
      <c r="S181" s="234">
        <f t="array" ref="S181:U183">MMULT(TRANSPOSE(O181:Q183),O181:Q183)</f>
        <v>1.0000000000000002</v>
      </c>
      <c r="T181" s="235">
        <v>1.4322519821101477E-20</v>
      </c>
      <c r="U181" s="236">
        <v>-2.7105054312137611E-20</v>
      </c>
    </row>
    <row r="182" spans="1:21" s="46" customFormat="1" x14ac:dyDescent="0.25">
      <c r="A182" s="124">
        <v>-5.3671187530499829E-20</v>
      </c>
      <c r="B182" s="3">
        <v>-1.0000000419095136</v>
      </c>
      <c r="C182" s="179">
        <v>-4.8392939712254778E-8</v>
      </c>
      <c r="K182" s="124">
        <v>0</v>
      </c>
      <c r="L182" s="3">
        <f>B182</f>
        <v>-1.0000000419095136</v>
      </c>
      <c r="M182" s="179">
        <f>C182</f>
        <v>-4.8392939712254778E-8</v>
      </c>
      <c r="O182" s="124">
        <v>-2.2425746623140711E-4</v>
      </c>
      <c r="P182" s="3">
        <v>-0.99999997485429326</v>
      </c>
      <c r="Q182" s="179">
        <v>-3.8714349598477502E-8</v>
      </c>
      <c r="S182" s="124">
        <v>1.4322519821101477E-20</v>
      </c>
      <c r="T182" s="3">
        <v>0.99999999999999989</v>
      </c>
      <c r="U182" s="179">
        <v>-3.3087224502121107E-24</v>
      </c>
    </row>
    <row r="183" spans="1:21" s="46" customFormat="1" x14ac:dyDescent="0.25">
      <c r="A183" s="180">
        <v>-1.2986532366788528E-27</v>
      </c>
      <c r="B183" s="181">
        <v>0</v>
      </c>
      <c r="C183" s="182">
        <v>1.000000013969838</v>
      </c>
      <c r="K183" s="180">
        <v>0</v>
      </c>
      <c r="L183" s="181">
        <v>0</v>
      </c>
      <c r="M183" s="182">
        <f>C183</f>
        <v>1.000000013969838</v>
      </c>
      <c r="O183" s="180">
        <v>-1.2947511621380341E-4</v>
      </c>
      <c r="P183" s="181">
        <v>-9.6785880152279943E-9</v>
      </c>
      <c r="Q183" s="182">
        <v>0.99999999161809705</v>
      </c>
      <c r="S183" s="180">
        <v>-2.7105054312137611E-20</v>
      </c>
      <c r="T183" s="181">
        <v>-3.3087224502121107E-24</v>
      </c>
      <c r="U183" s="182">
        <v>1</v>
      </c>
    </row>
    <row r="185" spans="1:21" x14ac:dyDescent="0.25">
      <c r="S185" t="s">
        <v>587</v>
      </c>
      <c r="U185">
        <f>MDETERM(O181:Q183)</f>
        <v>1.0000000000000002</v>
      </c>
    </row>
    <row r="187" spans="1:21" ht="18" x14ac:dyDescent="0.35">
      <c r="A187" t="s">
        <v>588</v>
      </c>
      <c r="K187" t="s">
        <v>593</v>
      </c>
      <c r="O187" t="s">
        <v>567</v>
      </c>
    </row>
    <row r="188" spans="1:21" x14ac:dyDescent="0.25">
      <c r="A188" s="225">
        <f t="array" ref="A188:C190">MMULT(K181:M183,O181:Q183)</f>
        <v>3.9999999776482653</v>
      </c>
      <c r="B188" s="226">
        <v>2.2425748189535528E-4</v>
      </c>
      <c r="C188" s="227">
        <v>-1.2947511802263842E-4</v>
      </c>
      <c r="K188" s="234">
        <f t="array" ref="K188:M190">MMULT(K162:M164,O181:Q183)</f>
        <v>-0.57742074436634883</v>
      </c>
      <c r="L188" s="235">
        <v>0.70706361952115127</v>
      </c>
      <c r="M188" s="236">
        <v>-0.40822337258547758</v>
      </c>
      <c r="O188" s="217">
        <v>1</v>
      </c>
      <c r="P188" s="218">
        <v>0</v>
      </c>
      <c r="Q188" s="219">
        <v>0</v>
      </c>
    </row>
    <row r="189" spans="1:21" x14ac:dyDescent="0.25">
      <c r="A189" s="228">
        <v>2.2425748189560995E-4</v>
      </c>
      <c r="B189" s="2">
        <v>1.0000000167638063</v>
      </c>
      <c r="C189" s="229">
        <v>-9.6785880856527901E-9</v>
      </c>
      <c r="K189" s="124">
        <v>-0.57731502837506909</v>
      </c>
      <c r="L189" s="3">
        <v>-0.70714993890067712</v>
      </c>
      <c r="M189" s="179">
        <v>-0.40822337258547842</v>
      </c>
      <c r="O189" s="123">
        <v>0</v>
      </c>
      <c r="P189" s="37">
        <v>1</v>
      </c>
      <c r="Q189" s="90">
        <v>0</v>
      </c>
    </row>
    <row r="190" spans="1:21" x14ac:dyDescent="0.25">
      <c r="A190" s="230">
        <v>-1.2947511802254981E-4</v>
      </c>
      <c r="B190" s="231">
        <v>-9.6785881504363001E-9</v>
      </c>
      <c r="C190" s="232">
        <v>1.0000000055879348</v>
      </c>
      <c r="K190" s="180">
        <v>-0.57731502837506898</v>
      </c>
      <c r="L190" s="181">
        <v>-4.3155738496693237E-5</v>
      </c>
      <c r="M190" s="182">
        <v>0.81652149766547821</v>
      </c>
      <c r="O190" s="91">
        <v>0</v>
      </c>
      <c r="P190" s="92">
        <v>0</v>
      </c>
      <c r="Q190" s="93">
        <v>1</v>
      </c>
    </row>
    <row r="192" spans="1:21" ht="18" x14ac:dyDescent="0.35">
      <c r="A192" t="s">
        <v>568</v>
      </c>
      <c r="E192" t="s">
        <v>569</v>
      </c>
      <c r="G192" t="s">
        <v>570</v>
      </c>
      <c r="I192" t="s">
        <v>571</v>
      </c>
      <c r="K192" t="s">
        <v>572</v>
      </c>
      <c r="O192" t="s">
        <v>573</v>
      </c>
    </row>
    <row r="193" spans="1:21" x14ac:dyDescent="0.25">
      <c r="A193" s="217">
        <f t="array" ref="A193:C195">A188:C190</f>
        <v>3.9999999776482653</v>
      </c>
      <c r="B193" s="218">
        <v>2.2425748189535528E-4</v>
      </c>
      <c r="C193" s="219">
        <v>-1.2947511802263842E-4</v>
      </c>
      <c r="E193" s="223">
        <f>A188</f>
        <v>3.9999999776482653</v>
      </c>
      <c r="G193" s="223">
        <f>E193/E197</f>
        <v>0.99999999790452421</v>
      </c>
      <c r="I193" s="223">
        <f>SQRT((1-G193/G197)/2)</f>
        <v>0.99999999947613105</v>
      </c>
      <c r="K193" s="217">
        <f t="array" ref="K193:M195">K$6:M$8-2*MMULT(I193:I195,TRANSPOSE(I193:I195))</f>
        <v>-0.99999999790452421</v>
      </c>
      <c r="L193" s="218">
        <v>-5.6064370669704942E-5</v>
      </c>
      <c r="M193" s="219">
        <v>3.2368779618684049E-5</v>
      </c>
      <c r="O193" s="217">
        <f t="array" ref="O193:Q195">MMULT(K193:M195,O188:Q190)</f>
        <v>-0.99999999790452421</v>
      </c>
      <c r="P193" s="218">
        <v>-5.6064370669704942E-5</v>
      </c>
      <c r="Q193" s="219">
        <v>3.2368779618684049E-5</v>
      </c>
    </row>
    <row r="194" spans="1:21" x14ac:dyDescent="0.25">
      <c r="A194" s="123">
        <v>2.2425748189560995E-4</v>
      </c>
      <c r="B194" s="37">
        <v>1.0000000167638063</v>
      </c>
      <c r="C194" s="90">
        <v>-9.6785880856527901E-9</v>
      </c>
      <c r="E194" s="173">
        <f>A189</f>
        <v>2.2425748189560995E-4</v>
      </c>
      <c r="F194" s="233"/>
      <c r="G194" s="173">
        <f>E194/E197</f>
        <v>5.6064370669704942E-5</v>
      </c>
      <c r="I194" s="173">
        <f>G194/(-2*G197*I193)</f>
        <v>2.8032185349537661E-5</v>
      </c>
      <c r="K194" s="123">
        <v>-5.6064370669704942E-5</v>
      </c>
      <c r="L194" s="37">
        <v>0.99999999842839316</v>
      </c>
      <c r="M194" s="90">
        <v>9.0736763028462988E-10</v>
      </c>
      <c r="O194" s="123">
        <v>-5.6064370669704942E-5</v>
      </c>
      <c r="P194" s="37">
        <v>0.99999999842839316</v>
      </c>
      <c r="Q194" s="90">
        <v>9.0736763028462988E-10</v>
      </c>
    </row>
    <row r="195" spans="1:21" x14ac:dyDescent="0.25">
      <c r="A195" s="91">
        <v>-1.2947511802254981E-4</v>
      </c>
      <c r="B195" s="92">
        <v>-9.6785881504363001E-9</v>
      </c>
      <c r="C195" s="93">
        <v>1.0000000055879348</v>
      </c>
      <c r="E195" s="174">
        <f>A190</f>
        <v>-1.2947511802254981E-4</v>
      </c>
      <c r="G195" s="174">
        <f>E195/E197</f>
        <v>-3.2368779618684049E-5</v>
      </c>
      <c r="I195" s="174">
        <f>G195/(-2*G197*I193)</f>
        <v>-1.6184389817820523E-5</v>
      </c>
      <c r="K195" s="91">
        <v>3.2368779618684049E-5</v>
      </c>
      <c r="L195" s="92">
        <v>9.0736763028462988E-10</v>
      </c>
      <c r="M195" s="93">
        <v>0.99999999947613105</v>
      </c>
      <c r="O195" s="91">
        <v>3.2368779618684049E-5</v>
      </c>
      <c r="P195" s="92">
        <v>9.0736763028462988E-10</v>
      </c>
      <c r="Q195" s="93">
        <v>0.99999999947613105</v>
      </c>
    </row>
    <row r="197" spans="1:21" x14ac:dyDescent="0.25">
      <c r="D197" s="47" t="s">
        <v>576</v>
      </c>
      <c r="E197">
        <f>SQRT(E193^2+E194^2+E195^2)</f>
        <v>3.9999999860301685</v>
      </c>
      <c r="F197" s="47" t="s">
        <v>468</v>
      </c>
      <c r="G197">
        <f>-SIGN(G193)*SQRT(G193^2+G194^2+G195^2)</f>
        <v>-1</v>
      </c>
    </row>
    <row r="199" spans="1:21" ht="18" x14ac:dyDescent="0.35">
      <c r="A199" t="s">
        <v>577</v>
      </c>
      <c r="E199" t="s">
        <v>578</v>
      </c>
      <c r="G199" t="s">
        <v>579</v>
      </c>
      <c r="I199" t="s">
        <v>580</v>
      </c>
      <c r="K199" t="s">
        <v>581</v>
      </c>
      <c r="O199" t="s">
        <v>582</v>
      </c>
    </row>
    <row r="200" spans="1:21" x14ac:dyDescent="0.25">
      <c r="A200" s="217">
        <f t="array" ref="A200:C202">MMULT(K193:M195,A193:C195)</f>
        <v>-3.9999999860301685</v>
      </c>
      <c r="B200" s="218">
        <v>-2.803218533482704E-4</v>
      </c>
      <c r="C200" s="219">
        <v>1.6184389809350907E-4</v>
      </c>
      <c r="E200" s="223">
        <f>B200</f>
        <v>-2.803218533482704E-4</v>
      </c>
      <c r="G200" s="223">
        <f>E200/E204</f>
        <v>-2.8032184160011798E-4</v>
      </c>
      <c r="I200" s="223">
        <v>0</v>
      </c>
      <c r="K200" s="217">
        <f t="array" ref="K200:M202">K$6:M$8-2*MMULT(I200:I202,TRANSPOSE(I200:I202))</f>
        <v>1</v>
      </c>
      <c r="L200" s="218">
        <v>0</v>
      </c>
      <c r="M200" s="219">
        <v>0</v>
      </c>
      <c r="O200" s="217">
        <f t="array" ref="O200:Q202">MMULT(K200:M202,O193:Q195)</f>
        <v>-0.99999999790452421</v>
      </c>
      <c r="P200" s="218">
        <v>-5.6064370669704942E-5</v>
      </c>
      <c r="Q200" s="219">
        <v>3.2368779618684049E-5</v>
      </c>
    </row>
    <row r="201" spans="1:21" x14ac:dyDescent="0.25">
      <c r="A201" s="123">
        <v>1.4304371501686129E-20</v>
      </c>
      <c r="B201" s="37">
        <v>1.000000002619345</v>
      </c>
      <c r="C201" s="90">
        <v>-1.5122794257619193E-9</v>
      </c>
      <c r="E201" s="173">
        <f>B201</f>
        <v>1.000000002619345</v>
      </c>
      <c r="F201" s="233"/>
      <c r="G201" s="173">
        <f>E201/E204</f>
        <v>0.99999996070983166</v>
      </c>
      <c r="I201" s="173">
        <f>SQRT((1-G201/G204)/2)</f>
        <v>1</v>
      </c>
      <c r="K201" s="123">
        <v>0</v>
      </c>
      <c r="L201" s="37">
        <v>-1</v>
      </c>
      <c r="M201" s="90">
        <v>1.5122794865974586E-9</v>
      </c>
      <c r="O201" s="123">
        <v>5.6064370718655586E-5</v>
      </c>
      <c r="P201" s="37">
        <v>-0.99999999842839316</v>
      </c>
      <c r="Q201" s="90">
        <v>6.0491185552059255E-10</v>
      </c>
    </row>
    <row r="202" spans="1:21" x14ac:dyDescent="0.25">
      <c r="A202" s="91">
        <v>-2.7105054312137611E-20</v>
      </c>
      <c r="B202" s="92">
        <v>-1.5122794905586402E-9</v>
      </c>
      <c r="C202" s="93">
        <v>1.0000000008731142</v>
      </c>
      <c r="E202" s="174">
        <f>B202</f>
        <v>-1.5122794905586402E-9</v>
      </c>
      <c r="G202" s="174">
        <f>E202/E204</f>
        <v>-1.512279427179743E-9</v>
      </c>
      <c r="I202" s="174">
        <f>G202/(-2*G204*I201)</f>
        <v>-7.561397432987293E-10</v>
      </c>
      <c r="K202" s="91">
        <v>0</v>
      </c>
      <c r="L202" s="92">
        <v>1.5122794865974586E-9</v>
      </c>
      <c r="M202" s="93">
        <v>1</v>
      </c>
      <c r="O202" s="91">
        <v>3.2368779533899053E-5</v>
      </c>
      <c r="P202" s="92">
        <v>2.41964711450538E-9</v>
      </c>
      <c r="Q202" s="93">
        <v>0.99999999947613105</v>
      </c>
    </row>
    <row r="204" spans="1:21" x14ac:dyDescent="0.25">
      <c r="D204" s="47" t="s">
        <v>576</v>
      </c>
      <c r="E204">
        <f>SQRT(E200^2+E201^2+E202^2)</f>
        <v>1.000000041909515</v>
      </c>
      <c r="F204" s="47" t="s">
        <v>468</v>
      </c>
      <c r="G204">
        <f>-SIGN(G201)*SQRT(G201^2+G202^2)</f>
        <v>-0.99999996070983166</v>
      </c>
    </row>
    <row r="206" spans="1:21" ht="18.75" x14ac:dyDescent="0.35">
      <c r="A206" t="s">
        <v>583</v>
      </c>
      <c r="K206" t="s">
        <v>491</v>
      </c>
      <c r="O206" t="s">
        <v>584</v>
      </c>
      <c r="S206" t="s">
        <v>585</v>
      </c>
    </row>
    <row r="207" spans="1:21" s="46" customFormat="1" x14ac:dyDescent="0.25">
      <c r="A207" s="234">
        <f t="array" ref="A207:C209">MMULT(K200:M202,A200:C202)</f>
        <v>-3.9999999860301685</v>
      </c>
      <c r="B207" s="235">
        <v>-2.803218533482704E-4</v>
      </c>
      <c r="C207" s="236">
        <v>1.6184389809350907E-4</v>
      </c>
      <c r="K207" s="234">
        <f>A207</f>
        <v>-3.9999999860301685</v>
      </c>
      <c r="L207" s="234">
        <f>B207</f>
        <v>-2.803218533482704E-4</v>
      </c>
      <c r="M207" s="234">
        <f>C207</f>
        <v>1.6184389809350907E-4</v>
      </c>
      <c r="O207" s="234">
        <f t="array" ref="O207:Q209">TRANSPOSE(O200:Q202)</f>
        <v>-0.99999999790452421</v>
      </c>
      <c r="P207" s="235">
        <v>5.6064370718655586E-5</v>
      </c>
      <c r="Q207" s="236">
        <v>3.2368779533899053E-5</v>
      </c>
      <c r="S207" s="234">
        <f t="array" ref="S207:U209">MMULT(TRANSPOSE(O207:Q209),O207:Q209)</f>
        <v>1</v>
      </c>
      <c r="T207" s="235">
        <v>9.8585608982080603E-22</v>
      </c>
      <c r="U207" s="236">
        <v>0</v>
      </c>
    </row>
    <row r="208" spans="1:21" s="46" customFormat="1" x14ac:dyDescent="0.25">
      <c r="A208" s="124">
        <v>-1.4304371542676547E-20</v>
      </c>
      <c r="B208" s="3">
        <v>-1.000000002619345</v>
      </c>
      <c r="C208" s="179">
        <v>3.0245589136797705E-9</v>
      </c>
      <c r="K208" s="124">
        <v>0</v>
      </c>
      <c r="L208" s="3">
        <f>B208</f>
        <v>-1.000000002619345</v>
      </c>
      <c r="M208" s="179">
        <f>C208</f>
        <v>3.0245589136797705E-9</v>
      </c>
      <c r="O208" s="124">
        <v>-5.6064370669704942E-5</v>
      </c>
      <c r="P208" s="3">
        <v>-0.99999999842839316</v>
      </c>
      <c r="Q208" s="179">
        <v>2.41964711450538E-9</v>
      </c>
      <c r="S208" s="124">
        <v>9.8585608982080603E-22</v>
      </c>
      <c r="T208" s="3">
        <v>1</v>
      </c>
      <c r="U208" s="179">
        <v>4.1359030627651384E-25</v>
      </c>
    </row>
    <row r="209" spans="1:21" s="46" customFormat="1" x14ac:dyDescent="0.25">
      <c r="A209" s="180">
        <v>-2.7105054290505403E-20</v>
      </c>
      <c r="B209" s="181">
        <v>0</v>
      </c>
      <c r="C209" s="182">
        <v>1.0000000008731142</v>
      </c>
      <c r="K209" s="180">
        <v>0</v>
      </c>
      <c r="L209" s="181">
        <v>0</v>
      </c>
      <c r="M209" s="182">
        <f>C209</f>
        <v>1.0000000008731142</v>
      </c>
      <c r="O209" s="180">
        <v>3.2368779618684049E-5</v>
      </c>
      <c r="P209" s="181">
        <v>6.0491185552059255E-10</v>
      </c>
      <c r="Q209" s="182">
        <v>0.99999999947613105</v>
      </c>
      <c r="S209" s="180">
        <v>0</v>
      </c>
      <c r="T209" s="181">
        <v>4.1359030627651384E-25</v>
      </c>
      <c r="U209" s="182">
        <v>1</v>
      </c>
    </row>
    <row r="211" spans="1:21" x14ac:dyDescent="0.25">
      <c r="S211" t="s">
        <v>587</v>
      </c>
      <c r="U211">
        <f>MDETERM(O207:Q209)</f>
        <v>1</v>
      </c>
    </row>
    <row r="213" spans="1:21" ht="18" x14ac:dyDescent="0.35">
      <c r="A213" t="s">
        <v>588</v>
      </c>
      <c r="K213" t="s">
        <v>593</v>
      </c>
      <c r="O213" t="s">
        <v>567</v>
      </c>
    </row>
    <row r="214" spans="1:21" x14ac:dyDescent="0.25">
      <c r="A214" s="225">
        <f t="array" ref="A214:C216">MMULT(K207:M209,O207:Q209)</f>
        <v>3.9999999986030232</v>
      </c>
      <c r="B214" s="226">
        <v>5.6064370914203422E-5</v>
      </c>
      <c r="C214" s="227">
        <v>3.2368779647034282E-5</v>
      </c>
      <c r="K214" s="234">
        <f t="array" ref="K214:M216">MMULT(K188:M190,O207:Q209)</f>
        <v>0.57736788838714326</v>
      </c>
      <c r="L214" s="235">
        <v>-0.7070959913875372</v>
      </c>
      <c r="M214" s="236">
        <v>-0.40824206106555028</v>
      </c>
      <c r="O214" s="217">
        <v>1</v>
      </c>
      <c r="P214" s="218">
        <v>0</v>
      </c>
      <c r="Q214" s="219">
        <v>0</v>
      </c>
    </row>
    <row r="215" spans="1:21" x14ac:dyDescent="0.25">
      <c r="A215" s="228">
        <v>5.6064370914458148E-5</v>
      </c>
      <c r="B215" s="2">
        <v>1.0000000010477381</v>
      </c>
      <c r="C215" s="229">
        <v>6.0491179125202765E-10</v>
      </c>
      <c r="K215" s="124">
        <v>0.57734145938923065</v>
      </c>
      <c r="L215" s="3">
        <v>0.70711757073860404</v>
      </c>
      <c r="M215" s="179">
        <v>-0.40824206106555128</v>
      </c>
      <c r="O215" s="123">
        <v>0</v>
      </c>
      <c r="P215" s="37">
        <v>1</v>
      </c>
      <c r="Q215" s="90">
        <v>0</v>
      </c>
    </row>
    <row r="216" spans="1:21" x14ac:dyDescent="0.25">
      <c r="A216" s="230">
        <v>3.2368779646945689E-5</v>
      </c>
      <c r="B216" s="231">
        <v>6.0491185604874975E-10</v>
      </c>
      <c r="C216" s="232">
        <v>1.0000000003492453</v>
      </c>
      <c r="K216" s="180">
        <v>0.57734145938923043</v>
      </c>
      <c r="L216" s="181">
        <v>1.0789428580132571E-5</v>
      </c>
      <c r="M216" s="182">
        <v>0.81650281025474847</v>
      </c>
      <c r="O216" s="91">
        <v>0</v>
      </c>
      <c r="P216" s="92">
        <v>0</v>
      </c>
      <c r="Q216" s="93">
        <v>1</v>
      </c>
    </row>
    <row r="218" spans="1:21" ht="18" x14ac:dyDescent="0.35">
      <c r="A218" t="s">
        <v>568</v>
      </c>
      <c r="E218" t="s">
        <v>569</v>
      </c>
      <c r="G218" t="s">
        <v>570</v>
      </c>
      <c r="I218" t="s">
        <v>571</v>
      </c>
      <c r="K218" t="s">
        <v>572</v>
      </c>
      <c r="O218" t="s">
        <v>573</v>
      </c>
    </row>
    <row r="219" spans="1:21" x14ac:dyDescent="0.25">
      <c r="A219" s="217">
        <f t="array" ref="A219:C221">A214:C216</f>
        <v>3.9999999986030232</v>
      </c>
      <c r="B219" s="218">
        <v>5.6064370914203422E-5</v>
      </c>
      <c r="C219" s="219">
        <v>3.2368779647034282E-5</v>
      </c>
      <c r="E219" s="223">
        <f>A214</f>
        <v>3.9999999986030232</v>
      </c>
      <c r="G219" s="223">
        <f>E219/E223</f>
        <v>0.99999999986903276</v>
      </c>
      <c r="I219" s="223">
        <f>SQRT((1-G219/G223)/2)</f>
        <v>0.99999999996725819</v>
      </c>
      <c r="K219" s="217">
        <f t="array" ref="K219:M221">K$6:M$8-2*MMULT(I219:I221,TRANSPOSE(I219:I221))</f>
        <v>-0.99999999986903276</v>
      </c>
      <c r="L219" s="218">
        <v>-1.4016092731673927E-5</v>
      </c>
      <c r="M219" s="219">
        <v>-8.0921949135027622E-6</v>
      </c>
      <c r="O219" s="217">
        <f t="array" ref="O219:Q221">MMULT(K219:M221,O214:Q216)</f>
        <v>-0.99999999986903276</v>
      </c>
      <c r="P219" s="218">
        <v>-1.4016092731673927E-5</v>
      </c>
      <c r="Q219" s="219">
        <v>-8.0921949135027622E-6</v>
      </c>
    </row>
    <row r="220" spans="1:21" x14ac:dyDescent="0.25">
      <c r="A220" s="123">
        <v>5.6064370914458148E-5</v>
      </c>
      <c r="B220" s="37">
        <v>1.0000000010477381</v>
      </c>
      <c r="C220" s="90">
        <v>6.0491179125202765E-10</v>
      </c>
      <c r="E220" s="173">
        <f>A215</f>
        <v>5.6064370914458148E-5</v>
      </c>
      <c r="F220" s="233"/>
      <c r="G220" s="173">
        <f>E220/E223</f>
        <v>1.4016092731673927E-5</v>
      </c>
      <c r="I220" s="173">
        <f>G220/(-2*G223*I219)</f>
        <v>7.0080463660664196E-6</v>
      </c>
      <c r="K220" s="123">
        <v>-1.4016092731673927E-5</v>
      </c>
      <c r="L220" s="37">
        <v>0.99999999990177457</v>
      </c>
      <c r="M220" s="90">
        <v>-5.6710477158931007E-11</v>
      </c>
      <c r="O220" s="123">
        <v>-1.4016092731673927E-5</v>
      </c>
      <c r="P220" s="37">
        <v>0.99999999990177457</v>
      </c>
      <c r="Q220" s="90">
        <v>-5.6710477158931007E-11</v>
      </c>
    </row>
    <row r="221" spans="1:21" x14ac:dyDescent="0.25">
      <c r="A221" s="91">
        <v>3.2368779646945689E-5</v>
      </c>
      <c r="B221" s="92">
        <v>6.0491185604874975E-10</v>
      </c>
      <c r="C221" s="93">
        <v>1.0000000003492453</v>
      </c>
      <c r="E221" s="174">
        <f>A216</f>
        <v>3.2368779646945689E-5</v>
      </c>
      <c r="G221" s="174">
        <f>E221/E223</f>
        <v>8.0921949135027622E-6</v>
      </c>
      <c r="I221" s="174">
        <f>G221/(-2*G223*I219)</f>
        <v>4.0460974568838579E-6</v>
      </c>
      <c r="K221" s="91">
        <v>-8.0921949135027622E-6</v>
      </c>
      <c r="L221" s="92">
        <v>-5.6710477158931007E-11</v>
      </c>
      <c r="M221" s="93">
        <v>0.99999999996725819</v>
      </c>
      <c r="O221" s="91">
        <v>-8.0921949135027622E-6</v>
      </c>
      <c r="P221" s="92">
        <v>-5.6710477158931007E-11</v>
      </c>
      <c r="Q221" s="93">
        <v>0.99999999996725819</v>
      </c>
    </row>
    <row r="223" spans="1:21" x14ac:dyDescent="0.25">
      <c r="D223" s="47" t="s">
        <v>576</v>
      </c>
      <c r="E223">
        <f>SQRT(E219^2+E220^2+E221^2)</f>
        <v>3.9999999991268922</v>
      </c>
      <c r="F223" s="47" t="s">
        <v>468</v>
      </c>
      <c r="G223">
        <f>-SIGN(G219)*SQRT(G219^2+G220^2+G221^2)</f>
        <v>-1</v>
      </c>
    </row>
    <row r="225" spans="1:25" ht="18" x14ac:dyDescent="0.35">
      <c r="A225" t="s">
        <v>577</v>
      </c>
      <c r="E225" t="s">
        <v>578</v>
      </c>
      <c r="G225" t="s">
        <v>579</v>
      </c>
      <c r="I225" t="s">
        <v>580</v>
      </c>
      <c r="K225" t="s">
        <v>581</v>
      </c>
      <c r="O225" t="s">
        <v>582</v>
      </c>
    </row>
    <row r="226" spans="1:25" x14ac:dyDescent="0.25">
      <c r="A226" s="217">
        <f t="array" ref="A226:C228">MMULT(K219:M221,A219:C221)</f>
        <v>-3.9999999991268922</v>
      </c>
      <c r="B226" s="218">
        <v>-7.0080463658115015E-5</v>
      </c>
      <c r="C226" s="219">
        <v>-4.0460974567602456E-5</v>
      </c>
      <c r="E226" s="223">
        <f>B226</f>
        <v>-7.0080463658115015E-5</v>
      </c>
      <c r="G226" s="223">
        <f>E226/E230</f>
        <v>-7.00804634745501E-5</v>
      </c>
      <c r="I226" s="223">
        <v>0</v>
      </c>
      <c r="K226" s="217">
        <f t="array" ref="K226:M228">K$6:M$8-2*MMULT(I226:I228,TRANSPOSE(I226:I228))</f>
        <v>1</v>
      </c>
      <c r="L226" s="218">
        <v>0</v>
      </c>
      <c r="M226" s="219">
        <v>0</v>
      </c>
      <c r="O226" s="217">
        <f t="array" ref="O226:Q228">MMULT(K226:M228,O219:Q221)</f>
        <v>-0.99999999986903276</v>
      </c>
      <c r="P226" s="218">
        <v>-1.4016092731673927E-5</v>
      </c>
      <c r="Q226" s="219">
        <v>-8.0921949135027622E-6</v>
      </c>
    </row>
    <row r="227" spans="1:25" x14ac:dyDescent="0.25">
      <c r="A227" s="123">
        <v>2.0687746722384266E-22</v>
      </c>
      <c r="B227" s="37">
        <v>1.0000000001637093</v>
      </c>
      <c r="C227" s="90">
        <v>9.4517496869920921E-11</v>
      </c>
      <c r="E227" s="173">
        <f>B227</f>
        <v>1.0000000001637093</v>
      </c>
      <c r="F227" s="233"/>
      <c r="G227" s="173">
        <f>E227/E230</f>
        <v>0.99999999754436431</v>
      </c>
      <c r="I227" s="173">
        <f>SQRT((1-G227/G230)/2)</f>
        <v>1</v>
      </c>
      <c r="K227" s="123">
        <v>0</v>
      </c>
      <c r="L227" s="37">
        <v>-1</v>
      </c>
      <c r="M227" s="90">
        <v>-9.4517561654472624E-11</v>
      </c>
      <c r="O227" s="123">
        <v>1.4016092732438781E-5</v>
      </c>
      <c r="P227" s="37">
        <v>-0.99999999990177457</v>
      </c>
      <c r="Q227" s="90">
        <v>-3.780708449244694E-11</v>
      </c>
    </row>
    <row r="228" spans="1:25" x14ac:dyDescent="0.25">
      <c r="A228" s="91">
        <v>0</v>
      </c>
      <c r="B228" s="92">
        <v>9.4517561669946019E-11</v>
      </c>
      <c r="C228" s="93">
        <v>1.000000000054569</v>
      </c>
      <c r="E228" s="174">
        <f>B228</f>
        <v>9.4517561669946019E-11</v>
      </c>
      <c r="G228" s="174">
        <f>E228/E230</f>
        <v>9.4517561422371922E-11</v>
      </c>
      <c r="I228" s="174">
        <f>G228/(-2*G230*I227)</f>
        <v>4.7258780827236312E-11</v>
      </c>
      <c r="K228" s="91">
        <v>0</v>
      </c>
      <c r="L228" s="92">
        <v>-9.4517561654472624E-11</v>
      </c>
      <c r="M228" s="93">
        <v>1</v>
      </c>
      <c r="O228" s="91">
        <v>-8.0921949121779959E-6</v>
      </c>
      <c r="P228" s="92">
        <v>-1.5122803880411961E-10</v>
      </c>
      <c r="Q228" s="93">
        <v>0.99999999996725819</v>
      </c>
    </row>
    <row r="230" spans="1:25" x14ac:dyDescent="0.25">
      <c r="D230" s="47" t="s">
        <v>576</v>
      </c>
      <c r="E230">
        <f>SQRT(E226^2+E227^2+E228^2)</f>
        <v>1.000000002619345</v>
      </c>
      <c r="F230" s="47" t="s">
        <v>468</v>
      </c>
      <c r="G230">
        <f>-SIGN(G227)*SQRT(G227^2+G228^2)</f>
        <v>-0.99999999754436431</v>
      </c>
    </row>
    <row r="232" spans="1:25" ht="18.75" x14ac:dyDescent="0.35">
      <c r="A232" t="s">
        <v>583</v>
      </c>
      <c r="K232" t="s">
        <v>491</v>
      </c>
      <c r="O232" t="s">
        <v>584</v>
      </c>
      <c r="S232" t="s">
        <v>585</v>
      </c>
    </row>
    <row r="233" spans="1:25" s="46" customFormat="1" x14ac:dyDescent="0.25">
      <c r="A233" s="234">
        <f t="array" ref="A233:C235">MMULT(K226:M228,A226:C228)</f>
        <v>-3.9999999991268922</v>
      </c>
      <c r="B233" s="235">
        <v>-7.0080463658115015E-5</v>
      </c>
      <c r="C233" s="236">
        <v>-4.0460974567602456E-5</v>
      </c>
      <c r="K233" s="234">
        <f>A233</f>
        <v>-3.9999999991268922</v>
      </c>
      <c r="L233" s="235">
        <f>B233</f>
        <v>-7.0080463658115015E-5</v>
      </c>
      <c r="M233" s="236">
        <f>C233</f>
        <v>-4.0460974567602456E-5</v>
      </c>
      <c r="O233" s="234">
        <f t="array" ref="O233:Q235">TRANSPOSE(O226:Q228)</f>
        <v>-0.99999999986903276</v>
      </c>
      <c r="P233" s="235">
        <v>1.4016092732438781E-5</v>
      </c>
      <c r="Q233" s="236">
        <v>-8.0921949121779959E-6</v>
      </c>
      <c r="S233" s="234">
        <f t="array" ref="S233:U235">MMULT(TRANSPOSE(O233:Q235),O233:Q235)</f>
        <v>1</v>
      </c>
      <c r="T233" s="235">
        <v>7.72539473030805E-22</v>
      </c>
      <c r="U233" s="236">
        <v>0</v>
      </c>
    </row>
    <row r="234" spans="1:25" s="46" customFormat="1" x14ac:dyDescent="0.25">
      <c r="A234" s="124">
        <v>-2.0687746722384266E-22</v>
      </c>
      <c r="B234" s="3">
        <v>-1.0000000001637093</v>
      </c>
      <c r="C234" s="179">
        <v>-1.8903505852955129E-10</v>
      </c>
      <c r="K234" s="124">
        <v>0</v>
      </c>
      <c r="L234" s="3">
        <f>B234</f>
        <v>-1.0000000001637093</v>
      </c>
      <c r="M234" s="179">
        <f>C234</f>
        <v>-1.8903505852955129E-10</v>
      </c>
      <c r="O234" s="124">
        <v>-1.4016092731673927E-5</v>
      </c>
      <c r="P234" s="3">
        <v>-0.99999999990177457</v>
      </c>
      <c r="Q234" s="179">
        <v>-1.5122803880411961E-10</v>
      </c>
      <c r="S234" s="124">
        <v>7.72539473030805E-22</v>
      </c>
      <c r="T234" s="3">
        <v>1</v>
      </c>
      <c r="U234" s="179">
        <v>3.2311742677852644E-26</v>
      </c>
    </row>
    <row r="235" spans="1:25" s="46" customFormat="1" x14ac:dyDescent="0.25">
      <c r="A235" s="180">
        <v>-1.9553553763250689E-32</v>
      </c>
      <c r="B235" s="181">
        <v>0</v>
      </c>
      <c r="C235" s="182">
        <v>1.000000000054569</v>
      </c>
      <c r="K235" s="180">
        <v>0</v>
      </c>
      <c r="L235" s="181">
        <v>0</v>
      </c>
      <c r="M235" s="182">
        <f>C235</f>
        <v>1.000000000054569</v>
      </c>
      <c r="O235" s="180">
        <v>-8.0921949135027622E-6</v>
      </c>
      <c r="P235" s="181">
        <v>-3.780708449244694E-11</v>
      </c>
      <c r="Q235" s="182">
        <v>0.99999999996725819</v>
      </c>
      <c r="S235" s="180">
        <v>0</v>
      </c>
      <c r="T235" s="181">
        <v>3.2311742677852644E-26</v>
      </c>
      <c r="U235" s="182">
        <v>1</v>
      </c>
    </row>
    <row r="237" spans="1:25" x14ac:dyDescent="0.25">
      <c r="S237" t="s">
        <v>587</v>
      </c>
      <c r="U237">
        <f>MDETERM(O233:Q235)</f>
        <v>1</v>
      </c>
    </row>
    <row r="239" spans="1:25" ht="18" x14ac:dyDescent="0.35">
      <c r="A239" t="s">
        <v>588</v>
      </c>
      <c r="K239" t="s">
        <v>593</v>
      </c>
      <c r="O239" t="s">
        <v>567</v>
      </c>
      <c r="W239" t="s">
        <v>592</v>
      </c>
    </row>
    <row r="240" spans="1:25" x14ac:dyDescent="0.25">
      <c r="A240" s="225">
        <f t="array" ref="A240:C242">MMULT(K233:M235,O233:Q235)</f>
        <v>3.9999999999126956</v>
      </c>
      <c r="B240" s="226">
        <v>1.4016092735243481E-5</v>
      </c>
      <c r="C240" s="227">
        <v>-8.0921949140329354E-6</v>
      </c>
      <c r="K240" s="234">
        <f t="array" ref="K240:M242">MMULT(K214:M216,O233:Q235)</f>
        <v>-0.57735467401421148</v>
      </c>
      <c r="L240" s="235">
        <v>0.70710408377538125</v>
      </c>
      <c r="M240" s="236">
        <v>-0.40824673311873982</v>
      </c>
      <c r="O240" s="217">
        <v>1</v>
      </c>
      <c r="P240" s="218">
        <v>0</v>
      </c>
      <c r="Q240" s="219">
        <v>0</v>
      </c>
      <c r="W240" s="160">
        <f t="array" ref="W240:Y243">[1]!eVECTORS(A6:C8)</f>
        <v>3.9999999999999973</v>
      </c>
      <c r="X240" s="161">
        <v>1.0000000000000022</v>
      </c>
      <c r="Y240" s="162">
        <v>0.99999999999999645</v>
      </c>
    </row>
    <row r="241" spans="1:25" x14ac:dyDescent="0.25">
      <c r="A241" s="228">
        <v>1.4016092735498201E-5</v>
      </c>
      <c r="B241" s="2">
        <v>1.0000000000654838</v>
      </c>
      <c r="C241" s="229">
        <v>-3.7807019694484882E-11</v>
      </c>
      <c r="K241" s="124">
        <v>-0.57734806676473149</v>
      </c>
      <c r="L241" s="3">
        <v>-0.70710947858227968</v>
      </c>
      <c r="M241" s="179">
        <v>-0.40824673311874093</v>
      </c>
      <c r="O241" s="123">
        <v>0</v>
      </c>
      <c r="P241" s="37">
        <v>1</v>
      </c>
      <c r="Q241" s="90">
        <v>0</v>
      </c>
      <c r="W241" s="123">
        <v>0.57735026918962551</v>
      </c>
      <c r="X241" s="37">
        <v>-0.70710678118654691</v>
      </c>
      <c r="Y241" s="90">
        <v>-0.4082482904638674</v>
      </c>
    </row>
    <row r="242" spans="1:25" x14ac:dyDescent="0.25">
      <c r="A242" s="230">
        <v>-8.0921949139443459E-6</v>
      </c>
      <c r="B242" s="231">
        <v>-3.7807084494510038E-11</v>
      </c>
      <c r="C242" s="232">
        <v>1.0000000000218272</v>
      </c>
      <c r="K242" s="180">
        <v>-0.57734806676473116</v>
      </c>
      <c r="L242" s="181">
        <v>-2.6973880155825186E-6</v>
      </c>
      <c r="M242" s="182">
        <v>0.8164981382683929</v>
      </c>
      <c r="O242" s="91">
        <v>0</v>
      </c>
      <c r="P242" s="92">
        <v>0</v>
      </c>
      <c r="Q242" s="93">
        <v>1</v>
      </c>
      <c r="W242" s="123">
        <v>0.57735026918962573</v>
      </c>
      <c r="X242" s="37">
        <v>0.70710678118654802</v>
      </c>
      <c r="Y242" s="90">
        <v>-0.40824829046385774</v>
      </c>
    </row>
    <row r="243" spans="1:25" x14ac:dyDescent="0.25">
      <c r="W243" s="91">
        <v>0.57735026918962573</v>
      </c>
      <c r="X243" s="92">
        <v>-5.2205010301237409E-15</v>
      </c>
      <c r="Y243" s="93">
        <v>0.81649658092772581</v>
      </c>
    </row>
    <row r="244" spans="1:25" x14ac:dyDescent="0.25">
      <c r="A244" t="s">
        <v>589</v>
      </c>
    </row>
    <row r="245" spans="1:25" ht="17.25" x14ac:dyDescent="0.25">
      <c r="W245" t="s">
        <v>494</v>
      </c>
    </row>
    <row r="246" spans="1:25" x14ac:dyDescent="0.25">
      <c r="A246" t="s">
        <v>590</v>
      </c>
      <c r="W246" s="217">
        <f t="array" ref="W246:Y248">MMULT(TRANSPOSE(K240:M242),K240:M242)</f>
        <v>1.0000000000000018</v>
      </c>
      <c r="X246" s="218">
        <v>-3.3009445701739481E-16</v>
      </c>
      <c r="Y246" s="219">
        <v>3.3306690738754696E-16</v>
      </c>
    </row>
    <row r="247" spans="1:25" x14ac:dyDescent="0.25">
      <c r="W247" s="123">
        <v>-3.3009445701739481E-16</v>
      </c>
      <c r="X247" s="37">
        <v>1.0000000000000009</v>
      </c>
      <c r="Y247" s="90">
        <v>-3.7388457808278444E-17</v>
      </c>
    </row>
    <row r="248" spans="1:25" x14ac:dyDescent="0.25">
      <c r="W248" s="91">
        <v>3.3306690738754696E-16</v>
      </c>
      <c r="X248" s="92">
        <v>-3.7388457808278444E-17</v>
      </c>
      <c r="Y248" s="93">
        <v>0.99999999999999967</v>
      </c>
    </row>
    <row r="250" spans="1:25" x14ac:dyDescent="0.25">
      <c r="W250" t="s">
        <v>574</v>
      </c>
    </row>
    <row r="251" spans="1:25" x14ac:dyDescent="0.25">
      <c r="W251" s="217">
        <f t="array" ref="W251:Y253">MMULT(A6:C8,K240:M242)</f>
        <v>-2.3094054815578855</v>
      </c>
      <c r="X251" s="218">
        <v>0.70709599158046721</v>
      </c>
      <c r="Y251" s="219">
        <v>-0.40824206108782768</v>
      </c>
    </row>
    <row r="252" spans="1:25" x14ac:dyDescent="0.25">
      <c r="W252" s="123">
        <v>-2.3093988743084055</v>
      </c>
      <c r="X252" s="37">
        <v>-0.70711757077719373</v>
      </c>
      <c r="Y252" s="90">
        <v>-0.40824206108782879</v>
      </c>
    </row>
    <row r="253" spans="1:25" x14ac:dyDescent="0.25">
      <c r="W253" s="91">
        <v>-2.3093988743084051</v>
      </c>
      <c r="X253" s="92">
        <v>-1.0789582929593899E-5</v>
      </c>
      <c r="Y253" s="93">
        <v>0.81650281029930505</v>
      </c>
    </row>
    <row r="255" spans="1:25" x14ac:dyDescent="0.25">
      <c r="W255" t="s">
        <v>575</v>
      </c>
    </row>
    <row r="256" spans="1:25" x14ac:dyDescent="0.25">
      <c r="W256" s="217">
        <f t="array" ref="W256:W258">W240*K240:K242</f>
        <v>-2.3094186960568446</v>
      </c>
      <c r="X256" s="218">
        <f t="array" ref="X256:X258">X240*L240:L242</f>
        <v>0.70710408377538281</v>
      </c>
      <c r="Y256" s="219">
        <f t="array" ref="Y256:Y258">Y240*M240:M242</f>
        <v>-0.40824673311873838</v>
      </c>
    </row>
    <row r="257" spans="23:25" x14ac:dyDescent="0.25">
      <c r="W257" s="123">
        <v>-2.3093922670589246</v>
      </c>
      <c r="X257" s="37">
        <v>-0.70710947858228124</v>
      </c>
      <c r="Y257" s="90">
        <v>-0.40824673311873949</v>
      </c>
    </row>
    <row r="258" spans="23:25" x14ac:dyDescent="0.25">
      <c r="W258" s="91">
        <v>-2.3093922670589233</v>
      </c>
      <c r="X258" s="92">
        <v>-2.6973880155825245E-6</v>
      </c>
      <c r="Y258" s="93">
        <v>0.81649813826839002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4"/>
  <dimension ref="A1:AG21"/>
  <sheetViews>
    <sheetView workbookViewId="0"/>
  </sheetViews>
  <sheetFormatPr defaultRowHeight="15" x14ac:dyDescent="0.25"/>
  <cols>
    <col min="1" max="3" width="6" customWidth="1"/>
    <col min="4" max="4" width="4.28515625" customWidth="1"/>
    <col min="5" max="7" width="9.140625" customWidth="1"/>
    <col min="8" max="8" width="5" customWidth="1"/>
    <col min="9" max="10" width="9.140625" customWidth="1"/>
    <col min="11" max="11" width="9.28515625" bestFit="1" customWidth="1"/>
    <col min="13" max="15" width="5.28515625" customWidth="1"/>
    <col min="16" max="16" width="6.85546875" customWidth="1"/>
    <col min="17" max="17" width="4.5703125" customWidth="1"/>
    <col min="19" max="19" width="4.28515625" customWidth="1"/>
    <col min="21" max="21" width="5" customWidth="1"/>
    <col min="23" max="26" width="5.7109375" customWidth="1"/>
    <col min="27" max="29" width="8.7109375" customWidth="1"/>
    <col min="30" max="30" width="4.85546875" customWidth="1"/>
    <col min="31" max="33" width="8.7109375" customWidth="1"/>
  </cols>
  <sheetData>
    <row r="1" spans="1:31" ht="14.45" x14ac:dyDescent="0.35">
      <c r="A1" s="42" t="s">
        <v>614</v>
      </c>
      <c r="M1" t="s">
        <v>599</v>
      </c>
    </row>
    <row r="3" spans="1:31" ht="16.5" x14ac:dyDescent="0.35">
      <c r="A3" t="s">
        <v>462</v>
      </c>
      <c r="E3" t="s">
        <v>492</v>
      </c>
      <c r="I3" t="s">
        <v>491</v>
      </c>
      <c r="M3" t="s">
        <v>462</v>
      </c>
      <c r="P3" s="32" t="s">
        <v>469</v>
      </c>
      <c r="Q3" s="32"/>
      <c r="R3" s="32" t="s">
        <v>600</v>
      </c>
      <c r="S3" s="32"/>
      <c r="T3" s="32" t="s">
        <v>390</v>
      </c>
      <c r="V3" t="s">
        <v>574</v>
      </c>
    </row>
    <row r="4" spans="1:31" ht="14.45" x14ac:dyDescent="0.35">
      <c r="A4" s="217">
        <v>4</v>
      </c>
      <c r="B4" s="218">
        <v>9</v>
      </c>
      <c r="C4" s="219">
        <v>6</v>
      </c>
      <c r="E4" s="217">
        <f t="array" ref="E4:G10">[1]!QRFactor(A4:C7)</f>
        <v>-0.4216370213557839</v>
      </c>
      <c r="F4" s="218">
        <v>-0.62903254117893836</v>
      </c>
      <c r="G4" s="219">
        <v>0.54621994214630809</v>
      </c>
      <c r="I4" s="217">
        <f t="array" ref="I4:K6">[1]!QRFactorR(A4:C7)</f>
        <v>-9.4868329805051381</v>
      </c>
      <c r="J4" s="218">
        <v>-9.6976514911830307</v>
      </c>
      <c r="K4" s="219">
        <v>-7.273238618387273</v>
      </c>
      <c r="M4" s="217">
        <v>4</v>
      </c>
      <c r="N4" s="218">
        <v>9</v>
      </c>
      <c r="O4" s="219">
        <v>6</v>
      </c>
      <c r="P4" s="237">
        <v>4.95</v>
      </c>
      <c r="R4" s="223">
        <f t="array" ref="R4:R6">MMULT(TRANSPOSE(E4:G7),P4:P7)</f>
        <v>-4.1653521339737898</v>
      </c>
      <c r="T4" s="223">
        <f>(R4-J4*T5-K4*T6)/I4</f>
        <v>-0.34944251311547969</v>
      </c>
      <c r="V4" s="223">
        <f t="array" ref="V4:V7">MMULT(M4:O7,T4:T6)</f>
        <v>4.949993426458505</v>
      </c>
    </row>
    <row r="5" spans="1:31" ht="14.45" x14ac:dyDescent="0.35">
      <c r="A5" s="123">
        <v>5</v>
      </c>
      <c r="B5" s="37">
        <v>7</v>
      </c>
      <c r="C5" s="90">
        <v>2</v>
      </c>
      <c r="E5" s="123">
        <v>-0.52704627669472992</v>
      </c>
      <c r="F5" s="37">
        <v>-0.24193559276113008</v>
      </c>
      <c r="G5" s="90">
        <v>-0.7967721574966059</v>
      </c>
      <c r="I5" s="123">
        <v>0</v>
      </c>
      <c r="J5" s="37">
        <v>-7.8074038934562333</v>
      </c>
      <c r="K5" s="90">
        <v>-2.1091091086587928</v>
      </c>
      <c r="M5" s="123">
        <v>5</v>
      </c>
      <c r="N5" s="37">
        <v>7</v>
      </c>
      <c r="O5" s="90">
        <v>2</v>
      </c>
      <c r="P5" s="238">
        <v>1.0760000000000001</v>
      </c>
      <c r="R5" s="49">
        <v>-3.052470064555175</v>
      </c>
      <c r="T5" s="49">
        <f>(R5-K5*T6)/J5</f>
        <v>0.17682207192971378</v>
      </c>
      <c r="V5" s="49">
        <v>1.0759968817815981</v>
      </c>
    </row>
    <row r="6" spans="1:31" ht="14.45" x14ac:dyDescent="0.35">
      <c r="A6" s="123">
        <v>7</v>
      </c>
      <c r="B6" s="37">
        <v>3</v>
      </c>
      <c r="C6" s="90">
        <v>5</v>
      </c>
      <c r="E6" s="123">
        <v>-0.73786478737262184</v>
      </c>
      <c r="F6" s="37">
        <v>0.53225830407448604</v>
      </c>
      <c r="G6" s="90">
        <v>0.25699728841397085</v>
      </c>
      <c r="I6" s="91">
        <v>0</v>
      </c>
      <c r="J6" s="92">
        <v>0</v>
      </c>
      <c r="K6" s="93">
        <v>2.9413702194338796</v>
      </c>
      <c r="M6" s="123">
        <v>7</v>
      </c>
      <c r="N6" s="37">
        <v>3</v>
      </c>
      <c r="O6" s="90">
        <v>5</v>
      </c>
      <c r="P6" s="239">
        <v>2.048</v>
      </c>
      <c r="R6" s="174">
        <v>2.3317049780487729</v>
      </c>
      <c r="T6" s="174">
        <f>R6/K6</f>
        <v>0.79272747192550008</v>
      </c>
      <c r="V6" s="49">
        <v>2.048005983608284</v>
      </c>
    </row>
    <row r="7" spans="1:31" ht="14.45" x14ac:dyDescent="0.35">
      <c r="A7" s="91">
        <v>0</v>
      </c>
      <c r="B7" s="92">
        <v>4</v>
      </c>
      <c r="C7" s="93">
        <v>1</v>
      </c>
      <c r="E7" s="91">
        <v>0</v>
      </c>
      <c r="F7" s="92">
        <v>-0.51233419643533429</v>
      </c>
      <c r="G7" s="93">
        <v>-2.7391560520611258E-2</v>
      </c>
      <c r="M7" s="91">
        <v>0</v>
      </c>
      <c r="N7" s="92">
        <v>4</v>
      </c>
      <c r="O7" s="93">
        <v>1</v>
      </c>
      <c r="P7" s="240">
        <v>1.5</v>
      </c>
      <c r="V7" s="174">
        <v>1.5000157596443553</v>
      </c>
    </row>
    <row r="8" spans="1:31" ht="14.45" x14ac:dyDescent="0.35">
      <c r="E8" s="123">
        <v>-9.4868329805051381</v>
      </c>
      <c r="F8" s="37">
        <v>-9.6976514911830307</v>
      </c>
      <c r="G8" s="90">
        <v>-7.273238618387273</v>
      </c>
    </row>
    <row r="9" spans="1:31" ht="14.45" x14ac:dyDescent="0.35">
      <c r="E9" s="123">
        <v>0</v>
      </c>
      <c r="F9" s="37">
        <v>-7.8074038934562333</v>
      </c>
      <c r="G9" s="90">
        <v>-2.1091091086587928</v>
      </c>
      <c r="M9" t="s">
        <v>554</v>
      </c>
    </row>
    <row r="10" spans="1:31" ht="14.45" x14ac:dyDescent="0.35">
      <c r="E10" s="91">
        <v>0</v>
      </c>
      <c r="F10" s="92">
        <v>0</v>
      </c>
      <c r="G10" s="93">
        <v>2.9413702194338796</v>
      </c>
      <c r="M10" s="217">
        <f t="array" ref="M10:P13">[1]!ELIM(M4:P7,0.0001)</f>
        <v>1</v>
      </c>
      <c r="N10" s="218">
        <v>0</v>
      </c>
      <c r="O10" s="218">
        <v>0</v>
      </c>
      <c r="P10" s="223">
        <v>-0.34944385026737962</v>
      </c>
    </row>
    <row r="11" spans="1:31" ht="14.45" x14ac:dyDescent="0.35">
      <c r="M11" s="36">
        <v>0</v>
      </c>
      <c r="N11" s="37">
        <v>1</v>
      </c>
      <c r="O11" s="37">
        <v>0</v>
      </c>
      <c r="P11" s="49">
        <v>0.17682352941176466</v>
      </c>
    </row>
    <row r="12" spans="1:31" ht="14.45" x14ac:dyDescent="0.35">
      <c r="M12" s="36">
        <v>0</v>
      </c>
      <c r="N12" s="37">
        <v>0</v>
      </c>
      <c r="O12" s="37">
        <v>1</v>
      </c>
      <c r="P12" s="49">
        <v>0.79272727272727272</v>
      </c>
    </row>
    <row r="13" spans="1:31" ht="14.45" x14ac:dyDescent="0.35">
      <c r="M13" s="91">
        <v>0</v>
      </c>
      <c r="N13" s="92">
        <v>0</v>
      </c>
      <c r="O13" s="92">
        <v>0</v>
      </c>
      <c r="P13" s="174">
        <v>-2.1390374331353712E-5</v>
      </c>
    </row>
    <row r="15" spans="1:31" ht="14.45" x14ac:dyDescent="0.35">
      <c r="M15" t="s">
        <v>612</v>
      </c>
      <c r="W15" t="s">
        <v>613</v>
      </c>
      <c r="AA15" t="s">
        <v>615</v>
      </c>
      <c r="AE15" t="s">
        <v>616</v>
      </c>
    </row>
    <row r="17" spans="13:33" ht="16.5" x14ac:dyDescent="0.35">
      <c r="M17" t="s">
        <v>462</v>
      </c>
      <c r="P17" s="32" t="s">
        <v>469</v>
      </c>
      <c r="T17" s="32" t="s">
        <v>390</v>
      </c>
      <c r="W17" t="s">
        <v>462</v>
      </c>
      <c r="AA17" t="s">
        <v>617</v>
      </c>
      <c r="AE17" t="s">
        <v>617</v>
      </c>
    </row>
    <row r="18" spans="13:33" ht="14.45" x14ac:dyDescent="0.35">
      <c r="M18" s="217">
        <v>4</v>
      </c>
      <c r="N18" s="218">
        <v>9</v>
      </c>
      <c r="O18" s="219">
        <v>6</v>
      </c>
      <c r="P18" s="237">
        <v>4.95</v>
      </c>
      <c r="T18" s="223">
        <f t="array" ref="T18:T20">[1]!QRSolve(M18:O21,P18:P21)</f>
        <v>-0.34944251311547969</v>
      </c>
      <c r="W18" s="217">
        <v>4</v>
      </c>
      <c r="X18" s="218">
        <v>9</v>
      </c>
      <c r="Y18" s="219">
        <v>6</v>
      </c>
      <c r="AA18" s="217">
        <f t="array" ref="AA18:AC20">[1]!QRINVERSE(W18:Y20)</f>
        <v>-0.15508021390374335</v>
      </c>
      <c r="AB18" s="218">
        <v>0.14438502673796796</v>
      </c>
      <c r="AC18" s="219">
        <v>0.12834224598930483</v>
      </c>
      <c r="AE18" s="217">
        <f t="array" ref="AE18:AG20">MINVERSE(W18:Y20)</f>
        <v>-0.1550802139037433</v>
      </c>
      <c r="AF18" s="218">
        <v>0.14438502673796785</v>
      </c>
      <c r="AG18" s="219">
        <v>0.12834224598930485</v>
      </c>
    </row>
    <row r="19" spans="13:33" ht="14.45" x14ac:dyDescent="0.35">
      <c r="M19" s="123">
        <v>5</v>
      </c>
      <c r="N19" s="37">
        <v>7</v>
      </c>
      <c r="O19" s="90">
        <v>2</v>
      </c>
      <c r="P19" s="238">
        <v>1.0760000000000001</v>
      </c>
      <c r="T19" s="173">
        <v>0.17682207192971378</v>
      </c>
      <c r="W19" s="123">
        <v>5</v>
      </c>
      <c r="X19" s="37">
        <v>7</v>
      </c>
      <c r="Y19" s="90">
        <v>2</v>
      </c>
      <c r="AA19" s="123">
        <v>5.8823529411764663E-2</v>
      </c>
      <c r="AB19" s="37">
        <v>0.11764705882352942</v>
      </c>
      <c r="AC19" s="90">
        <v>-0.11764705882352945</v>
      </c>
      <c r="AE19" s="123">
        <v>5.8823529411764712E-2</v>
      </c>
      <c r="AF19" s="37">
        <v>0.1176470588235294</v>
      </c>
      <c r="AG19" s="90">
        <v>-0.1176470588235294</v>
      </c>
    </row>
    <row r="20" spans="13:33" ht="14.45" x14ac:dyDescent="0.35">
      <c r="M20" s="123">
        <v>7</v>
      </c>
      <c r="N20" s="37">
        <v>3</v>
      </c>
      <c r="O20" s="90">
        <v>5</v>
      </c>
      <c r="P20" s="239">
        <v>2.048</v>
      </c>
      <c r="T20" s="174">
        <v>0.79272747192550008</v>
      </c>
      <c r="W20" s="91">
        <v>7</v>
      </c>
      <c r="X20" s="92">
        <v>3</v>
      </c>
      <c r="Y20" s="93">
        <v>5</v>
      </c>
      <c r="AA20" s="91">
        <v>0.18181818181818193</v>
      </c>
      <c r="AB20" s="92">
        <v>-0.27272727272727282</v>
      </c>
      <c r="AC20" s="93">
        <v>9.0909090909090967E-2</v>
      </c>
      <c r="AE20" s="91">
        <v>0.1818181818181818</v>
      </c>
      <c r="AF20" s="92">
        <v>-0.27272727272727265</v>
      </c>
      <c r="AG20" s="93">
        <v>9.0909090909090884E-2</v>
      </c>
    </row>
    <row r="21" spans="13:33" ht="14.45" x14ac:dyDescent="0.35">
      <c r="M21" s="91">
        <v>0</v>
      </c>
      <c r="N21" s="92">
        <v>4</v>
      </c>
      <c r="O21" s="93">
        <v>1</v>
      </c>
      <c r="P21" s="240">
        <v>1.5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3"/>
  <dimension ref="A1:S29"/>
  <sheetViews>
    <sheetView workbookViewId="0"/>
  </sheetViews>
  <sheetFormatPr defaultRowHeight="15" x14ac:dyDescent="0.25"/>
  <cols>
    <col min="5" max="7" width="9.140625" customWidth="1"/>
    <col min="9" max="11" width="9.140625" customWidth="1"/>
    <col min="13" max="15" width="9.140625" customWidth="1"/>
    <col min="17" max="19" width="9.140625" customWidth="1"/>
  </cols>
  <sheetData>
    <row r="1" spans="1:17" x14ac:dyDescent="0.35">
      <c r="A1" s="42" t="s">
        <v>621</v>
      </c>
      <c r="E1" t="s">
        <v>622</v>
      </c>
      <c r="I1" t="s">
        <v>706</v>
      </c>
      <c r="M1" t="s">
        <v>707</v>
      </c>
    </row>
    <row r="3" spans="1:17" x14ac:dyDescent="0.35">
      <c r="A3" s="217">
        <v>2</v>
      </c>
      <c r="B3" s="218">
        <v>6</v>
      </c>
      <c r="C3" s="219">
        <v>-2</v>
      </c>
      <c r="E3" s="53">
        <f t="array" ref="E3:G4">[1]!eVALUES(A3:C5,200)</f>
        <v>14.254707585283883</v>
      </c>
      <c r="F3" s="161">
        <v>-5.6779065394096238</v>
      </c>
      <c r="G3" s="148">
        <v>4.4231989541257972</v>
      </c>
      <c r="I3" s="217">
        <f t="array" ref="I3:K8">[1]!eVECTORS($A3:$C5,200)</f>
        <v>14.254707585283818</v>
      </c>
      <c r="J3" s="218">
        <v>-5.6779065394096628</v>
      </c>
      <c r="K3" s="219">
        <v>4.4231989541257839</v>
      </c>
      <c r="M3" s="217">
        <f t="array" ref="M3:O8">[1]!eVECT($A3:$C5,200)</f>
        <v>14.254707585283867</v>
      </c>
      <c r="N3" s="218">
        <v>-5.6779065394096628</v>
      </c>
      <c r="O3" s="219">
        <v>4.4231989541257928</v>
      </c>
    </row>
    <row r="4" spans="1:17" x14ac:dyDescent="0.35">
      <c r="A4" s="123">
        <v>6</v>
      </c>
      <c r="B4" s="37">
        <v>8</v>
      </c>
      <c r="C4" s="90">
        <v>7</v>
      </c>
      <c r="E4" s="91">
        <v>-2.6868294939821123E-12</v>
      </c>
      <c r="F4" s="92">
        <v>-7.9690027451275141E-12</v>
      </c>
      <c r="G4" s="93">
        <v>4.2565739412707429E-13</v>
      </c>
      <c r="I4" s="217">
        <v>0.33041744463596306</v>
      </c>
      <c r="J4" s="218">
        <v>0.588350437498113</v>
      </c>
      <c r="K4" s="219">
        <v>-0.73801631077911667</v>
      </c>
      <c r="M4" s="217">
        <v>0.3304174446359629</v>
      </c>
      <c r="N4" s="218">
        <v>0.58835043749811289</v>
      </c>
      <c r="O4" s="219">
        <v>0.73801631077911745</v>
      </c>
    </row>
    <row r="5" spans="1:17" x14ac:dyDescent="0.35">
      <c r="A5" s="91">
        <v>-2</v>
      </c>
      <c r="B5" s="92">
        <v>7</v>
      </c>
      <c r="C5" s="93">
        <v>3</v>
      </c>
      <c r="I5" s="123">
        <v>0.82667654646409849</v>
      </c>
      <c r="J5" s="37">
        <v>-0.55772257916920587</v>
      </c>
      <c r="K5" s="90">
        <v>-7.4507799665806021E-2</v>
      </c>
      <c r="M5" s="123">
        <v>0.82667654646409872</v>
      </c>
      <c r="N5" s="37">
        <v>-0.55772257916920576</v>
      </c>
      <c r="O5" s="90">
        <v>7.4507799665805965E-2</v>
      </c>
    </row>
    <row r="6" spans="1:17" x14ac:dyDescent="0.35">
      <c r="I6" s="91">
        <v>0.45544505684706998</v>
      </c>
      <c r="J6" s="92">
        <v>0.58548209825803232</v>
      </c>
      <c r="K6" s="93">
        <v>0.67065677720644878</v>
      </c>
      <c r="M6" s="91">
        <v>0.45544505684707026</v>
      </c>
      <c r="N6" s="92">
        <v>0.58548209825803221</v>
      </c>
      <c r="O6" s="93">
        <v>-0.67065677720644945</v>
      </c>
    </row>
    <row r="7" spans="1:17" x14ac:dyDescent="0.35">
      <c r="I7" s="37">
        <v>1.0157526135785971E-11</v>
      </c>
      <c r="J7" s="37">
        <v>0</v>
      </c>
      <c r="K7" s="37">
        <v>-9.0588624903967112E-13</v>
      </c>
      <c r="M7" s="37">
        <v>3.9319456009494265E-13</v>
      </c>
      <c r="N7" s="37">
        <v>0</v>
      </c>
      <c r="O7" s="37">
        <v>-4.9114314706970117E-14</v>
      </c>
    </row>
    <row r="8" spans="1:17" x14ac:dyDescent="0.35">
      <c r="I8" s="37">
        <v>4.0856207306205761E-14</v>
      </c>
      <c r="J8" s="37">
        <v>2.6645352591003757E-15</v>
      </c>
      <c r="K8" s="37">
        <v>8.8817841970012523E-15</v>
      </c>
      <c r="M8" s="37">
        <v>4.4408920985006262E-15</v>
      </c>
      <c r="N8" s="37">
        <v>2.2204460492503131E-15</v>
      </c>
      <c r="O8" s="37">
        <v>1.3322676295501878E-15</v>
      </c>
    </row>
    <row r="9" spans="1:17" x14ac:dyDescent="0.35">
      <c r="I9" s="37"/>
      <c r="J9" s="37"/>
      <c r="K9" s="37"/>
      <c r="M9" s="37"/>
      <c r="N9" s="37"/>
      <c r="O9" s="37"/>
    </row>
    <row r="10" spans="1:17" x14ac:dyDescent="0.35">
      <c r="A10" s="217">
        <v>2</v>
      </c>
      <c r="B10" s="218">
        <v>6</v>
      </c>
      <c r="C10" s="219">
        <v>-2</v>
      </c>
      <c r="E10" s="53">
        <f t="array" ref="E10:G11">[1]!eVALUES(A10:C12,200)</f>
        <v>14.62347538297983</v>
      </c>
      <c r="F10" s="161">
        <v>-5.9999999999999973</v>
      </c>
      <c r="G10" s="148">
        <v>4.3765246170201992</v>
      </c>
      <c r="I10" s="217">
        <f t="array" ref="I10:K15">[1]!eVECTORS($A10:$C12,200)</f>
        <v>14.623475382979723</v>
      </c>
      <c r="J10" s="218">
        <v>-5.9999999999999991</v>
      </c>
      <c r="K10" s="219">
        <v>4.3765246170202108</v>
      </c>
      <c r="M10" s="217">
        <f t="array" ref="M10:O15">[1]!eVECT($A10:$C12,200)</f>
        <v>14.6234753829798</v>
      </c>
      <c r="N10" s="218">
        <v>-6.0000000000000027</v>
      </c>
      <c r="O10" s="219">
        <v>4.376524617020201</v>
      </c>
    </row>
    <row r="11" spans="1:17" x14ac:dyDescent="0.35">
      <c r="A11" s="123">
        <v>6</v>
      </c>
      <c r="B11" s="37">
        <v>8</v>
      </c>
      <c r="C11" s="90">
        <v>7</v>
      </c>
      <c r="E11" s="91">
        <v>-6.4810377964217455E-12</v>
      </c>
      <c r="F11" s="92">
        <v>-6.7501559897209497E-13</v>
      </c>
      <c r="G11" s="93">
        <v>-1.4107380459561179E-13</v>
      </c>
      <c r="I11" s="217">
        <v>0.30435314597178081</v>
      </c>
      <c r="J11" s="218">
        <v>0.57735026918962606</v>
      </c>
      <c r="K11" s="219">
        <v>-0.75765152227376054</v>
      </c>
      <c r="M11" s="217">
        <v>0.3043531459717812</v>
      </c>
      <c r="N11" s="218">
        <v>0.56591645841811045</v>
      </c>
      <c r="O11" s="219">
        <v>0.73933055453308139</v>
      </c>
    </row>
    <row r="12" spans="1:17" x14ac:dyDescent="0.35">
      <c r="A12" s="91">
        <v>-2</v>
      </c>
      <c r="B12" s="92">
        <v>8</v>
      </c>
      <c r="C12" s="93">
        <v>3</v>
      </c>
      <c r="I12" s="123">
        <v>0.80832203849091699</v>
      </c>
      <c r="J12" s="37">
        <v>-0.57735026918962584</v>
      </c>
      <c r="K12" s="90">
        <v>-0.11524820500360464</v>
      </c>
      <c r="M12" s="123">
        <v>0.80832203849091844</v>
      </c>
      <c r="N12" s="37">
        <v>-0.54974741674902139</v>
      </c>
      <c r="O12" s="90">
        <v>6.9594038474225309E-2</v>
      </c>
    </row>
    <row r="13" spans="1:17" x14ac:dyDescent="0.35">
      <c r="I13" s="91">
        <v>0.50396889251913668</v>
      </c>
      <c r="J13" s="92">
        <v>0.57735026918962584</v>
      </c>
      <c r="K13" s="93">
        <v>0.64240331727015598</v>
      </c>
      <c r="M13" s="91">
        <v>0.50396889251913746</v>
      </c>
      <c r="N13" s="92">
        <v>0.61442358342537684</v>
      </c>
      <c r="O13" s="93">
        <v>-0.66973651605885609</v>
      </c>
    </row>
    <row r="14" spans="1:17" x14ac:dyDescent="0.35">
      <c r="I14" s="37">
        <v>1.6044520398458558E-11</v>
      </c>
      <c r="J14" s="37">
        <v>0</v>
      </c>
      <c r="K14" s="37">
        <v>1.0611203563061231E-12</v>
      </c>
      <c r="M14" s="37">
        <v>-1.580740925956519E-13</v>
      </c>
      <c r="N14" s="37">
        <v>6.7501559897209578E-13</v>
      </c>
      <c r="O14" s="37">
        <v>3.6801862068420466E-14</v>
      </c>
    </row>
    <row r="15" spans="1:17" x14ac:dyDescent="0.35">
      <c r="I15" s="37">
        <v>6.3948846218409017E-14</v>
      </c>
      <c r="J15" s="37">
        <v>0.57735026918962706</v>
      </c>
      <c r="K15" s="37">
        <v>0.46668494651464132</v>
      </c>
      <c r="M15" s="37">
        <v>1.7763568394002505E-15</v>
      </c>
      <c r="N15" s="37">
        <v>3.1086244689504383E-15</v>
      </c>
      <c r="O15" s="37">
        <v>4.4408920985006262E-16</v>
      </c>
    </row>
    <row r="16" spans="1:17" x14ac:dyDescent="0.35">
      <c r="Q16" t="s">
        <v>708</v>
      </c>
    </row>
    <row r="17" spans="1:19" x14ac:dyDescent="0.35">
      <c r="A17" s="217">
        <v>2</v>
      </c>
      <c r="B17" s="218">
        <v>6</v>
      </c>
      <c r="C17" s="219">
        <v>-2</v>
      </c>
      <c r="E17" s="53">
        <f t="array" ref="E17:G18">[1]!eVALUES(A17:C19,200)</f>
        <v>13.040525397556468</v>
      </c>
      <c r="F17" s="161">
        <v>-4.3811915622095823</v>
      </c>
      <c r="G17" s="148">
        <v>4.3406661646531433</v>
      </c>
      <c r="I17" s="217">
        <f t="array" ref="I17:K22">[1]!eVECTORS($A17:$C19,200)</f>
        <v>13.040525397556365</v>
      </c>
      <c r="J17" s="218">
        <v>-4.6540449660930028</v>
      </c>
      <c r="K17" s="219">
        <v>4.6135195685365513</v>
      </c>
      <c r="M17" s="217">
        <f t="array" ref="M17:O22">[1]!eVECT($A17:$C19,200)</f>
        <v>13.040525397556442</v>
      </c>
      <c r="N17" s="218">
        <v>-4.6403923833999894</v>
      </c>
      <c r="O17" s="219">
        <v>4.5998669858435495</v>
      </c>
      <c r="Q17" s="217">
        <f t="array" ref="Q17:S22">[1]!eVECT($A17:$C19,2000)</f>
        <v>13.040525397556442</v>
      </c>
      <c r="R17" s="218">
        <v>-4.6540449642372295</v>
      </c>
      <c r="S17" s="219">
        <v>4.6135195666807887</v>
      </c>
    </row>
    <row r="18" spans="1:19" x14ac:dyDescent="0.35">
      <c r="A18" s="123">
        <v>6</v>
      </c>
      <c r="B18" s="37">
        <v>8</v>
      </c>
      <c r="C18" s="90">
        <v>7</v>
      </c>
      <c r="E18" s="91">
        <v>-4.0563272081791219E-12</v>
      </c>
      <c r="F18" s="92">
        <v>-42.75703193022337</v>
      </c>
      <c r="G18" s="93">
        <v>-21.351521200163511</v>
      </c>
      <c r="I18" s="217">
        <v>0.42400963203780245</v>
      </c>
      <c r="J18" s="218">
        <v>0.62391348483054687</v>
      </c>
      <c r="K18" s="219">
        <v>-0.65646614184264629</v>
      </c>
      <c r="M18" s="217">
        <v>0.42400963203780329</v>
      </c>
      <c r="N18" s="218">
        <v>0.66983250708994568</v>
      </c>
      <c r="O18" s="219">
        <v>0.73280982242579273</v>
      </c>
      <c r="Q18" s="217">
        <v>0.42400963203780329</v>
      </c>
      <c r="R18" s="218">
        <v>0.66368672198933132</v>
      </c>
      <c r="S18" s="219">
        <v>0.73278587540265328</v>
      </c>
    </row>
    <row r="19" spans="1:19" x14ac:dyDescent="0.35">
      <c r="A19" s="91">
        <v>-2</v>
      </c>
      <c r="B19" s="92">
        <v>4</v>
      </c>
      <c r="C19" s="93">
        <v>3</v>
      </c>
      <c r="I19" s="123">
        <v>0.86722492075527235</v>
      </c>
      <c r="J19" s="37">
        <v>-0.48862479530557995</v>
      </c>
      <c r="K19" s="90">
        <v>9.5743126299429632E-2</v>
      </c>
      <c r="M19" s="123">
        <v>0.86722492075527413</v>
      </c>
      <c r="N19" s="37">
        <v>-0.57695039692951122</v>
      </c>
      <c r="O19" s="90">
        <v>9.4133483515588562E-2</v>
      </c>
      <c r="Q19" s="123">
        <v>0.86722492075527413</v>
      </c>
      <c r="R19" s="37">
        <v>-0.57760738248048105</v>
      </c>
      <c r="S19" s="90">
        <v>9.4573324749520543E-2</v>
      </c>
    </row>
    <row r="20" spans="1:19" x14ac:dyDescent="0.35">
      <c r="E20" t="s">
        <v>708</v>
      </c>
      <c r="I20" s="91">
        <v>0.26103020660485837</v>
      </c>
      <c r="J20" s="92">
        <v>0.60989980559038093</v>
      </c>
      <c r="K20" s="93">
        <v>0.7482549421023823</v>
      </c>
      <c r="M20" s="91">
        <v>0.26103020660485882</v>
      </c>
      <c r="N20" s="92">
        <v>0.46738918679027797</v>
      </c>
      <c r="O20" s="93">
        <v>-0.67389068211209024</v>
      </c>
      <c r="Q20" s="91">
        <v>0.26103020660485882</v>
      </c>
      <c r="R20" s="92">
        <v>0.47527849389500371</v>
      </c>
      <c r="S20" s="93">
        <v>-0.67385513803501496</v>
      </c>
    </row>
    <row r="21" spans="1:19" x14ac:dyDescent="0.35">
      <c r="E21" s="53">
        <f t="array" ref="E21:G22">[1]!eVALUES(A17:C19,2000)</f>
        <v>13.040525397556468</v>
      </c>
      <c r="F21" s="161">
        <v>-4.6540449440156264</v>
      </c>
      <c r="G21" s="148">
        <v>4.6135195464595933</v>
      </c>
      <c r="I21">
        <v>1.1226314033904044E-11</v>
      </c>
      <c r="J21">
        <v>-2.5686431225941847E-13</v>
      </c>
      <c r="K21">
        <v>-9.3613105941536996E-13</v>
      </c>
      <c r="M21">
        <v>-8.5697053693924812E-14</v>
      </c>
      <c r="N21">
        <v>-2.2338035836887467</v>
      </c>
      <c r="O21">
        <v>-1.0663910800537608</v>
      </c>
      <c r="Q21">
        <v>-8.5697053693924812E-14</v>
      </c>
      <c r="R21">
        <v>-3.0432033620886945E-7</v>
      </c>
      <c r="S21">
        <v>-1.4493197493492974E-7</v>
      </c>
    </row>
    <row r="22" spans="1:19" x14ac:dyDescent="0.35">
      <c r="E22" s="91">
        <v>-4.0563272081791219E-12</v>
      </c>
      <c r="F22" s="92">
        <v>-3.6203714056690188E-6</v>
      </c>
      <c r="G22" s="93">
        <v>-1.7241632616553741E-6</v>
      </c>
      <c r="I22">
        <v>6.7501559897209518E-14</v>
      </c>
      <c r="J22">
        <v>1.8296994167711507</v>
      </c>
      <c r="K22">
        <v>1.6232199673209506</v>
      </c>
      <c r="M22">
        <v>1.7763568394002505E-15</v>
      </c>
      <c r="N22">
        <v>7.6429819061981874E-2</v>
      </c>
      <c r="O22">
        <v>1.095025641050773E-2</v>
      </c>
      <c r="Q22">
        <v>1.7763568394002505E-15</v>
      </c>
      <c r="R22">
        <v>1.1093278740048618E-8</v>
      </c>
      <c r="S22">
        <v>1.4793442026928005E-9</v>
      </c>
    </row>
    <row r="24" spans="1:19" x14ac:dyDescent="0.35">
      <c r="A24" s="217">
        <v>2</v>
      </c>
      <c r="B24" s="218">
        <v>6</v>
      </c>
      <c r="C24" s="219">
        <v>5</v>
      </c>
      <c r="E24" s="53">
        <f t="array" ref="E24:G25">[1]!eVALUES(A24:C26,200)</f>
        <v>-6.6893555563095211</v>
      </c>
      <c r="F24" s="161">
        <v>4.868229498713661</v>
      </c>
      <c r="G24" s="148">
        <v>4.8211260575958823</v>
      </c>
      <c r="I24" s="217">
        <f t="array" ref="I24:K29">[1]!eVECTORS($A24:$C26,200)</f>
        <v>-6.6893555563095211</v>
      </c>
      <c r="J24" s="218">
        <v>4.868229498713661</v>
      </c>
      <c r="K24" s="219">
        <v>4.8211260575958823</v>
      </c>
      <c r="M24" s="217">
        <f t="array" ref="M24:O29">[1]!eVECT($A24:$C26,200)</f>
        <v>-6.6893555563095441</v>
      </c>
      <c r="N24" s="218">
        <v>5.5003672993472428</v>
      </c>
      <c r="O24" s="219">
        <v>4.188988256962304</v>
      </c>
      <c r="Q24" s="217">
        <f t="array" ref="Q24:S29">[1]!eVECT($A24:$C26,2000)</f>
        <v>7.7586909114741145</v>
      </c>
      <c r="R24" s="218">
        <v>-6.6893555563095397</v>
      </c>
      <c r="S24" s="219">
        <v>1.9306646448354257</v>
      </c>
    </row>
    <row r="25" spans="1:19" x14ac:dyDescent="0.35">
      <c r="A25" s="123">
        <v>3</v>
      </c>
      <c r="B25" s="37">
        <v>-2</v>
      </c>
      <c r="C25" s="90">
        <v>7</v>
      </c>
      <c r="E25" s="91">
        <v>-2.6578517364008626E-12</v>
      </c>
      <c r="F25" s="92">
        <v>-15.547221081190985</v>
      </c>
      <c r="G25" s="93">
        <v>-15.483857704736783</v>
      </c>
      <c r="I25" s="217">
        <v>-0.34092027431197797</v>
      </c>
      <c r="J25" s="218">
        <v>0.92020059005435373</v>
      </c>
      <c r="K25" s="219">
        <v>0.19236486328502372</v>
      </c>
      <c r="M25" s="217">
        <v>0.34092027431197852</v>
      </c>
      <c r="N25" s="218">
        <v>0.11650509832121633</v>
      </c>
      <c r="O25" s="219">
        <v>0.88582978311764393</v>
      </c>
      <c r="Q25" s="217">
        <v>0.76376972648882202</v>
      </c>
      <c r="R25" s="218">
        <v>0.34092027431197847</v>
      </c>
      <c r="S25" s="219">
        <v>0.91910971065516456</v>
      </c>
    </row>
    <row r="26" spans="1:19" x14ac:dyDescent="0.35">
      <c r="A26" s="91">
        <v>-2</v>
      </c>
      <c r="B26" s="92">
        <v>4</v>
      </c>
      <c r="C26" s="93">
        <v>3</v>
      </c>
      <c r="I26" s="123">
        <v>0.84205525381688218</v>
      </c>
      <c r="J26" s="37">
        <v>0.38988744556890553</v>
      </c>
      <c r="K26" s="90">
        <v>-0.37273412683458307</v>
      </c>
      <c r="M26" s="123">
        <v>-0.84205525381688295</v>
      </c>
      <c r="N26" s="37">
        <v>-0.41733817486019431</v>
      </c>
      <c r="O26" s="90">
        <v>0.45509775710205452</v>
      </c>
      <c r="Q26" s="123">
        <v>0.50733018253382101</v>
      </c>
      <c r="R26" s="37">
        <v>-0.84205525381688284</v>
      </c>
      <c r="S26" s="90">
        <v>0.3016469010920596</v>
      </c>
    </row>
    <row r="27" spans="1:19" x14ac:dyDescent="0.35">
      <c r="E27" t="s">
        <v>708</v>
      </c>
      <c r="I27" s="91">
        <v>-0.41799080860998594</v>
      </c>
      <c r="J27" s="92">
        <v>3.4909223013038018E-2</v>
      </c>
      <c r="K27" s="93">
        <v>-0.90778027631481262</v>
      </c>
      <c r="M27" s="91">
        <v>0.41799080860998628</v>
      </c>
      <c r="N27" s="92">
        <v>-0.90125213446045482</v>
      </c>
      <c r="O27" s="93">
        <v>9.0507606434086799E-2</v>
      </c>
      <c r="Q27" s="91">
        <v>0.39908882568845494</v>
      </c>
      <c r="R27" s="92">
        <v>0.41799080860998655</v>
      </c>
      <c r="S27" s="93">
        <v>-0.25346890704963598</v>
      </c>
    </row>
    <row r="28" spans="1:19" x14ac:dyDescent="0.35">
      <c r="E28" s="53">
        <f t="array" ref="E28:G29">[1]!eVALUES(A24:C26,2000)</f>
        <v>7.7586909114740576</v>
      </c>
      <c r="F28" s="161">
        <v>-6.6893555563095211</v>
      </c>
      <c r="G28" s="148">
        <v>1.9306646448354474</v>
      </c>
      <c r="I28">
        <v>-2.6578517364008626E-12</v>
      </c>
      <c r="J28">
        <v>-15.547221081190985</v>
      </c>
      <c r="K28">
        <v>-15.483857704736783</v>
      </c>
      <c r="M28">
        <v>3.7376040043137201E-13</v>
      </c>
      <c r="N28">
        <v>-21.631521384732025</v>
      </c>
      <c r="O28">
        <v>-19.304386950689011</v>
      </c>
      <c r="Q28">
        <v>-142.11263494700316</v>
      </c>
      <c r="R28">
        <v>-1.6611573352505416E-13</v>
      </c>
      <c r="S28">
        <v>-84.787503058814949</v>
      </c>
    </row>
    <row r="29" spans="1:19" x14ac:dyDescent="0.35">
      <c r="E29" s="91">
        <v>-142.11263494699779</v>
      </c>
      <c r="F29" s="92">
        <v>-2.6578517364008626E-12</v>
      </c>
      <c r="G29" s="93">
        <v>-84.787503058814082</v>
      </c>
      <c r="I29">
        <v>1.5099033134902129E-14</v>
      </c>
      <c r="J29">
        <v>0.34606983804321673</v>
      </c>
      <c r="K29">
        <v>7.3179916709608115</v>
      </c>
      <c r="M29">
        <v>4.4408920985006262E-15</v>
      </c>
      <c r="N29">
        <v>7.4181003578342617</v>
      </c>
      <c r="O29">
        <v>1.2440535818707739</v>
      </c>
      <c r="Q29">
        <v>1.3973590905168873</v>
      </c>
      <c r="R29">
        <v>2.2204460492503131E-15</v>
      </c>
      <c r="S29">
        <v>0.90267508068518976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7"/>
  <dimension ref="A1:X57"/>
  <sheetViews>
    <sheetView workbookViewId="0"/>
  </sheetViews>
  <sheetFormatPr defaultRowHeight="15" x14ac:dyDescent="0.25"/>
  <cols>
    <col min="1" max="3" width="9.140625" customWidth="1"/>
    <col min="5" max="5" width="9.140625" customWidth="1"/>
    <col min="6" max="6" width="9.42578125" bestFit="1" customWidth="1"/>
    <col min="7" max="7" width="9.140625" customWidth="1"/>
    <col min="12" max="13" width="9.140625" customWidth="1"/>
    <col min="14" max="14" width="9.28515625" customWidth="1"/>
    <col min="15" max="15" width="9.28515625" bestFit="1" customWidth="1"/>
    <col min="16" max="16" width="9.28515625" customWidth="1"/>
    <col min="22" max="22" width="9.28515625" bestFit="1" customWidth="1"/>
    <col min="23" max="23" width="9.140625" customWidth="1"/>
    <col min="24" max="24" width="9.28515625" bestFit="1" customWidth="1"/>
  </cols>
  <sheetData>
    <row r="1" spans="1:24" ht="14.45" x14ac:dyDescent="0.35">
      <c r="A1" t="s">
        <v>462</v>
      </c>
      <c r="E1" t="s">
        <v>679</v>
      </c>
      <c r="I1" t="s">
        <v>680</v>
      </c>
      <c r="L1" t="s">
        <v>680</v>
      </c>
      <c r="O1" t="s">
        <v>681</v>
      </c>
      <c r="R1" t="s">
        <v>154</v>
      </c>
      <c r="V1" t="s">
        <v>462</v>
      </c>
    </row>
    <row r="2" spans="1:24" ht="14.45" x14ac:dyDescent="0.35">
      <c r="A2" s="156">
        <v>-4</v>
      </c>
      <c r="B2" s="265">
        <v>1</v>
      </c>
      <c r="C2" s="158">
        <v>3</v>
      </c>
      <c r="E2" s="156">
        <f t="array" ref="E2:G4">A2:C4</f>
        <v>-4</v>
      </c>
      <c r="F2" s="265">
        <v>1</v>
      </c>
      <c r="G2" s="158">
        <v>3</v>
      </c>
      <c r="I2" s="156">
        <f>F18</f>
        <v>0.29797449607946414</v>
      </c>
      <c r="J2" s="158">
        <f>G18</f>
        <v>3.7181180108380323</v>
      </c>
      <c r="L2" s="156">
        <f t="array" ref="L2:M3">I2:J3</f>
        <v>0.29797449607946414</v>
      </c>
      <c r="M2" s="158">
        <v>3.7181180108380323</v>
      </c>
      <c r="O2" s="266">
        <f>M15</f>
        <v>-1.3681733162459606</v>
      </c>
      <c r="P2" s="37"/>
      <c r="R2" s="156">
        <f t="array" ref="R2:T4">E32:G34</f>
        <v>-4.11717617705136</v>
      </c>
      <c r="S2" s="265">
        <v>-1.0929964472827343</v>
      </c>
      <c r="T2" s="158">
        <v>-2.0758492650742464</v>
      </c>
      <c r="V2" s="156">
        <f t="array" ref="V2:X4">A2:C4</f>
        <v>-4</v>
      </c>
      <c r="W2" s="265">
        <v>1</v>
      </c>
      <c r="X2" s="158">
        <v>3</v>
      </c>
    </row>
    <row r="3" spans="1:24" ht="14.45" x14ac:dyDescent="0.35">
      <c r="A3" s="123">
        <v>1</v>
      </c>
      <c r="B3" s="37">
        <v>0</v>
      </c>
      <c r="C3" s="90">
        <v>3</v>
      </c>
      <c r="E3" s="123">
        <v>1</v>
      </c>
      <c r="F3" s="37">
        <v>0</v>
      </c>
      <c r="G3" s="90">
        <v>3</v>
      </c>
      <c r="I3" s="91">
        <f>F19</f>
        <v>0.98019752351228939</v>
      </c>
      <c r="J3" s="93">
        <f>G19</f>
        <v>0.81920168097189572</v>
      </c>
      <c r="L3" s="91">
        <v>0.98019752351228939</v>
      </c>
      <c r="M3" s="93">
        <v>0.81920168097189572</v>
      </c>
      <c r="R3" s="123">
        <v>0</v>
      </c>
      <c r="S3" s="37">
        <v>2.485349493297329</v>
      </c>
      <c r="T3" s="90">
        <v>2.7379204873257454</v>
      </c>
      <c r="V3" s="123">
        <v>1</v>
      </c>
      <c r="W3" s="37">
        <v>0</v>
      </c>
      <c r="X3" s="90">
        <v>3</v>
      </c>
    </row>
    <row r="4" spans="1:24" ht="14.45" x14ac:dyDescent="0.35">
      <c r="A4" s="91">
        <v>0</v>
      </c>
      <c r="B4" s="92">
        <v>1</v>
      </c>
      <c r="C4" s="93">
        <v>1</v>
      </c>
      <c r="E4" s="91">
        <v>0</v>
      </c>
      <c r="F4" s="92">
        <v>1</v>
      </c>
      <c r="G4" s="93">
        <v>1</v>
      </c>
      <c r="O4" t="s">
        <v>682</v>
      </c>
      <c r="R4" s="91">
        <v>0</v>
      </c>
      <c r="S4" s="92">
        <v>0</v>
      </c>
      <c r="T4" s="93">
        <v>-1.3681733162459606</v>
      </c>
      <c r="V4" s="91">
        <v>0</v>
      </c>
      <c r="W4" s="92">
        <v>1</v>
      </c>
      <c r="X4" s="93">
        <v>1</v>
      </c>
    </row>
    <row r="5" spans="1:24" ht="14.45" x14ac:dyDescent="0.35">
      <c r="I5" t="s">
        <v>486</v>
      </c>
      <c r="L5" t="s">
        <v>683</v>
      </c>
      <c r="O5" s="266">
        <v>1</v>
      </c>
      <c r="P5" s="37"/>
    </row>
    <row r="6" spans="1:24" ht="14.45" x14ac:dyDescent="0.35">
      <c r="A6" t="s">
        <v>486</v>
      </c>
      <c r="E6" t="s">
        <v>684</v>
      </c>
      <c r="I6" s="207">
        <f t="array" ref="I6:J10">[1]!eVECTORS(F18:G19)</f>
        <v>2.485349493297329</v>
      </c>
      <c r="J6" s="209">
        <v>-1.3681733162459655</v>
      </c>
      <c r="L6" s="156">
        <f>I7</f>
        <v>0.86190921614827143</v>
      </c>
      <c r="M6" s="158">
        <v>1</v>
      </c>
      <c r="R6" t="s">
        <v>486</v>
      </c>
      <c r="V6" t="s">
        <v>486</v>
      </c>
    </row>
    <row r="7" spans="1:24" ht="14.45" x14ac:dyDescent="0.35">
      <c r="A7" s="217">
        <f t="array" ref="A7:C12">[1]!eVECTORS(A2:C4,500)</f>
        <v>-4.11717617705136</v>
      </c>
      <c r="B7" s="218">
        <v>2.4853494932973352</v>
      </c>
      <c r="C7" s="219">
        <v>-1.3681733162459648</v>
      </c>
      <c r="E7" s="156">
        <f t="array" ref="E7:E9">A8:A10</f>
        <v>0.96079587841241321</v>
      </c>
      <c r="F7" s="265">
        <v>0</v>
      </c>
      <c r="G7" s="158">
        <v>0</v>
      </c>
      <c r="I7" s="83">
        <v>0.86190921614827143</v>
      </c>
      <c r="J7" s="84">
        <v>-0.5070626224823449</v>
      </c>
      <c r="L7" s="39">
        <f>I8</f>
        <v>0.50706262248234513</v>
      </c>
      <c r="M7" s="41">
        <v>0</v>
      </c>
      <c r="O7" t="s">
        <v>685</v>
      </c>
    </row>
    <row r="8" spans="1:24" ht="14.45" x14ac:dyDescent="0.35">
      <c r="A8" s="217">
        <v>0.96079587841241321</v>
      </c>
      <c r="B8" s="218">
        <v>0.20615461977862556</v>
      </c>
      <c r="C8" s="219">
        <v>-0.18539566545539313</v>
      </c>
      <c r="E8" s="36">
        <v>-0.27210957683363807</v>
      </c>
      <c r="F8" s="37">
        <v>1</v>
      </c>
      <c r="G8" s="90">
        <v>0</v>
      </c>
      <c r="I8" s="85">
        <v>0.50706262248234513</v>
      </c>
      <c r="J8" s="87">
        <v>0.86190921614827076</v>
      </c>
      <c r="O8" s="266">
        <f>O2</f>
        <v>-1.3681733162459606</v>
      </c>
      <c r="P8" s="37"/>
      <c r="R8">
        <f t="array" ref="R8:T8">[1]!DIAG(R2:T4)</f>
        <v>-4.11717617705136</v>
      </c>
      <c r="S8">
        <v>2.485349493297329</v>
      </c>
      <c r="T8">
        <v>-1.3681733162459606</v>
      </c>
      <c r="V8">
        <f>R8</f>
        <v>-4.11717617705136</v>
      </c>
      <c r="W8">
        <f>S8</f>
        <v>2.485349493297329</v>
      </c>
      <c r="X8">
        <f>T8</f>
        <v>-1.3681733162459606</v>
      </c>
    </row>
    <row r="9" spans="1:24" ht="14.45" x14ac:dyDescent="0.35">
      <c r="A9" s="36">
        <v>-0.27210957683363807</v>
      </c>
      <c r="B9" s="37">
        <v>0.82938616821049993</v>
      </c>
      <c r="C9" s="90">
        <v>-0.48792925939783999</v>
      </c>
      <c r="E9" s="39">
        <v>5.3175729624856144E-2</v>
      </c>
      <c r="F9" s="40">
        <v>0</v>
      </c>
      <c r="G9" s="41">
        <v>1</v>
      </c>
      <c r="I9" s="217">
        <v>1.6999318597804628E-14</v>
      </c>
      <c r="J9" s="219">
        <v>2.9596730618760419E-15</v>
      </c>
      <c r="L9" t="s">
        <v>686</v>
      </c>
      <c r="R9" s="217">
        <v>1</v>
      </c>
      <c r="S9" s="218">
        <f>-1/(R2-S8)*S2</f>
        <v>-0.16554217307950453</v>
      </c>
      <c r="T9" s="219">
        <f t="array" ref="T9:T10">-MMULT(MINVERSE(R2:S3-T8*[1]!IDENTITY(2)),T2:T3)</f>
        <v>-0.47263588781158228</v>
      </c>
      <c r="V9" s="217">
        <f t="array" ref="V9:X11">MMULT(E27:G29,R9:T11)</f>
        <v>-0.96079587841241409</v>
      </c>
      <c r="W9" s="218">
        <v>0.36520685737684755</v>
      </c>
      <c r="X9" s="219">
        <v>0.12223848975763019</v>
      </c>
    </row>
    <row r="10" spans="1:24" ht="14.45" x14ac:dyDescent="0.35">
      <c r="A10" s="39">
        <v>5.3175729624856144E-2</v>
      </c>
      <c r="B10" s="40">
        <v>0.51924835746012488</v>
      </c>
      <c r="C10" s="41">
        <v>0.85296745837917287</v>
      </c>
      <c r="I10" s="39">
        <v>4.4408920985006262E-15</v>
      </c>
      <c r="J10" s="41">
        <v>2.3598389011072221</v>
      </c>
      <c r="L10" s="203">
        <f t="array" ref="L10:M11">[1]!QRFactor(L6:M7)</f>
        <v>-0.8619092161482711</v>
      </c>
      <c r="M10" s="205">
        <v>0.50706262248234379</v>
      </c>
      <c r="R10" s="36">
        <v>0</v>
      </c>
      <c r="S10" s="37">
        <v>1</v>
      </c>
      <c r="T10" s="90">
        <v>-0.71049806181119701</v>
      </c>
      <c r="V10" s="36">
        <v>0.27210957683363829</v>
      </c>
      <c r="W10" s="37">
        <v>0.78434055754571386</v>
      </c>
      <c r="X10" s="90">
        <v>-1.2058152758332144</v>
      </c>
    </row>
    <row r="11" spans="1:24" ht="14.45" x14ac:dyDescent="0.35">
      <c r="A11" s="217">
        <v>3.1086244689504383E-15</v>
      </c>
      <c r="B11" s="265">
        <v>-2.68556023233349E-13</v>
      </c>
      <c r="C11" s="219">
        <v>2.0431634347490302E-15</v>
      </c>
      <c r="E11" t="s">
        <v>687</v>
      </c>
      <c r="L11" s="85">
        <v>-0.5070626224823449</v>
      </c>
      <c r="M11" s="87">
        <v>-0.86190921614827132</v>
      </c>
      <c r="R11" s="39">
        <v>0</v>
      </c>
      <c r="S11" s="40">
        <v>0</v>
      </c>
      <c r="T11" s="41">
        <v>1</v>
      </c>
      <c r="V11" s="39">
        <v>-5.3175729624856193E-2</v>
      </c>
      <c r="W11" s="40">
        <v>0.52805118329731093</v>
      </c>
      <c r="X11" s="41">
        <v>0.50917526498638077</v>
      </c>
    </row>
    <row r="12" spans="1:24" x14ac:dyDescent="0.25">
      <c r="A12" s="39">
        <v>8.8817841970012523E-16</v>
      </c>
      <c r="B12" s="40">
        <v>1.0501464816686608</v>
      </c>
      <c r="C12" s="41">
        <v>2.5589023751375182</v>
      </c>
      <c r="E12" s="203">
        <f t="array" ref="E12:G14">[1]!QRFactor(E7:G9)</f>
        <v>-0.96079587841241409</v>
      </c>
      <c r="F12" s="264">
        <v>-0.27169377906141068</v>
      </c>
      <c r="G12" s="205">
        <v>5.5260930548144654E-2</v>
      </c>
      <c r="I12" s="71" t="s">
        <v>688</v>
      </c>
      <c r="R12">
        <f>SQRT(SUMSQ(R9:R11))</f>
        <v>1</v>
      </c>
      <c r="S12">
        <f>SQRT(SUMSQ(S9:S11))</f>
        <v>1.0136094963386466</v>
      </c>
      <c r="T12">
        <f>SQRT(SUMSQ(T9:T11))</f>
        <v>1.3146072334674377</v>
      </c>
      <c r="V12">
        <f>SQRT(SUMSQ(V9:V11))</f>
        <v>1</v>
      </c>
      <c r="W12">
        <f>SQRT(SUMSQ(W9:W11))</f>
        <v>1.0136094963386464</v>
      </c>
      <c r="X12">
        <f>SQRT(SUMSQ(X9:X11))</f>
        <v>1.3146072334674368</v>
      </c>
    </row>
    <row r="13" spans="1:24" ht="15" hidden="1" customHeight="1" x14ac:dyDescent="0.35">
      <c r="E13" s="83">
        <v>0.27210957683363829</v>
      </c>
      <c r="F13" s="37">
        <v>-0.96226627198266601</v>
      </c>
      <c r="G13" s="84">
        <v>0</v>
      </c>
      <c r="I13" s="217">
        <f t="array" ref="I13:J14">I6:J6*I7:J8</f>
        <v>2.1421456336224045</v>
      </c>
      <c r="J13" s="219">
        <v>0.69374954974604586</v>
      </c>
      <c r="L13" t="s">
        <v>689</v>
      </c>
    </row>
    <row r="14" spans="1:24" ht="14.45" hidden="1" x14ac:dyDescent="0.35">
      <c r="A14" s="71" t="s">
        <v>688</v>
      </c>
      <c r="E14" s="85">
        <v>-5.3175729624856193E-2</v>
      </c>
      <c r="F14" s="86">
        <v>-1.5037028426888721E-2</v>
      </c>
      <c r="G14" s="87">
        <v>-0.99847194730495714</v>
      </c>
      <c r="I14" s="39">
        <v>1.2602278318565112</v>
      </c>
      <c r="J14" s="41">
        <v>-1.1792411905605402</v>
      </c>
      <c r="L14" s="217">
        <f t="array" ref="L14:M15">MMULT(TRANSPOSE(L10:M11),MMULT(L2:M3,L10:M11))</f>
        <v>2.4853494932973241</v>
      </c>
      <c r="M14" s="219">
        <v>2.7379204873257454</v>
      </c>
      <c r="R14" s="71" t="s">
        <v>688</v>
      </c>
      <c r="V14" s="71" t="s">
        <v>688</v>
      </c>
    </row>
    <row r="15" spans="1:24" ht="14.45" hidden="1" x14ac:dyDescent="0.35">
      <c r="A15" s="217">
        <f t="array" ref="A15:C17">A7:C7*A8:C10</f>
        <v>-3.9557659016087228</v>
      </c>
      <c r="B15" s="218">
        <v>0.51236627980771188</v>
      </c>
      <c r="C15" s="219">
        <v>0.25365340242373269</v>
      </c>
      <c r="L15" s="39">
        <v>3.1086244689504383E-15</v>
      </c>
      <c r="M15" s="41">
        <v>-1.3681733162459606</v>
      </c>
      <c r="R15" s="217">
        <f t="array" ref="R15:T17">R8:T8*R9:T11</f>
        <v>-4.11717617705136</v>
      </c>
      <c r="S15" s="218">
        <v>-0.41143015598248533</v>
      </c>
      <c r="T15" s="219">
        <v>0.64664781000402627</v>
      </c>
      <c r="V15" s="217">
        <f t="array" ref="V15:X17">V8:X8*V9:X11</f>
        <v>3.9557659016087263</v>
      </c>
      <c r="W15" s="218">
        <v>0.90766667793025801</v>
      </c>
      <c r="X15" s="219">
        <v>-0.16724343990459478</v>
      </c>
    </row>
    <row r="16" spans="1:24" ht="15" hidden="1" customHeight="1" x14ac:dyDescent="0.35">
      <c r="A16" s="36">
        <v>1.1203230672869813</v>
      </c>
      <c r="B16" s="37">
        <v>2.0613144929097844</v>
      </c>
      <c r="C16" s="38">
        <v>0.66757179292378033</v>
      </c>
      <c r="E16" t="s">
        <v>689</v>
      </c>
      <c r="I16" t="s">
        <v>574</v>
      </c>
      <c r="R16" s="36">
        <v>0</v>
      </c>
      <c r="S16" s="37">
        <v>2.485349493297329</v>
      </c>
      <c r="T16" s="38">
        <v>0.97208448941455294</v>
      </c>
      <c r="V16" s="36">
        <v>-1.1203230672869822</v>
      </c>
      <c r="W16" s="37">
        <v>1.9493604072687845</v>
      </c>
      <c r="X16" s="38">
        <v>1.6497642847167666</v>
      </c>
    </row>
    <row r="17" spans="1:24" ht="14.45" hidden="1" x14ac:dyDescent="0.35">
      <c r="A17" s="39">
        <v>-0.21893384720878198</v>
      </c>
      <c r="B17" s="40">
        <v>1.2905136421089949</v>
      </c>
      <c r="C17" s="41">
        <v>-1.167007316180525</v>
      </c>
      <c r="E17" s="217">
        <f t="array" ref="E17:G19">MMULT(TRANSPOSE(E12:G14),MMULT(E2:G4,E12:G14))</f>
        <v>-4.11717617705136</v>
      </c>
      <c r="F17" s="218">
        <v>-0.11052186109628881</v>
      </c>
      <c r="G17" s="219">
        <v>2.3434112578251769</v>
      </c>
      <c r="I17" s="217">
        <f t="array" ref="I17:J18">MMULT(I2:J3,I7:J8)</f>
        <v>2.1421456336224001</v>
      </c>
      <c r="J17" s="219">
        <v>3.053588450853268</v>
      </c>
      <c r="L17" t="s">
        <v>690</v>
      </c>
      <c r="R17" s="39">
        <v>0</v>
      </c>
      <c r="S17" s="40">
        <v>0</v>
      </c>
      <c r="T17" s="41">
        <v>-1.3681733162459606</v>
      </c>
      <c r="V17" s="39">
        <v>0.21893384720878217</v>
      </c>
      <c r="W17" s="40">
        <v>1.3123917408430268</v>
      </c>
      <c r="X17" s="41">
        <v>-0.69664001084683236</v>
      </c>
    </row>
    <row r="18" spans="1:24" ht="14.45" hidden="1" x14ac:dyDescent="0.35">
      <c r="E18" s="36">
        <v>3.8163916471489756E-16</v>
      </c>
      <c r="F18" s="37">
        <v>0.29797449607946414</v>
      </c>
      <c r="G18" s="38">
        <v>3.7181180108380323</v>
      </c>
      <c r="I18" s="39">
        <v>1.260227831856509</v>
      </c>
      <c r="J18" s="41">
        <v>0.20905595189099102</v>
      </c>
      <c r="L18" s="217">
        <v>1</v>
      </c>
      <c r="M18" s="219">
        <v>0</v>
      </c>
    </row>
    <row r="19" spans="1:24" ht="14.45" hidden="1" x14ac:dyDescent="0.35">
      <c r="A19" t="s">
        <v>574</v>
      </c>
      <c r="E19" s="39">
        <v>5.5511151231257827E-17</v>
      </c>
      <c r="F19" s="40">
        <v>0.98019752351228939</v>
      </c>
      <c r="G19" s="41">
        <v>0.81920168097189572</v>
      </c>
      <c r="L19" s="39">
        <v>0</v>
      </c>
      <c r="M19" s="41">
        <f>O5</f>
        <v>1</v>
      </c>
      <c r="R19" t="s">
        <v>691</v>
      </c>
      <c r="V19" t="s">
        <v>574</v>
      </c>
    </row>
    <row r="20" spans="1:24" ht="14.45" hidden="1" x14ac:dyDescent="0.35">
      <c r="A20" s="217">
        <f t="array" ref="A20:C22">MMULT(A2:C4,A8:C10)</f>
        <v>-3.9557659016087219</v>
      </c>
      <c r="B20" s="218">
        <v>1.5625127614763725</v>
      </c>
      <c r="C20" s="219">
        <v>2.8125557775612511</v>
      </c>
      <c r="R20" s="217">
        <f t="array" ref="R20:T22">MMULT(R2:T4,R9:T11)</f>
        <v>-4.11717617705136</v>
      </c>
      <c r="S20" s="218">
        <v>-0.41143015598248522</v>
      </c>
      <c r="T20" s="219">
        <v>0.64664781000402627</v>
      </c>
      <c r="V20" s="217">
        <f t="array" ref="V20:X22">MMULT(V2:X4,V9:X11)</f>
        <v>3.9557659016087263</v>
      </c>
      <c r="W20" s="218">
        <v>0.90766667793025646</v>
      </c>
      <c r="X20" s="219">
        <v>-0.16724343990459278</v>
      </c>
    </row>
    <row r="21" spans="1:24" ht="14.45" hidden="1" x14ac:dyDescent="0.35">
      <c r="A21" s="36">
        <v>1.1203230672869817</v>
      </c>
      <c r="B21" s="37">
        <v>1.7638996921590002</v>
      </c>
      <c r="C21" s="38">
        <v>2.3735067096821254</v>
      </c>
      <c r="E21" t="s">
        <v>692</v>
      </c>
      <c r="L21" t="s">
        <v>693</v>
      </c>
      <c r="R21" s="36">
        <v>0</v>
      </c>
      <c r="S21" s="37">
        <v>2.485349493297329</v>
      </c>
      <c r="T21" s="38">
        <v>0.97208448941455261</v>
      </c>
      <c r="V21" s="36">
        <v>-1.1203230672869826</v>
      </c>
      <c r="W21" s="37">
        <v>1.9493604072687805</v>
      </c>
      <c r="X21" s="38">
        <v>1.6497642847167726</v>
      </c>
    </row>
    <row r="22" spans="1:24" ht="14.45" hidden="1" x14ac:dyDescent="0.35">
      <c r="A22" s="39">
        <v>-0.21893384720878192</v>
      </c>
      <c r="B22" s="40">
        <v>1.3486345256706249</v>
      </c>
      <c r="C22" s="41">
        <v>0.36503819898133288</v>
      </c>
      <c r="E22" s="217">
        <v>1</v>
      </c>
      <c r="F22" s="218">
        <v>0</v>
      </c>
      <c r="G22" s="219">
        <v>0</v>
      </c>
      <c r="L22" s="217">
        <f t="array" ref="L22:M23">MMULT(L10:M11,L18:M19)</f>
        <v>-0.8619092161482711</v>
      </c>
      <c r="M22" s="219">
        <v>0.50706262248234379</v>
      </c>
      <c r="R22" s="39">
        <v>0</v>
      </c>
      <c r="S22" s="40">
        <v>0</v>
      </c>
      <c r="T22" s="41">
        <v>-1.3681733162459606</v>
      </c>
      <c r="V22" s="39">
        <v>0.21893384720878209</v>
      </c>
      <c r="W22" s="40">
        <v>1.3123917408430248</v>
      </c>
      <c r="X22" s="41">
        <v>-0.69664001084683358</v>
      </c>
    </row>
    <row r="23" spans="1:24" ht="14.45" x14ac:dyDescent="0.35">
      <c r="E23" s="36">
        <v>0</v>
      </c>
      <c r="F23" s="37">
        <f t="array" ref="F23:G24">L22:M23</f>
        <v>-0.8619092161482711</v>
      </c>
      <c r="G23" s="38">
        <v>0.50706262248234379</v>
      </c>
      <c r="I23" s="138">
        <f t="array" ref="I23:J24">I6:J6*I7:J8</f>
        <v>2.1421456336224045</v>
      </c>
      <c r="J23" s="140">
        <v>0.69374954974604586</v>
      </c>
      <c r="L23" s="39">
        <v>-0.5070626224823449</v>
      </c>
      <c r="M23" s="41">
        <v>-0.86190921614827132</v>
      </c>
    </row>
    <row r="24" spans="1:24" x14ac:dyDescent="0.25">
      <c r="A24" s="71" t="s">
        <v>688</v>
      </c>
      <c r="E24" s="39">
        <v>0</v>
      </c>
      <c r="F24" s="40">
        <v>-0.5070626224823449</v>
      </c>
      <c r="G24" s="41">
        <v>-0.86190921614827132</v>
      </c>
      <c r="I24" s="91">
        <v>1.2602278318565112</v>
      </c>
      <c r="J24" s="93">
        <v>-1.1792411905605402</v>
      </c>
      <c r="R24" t="s">
        <v>694</v>
      </c>
      <c r="V24" t="s">
        <v>694</v>
      </c>
    </row>
    <row r="25" spans="1:24" ht="14.45" x14ac:dyDescent="0.35">
      <c r="A25" s="138">
        <f t="array" ref="A25:C27">A7:C7*A8:C10</f>
        <v>-3.9557659016087228</v>
      </c>
      <c r="B25" s="139">
        <v>0.51236627980771188</v>
      </c>
      <c r="C25" s="140">
        <v>0.25365340242373269</v>
      </c>
      <c r="L25" t="s">
        <v>133</v>
      </c>
    </row>
    <row r="26" spans="1:24" ht="14.45" x14ac:dyDescent="0.35">
      <c r="A26" s="36">
        <v>1.1203230672869813</v>
      </c>
      <c r="B26" s="37">
        <v>2.0613144929097844</v>
      </c>
      <c r="C26" s="90">
        <v>0.66757179292378033</v>
      </c>
      <c r="E26" t="s">
        <v>724</v>
      </c>
      <c r="I26" t="s">
        <v>574</v>
      </c>
      <c r="L26" s="217">
        <f>I6</f>
        <v>2.485349493297329</v>
      </c>
      <c r="M26" s="219">
        <f>M14*O5</f>
        <v>2.7379204873257454</v>
      </c>
      <c r="R26">
        <f t="array" ref="R26:T26">[1]!DIAG(R20:T22)</f>
        <v>-4.11717617705136</v>
      </c>
      <c r="S26">
        <v>2.485349493297329</v>
      </c>
      <c r="T26">
        <v>-1.3681733162459606</v>
      </c>
      <c r="V26">
        <f>R26</f>
        <v>-4.11717617705136</v>
      </c>
      <c r="W26">
        <f>S26</f>
        <v>2.485349493297329</v>
      </c>
      <c r="X26">
        <f>T26</f>
        <v>-1.3681733162459606</v>
      </c>
    </row>
    <row r="27" spans="1:24" ht="14.45" x14ac:dyDescent="0.35">
      <c r="A27" s="91">
        <v>-0.21893384720878198</v>
      </c>
      <c r="B27" s="92">
        <v>1.2905136421089949</v>
      </c>
      <c r="C27" s="93">
        <v>-1.167007316180525</v>
      </c>
      <c r="E27" s="217">
        <f t="array" ref="E27:G29">MMULT(E12:G14,E22:G24)</f>
        <v>-0.96079587841241409</v>
      </c>
      <c r="F27" s="218">
        <v>0.20615461977862506</v>
      </c>
      <c r="G27" s="219">
        <v>-0.18539566545539282</v>
      </c>
      <c r="I27" s="138">
        <f t="array" ref="I27:J28">MMULT(I2:J3,I7:J8)</f>
        <v>2.1421456336224001</v>
      </c>
      <c r="J27" s="140">
        <v>3.053588450853268</v>
      </c>
      <c r="L27" s="39">
        <v>0</v>
      </c>
      <c r="M27" s="41">
        <f>O8</f>
        <v>-1.3681733162459606</v>
      </c>
      <c r="R27" s="217">
        <f t="array" ref="R27:T29">R9:T11/R12:T12</f>
        <v>1</v>
      </c>
      <c r="S27" s="218">
        <v>-0.16331947725181625</v>
      </c>
      <c r="T27" s="219">
        <v>-0.35952631004847524</v>
      </c>
      <c r="V27" s="217">
        <f t="array" ref="V27:X29">V9:X11/V12:X12</f>
        <v>-0.96079587841241409</v>
      </c>
      <c r="W27" s="218">
        <v>0.36030331078787775</v>
      </c>
      <c r="X27" s="219">
        <v>9.2984799296449386E-2</v>
      </c>
    </row>
    <row r="28" spans="1:24" ht="14.45" x14ac:dyDescent="0.35">
      <c r="E28" s="36">
        <v>0.27210957683363829</v>
      </c>
      <c r="F28" s="37">
        <v>0.82938616821049871</v>
      </c>
      <c r="G28" s="38">
        <v>-0.48792925939783893</v>
      </c>
      <c r="I28" s="91">
        <v>1.260227831856509</v>
      </c>
      <c r="J28" s="93">
        <v>0.20905595189099102</v>
      </c>
      <c r="R28" s="36">
        <v>0</v>
      </c>
      <c r="S28" s="37">
        <v>0.98657323516817197</v>
      </c>
      <c r="T28" s="38">
        <v>-0.54046413538831006</v>
      </c>
      <c r="V28" s="36">
        <v>0.27210957683363829</v>
      </c>
      <c r="W28" s="37">
        <v>0.7738094013314829</v>
      </c>
      <c r="X28" s="38">
        <v>-0.91724375550005888</v>
      </c>
    </row>
    <row r="29" spans="1:24" ht="15" customHeight="1" x14ac:dyDescent="0.35">
      <c r="A29" t="s">
        <v>574</v>
      </c>
      <c r="E29" s="39">
        <v>-5.3175729624856193E-2</v>
      </c>
      <c r="F29" s="40">
        <v>0.5192483574601241</v>
      </c>
      <c r="G29" s="41">
        <v>0.85296745837917398</v>
      </c>
      <c r="L29" t="s">
        <v>494</v>
      </c>
      <c r="R29" s="39">
        <v>0</v>
      </c>
      <c r="S29" s="40">
        <v>0</v>
      </c>
      <c r="T29" s="41">
        <v>0.76068347605419562</v>
      </c>
      <c r="V29" s="39">
        <v>-5.3175729624856193E-2</v>
      </c>
      <c r="W29" s="40">
        <v>0.5209611642400096</v>
      </c>
      <c r="X29" s="41">
        <v>0.38732121049065654</v>
      </c>
    </row>
    <row r="30" spans="1:24" ht="14.45" x14ac:dyDescent="0.35">
      <c r="A30" s="138">
        <f t="array" ref="A30:C32">MMULT(A2:C4,A8:C10)</f>
        <v>-3.9557659016087219</v>
      </c>
      <c r="B30" s="139">
        <v>1.5625127614763725</v>
      </c>
      <c r="C30" s="140">
        <v>2.8125557775612511</v>
      </c>
      <c r="L30" s="217">
        <f t="array" ref="L30:M31">MMULT(TRANSPOSE(L22:M23),L22:M23)</f>
        <v>1.0000000000000002</v>
      </c>
      <c r="M30" s="219">
        <v>1.0547118733938987E-15</v>
      </c>
    </row>
    <row r="31" spans="1:24" ht="14.45" x14ac:dyDescent="0.35">
      <c r="A31" s="36">
        <v>1.1203230672869817</v>
      </c>
      <c r="B31" s="37">
        <v>1.7638996921590002</v>
      </c>
      <c r="C31" s="90">
        <v>2.3735067096821254</v>
      </c>
      <c r="E31" t="s">
        <v>725</v>
      </c>
      <c r="L31" s="39">
        <v>1.0547118733938987E-15</v>
      </c>
      <c r="M31" s="41">
        <v>0.99999999999999933</v>
      </c>
      <c r="R31" t="s">
        <v>696</v>
      </c>
      <c r="V31" t="s">
        <v>697</v>
      </c>
    </row>
    <row r="32" spans="1:24" ht="14.45" x14ac:dyDescent="0.35">
      <c r="A32" s="91">
        <v>-0.21893384720878192</v>
      </c>
      <c r="B32" s="92">
        <v>1.3486345256706249</v>
      </c>
      <c r="C32" s="93">
        <v>0.36503819898133288</v>
      </c>
      <c r="E32" s="217">
        <f>A7</f>
        <v>-4.11717617705136</v>
      </c>
      <c r="F32" s="218">
        <f t="array" ref="F32:G32">MMULT(F17:G17,L22:M23)</f>
        <v>-1.0929964472827343</v>
      </c>
      <c r="G32" s="219">
        <v>-2.0758492650742464</v>
      </c>
    </row>
    <row r="33" spans="1:24" ht="15" customHeight="1" x14ac:dyDescent="0.35">
      <c r="E33" s="36">
        <v>0</v>
      </c>
      <c r="F33" s="37">
        <f t="array" ref="F33:G34">L26:M27</f>
        <v>2.485349493297329</v>
      </c>
      <c r="G33" s="38">
        <v>2.7379204873257454</v>
      </c>
      <c r="L33" t="s">
        <v>698</v>
      </c>
      <c r="R33">
        <f t="array" ref="R33:T38">[1]!eVECT(R2:T4)</f>
        <v>-4.11717617705136</v>
      </c>
      <c r="S33">
        <v>2.485349493297329</v>
      </c>
      <c r="T33">
        <v>-1.3681733162459606</v>
      </c>
      <c r="V33">
        <f t="array" ref="V33:X38">[1]!eVECT(V2:X4)</f>
        <v>-4.11717617705136</v>
      </c>
      <c r="W33">
        <v>2.485349493297325</v>
      </c>
      <c r="X33">
        <v>-1.3681733162459655</v>
      </c>
    </row>
    <row r="34" spans="1:24" ht="14.45" x14ac:dyDescent="0.35">
      <c r="E34" s="39">
        <v>0</v>
      </c>
      <c r="F34" s="40">
        <v>0</v>
      </c>
      <c r="G34" s="41">
        <v>-1.3681733162459606</v>
      </c>
      <c r="L34" s="217">
        <f t="array" ref="L34:M35">MMULT(L22:M23,MMULT(L26:M27,TRANSPOSE(L22:M23)))</f>
        <v>0.29797449607947207</v>
      </c>
      <c r="M34" s="219">
        <v>3.7181180108380341</v>
      </c>
      <c r="R34" s="217">
        <v>1</v>
      </c>
      <c r="S34" s="218">
        <v>0.16331947725181625</v>
      </c>
      <c r="T34" s="219">
        <v>0.35952631004847524</v>
      </c>
      <c r="V34" s="217">
        <v>0.96079587841241421</v>
      </c>
      <c r="W34" s="218">
        <v>0.36030331078787781</v>
      </c>
      <c r="X34" s="219">
        <v>9.2984799296449816E-2</v>
      </c>
    </row>
    <row r="35" spans="1:24" ht="14.45" x14ac:dyDescent="0.35">
      <c r="L35" s="39">
        <v>0.9801975235122895</v>
      </c>
      <c r="M35" s="41">
        <v>0.81920168097190049</v>
      </c>
      <c r="R35" s="36">
        <v>0</v>
      </c>
      <c r="S35" s="37">
        <v>-0.98657323516817197</v>
      </c>
      <c r="T35" s="38">
        <v>0.54046413538831006</v>
      </c>
      <c r="V35" s="36">
        <v>-0.27210957683363834</v>
      </c>
      <c r="W35" s="37">
        <v>0.77380940133148279</v>
      </c>
      <c r="X35" s="38">
        <v>-0.91724375550005888</v>
      </c>
    </row>
    <row r="36" spans="1:24" ht="15" customHeight="1" x14ac:dyDescent="0.35">
      <c r="A36" t="s">
        <v>695</v>
      </c>
      <c r="E36" t="s">
        <v>494</v>
      </c>
      <c r="R36" s="39">
        <v>0</v>
      </c>
      <c r="S36" s="40">
        <v>0</v>
      </c>
      <c r="T36" s="41">
        <v>-0.76068347605419562</v>
      </c>
      <c r="V36" s="39">
        <v>5.3175729624856199E-2</v>
      </c>
      <c r="W36" s="40">
        <v>0.5209611642400096</v>
      </c>
      <c r="X36" s="41">
        <v>0.38732121049065621</v>
      </c>
    </row>
    <row r="37" spans="1:24" ht="14.45" x14ac:dyDescent="0.35">
      <c r="A37" s="217">
        <f t="array" ref="A37:C39">[1]!SCHURQ(A2:C4)</f>
        <v>-0.96079587841241421</v>
      </c>
      <c r="B37" s="218">
        <v>0.20615461977862515</v>
      </c>
      <c r="C37" s="219">
        <v>-0.18539566545539321</v>
      </c>
      <c r="E37" s="217">
        <f t="array" ref="E37:G39">MMULT(TRANSPOSE(E27:G29),E27:G29)</f>
        <v>0.99999999999999989</v>
      </c>
      <c r="F37" s="218">
        <v>3.4694469519536142E-18</v>
      </c>
      <c r="G37" s="219">
        <v>0</v>
      </c>
      <c r="L37" t="s">
        <v>699</v>
      </c>
      <c r="R37">
        <v>0</v>
      </c>
      <c r="S37">
        <v>0</v>
      </c>
      <c r="T37">
        <v>0</v>
      </c>
      <c r="V37">
        <v>3.1086244689504383E-15</v>
      </c>
      <c r="W37">
        <v>-3.3569502904168422E-15</v>
      </c>
      <c r="X37">
        <v>-6.1294903042470931E-15</v>
      </c>
    </row>
    <row r="38" spans="1:24" ht="14.45" x14ac:dyDescent="0.35">
      <c r="A38" s="36">
        <v>0.27210957683363834</v>
      </c>
      <c r="B38" s="37">
        <v>0.82938616821049893</v>
      </c>
      <c r="C38" s="38">
        <v>-0.48792925939784021</v>
      </c>
      <c r="E38" s="36">
        <v>3.4694469519536142E-18</v>
      </c>
      <c r="F38" s="37">
        <v>0.99999999999999989</v>
      </c>
      <c r="G38" s="38">
        <v>1.1102230246251565E-15</v>
      </c>
      <c r="L38" s="217">
        <f t="array" ref="L38:M41">[1]!SCHUR(L2:M3)</f>
        <v>2.4853494932973241</v>
      </c>
      <c r="M38" s="219">
        <v>-2.7379204873257432</v>
      </c>
      <c r="R38">
        <v>0</v>
      </c>
      <c r="S38">
        <v>1.1102230246251565E-16</v>
      </c>
      <c r="T38">
        <v>3.3306690738754696E-16</v>
      </c>
      <c r="V38">
        <v>4.4408920985006262E-16</v>
      </c>
      <c r="W38">
        <v>4.4408920985006262E-16</v>
      </c>
      <c r="X38">
        <v>6.6613381477509392E-16</v>
      </c>
    </row>
    <row r="39" spans="1:24" ht="14.45" x14ac:dyDescent="0.35">
      <c r="A39" s="39">
        <v>-5.3175729624856199E-2</v>
      </c>
      <c r="B39" s="40">
        <v>0.51924835746012421</v>
      </c>
      <c r="C39" s="41">
        <v>0.85296745837917365</v>
      </c>
      <c r="E39" s="39">
        <v>0</v>
      </c>
      <c r="F39" s="40">
        <v>1.1102230246251565E-15</v>
      </c>
      <c r="G39" s="41">
        <v>0.99999999999999944</v>
      </c>
      <c r="L39" s="39">
        <v>-2.2204460492503131E-16</v>
      </c>
      <c r="M39" s="41">
        <v>-1.3681733162459646</v>
      </c>
    </row>
    <row r="40" spans="1:24" ht="14.45" x14ac:dyDescent="0.35">
      <c r="L40" s="36">
        <v>-0.8619092161482711</v>
      </c>
      <c r="M40" s="38">
        <v>-0.5070626224823449</v>
      </c>
    </row>
    <row r="41" spans="1:24" ht="15" customHeight="1" x14ac:dyDescent="0.35">
      <c r="E41" t="s">
        <v>698</v>
      </c>
      <c r="L41" s="39">
        <v>-0.5070626224823449</v>
      </c>
      <c r="M41" s="41">
        <v>0.86190921614827098</v>
      </c>
    </row>
    <row r="42" spans="1:24" ht="14.45" x14ac:dyDescent="0.35">
      <c r="E42" s="217">
        <f t="array" ref="E42:G44">MMULT(E27:G29,MMULT(E32:G34,TRANSPOSE(E27:G29)))</f>
        <v>-3.9999999999999982</v>
      </c>
      <c r="F42" s="218">
        <v>1.000000000000004</v>
      </c>
      <c r="G42" s="219">
        <v>3.0000000000000013</v>
      </c>
    </row>
    <row r="43" spans="1:24" ht="14.45" x14ac:dyDescent="0.35">
      <c r="E43" s="36">
        <v>1.0000000000000013</v>
      </c>
      <c r="F43" s="37">
        <v>6.8833827526759706E-15</v>
      </c>
      <c r="G43" s="38">
        <v>3.0000000000000009</v>
      </c>
    </row>
    <row r="44" spans="1:24" x14ac:dyDescent="0.25">
      <c r="E44" s="39">
        <v>-2.7755575615628914E-16</v>
      </c>
      <c r="F44" s="40">
        <v>1.0000000000000002</v>
      </c>
      <c r="G44" s="41">
        <v>1.0000000000000044</v>
      </c>
    </row>
    <row r="46" spans="1:24" x14ac:dyDescent="0.25">
      <c r="E46" t="s">
        <v>700</v>
      </c>
    </row>
    <row r="47" spans="1:24" x14ac:dyDescent="0.25">
      <c r="E47" s="217">
        <f t="array" ref="E47:G49">MMULT(TRANSPOSE(E27:G29),MMULT(E2:G4,E27:G29))</f>
        <v>-4.11717617705136</v>
      </c>
      <c r="F47" s="218">
        <v>-1.092996447282734</v>
      </c>
      <c r="G47" s="219">
        <v>-2.0758492650742464</v>
      </c>
    </row>
    <row r="48" spans="1:24" x14ac:dyDescent="0.25">
      <c r="E48" s="36">
        <v>-3.7470027081099033E-16</v>
      </c>
      <c r="F48" s="37">
        <v>2.4853494932973241</v>
      </c>
      <c r="G48" s="38">
        <v>2.7379204873257454</v>
      </c>
    </row>
    <row r="49" spans="5:7" x14ac:dyDescent="0.25">
      <c r="E49" s="39">
        <v>1.6653345369377348E-16</v>
      </c>
      <c r="F49" s="40">
        <v>3.1086244689504383E-15</v>
      </c>
      <c r="G49" s="41">
        <v>-1.3681733162459608</v>
      </c>
    </row>
    <row r="51" spans="5:7" x14ac:dyDescent="0.25">
      <c r="E51" t="s">
        <v>699</v>
      </c>
    </row>
    <row r="52" spans="5:7" x14ac:dyDescent="0.25">
      <c r="E52" s="217">
        <f t="array" ref="E52:G57">[1]!SCHUR(E2:G4)</f>
        <v>-4.11717617705136</v>
      </c>
      <c r="F52" s="218">
        <v>-1.0929964472827343</v>
      </c>
      <c r="G52" s="219">
        <v>-2.0758492650742459</v>
      </c>
    </row>
    <row r="53" spans="5:7" x14ac:dyDescent="0.25">
      <c r="E53" s="36">
        <v>-4.4408920985006262E-16</v>
      </c>
      <c r="F53" s="37">
        <v>2.485349493297325</v>
      </c>
      <c r="G53" s="38">
        <v>2.7379204873257441</v>
      </c>
    </row>
    <row r="54" spans="5:7" x14ac:dyDescent="0.25">
      <c r="E54" s="39">
        <v>1.3877787807814457E-16</v>
      </c>
      <c r="F54" s="40">
        <v>0</v>
      </c>
      <c r="G54" s="41">
        <v>-1.3681733162459655</v>
      </c>
    </row>
    <row r="55" spans="5:7" x14ac:dyDescent="0.25">
      <c r="E55" s="36">
        <v>-0.96079587841241421</v>
      </c>
      <c r="F55" s="37">
        <v>0.20615461977862515</v>
      </c>
      <c r="G55" s="38">
        <v>-0.18539566545539321</v>
      </c>
    </row>
    <row r="56" spans="5:7" x14ac:dyDescent="0.25">
      <c r="E56" s="36">
        <v>0.27210957683363834</v>
      </c>
      <c r="F56" s="37">
        <v>0.82938616821049893</v>
      </c>
      <c r="G56" s="38">
        <v>-0.48792925939784021</v>
      </c>
    </row>
    <row r="57" spans="5:7" x14ac:dyDescent="0.25">
      <c r="E57" s="39">
        <v>-5.3175729624856199E-2</v>
      </c>
      <c r="F57" s="40">
        <v>0.51924835746012421</v>
      </c>
      <c r="G57" s="41">
        <v>0.85296745837917365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/>
  <dimension ref="A1:N23"/>
  <sheetViews>
    <sheetView workbookViewId="0"/>
  </sheetViews>
  <sheetFormatPr defaultRowHeight="15" x14ac:dyDescent="0.25"/>
  <cols>
    <col min="11" max="14" width="9.140625" customWidth="1"/>
  </cols>
  <sheetData>
    <row r="1" spans="1:14" ht="14.45" x14ac:dyDescent="0.35">
      <c r="A1" s="42" t="s">
        <v>490</v>
      </c>
    </row>
    <row r="2" spans="1:14" ht="14.45" x14ac:dyDescent="0.35">
      <c r="A2" s="42"/>
    </row>
    <row r="3" spans="1:14" ht="14.45" x14ac:dyDescent="0.35">
      <c r="A3" t="s">
        <v>462</v>
      </c>
      <c r="F3" t="s">
        <v>491</v>
      </c>
      <c r="K3" t="s">
        <v>492</v>
      </c>
    </row>
    <row r="4" spans="1:14" ht="14.45" x14ac:dyDescent="0.35">
      <c r="A4" s="156">
        <v>4</v>
      </c>
      <c r="B4" s="157">
        <v>1</v>
      </c>
      <c r="C4" s="157">
        <v>3</v>
      </c>
      <c r="D4" s="158">
        <v>2</v>
      </c>
      <c r="F4" s="156">
        <f t="array" ref="F4:I7">[1]!QRFactorR(A4:D9)</f>
        <v>-11.180339887498949</v>
      </c>
      <c r="G4" s="157">
        <v>-8.6759437526991814</v>
      </c>
      <c r="H4" s="157">
        <v>-2.3255106965997818</v>
      </c>
      <c r="I4" s="158">
        <v>-9.9281418200990661</v>
      </c>
      <c r="K4" s="156">
        <f t="array" ref="K4:N13">[1]!QRFactor(A4:D9)</f>
        <v>-0.35777087639996635</v>
      </c>
      <c r="L4" s="157">
        <v>0.39254824442275515</v>
      </c>
      <c r="M4" s="157">
        <v>0.38517717430858939</v>
      </c>
      <c r="N4" s="158">
        <v>0.63611345272175612</v>
      </c>
    </row>
    <row r="5" spans="1:14" ht="14.45" x14ac:dyDescent="0.35">
      <c r="A5" s="123">
        <v>5</v>
      </c>
      <c r="B5" s="37">
        <v>4</v>
      </c>
      <c r="C5" s="37">
        <v>-1</v>
      </c>
      <c r="D5" s="90">
        <v>5</v>
      </c>
      <c r="F5" s="123">
        <v>0</v>
      </c>
      <c r="G5" s="37">
        <v>-5.3598507441905516</v>
      </c>
      <c r="H5" s="37">
        <v>-1.2731697813407226</v>
      </c>
      <c r="I5" s="90">
        <v>0.77166327896032094</v>
      </c>
      <c r="K5" s="123">
        <v>-0.44721359549995793</v>
      </c>
      <c r="L5" s="37">
        <v>-2.2388683141982502E-2</v>
      </c>
      <c r="M5" s="37">
        <v>-0.29865303243885222</v>
      </c>
      <c r="N5" s="90">
        <v>-0.39875434047480551</v>
      </c>
    </row>
    <row r="6" spans="1:14" ht="14.45" x14ac:dyDescent="0.35">
      <c r="A6" s="123">
        <v>7</v>
      </c>
      <c r="B6" s="37">
        <v>3</v>
      </c>
      <c r="C6" s="37">
        <v>0</v>
      </c>
      <c r="D6" s="90">
        <v>7</v>
      </c>
      <c r="F6" s="123">
        <v>0</v>
      </c>
      <c r="G6" s="37">
        <v>0</v>
      </c>
      <c r="H6" s="37">
        <v>6.9261128136842256</v>
      </c>
      <c r="I6" s="90">
        <v>10.235822065744191</v>
      </c>
      <c r="K6" s="123">
        <v>-0.62609903369994113</v>
      </c>
      <c r="L6" s="37">
        <v>0.45374397834417313</v>
      </c>
      <c r="M6" s="37">
        <v>-0.12681094026819351</v>
      </c>
      <c r="N6" s="90">
        <v>-0.19002435905434356</v>
      </c>
    </row>
    <row r="7" spans="1:14" ht="14.45" x14ac:dyDescent="0.35">
      <c r="A7" s="123">
        <v>1</v>
      </c>
      <c r="B7" s="60">
        <v>2</v>
      </c>
      <c r="C7" s="60">
        <v>5</v>
      </c>
      <c r="D7" s="90">
        <v>8</v>
      </c>
      <c r="F7" s="91">
        <v>0</v>
      </c>
      <c r="G7" s="92">
        <v>0</v>
      </c>
      <c r="H7" s="92">
        <v>0</v>
      </c>
      <c r="I7" s="93">
        <v>-9.1139718247495445</v>
      </c>
      <c r="K7" s="123">
        <v>-8.9442719099991588E-2</v>
      </c>
      <c r="L7" s="37">
        <v>-0.22836456804821895</v>
      </c>
      <c r="M7" s="37">
        <v>0.64989601727808377</v>
      </c>
      <c r="N7" s="90">
        <v>-6.9783028685371784E-2</v>
      </c>
    </row>
    <row r="8" spans="1:14" ht="14.45" x14ac:dyDescent="0.35">
      <c r="A8" s="123">
        <v>-3</v>
      </c>
      <c r="B8" s="60">
        <v>-5</v>
      </c>
      <c r="C8" s="60">
        <v>2</v>
      </c>
      <c r="D8" s="90">
        <v>8</v>
      </c>
      <c r="K8" s="123">
        <v>0.26832815729997478</v>
      </c>
      <c r="L8" s="37">
        <v>0.49852134462813813</v>
      </c>
      <c r="M8" s="37">
        <v>0.47049512460951093</v>
      </c>
      <c r="N8" s="90">
        <v>-0.59945379592169012</v>
      </c>
    </row>
    <row r="9" spans="1:14" ht="14.45" x14ac:dyDescent="0.35">
      <c r="A9" s="91">
        <v>5</v>
      </c>
      <c r="B9" s="92">
        <v>7</v>
      </c>
      <c r="C9" s="92">
        <v>4</v>
      </c>
      <c r="D9" s="93">
        <v>9</v>
      </c>
      <c r="F9" t="s">
        <v>493</v>
      </c>
      <c r="K9" s="123">
        <v>-0.44721359549995793</v>
      </c>
      <c r="L9" s="37">
        <v>-0.5821057616915386</v>
      </c>
      <c r="M9" s="37">
        <v>0.32036448067754097</v>
      </c>
      <c r="N9" s="90">
        <v>-0.18981799084245865</v>
      </c>
    </row>
    <row r="10" spans="1:14" ht="14.45" x14ac:dyDescent="0.35">
      <c r="F10" s="156">
        <f t="array" ref="F10:I15">MMULT(A4:D9,MINVERSE(F4:I7))</f>
        <v>-0.35777087639996635</v>
      </c>
      <c r="G10" s="157">
        <v>0.39254824442275515</v>
      </c>
      <c r="H10" s="157">
        <v>0.38517717430858939</v>
      </c>
      <c r="I10" s="158">
        <v>0.63611345272175612</v>
      </c>
      <c r="K10" s="156">
        <v>-11.180339887498949</v>
      </c>
      <c r="L10" s="157">
        <v>-8.6759437526991814</v>
      </c>
      <c r="M10" s="157">
        <v>-2.3255106965997818</v>
      </c>
      <c r="N10" s="158">
        <v>-9.9281418200990661</v>
      </c>
    </row>
    <row r="11" spans="1:14" ht="14.45" x14ac:dyDescent="0.35">
      <c r="F11" s="123">
        <v>-0.44721359549995793</v>
      </c>
      <c r="G11" s="37">
        <v>-2.2388683141982502E-2</v>
      </c>
      <c r="H11" s="37">
        <v>-0.29865303243885222</v>
      </c>
      <c r="I11" s="90">
        <v>-0.39875434047480551</v>
      </c>
      <c r="K11" s="123">
        <v>0</v>
      </c>
      <c r="L11" s="37">
        <v>-5.3598507441905516</v>
      </c>
      <c r="M11" s="37">
        <v>-1.2731697813407226</v>
      </c>
      <c r="N11" s="90">
        <v>0.77166327896032094</v>
      </c>
    </row>
    <row r="12" spans="1:14" ht="14.45" x14ac:dyDescent="0.35">
      <c r="F12" s="123">
        <v>-0.62609903369994113</v>
      </c>
      <c r="G12" s="37">
        <v>0.45374397834417313</v>
      </c>
      <c r="H12" s="37">
        <v>-0.12681094026819351</v>
      </c>
      <c r="I12" s="90">
        <v>-0.19002435905434356</v>
      </c>
      <c r="K12" s="123">
        <v>0</v>
      </c>
      <c r="L12" s="37">
        <v>0</v>
      </c>
      <c r="M12" s="37">
        <v>6.9261128136842256</v>
      </c>
      <c r="N12" s="90">
        <v>10.235822065744191</v>
      </c>
    </row>
    <row r="13" spans="1:14" ht="14.45" x14ac:dyDescent="0.35">
      <c r="F13" s="123">
        <v>-8.9442719099991588E-2</v>
      </c>
      <c r="G13" s="37">
        <v>-0.22836456804821895</v>
      </c>
      <c r="H13" s="37">
        <v>0.64989601727808377</v>
      </c>
      <c r="I13" s="90">
        <v>-6.9783028685371784E-2</v>
      </c>
      <c r="K13" s="91">
        <v>0</v>
      </c>
      <c r="L13" s="92">
        <v>0</v>
      </c>
      <c r="M13" s="92">
        <v>0</v>
      </c>
      <c r="N13" s="93">
        <v>-9.1139718247495445</v>
      </c>
    </row>
    <row r="14" spans="1:14" ht="14.45" x14ac:dyDescent="0.35">
      <c r="F14" s="123">
        <v>0.26832815729997478</v>
      </c>
      <c r="G14" s="37">
        <v>0.49852134462813813</v>
      </c>
      <c r="H14" s="37">
        <v>0.47049512460951093</v>
      </c>
      <c r="I14" s="90">
        <v>-0.59945379592169012</v>
      </c>
    </row>
    <row r="15" spans="1:14" ht="14.45" x14ac:dyDescent="0.35">
      <c r="F15" s="91">
        <v>-0.44721359549995793</v>
      </c>
      <c r="G15" s="92">
        <v>-0.5821057616915386</v>
      </c>
      <c r="H15" s="92">
        <v>0.32036448067754097</v>
      </c>
      <c r="I15" s="93">
        <v>-0.18981799084245865</v>
      </c>
    </row>
    <row r="17" spans="6:14" ht="16.5" x14ac:dyDescent="0.35">
      <c r="F17" t="s">
        <v>492</v>
      </c>
      <c r="K17" t="s">
        <v>494</v>
      </c>
    </row>
    <row r="18" spans="6:14" ht="14.45" x14ac:dyDescent="0.35">
      <c r="F18" s="156">
        <f t="array" ref="F18:I23">MMULT(F10:I15,F4:I7)</f>
        <v>4</v>
      </c>
      <c r="G18" s="157">
        <v>1.0000000000000004</v>
      </c>
      <c r="H18" s="157">
        <v>3</v>
      </c>
      <c r="I18" s="158">
        <v>2</v>
      </c>
      <c r="K18" s="156">
        <f t="array" ref="K18:N21">MMULT(TRANSPOSE(F10:I15),F10:I15)</f>
        <v>1</v>
      </c>
      <c r="L18" s="157">
        <v>5.5511151231257827E-16</v>
      </c>
      <c r="M18" s="157">
        <v>2.2204460492503131E-16</v>
      </c>
      <c r="N18" s="158">
        <v>2.0816681711721685E-16</v>
      </c>
    </row>
    <row r="19" spans="6:14" ht="14.45" x14ac:dyDescent="0.35">
      <c r="F19" s="123">
        <v>5</v>
      </c>
      <c r="G19" s="37">
        <v>4</v>
      </c>
      <c r="H19" s="37">
        <v>-1</v>
      </c>
      <c r="I19" s="90">
        <v>4.9999999999999982</v>
      </c>
      <c r="K19" s="123">
        <v>5.5511151231257827E-16</v>
      </c>
      <c r="L19" s="37">
        <v>0.99999999999999933</v>
      </c>
      <c r="M19" s="37">
        <v>-2.2204460492503131E-16</v>
      </c>
      <c r="N19" s="90">
        <v>-3.3306690738754696E-16</v>
      </c>
    </row>
    <row r="20" spans="6:14" ht="14.45" x14ac:dyDescent="0.35">
      <c r="F20" s="123">
        <v>7.0000000000000009</v>
      </c>
      <c r="G20" s="37">
        <v>3.0000000000000009</v>
      </c>
      <c r="H20" s="37">
        <v>-1.1102230246251565E-16</v>
      </c>
      <c r="I20" s="90">
        <v>7</v>
      </c>
      <c r="K20" s="123">
        <v>2.2204460492503131E-16</v>
      </c>
      <c r="L20" s="37">
        <v>-2.2204460492503131E-16</v>
      </c>
      <c r="M20" s="37">
        <v>1</v>
      </c>
      <c r="N20" s="90">
        <v>0</v>
      </c>
    </row>
    <row r="21" spans="6:14" ht="14.45" x14ac:dyDescent="0.35">
      <c r="F21" s="123">
        <v>1</v>
      </c>
      <c r="G21" s="37">
        <v>2</v>
      </c>
      <c r="H21" s="37">
        <v>5</v>
      </c>
      <c r="I21" s="90">
        <v>7.9999999999999991</v>
      </c>
      <c r="K21" s="91">
        <v>2.0816681711721685E-16</v>
      </c>
      <c r="L21" s="92">
        <v>-3.3306690738754696E-16</v>
      </c>
      <c r="M21" s="92">
        <v>0</v>
      </c>
      <c r="N21" s="93">
        <v>0.99999999999999956</v>
      </c>
    </row>
    <row r="22" spans="6:14" ht="14.45" x14ac:dyDescent="0.35">
      <c r="F22" s="123">
        <v>-3.0000000000000004</v>
      </c>
      <c r="G22" s="37">
        <v>-5</v>
      </c>
      <c r="H22" s="37">
        <v>2.0000000000000004</v>
      </c>
      <c r="I22" s="90">
        <v>7.9999999999999982</v>
      </c>
    </row>
    <row r="23" spans="6:14" ht="14.45" x14ac:dyDescent="0.35">
      <c r="F23" s="91">
        <v>5</v>
      </c>
      <c r="G23" s="92">
        <v>7</v>
      </c>
      <c r="H23" s="92">
        <v>4</v>
      </c>
      <c r="I23" s="93">
        <v>8.9999999999999982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/>
  <dimension ref="A1:W22"/>
  <sheetViews>
    <sheetView workbookViewId="0"/>
  </sheetViews>
  <sheetFormatPr defaultRowHeight="15" x14ac:dyDescent="0.25"/>
  <cols>
    <col min="1" max="3" width="6.42578125" customWidth="1"/>
    <col min="4" max="4" width="5.28515625" customWidth="1"/>
    <col min="8" max="8" width="5.28515625" customWidth="1"/>
    <col min="12" max="12" width="5.28515625" customWidth="1"/>
    <col min="16" max="16" width="5.28515625" customWidth="1"/>
    <col min="17" max="19" width="7.28515625" customWidth="1"/>
  </cols>
  <sheetData>
    <row r="1" spans="1:23" ht="14.45" x14ac:dyDescent="0.35">
      <c r="A1" s="42" t="s">
        <v>555</v>
      </c>
      <c r="U1" t="s">
        <v>514</v>
      </c>
    </row>
    <row r="2" spans="1:23" ht="14.45" x14ac:dyDescent="0.35">
      <c r="A2" s="42"/>
    </row>
    <row r="3" spans="1:23" ht="14.45" x14ac:dyDescent="0.35">
      <c r="A3" t="s">
        <v>462</v>
      </c>
      <c r="E3" t="s">
        <v>558</v>
      </c>
      <c r="U3" t="s">
        <v>704</v>
      </c>
    </row>
    <row r="4" spans="1:23" ht="14.45" x14ac:dyDescent="0.35">
      <c r="A4" s="217">
        <v>4</v>
      </c>
      <c r="B4" s="218">
        <v>2</v>
      </c>
      <c r="C4" s="219">
        <v>-1</v>
      </c>
      <c r="E4" s="53">
        <f t="array" ref="E4:G7">[1]!eVECTORS(A4:C6)</f>
        <v>9.2599606982569878</v>
      </c>
      <c r="F4" s="161">
        <v>5.5539453561343555</v>
      </c>
      <c r="G4" s="162">
        <v>1.1860939456086532</v>
      </c>
    </row>
    <row r="5" spans="1:23" ht="14.45" x14ac:dyDescent="0.35">
      <c r="A5" s="123">
        <f>B4</f>
        <v>2</v>
      </c>
      <c r="B5" s="37">
        <v>3</v>
      </c>
      <c r="C5" s="90">
        <v>1</v>
      </c>
      <c r="E5" s="123">
        <v>0.14479660991443941</v>
      </c>
      <c r="F5" s="37">
        <v>0.77812333839378678</v>
      </c>
      <c r="G5" s="90">
        <v>0.61119392340254264</v>
      </c>
      <c r="U5" s="149">
        <f t="array" ref="U5:W7">[1]!SPECTRAL(A4:C6)</f>
        <v>0.14479660991443941</v>
      </c>
      <c r="V5" s="267">
        <v>0.77812333839378678</v>
      </c>
      <c r="W5" s="82">
        <v>0.61119392340254264</v>
      </c>
    </row>
    <row r="6" spans="1:23" ht="14.45" x14ac:dyDescent="0.35">
      <c r="A6" s="91">
        <f>C4</f>
        <v>-1</v>
      </c>
      <c r="B6" s="92">
        <v>1</v>
      </c>
      <c r="C6" s="93">
        <v>9</v>
      </c>
      <c r="E6" s="123">
        <v>-0.1108064817957269</v>
      </c>
      <c r="F6" s="37">
        <v>0.62656997616675714</v>
      </c>
      <c r="G6" s="90">
        <v>-0.77144798175796869</v>
      </c>
      <c r="U6" s="83">
        <v>-0.1108064817957269</v>
      </c>
      <c r="V6" s="37">
        <v>0.62656997616675714</v>
      </c>
      <c r="W6" s="84">
        <v>-0.77144798175796869</v>
      </c>
    </row>
    <row r="7" spans="1:23" ht="14.45" x14ac:dyDescent="0.35">
      <c r="E7" s="91">
        <v>-0.9832374409822574</v>
      </c>
      <c r="F7" s="92">
        <v>4.3978804136727466E-2</v>
      </c>
      <c r="G7" s="93">
        <v>0.17694631795367927</v>
      </c>
      <c r="U7" s="85">
        <v>-0.9832374409822574</v>
      </c>
      <c r="V7" s="86">
        <v>4.3978804136727466E-2</v>
      </c>
      <c r="W7" s="87">
        <v>0.17694631795367927</v>
      </c>
    </row>
    <row r="9" spans="1:23" ht="16.5" x14ac:dyDescent="0.35">
      <c r="E9" t="s">
        <v>469</v>
      </c>
      <c r="I9" t="s">
        <v>470</v>
      </c>
      <c r="M9" t="s">
        <v>488</v>
      </c>
      <c r="Q9" t="s">
        <v>489</v>
      </c>
      <c r="U9" t="s">
        <v>705</v>
      </c>
    </row>
    <row r="10" spans="1:23" ht="14.45" x14ac:dyDescent="0.35">
      <c r="E10" s="217">
        <f t="array" ref="E10:G12">E5:G7</f>
        <v>0.14479660991443941</v>
      </c>
      <c r="F10" s="218">
        <v>0.77812333839378678</v>
      </c>
      <c r="G10" s="219">
        <v>0.61119392340254264</v>
      </c>
      <c r="I10" s="217">
        <f t="array" ref="I10:K12">[1]!DIAGONAL(E4:G4)</f>
        <v>9.2599606982569878</v>
      </c>
      <c r="J10" s="218">
        <v>0</v>
      </c>
      <c r="K10" s="219">
        <v>0</v>
      </c>
      <c r="M10" s="217">
        <f t="array" ref="M10:O12">TRANSPOSE(E10:G12)</f>
        <v>0.14479660991443941</v>
      </c>
      <c r="N10" s="218">
        <v>-0.1108064817957269</v>
      </c>
      <c r="O10" s="219">
        <v>-0.9832374409822574</v>
      </c>
      <c r="Q10" s="217">
        <f t="array" ref="Q10:S12">MMULT(E10:G12,MMULT(I10:K12,M10:O12))</f>
        <v>3.9999999999999938</v>
      </c>
      <c r="R10" s="218">
        <v>1.9999999999999973</v>
      </c>
      <c r="S10" s="219">
        <v>-0.99999999999999434</v>
      </c>
    </row>
    <row r="11" spans="1:23" ht="14.45" x14ac:dyDescent="0.35">
      <c r="E11" s="123">
        <v>-0.1108064817957269</v>
      </c>
      <c r="F11" s="37">
        <v>0.62656997616675714</v>
      </c>
      <c r="G11" s="90">
        <v>-0.77144798175796869</v>
      </c>
      <c r="I11" s="123">
        <v>0</v>
      </c>
      <c r="J11" s="37">
        <v>5.5539453561343555</v>
      </c>
      <c r="K11" s="90">
        <v>0</v>
      </c>
      <c r="M11" s="123">
        <v>0.77812333839378678</v>
      </c>
      <c r="N11" s="37">
        <v>0.62656997616675714</v>
      </c>
      <c r="O11" s="90">
        <v>4.3978804136727466E-2</v>
      </c>
      <c r="Q11" s="123">
        <v>1.9999999999999978</v>
      </c>
      <c r="R11" s="37">
        <v>3.0000000000000009</v>
      </c>
      <c r="S11" s="90">
        <v>0.99999999999999911</v>
      </c>
      <c r="U11" s="149">
        <f t="array" ref="U11:W13">[1]!DIAGONAL([1]!SUBMATRIX([1]!eVALUES(A4:C6),1,1,1))</f>
        <v>9.2599606982569878</v>
      </c>
      <c r="V11" s="267">
        <v>0</v>
      </c>
      <c r="W11" s="82">
        <v>0</v>
      </c>
    </row>
    <row r="12" spans="1:23" ht="14.45" x14ac:dyDescent="0.35">
      <c r="E12" s="91">
        <v>-0.9832374409822574</v>
      </c>
      <c r="F12" s="92">
        <v>4.3978804136727466E-2</v>
      </c>
      <c r="G12" s="93">
        <v>0.17694631795367927</v>
      </c>
      <c r="I12" s="91">
        <v>0</v>
      </c>
      <c r="J12" s="92">
        <v>0</v>
      </c>
      <c r="K12" s="93">
        <v>1.1860939456086532</v>
      </c>
      <c r="M12" s="91">
        <v>0.61119392340254264</v>
      </c>
      <c r="N12" s="92">
        <v>-0.77144798175796869</v>
      </c>
      <c r="O12" s="93">
        <v>0.17694631795367927</v>
      </c>
      <c r="Q12" s="91">
        <v>-0.99999999999999434</v>
      </c>
      <c r="R12" s="92">
        <v>0.99999999999999911</v>
      </c>
      <c r="S12" s="93">
        <v>8.9999999999999893</v>
      </c>
      <c r="U12" s="83">
        <v>0</v>
      </c>
      <c r="V12" s="37">
        <v>5.5539453561343555</v>
      </c>
      <c r="W12" s="84">
        <v>0</v>
      </c>
    </row>
    <row r="13" spans="1:23" ht="14.45" x14ac:dyDescent="0.35">
      <c r="U13" s="85">
        <v>0</v>
      </c>
      <c r="V13" s="86">
        <v>0</v>
      </c>
      <c r="W13" s="87">
        <v>1.1860939456086532</v>
      </c>
    </row>
    <row r="14" spans="1:23" ht="16.5" x14ac:dyDescent="0.35">
      <c r="I14" t="s">
        <v>487</v>
      </c>
    </row>
    <row r="15" spans="1:23" ht="14.45" x14ac:dyDescent="0.35">
      <c r="I15" s="217">
        <f t="array" ref="I15:K17">SQRT(I10:K12)</f>
        <v>3.0430183532566786</v>
      </c>
      <c r="J15" s="218">
        <v>0</v>
      </c>
      <c r="K15" s="219">
        <v>0</v>
      </c>
    </row>
    <row r="16" spans="1:23" ht="14.45" x14ac:dyDescent="0.35">
      <c r="I16" s="123">
        <v>0</v>
      </c>
      <c r="J16" s="37">
        <v>2.3566810043224677</v>
      </c>
      <c r="K16" s="90">
        <v>0</v>
      </c>
    </row>
    <row r="17" spans="9:15" ht="14.45" x14ac:dyDescent="0.35">
      <c r="I17" s="91">
        <v>0</v>
      </c>
      <c r="J17" s="92">
        <v>0</v>
      </c>
      <c r="K17" s="93">
        <v>1.0890794028025015</v>
      </c>
    </row>
    <row r="19" spans="9:15" ht="16.5" x14ac:dyDescent="0.35">
      <c r="I19" t="s">
        <v>556</v>
      </c>
      <c r="M19" t="s">
        <v>557</v>
      </c>
    </row>
    <row r="20" spans="9:15" ht="14.45" x14ac:dyDescent="0.35">
      <c r="I20" s="217">
        <f t="array" ref="I20:K22">TRANSPOSE(MMULT(E10:G12,I15:K17))</f>
        <v>0.44061874145898705</v>
      </c>
      <c r="J20" s="218">
        <v>-0.33718615776419902</v>
      </c>
      <c r="K20" s="219">
        <v>-2.9920095785181395</v>
      </c>
      <c r="M20" s="217">
        <f t="array" ref="M20:O22">MMULT(TRANSPOSE(I20:K22),I20:K22)</f>
        <v>3.9999999999999947</v>
      </c>
      <c r="N20" s="218">
        <v>1.9999999999999978</v>
      </c>
      <c r="O20" s="219">
        <v>-0.99999999999999434</v>
      </c>
    </row>
    <row r="21" spans="9:15" ht="14.45" x14ac:dyDescent="0.35">
      <c r="I21" s="123">
        <v>1.8337884906126209</v>
      </c>
      <c r="J21" s="37">
        <v>1.4766255607109779</v>
      </c>
      <c r="K21" s="90">
        <v>0.10364401230184399</v>
      </c>
      <c r="M21" s="123">
        <v>1.9999999999999978</v>
      </c>
      <c r="N21" s="37">
        <v>3.0000000000000009</v>
      </c>
      <c r="O21" s="90">
        <v>0.99999999999999933</v>
      </c>
    </row>
    <row r="22" spans="9:15" ht="14.45" x14ac:dyDescent="0.35">
      <c r="I22" s="91">
        <v>0.66563871309575895</v>
      </c>
      <c r="J22" s="92">
        <v>-0.84016810726616364</v>
      </c>
      <c r="K22" s="93">
        <v>0.19270859028509457</v>
      </c>
      <c r="M22" s="91">
        <v>-0.99999999999999434</v>
      </c>
      <c r="N22" s="92">
        <v>0.99999999999999933</v>
      </c>
      <c r="O22" s="93">
        <v>8.9999999999999893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/>
  <dimension ref="A1:AA67"/>
  <sheetViews>
    <sheetView workbookViewId="0"/>
  </sheetViews>
  <sheetFormatPr defaultRowHeight="15" x14ac:dyDescent="0.25"/>
  <cols>
    <col min="9" max="9" width="9.140625" customWidth="1"/>
    <col min="12" max="12" width="9.140625" customWidth="1"/>
    <col min="24" max="24" width="9.140625" customWidth="1"/>
  </cols>
  <sheetData>
    <row r="1" spans="1:27" ht="14.45" x14ac:dyDescent="0.35">
      <c r="A1" s="42" t="s">
        <v>559</v>
      </c>
    </row>
    <row r="3" spans="1:27" ht="16.5" x14ac:dyDescent="0.35">
      <c r="A3" t="s">
        <v>462</v>
      </c>
      <c r="E3" t="s">
        <v>560</v>
      </c>
      <c r="I3" t="s">
        <v>561</v>
      </c>
      <c r="O3" t="s">
        <v>562</v>
      </c>
      <c r="V3" t="s">
        <v>462</v>
      </c>
      <c r="Y3" s="47" t="s">
        <v>469</v>
      </c>
      <c r="AA3" s="47" t="s">
        <v>563</v>
      </c>
    </row>
    <row r="4" spans="1:27" ht="14.45" x14ac:dyDescent="0.35">
      <c r="A4" s="217">
        <v>1</v>
      </c>
      <c r="B4" s="218">
        <v>2</v>
      </c>
      <c r="C4" s="219">
        <v>-4</v>
      </c>
      <c r="E4" s="217">
        <f t="array" ref="E4:G6">MMULT(TRANSPOSE(A4:C8),A4:C8)</f>
        <v>151</v>
      </c>
      <c r="F4" s="218">
        <v>56</v>
      </c>
      <c r="G4" s="219">
        <v>95</v>
      </c>
      <c r="I4" s="217">
        <f t="array" ref="I4:M8">MMULT(A4:C8,TRANSPOSE(A4:C8))</f>
        <v>21</v>
      </c>
      <c r="J4" s="218">
        <v>-14</v>
      </c>
      <c r="K4" s="218">
        <v>-1</v>
      </c>
      <c r="L4" s="218">
        <v>-9</v>
      </c>
      <c r="M4" s="219">
        <v>4</v>
      </c>
      <c r="O4" s="217">
        <f t="array" ref="O4:S8">I18:M22</f>
        <v>-4.0538330159841235E-2</v>
      </c>
      <c r="P4" s="218">
        <v>0.12626987995584707</v>
      </c>
      <c r="Q4" s="218">
        <v>-0.8522982345229636</v>
      </c>
      <c r="R4" s="218">
        <v>0.29177015792225836</v>
      </c>
      <c r="S4" s="219">
        <v>-0.41336488766605173</v>
      </c>
      <c r="V4" s="217">
        <f t="array" ref="V4:X8">A4:C8</f>
        <v>1</v>
      </c>
      <c r="W4" s="218">
        <v>2</v>
      </c>
      <c r="X4" s="219">
        <v>-4</v>
      </c>
      <c r="Y4" s="223">
        <v>12</v>
      </c>
      <c r="AA4" s="223">
        <f t="array" ref="AA4:AA8">MMULT(TRANSPOSE(O4:S8),Y4:Y8)</f>
        <v>1.6102658694430707</v>
      </c>
    </row>
    <row r="5" spans="1:27" ht="14.45" x14ac:dyDescent="0.35">
      <c r="A5" s="123">
        <v>8</v>
      </c>
      <c r="B5" s="37">
        <v>7</v>
      </c>
      <c r="C5" s="90">
        <v>9</v>
      </c>
      <c r="E5" s="123">
        <v>56</v>
      </c>
      <c r="F5" s="37">
        <v>120</v>
      </c>
      <c r="G5" s="90">
        <v>70</v>
      </c>
      <c r="I5" s="123">
        <v>-14</v>
      </c>
      <c r="J5" s="37">
        <v>194</v>
      </c>
      <c r="K5" s="37">
        <v>88</v>
      </c>
      <c r="L5" s="37">
        <v>-9</v>
      </c>
      <c r="M5" s="90">
        <v>87</v>
      </c>
      <c r="O5" s="123">
        <v>0.83224534603241951</v>
      </c>
      <c r="P5" s="37">
        <v>8.6760718432531983E-2</v>
      </c>
      <c r="Q5" s="37">
        <v>0.24290517398115291</v>
      </c>
      <c r="R5" s="37">
        <v>0.41375004446562152</v>
      </c>
      <c r="S5" s="90">
        <v>-0.26390905245073615</v>
      </c>
      <c r="V5" s="123">
        <v>8</v>
      </c>
      <c r="W5" s="37">
        <v>7</v>
      </c>
      <c r="X5" s="90">
        <v>9</v>
      </c>
      <c r="Y5" s="173">
        <v>4</v>
      </c>
      <c r="AA5" s="173">
        <v>-5.9523062669366116</v>
      </c>
    </row>
    <row r="6" spans="1:27" ht="14.45" x14ac:dyDescent="0.35">
      <c r="A6" s="123">
        <v>5</v>
      </c>
      <c r="B6" s="37">
        <v>3</v>
      </c>
      <c r="C6" s="90">
        <v>3</v>
      </c>
      <c r="E6" s="91">
        <v>95</v>
      </c>
      <c r="F6" s="92">
        <v>70</v>
      </c>
      <c r="G6" s="93">
        <v>110</v>
      </c>
      <c r="I6" s="123">
        <v>-1</v>
      </c>
      <c r="J6" s="37">
        <v>88</v>
      </c>
      <c r="K6" s="37">
        <v>43</v>
      </c>
      <c r="L6" s="37">
        <v>4</v>
      </c>
      <c r="M6" s="90">
        <v>45</v>
      </c>
      <c r="O6" s="123">
        <v>0.38862162300175118</v>
      </c>
      <c r="P6" s="37">
        <v>-6.5880408199420468E-2</v>
      </c>
      <c r="Q6" s="37">
        <v>-0.17689168714525685</v>
      </c>
      <c r="R6" s="37">
        <v>-0.85222688181765593</v>
      </c>
      <c r="S6" s="90">
        <v>-0.29504386827380508</v>
      </c>
      <c r="V6" s="123">
        <v>5</v>
      </c>
      <c r="W6" s="37">
        <v>3</v>
      </c>
      <c r="X6" s="90">
        <v>3</v>
      </c>
      <c r="Y6" s="173">
        <v>-6</v>
      </c>
      <c r="AA6" s="173">
        <v>-9.6341930225129282</v>
      </c>
    </row>
    <row r="7" spans="1:27" ht="14.45" x14ac:dyDescent="0.35">
      <c r="A7" s="123">
        <v>5</v>
      </c>
      <c r="B7" s="60">
        <v>-7</v>
      </c>
      <c r="C7" s="90">
        <v>0</v>
      </c>
      <c r="I7" s="123">
        <v>-9</v>
      </c>
      <c r="J7" s="37">
        <v>-9</v>
      </c>
      <c r="K7" s="37">
        <v>4</v>
      </c>
      <c r="L7" s="37">
        <v>74</v>
      </c>
      <c r="M7" s="90">
        <v>9</v>
      </c>
      <c r="O7" s="123">
        <v>-1.0011479049250843E-2</v>
      </c>
      <c r="P7" s="37">
        <v>-0.97733600147313537</v>
      </c>
      <c r="Q7" s="37">
        <v>-1.9567667660033611E-2</v>
      </c>
      <c r="R7" s="37">
        <v>0.13187273242498074</v>
      </c>
      <c r="S7" s="90">
        <v>-0.16413653269426967</v>
      </c>
      <c r="V7" s="123">
        <v>5</v>
      </c>
      <c r="W7" s="60">
        <v>-7</v>
      </c>
      <c r="X7" s="90">
        <v>0</v>
      </c>
      <c r="Y7" s="166">
        <v>8</v>
      </c>
      <c r="AA7" s="173">
        <v>11.324587978713737</v>
      </c>
    </row>
    <row r="8" spans="1:27" ht="14.45" x14ac:dyDescent="0.35">
      <c r="A8" s="91">
        <v>6</v>
      </c>
      <c r="B8" s="92">
        <v>3</v>
      </c>
      <c r="C8" s="93">
        <v>2</v>
      </c>
      <c r="I8" s="91">
        <v>4</v>
      </c>
      <c r="J8" s="92">
        <v>87</v>
      </c>
      <c r="K8" s="92">
        <v>45</v>
      </c>
      <c r="L8" s="92">
        <v>9</v>
      </c>
      <c r="M8" s="93">
        <v>49</v>
      </c>
      <c r="O8" s="91">
        <v>0.39318867254533385</v>
      </c>
      <c r="P8" s="92">
        <v>-0.13039404584944783</v>
      </c>
      <c r="Q8" s="92">
        <v>-0.4276812285844166</v>
      </c>
      <c r="R8" s="92">
        <v>9.1849279002406693E-7</v>
      </c>
      <c r="S8" s="93">
        <v>0.80342379608057335</v>
      </c>
      <c r="V8" s="91">
        <v>6</v>
      </c>
      <c r="W8" s="92">
        <v>3</v>
      </c>
      <c r="X8" s="93">
        <v>2</v>
      </c>
      <c r="Y8" s="171">
        <v>3</v>
      </c>
      <c r="AA8" s="174">
        <v>-3.1485725254651711</v>
      </c>
    </row>
    <row r="9" spans="1:27" ht="14.45" x14ac:dyDescent="0.35">
      <c r="E9" t="s">
        <v>202</v>
      </c>
      <c r="AA9" s="47" t="s">
        <v>564</v>
      </c>
    </row>
    <row r="10" spans="1:27" ht="14.45" x14ac:dyDescent="0.35">
      <c r="E10" s="160">
        <f t="array" ref="E10:G13">[1]!eVECTORS(E4:G6)</f>
        <v>276.98485248193674</v>
      </c>
      <c r="F10" s="161">
        <v>77.432129202118929</v>
      </c>
      <c r="G10" s="162">
        <v>26.583018315943779</v>
      </c>
      <c r="I10" s="160">
        <f t="array" ref="I10:M15">[1]!eVECTORS(I4:M8)</f>
        <v>276.98485248193577</v>
      </c>
      <c r="J10" s="161">
        <v>77.432129202119029</v>
      </c>
      <c r="K10" s="161">
        <v>26.583018315766225</v>
      </c>
      <c r="L10" s="161">
        <v>1.2281020644877572E-10</v>
      </c>
      <c r="M10" s="162">
        <v>5.297806637827307E-11</v>
      </c>
      <c r="O10" t="s">
        <v>470</v>
      </c>
      <c r="V10" s="217">
        <f t="array" ref="V10:Y14">[1]!ELIM(V4:Y8)</f>
        <v>1</v>
      </c>
      <c r="W10" s="218">
        <v>0</v>
      </c>
      <c r="X10" s="218">
        <v>0</v>
      </c>
      <c r="Y10" s="223">
        <v>0</v>
      </c>
      <c r="AA10" s="223">
        <f t="array" ref="AA10:AA12">1/[1]!DIAG(O11:Q13)</f>
        <v>6.0085819706983561E-2</v>
      </c>
    </row>
    <row r="11" spans="1:27" ht="14.45" x14ac:dyDescent="0.35">
      <c r="E11" s="123">
        <v>0.65310925809238107</v>
      </c>
      <c r="F11" s="37">
        <v>-0.58844930225707381</v>
      </c>
      <c r="G11" s="90">
        <v>-0.47662953713254208</v>
      </c>
      <c r="I11" s="123">
        <v>4.0538330159841221E-2</v>
      </c>
      <c r="J11" s="37">
        <v>0.12626988533355915</v>
      </c>
      <c r="K11" s="37">
        <v>0.85229818985877726</v>
      </c>
      <c r="L11" s="37">
        <v>0.29177015792225836</v>
      </c>
      <c r="M11" s="90">
        <v>-0.41336488766605173</v>
      </c>
      <c r="O11" s="217">
        <f t="array" ref="O11:Q13">[1]!DIAGONAL(E16:E18)</f>
        <v>16.642861907795087</v>
      </c>
      <c r="P11" s="218">
        <v>0</v>
      </c>
      <c r="Q11" s="219">
        <v>0</v>
      </c>
      <c r="V11" s="123">
        <v>0</v>
      </c>
      <c r="W11" s="37">
        <v>1</v>
      </c>
      <c r="X11" s="37">
        <v>0</v>
      </c>
      <c r="Y11" s="173">
        <v>0</v>
      </c>
      <c r="AA11" s="173">
        <v>0.11364213892713662</v>
      </c>
    </row>
    <row r="12" spans="1:27" ht="14.45" x14ac:dyDescent="0.35">
      <c r="E12" s="123">
        <v>0.49030942196733868</v>
      </c>
      <c r="F12" s="37">
        <v>0.80826760308391321</v>
      </c>
      <c r="G12" s="90">
        <v>-0.32603704166097386</v>
      </c>
      <c r="I12" s="123">
        <v>-0.83224534603241784</v>
      </c>
      <c r="J12" s="37">
        <v>8.6760716899889637E-2</v>
      </c>
      <c r="K12" s="37">
        <v>-0.24290569106064072</v>
      </c>
      <c r="L12" s="37">
        <v>0.41375004446562152</v>
      </c>
      <c r="M12" s="90">
        <v>-0.26390905245073615</v>
      </c>
      <c r="O12" s="123">
        <v>0</v>
      </c>
      <c r="P12" s="37">
        <v>8.7995527842111905</v>
      </c>
      <c r="Q12" s="90">
        <v>0</v>
      </c>
      <c r="V12" s="123">
        <v>0</v>
      </c>
      <c r="W12" s="37">
        <v>0</v>
      </c>
      <c r="X12" s="37">
        <v>1</v>
      </c>
      <c r="Y12" s="173">
        <v>0</v>
      </c>
      <c r="AA12" s="173">
        <v>0.19395360434691836</v>
      </c>
    </row>
    <row r="13" spans="1:27" ht="14.45" x14ac:dyDescent="0.35">
      <c r="E13" s="91">
        <v>0.5771004832124752</v>
      </c>
      <c r="F13" s="92">
        <v>-2.0758142454183535E-2</v>
      </c>
      <c r="G13" s="93">
        <v>0.81640929183699218</v>
      </c>
      <c r="I13" s="123">
        <v>-0.38862162300175024</v>
      </c>
      <c r="J13" s="37">
        <v>-6.5880407083299689E-2</v>
      </c>
      <c r="K13" s="37">
        <v>0.17689393375525947</v>
      </c>
      <c r="L13" s="37">
        <v>-0.85222688181765593</v>
      </c>
      <c r="M13" s="90">
        <v>-0.29504386827380508</v>
      </c>
      <c r="O13" s="123">
        <v>0</v>
      </c>
      <c r="P13" s="37">
        <v>0</v>
      </c>
      <c r="Q13" s="90">
        <v>5.1558722167974427</v>
      </c>
      <c r="V13" s="123">
        <v>0</v>
      </c>
      <c r="W13" s="37">
        <v>0</v>
      </c>
      <c r="X13" s="37">
        <v>0</v>
      </c>
      <c r="Y13" s="173">
        <v>1</v>
      </c>
      <c r="AA13" s="173">
        <v>0</v>
      </c>
    </row>
    <row r="14" spans="1:27" ht="14.45" x14ac:dyDescent="0.35">
      <c r="I14" s="123">
        <v>1.0011479049250828E-2</v>
      </c>
      <c r="J14" s="37">
        <v>-0.97733600134966769</v>
      </c>
      <c r="K14" s="37">
        <v>1.9567622005766862E-2</v>
      </c>
      <c r="L14" s="37">
        <v>0.13187273242498074</v>
      </c>
      <c r="M14" s="90">
        <v>-0.16413653269426967</v>
      </c>
      <c r="O14" s="123">
        <v>0</v>
      </c>
      <c r="P14" s="37">
        <v>0</v>
      </c>
      <c r="Q14" s="90">
        <v>0</v>
      </c>
      <c r="V14" s="91">
        <v>0</v>
      </c>
      <c r="W14" s="92">
        <v>0</v>
      </c>
      <c r="X14" s="92">
        <v>0</v>
      </c>
      <c r="Y14" s="174">
        <v>0</v>
      </c>
      <c r="AA14" s="174">
        <v>0</v>
      </c>
    </row>
    <row r="15" spans="1:27" ht="14.45" x14ac:dyDescent="0.35">
      <c r="I15" s="91">
        <v>-0.39318867254533313</v>
      </c>
      <c r="J15" s="92">
        <v>-0.13039404315093486</v>
      </c>
      <c r="K15" s="92">
        <v>0.42768009678195873</v>
      </c>
      <c r="L15" s="92">
        <v>9.1849279002406693E-7</v>
      </c>
      <c r="M15" s="93">
        <v>0.80342379608057335</v>
      </c>
      <c r="O15" s="91">
        <v>0</v>
      </c>
      <c r="P15" s="92">
        <v>0</v>
      </c>
      <c r="Q15" s="93">
        <v>0</v>
      </c>
    </row>
    <row r="16" spans="1:27" ht="14.45" x14ac:dyDescent="0.35">
      <c r="E16" s="223">
        <f t="array" ref="E16:E18">SQRT(TRANSPOSE(E10:G10))</f>
        <v>16.642861907795087</v>
      </c>
      <c r="U16" t="s">
        <v>565</v>
      </c>
      <c r="AA16" s="47" t="s">
        <v>390</v>
      </c>
    </row>
    <row r="17" spans="1:27" ht="14.45" x14ac:dyDescent="0.35">
      <c r="E17" s="173">
        <v>8.7995527842111905</v>
      </c>
      <c r="I17" t="s">
        <v>562</v>
      </c>
      <c r="O17" t="s">
        <v>202</v>
      </c>
      <c r="U17" s="217">
        <f t="array" ref="U17:Y21">[1]!DIAGONAL(AA10:AA14)</f>
        <v>6.0085819706983561E-2</v>
      </c>
      <c r="V17" s="218">
        <v>0</v>
      </c>
      <c r="W17" s="218">
        <v>0</v>
      </c>
      <c r="X17" s="218">
        <v>0</v>
      </c>
      <c r="Y17" s="219">
        <v>0</v>
      </c>
      <c r="AA17" s="223">
        <f t="array" ref="AA17:AA19">MMULT(O18:Q20,MMULT(U17:Y19,AA4:AA8))</f>
        <v>1.3518609464342082</v>
      </c>
    </row>
    <row r="18" spans="1:27" ht="14.45" x14ac:dyDescent="0.35">
      <c r="E18" s="174">
        <v>5.1558722167974427</v>
      </c>
      <c r="I18" s="217">
        <f t="array" ref="I18:K22">1/SQRT(E10:G10)*MMULT(A4:C8,E11:G13)</f>
        <v>-4.0538330159841235E-2</v>
      </c>
      <c r="J18" s="218">
        <v>0.12626987995584707</v>
      </c>
      <c r="K18" s="218">
        <v>-0.8522982345229636</v>
      </c>
      <c r="L18" s="218">
        <f>L11</f>
        <v>0.29177015792225836</v>
      </c>
      <c r="M18" s="219">
        <f>M11</f>
        <v>-0.41336488766605173</v>
      </c>
      <c r="O18" s="217">
        <f t="array" ref="O18:Q20">E11:G13</f>
        <v>0.65310925809238107</v>
      </c>
      <c r="P18" s="218">
        <v>-0.58844930225707381</v>
      </c>
      <c r="Q18" s="219">
        <v>-0.47662953713254208</v>
      </c>
      <c r="U18" s="123">
        <v>0</v>
      </c>
      <c r="V18" s="37">
        <v>0.11364213892713662</v>
      </c>
      <c r="W18" s="37">
        <v>0</v>
      </c>
      <c r="X18" s="37">
        <v>0</v>
      </c>
      <c r="Y18" s="90">
        <v>0</v>
      </c>
      <c r="AA18" s="173">
        <v>0.10992914021117617</v>
      </c>
    </row>
    <row r="19" spans="1:27" ht="14.45" x14ac:dyDescent="0.35">
      <c r="I19" s="123">
        <v>0.83224534603241951</v>
      </c>
      <c r="J19" s="37">
        <v>8.6760718432531983E-2</v>
      </c>
      <c r="K19" s="37">
        <v>0.24290517398115291</v>
      </c>
      <c r="L19" s="37">
        <f t="shared" ref="L19:M22" si="0">L12</f>
        <v>0.41375004446562152</v>
      </c>
      <c r="M19" s="90">
        <f t="shared" si="0"/>
        <v>-0.26390905245073615</v>
      </c>
      <c r="O19" s="123">
        <v>0.49030942196733868</v>
      </c>
      <c r="P19" s="37">
        <v>0.80826760308391321</v>
      </c>
      <c r="Q19" s="90">
        <v>-0.32603704166097386</v>
      </c>
      <c r="U19" s="91">
        <v>0</v>
      </c>
      <c r="V19" s="92">
        <v>0</v>
      </c>
      <c r="W19" s="92">
        <v>0.19395360434691836</v>
      </c>
      <c r="X19" s="92">
        <v>0</v>
      </c>
      <c r="Y19" s="93">
        <v>0</v>
      </c>
      <c r="AA19" s="174">
        <v>-1.4556529975093835</v>
      </c>
    </row>
    <row r="20" spans="1:27" ht="14.45" x14ac:dyDescent="0.35">
      <c r="I20" s="123">
        <v>0.38862162300175118</v>
      </c>
      <c r="J20" s="37">
        <v>-6.5880408199420468E-2</v>
      </c>
      <c r="K20" s="37">
        <v>-0.17689168714525685</v>
      </c>
      <c r="L20" s="37">
        <f t="shared" si="0"/>
        <v>-0.85222688181765593</v>
      </c>
      <c r="M20" s="90">
        <f t="shared" si="0"/>
        <v>-0.29504386827380508</v>
      </c>
      <c r="O20" s="91">
        <v>0.5771004832124752</v>
      </c>
      <c r="P20" s="92">
        <v>-2.0758142454183535E-2</v>
      </c>
      <c r="Q20" s="93">
        <v>0.81640929183699218</v>
      </c>
      <c r="U20">
        <v>0</v>
      </c>
      <c r="V20">
        <v>0</v>
      </c>
      <c r="W20">
        <v>0</v>
      </c>
      <c r="X20">
        <v>0</v>
      </c>
      <c r="Y20">
        <v>0</v>
      </c>
    </row>
    <row r="21" spans="1:27" ht="14.45" x14ac:dyDescent="0.35">
      <c r="I21" s="123">
        <v>-1.0011479049250843E-2</v>
      </c>
      <c r="J21" s="37">
        <v>-0.97733600147313537</v>
      </c>
      <c r="K21" s="37">
        <v>-1.9567667660033611E-2</v>
      </c>
      <c r="L21" s="37">
        <f t="shared" si="0"/>
        <v>0.13187273242498074</v>
      </c>
      <c r="M21" s="90">
        <f t="shared" si="0"/>
        <v>-0.16413653269426967</v>
      </c>
      <c r="U21">
        <v>0</v>
      </c>
      <c r="V21">
        <v>0</v>
      </c>
      <c r="W21">
        <v>0</v>
      </c>
      <c r="X21">
        <v>0</v>
      </c>
      <c r="Y21">
        <v>0</v>
      </c>
    </row>
    <row r="22" spans="1:27" ht="16.5" x14ac:dyDescent="0.35">
      <c r="I22" s="91">
        <v>0.39318867254533385</v>
      </c>
      <c r="J22" s="92">
        <v>-0.13039404584944783</v>
      </c>
      <c r="K22" s="92">
        <v>-0.4276812285844166</v>
      </c>
      <c r="L22" s="92">
        <f t="shared" si="0"/>
        <v>9.1849279002406693E-7</v>
      </c>
      <c r="M22" s="93">
        <f t="shared" si="0"/>
        <v>0.80342379608057335</v>
      </c>
      <c r="O22" t="s">
        <v>566</v>
      </c>
    </row>
    <row r="23" spans="1:27" ht="14.45" x14ac:dyDescent="0.35">
      <c r="O23" s="217">
        <f t="array" ref="O23:Q27">MMULT(O4:S8,MMULT(O11:Q15,TRANSPOSE(O18:Q20)))</f>
        <v>1.0000000000000004</v>
      </c>
      <c r="P23" s="218">
        <v>2.0000000000000009</v>
      </c>
      <c r="Q23" s="219">
        <v>-4</v>
      </c>
    </row>
    <row r="24" spans="1:27" ht="14.45" x14ac:dyDescent="0.35">
      <c r="O24" s="123">
        <v>7.9999999999999867</v>
      </c>
      <c r="P24" s="37">
        <v>6.9999999999999929</v>
      </c>
      <c r="Q24" s="90">
        <v>8.9999999999999876</v>
      </c>
    </row>
    <row r="25" spans="1:27" ht="14.45" x14ac:dyDescent="0.35">
      <c r="O25" s="123">
        <v>4.9999999999999929</v>
      </c>
      <c r="P25" s="37">
        <v>2.9999999999999969</v>
      </c>
      <c r="Q25" s="90">
        <v>2.9999999999999956</v>
      </c>
    </row>
    <row r="26" spans="1:27" ht="14.45" x14ac:dyDescent="0.35">
      <c r="O26" s="123">
        <v>4.9999999999999929</v>
      </c>
      <c r="P26" s="37">
        <v>-6.9999999999999973</v>
      </c>
      <c r="Q26" s="90">
        <v>2.6367796834847468E-16</v>
      </c>
    </row>
    <row r="27" spans="1:27" ht="14.45" x14ac:dyDescent="0.35">
      <c r="O27" s="91">
        <v>5.999999999999992</v>
      </c>
      <c r="P27" s="92">
        <v>2.9999999999999973</v>
      </c>
      <c r="Q27" s="93">
        <v>1.9999999999999949</v>
      </c>
    </row>
    <row r="29" spans="1:27" ht="16.5" x14ac:dyDescent="0.35">
      <c r="A29" t="s">
        <v>462</v>
      </c>
      <c r="D29" t="s">
        <v>560</v>
      </c>
      <c r="G29" t="s">
        <v>561</v>
      </c>
      <c r="K29" t="s">
        <v>562</v>
      </c>
      <c r="O29" t="s">
        <v>566</v>
      </c>
    </row>
    <row r="30" spans="1:27" ht="14.45" x14ac:dyDescent="0.35">
      <c r="A30" s="217">
        <v>1</v>
      </c>
      <c r="B30" s="219">
        <v>-1</v>
      </c>
      <c r="D30" s="217">
        <f t="array" ref="D30:E31">MMULT(TRANSPOSE(A30:B32),A30:B32)</f>
        <v>5</v>
      </c>
      <c r="E30" s="219">
        <v>-2</v>
      </c>
      <c r="G30" s="217">
        <f t="array" ref="G30:I32">MMULT(A30:B32,TRANSPOSE(A30:B32))</f>
        <v>2</v>
      </c>
      <c r="H30" s="218">
        <v>2</v>
      </c>
      <c r="I30" s="219">
        <v>1.7320508075688772</v>
      </c>
      <c r="K30" s="217">
        <f t="array" ref="K30:M32">G40:I42</f>
        <v>0.54772255750516619</v>
      </c>
      <c r="L30" s="218">
        <v>-0.44721359549995715</v>
      </c>
      <c r="M30" s="219">
        <v>-0.7073574627612278</v>
      </c>
      <c r="O30" s="217">
        <f t="array" ref="O30:P32">MMULT(K30:M32,MMULT(K35:L37,TRANSPOSE(K40:L41)))</f>
        <v>0.99999999999999845</v>
      </c>
      <c r="P30" s="219">
        <v>-0.99999999999999944</v>
      </c>
    </row>
    <row r="31" spans="1:27" ht="14.45" x14ac:dyDescent="0.35">
      <c r="A31" s="123">
        <v>1</v>
      </c>
      <c r="B31" s="90">
        <v>-1</v>
      </c>
      <c r="D31" s="91">
        <v>-2</v>
      </c>
      <c r="E31" s="93">
        <v>2</v>
      </c>
      <c r="G31" s="123">
        <v>2</v>
      </c>
      <c r="H31" s="37">
        <v>2</v>
      </c>
      <c r="I31" s="90">
        <v>1.7320508075688772</v>
      </c>
      <c r="K31" s="123">
        <v>0.54772255750516619</v>
      </c>
      <c r="L31" s="37">
        <v>-0.44721359549995715</v>
      </c>
      <c r="M31" s="90">
        <v>0.70685587723734034</v>
      </c>
      <c r="O31" s="123">
        <v>0.99999999999999845</v>
      </c>
      <c r="P31" s="90">
        <v>-0.99999999999999944</v>
      </c>
    </row>
    <row r="32" spans="1:27" ht="14.45" x14ac:dyDescent="0.35">
      <c r="A32" s="91">
        <f>SQRT(3)</f>
        <v>1.7320508075688772</v>
      </c>
      <c r="B32" s="93">
        <v>0</v>
      </c>
      <c r="G32" s="91">
        <v>1.7320508075688772</v>
      </c>
      <c r="H32" s="92">
        <v>1.7320508075688772</v>
      </c>
      <c r="I32" s="93">
        <v>2.9999999999999996</v>
      </c>
      <c r="K32" s="91">
        <v>0.63245553203367577</v>
      </c>
      <c r="L32" s="92">
        <v>0.77459666924148318</v>
      </c>
      <c r="M32" s="93">
        <v>4.3438580585734572E-4</v>
      </c>
      <c r="O32" s="91">
        <v>1.7320508075688754</v>
      </c>
      <c r="P32" s="93">
        <v>6.6613381477509392E-16</v>
      </c>
    </row>
    <row r="33" spans="1:24" x14ac:dyDescent="0.25">
      <c r="D33" t="s">
        <v>202</v>
      </c>
    </row>
    <row r="34" spans="1:24" x14ac:dyDescent="0.25">
      <c r="D34" s="160">
        <f t="array" ref="D34:E36">[1]!eVECTORS(D30:E31)</f>
        <v>5.9999999999999929</v>
      </c>
      <c r="E34" s="162">
        <v>1.0000000000000018</v>
      </c>
      <c r="G34" s="160">
        <f t="array" ref="G34:I37">[1]!eVECTORS(G30:I32)</f>
        <v>5.9999999999999822</v>
      </c>
      <c r="H34" s="161">
        <v>0.99999968551495177</v>
      </c>
      <c r="I34" s="162">
        <v>3.1448504911324449E-7</v>
      </c>
      <c r="K34" t="s">
        <v>470</v>
      </c>
    </row>
    <row r="35" spans="1:24" x14ac:dyDescent="0.25">
      <c r="D35" s="123">
        <v>0.89442719099991519</v>
      </c>
      <c r="E35" s="90">
        <v>0.44721359549995821</v>
      </c>
      <c r="G35" s="123">
        <v>0.54772255750516485</v>
      </c>
      <c r="H35" s="37">
        <v>-0.44681698700474448</v>
      </c>
      <c r="I35" s="90">
        <v>-0.7073574627612278</v>
      </c>
      <c r="K35" s="217">
        <f t="array" ref="K35:L36">[1]!DIAGONAL(D38:D39)</f>
        <v>2.4494897427831765</v>
      </c>
      <c r="L35" s="219">
        <v>0</v>
      </c>
    </row>
    <row r="36" spans="1:24" x14ac:dyDescent="0.25">
      <c r="D36" s="91">
        <v>-0.44721359549995809</v>
      </c>
      <c r="E36" s="93">
        <v>0.89442719099991574</v>
      </c>
      <c r="G36" s="123">
        <v>0.54772255750516552</v>
      </c>
      <c r="H36" s="37">
        <v>-0.44761006335317133</v>
      </c>
      <c r="I36" s="90">
        <v>0.70685587723734034</v>
      </c>
      <c r="K36" s="123">
        <v>0</v>
      </c>
      <c r="L36" s="90">
        <v>1.0000000000000009</v>
      </c>
    </row>
    <row r="37" spans="1:24" x14ac:dyDescent="0.25">
      <c r="G37" s="91">
        <v>0.63245553203367488</v>
      </c>
      <c r="H37" s="92">
        <v>0.77459654744193929</v>
      </c>
      <c r="I37" s="93">
        <v>4.3438580585734572E-4</v>
      </c>
      <c r="K37" s="91">
        <v>0</v>
      </c>
      <c r="L37" s="93">
        <v>0</v>
      </c>
    </row>
    <row r="38" spans="1:24" x14ac:dyDescent="0.25">
      <c r="D38" s="223">
        <f t="array" ref="D38:D39">SQRT(TRANSPOSE(D34:E34))</f>
        <v>2.4494897427831765</v>
      </c>
    </row>
    <row r="39" spans="1:24" x14ac:dyDescent="0.25">
      <c r="D39" s="174">
        <v>1.0000000000000009</v>
      </c>
      <c r="G39" t="s">
        <v>562</v>
      </c>
      <c r="K39" t="s">
        <v>202</v>
      </c>
    </row>
    <row r="40" spans="1:24" x14ac:dyDescent="0.25">
      <c r="G40" s="217">
        <f t="array" ref="G40:H42">1/SQRT(D34:E34)*MMULT(A30:B32,D35:E36)</f>
        <v>0.54772255750516619</v>
      </c>
      <c r="H40" s="218">
        <v>-0.44721359549995715</v>
      </c>
      <c r="I40" s="219">
        <f t="array" ref="I40:I42">I35:I37</f>
        <v>-0.7073574627612278</v>
      </c>
      <c r="K40" s="217">
        <f t="array" ref="K40:L41">D35:E36</f>
        <v>0.89442719099991519</v>
      </c>
      <c r="L40" s="219">
        <v>0.44721359549995821</v>
      </c>
    </row>
    <row r="41" spans="1:24" x14ac:dyDescent="0.25">
      <c r="G41" s="123">
        <v>0.54772255750516619</v>
      </c>
      <c r="H41" s="37">
        <v>-0.44721359549995715</v>
      </c>
      <c r="I41" s="90">
        <v>0.70685587723734034</v>
      </c>
      <c r="K41" s="91">
        <v>-0.44721359549995809</v>
      </c>
      <c r="L41" s="93">
        <v>0.89442719099991574</v>
      </c>
    </row>
    <row r="42" spans="1:24" x14ac:dyDescent="0.25">
      <c r="G42" s="91">
        <v>0.63245553203367577</v>
      </c>
      <c r="H42" s="92">
        <v>0.77459666924148318</v>
      </c>
      <c r="I42" s="93">
        <v>4.3438580585734572E-4</v>
      </c>
    </row>
    <row r="46" spans="1:24" ht="17.25" x14ac:dyDescent="0.25">
      <c r="A46" s="450" t="s">
        <v>462</v>
      </c>
      <c r="B46" s="450"/>
      <c r="C46" s="450"/>
      <c r="E46" t="s">
        <v>560</v>
      </c>
      <c r="I46" t="s">
        <v>561</v>
      </c>
      <c r="N46" t="s">
        <v>562</v>
      </c>
      <c r="S46" s="450" t="s">
        <v>462</v>
      </c>
      <c r="T46" s="450"/>
      <c r="U46" s="450"/>
      <c r="V46" s="73" t="s">
        <v>469</v>
      </c>
      <c r="X46" s="47" t="s">
        <v>563</v>
      </c>
    </row>
    <row r="47" spans="1:24" x14ac:dyDescent="0.25">
      <c r="A47" s="217">
        <v>1</v>
      </c>
      <c r="B47" s="218">
        <v>2</v>
      </c>
      <c r="C47" s="219">
        <v>0</v>
      </c>
      <c r="E47" s="217">
        <f t="array" ref="E47:G49">MMULT(TRANSPOSE(A47:C50),A47:C50)</f>
        <v>3</v>
      </c>
      <c r="F47" s="218">
        <v>1</v>
      </c>
      <c r="G47" s="219">
        <v>2</v>
      </c>
      <c r="I47" s="217">
        <f t="array" ref="I47:L50">MMULT(A47:C50,TRANSPOSE(A47:C50))</f>
        <v>5</v>
      </c>
      <c r="J47" s="218">
        <v>3</v>
      </c>
      <c r="K47" s="218">
        <v>2</v>
      </c>
      <c r="L47" s="219">
        <v>3</v>
      </c>
      <c r="N47" s="217">
        <f t="array" ref="N47:Q50">I59:L62</f>
        <v>0.12489488683356893</v>
      </c>
      <c r="O47" s="218">
        <v>0.65185496560594647</v>
      </c>
      <c r="P47" s="218">
        <v>-0.47555550435713229</v>
      </c>
      <c r="Q47" s="219">
        <v>-0.57735026909022458</v>
      </c>
      <c r="S47" s="217">
        <v>1</v>
      </c>
      <c r="T47" s="218">
        <v>2</v>
      </c>
      <c r="U47" s="218">
        <v>0</v>
      </c>
      <c r="V47" s="223">
        <v>4</v>
      </c>
      <c r="X47" s="223">
        <f t="array" ref="X47:X50">MMULT(TRANSPOSE(N47:Q50),V47:V50)</f>
        <v>-2.4097685836844072</v>
      </c>
    </row>
    <row r="48" spans="1:24" x14ac:dyDescent="0.25">
      <c r="A48" s="123">
        <v>-1</v>
      </c>
      <c r="B48" s="37">
        <v>2</v>
      </c>
      <c r="C48" s="90">
        <v>1</v>
      </c>
      <c r="E48" s="123">
        <v>1</v>
      </c>
      <c r="F48" s="37">
        <v>10</v>
      </c>
      <c r="G48" s="90">
        <v>2</v>
      </c>
      <c r="I48" s="123">
        <v>3</v>
      </c>
      <c r="J48" s="37">
        <v>6</v>
      </c>
      <c r="K48" s="37">
        <v>-1</v>
      </c>
      <c r="L48" s="90">
        <v>4</v>
      </c>
      <c r="N48" s="123">
        <v>0.28510134918841712</v>
      </c>
      <c r="O48" s="37">
        <v>0.52865985412964978</v>
      </c>
      <c r="P48" s="37">
        <v>0.79952234447985271</v>
      </c>
      <c r="Q48" s="90">
        <v>-1.6711665964195459E-10</v>
      </c>
      <c r="S48" s="123">
        <v>-1</v>
      </c>
      <c r="T48" s="37">
        <v>2</v>
      </c>
      <c r="U48" s="37">
        <v>1</v>
      </c>
      <c r="V48" s="173">
        <v>3</v>
      </c>
      <c r="X48" s="173">
        <v>6.7204798879447756</v>
      </c>
    </row>
    <row r="49" spans="1:24" x14ac:dyDescent="0.25">
      <c r="A49" s="123">
        <v>0</v>
      </c>
      <c r="B49" s="37">
        <v>1</v>
      </c>
      <c r="C49" s="90">
        <v>-3</v>
      </c>
      <c r="E49" s="91">
        <v>2</v>
      </c>
      <c r="F49" s="92">
        <v>2</v>
      </c>
      <c r="G49" s="93">
        <v>19</v>
      </c>
      <c r="I49" s="123">
        <v>2</v>
      </c>
      <c r="J49" s="37">
        <v>-1</v>
      </c>
      <c r="K49" s="37">
        <v>10</v>
      </c>
      <c r="L49" s="90">
        <v>-8</v>
      </c>
      <c r="N49" s="123">
        <v>-0.60662621529172756</v>
      </c>
      <c r="O49" s="37">
        <v>0.52982257145633105</v>
      </c>
      <c r="P49" s="37">
        <v>-0.1340124783850436</v>
      </c>
      <c r="Q49" s="90">
        <v>0.57735026921763766</v>
      </c>
      <c r="S49" s="123">
        <v>0</v>
      </c>
      <c r="T49" s="37">
        <v>1</v>
      </c>
      <c r="U49" s="37">
        <v>-3</v>
      </c>
      <c r="V49" s="173">
        <v>5</v>
      </c>
      <c r="X49" s="173">
        <v>0.16782565005789968</v>
      </c>
    </row>
    <row r="50" spans="1:24" x14ac:dyDescent="0.25">
      <c r="A50" s="91">
        <v>1</v>
      </c>
      <c r="B50" s="92">
        <v>1</v>
      </c>
      <c r="C50" s="93">
        <v>3</v>
      </c>
      <c r="I50" s="91">
        <v>3</v>
      </c>
      <c r="J50" s="92">
        <v>4</v>
      </c>
      <c r="K50" s="92">
        <v>-8</v>
      </c>
      <c r="L50" s="93">
        <v>11</v>
      </c>
      <c r="N50" s="91">
        <v>0.73152110212529653</v>
      </c>
      <c r="O50" s="92">
        <v>0.12203239414961543</v>
      </c>
      <c r="P50" s="92">
        <v>-0.34154302597208869</v>
      </c>
      <c r="Q50" s="93">
        <v>0.57735026926101596</v>
      </c>
      <c r="S50" s="91">
        <v>1</v>
      </c>
      <c r="T50" s="92">
        <v>1</v>
      </c>
      <c r="U50" s="92">
        <v>3</v>
      </c>
      <c r="V50" s="174">
        <v>-1</v>
      </c>
      <c r="X50" s="174">
        <v>-3.5076164195402271E-11</v>
      </c>
    </row>
    <row r="51" spans="1:24" x14ac:dyDescent="0.25">
      <c r="E51" t="s">
        <v>202</v>
      </c>
      <c r="X51" s="47" t="s">
        <v>564</v>
      </c>
    </row>
    <row r="52" spans="1:24" x14ac:dyDescent="0.25">
      <c r="E52" s="160">
        <f t="array" ref="E52:G55">[1]!eVECTORS(E47:G49)</f>
        <v>19.705285139535789</v>
      </c>
      <c r="F52" s="161">
        <v>9.6202330988624691</v>
      </c>
      <c r="G52" s="162">
        <v>2.6744817616017178</v>
      </c>
      <c r="I52" s="160">
        <f t="array" ref="I52:L56">[1]!eVECTORS(I47:L50)</f>
        <v>19.705285139535697</v>
      </c>
      <c r="J52" s="161">
        <v>9.6202330988624709</v>
      </c>
      <c r="K52" s="161">
        <v>2.6744817616017365</v>
      </c>
      <c r="L52" s="162">
        <v>-1.0658141036401503E-14</v>
      </c>
      <c r="N52" t="s">
        <v>470</v>
      </c>
      <c r="S52" s="217">
        <f t="array" ref="S52:V55">[1]!ELIM(S47:V50)</f>
        <v>1</v>
      </c>
      <c r="T52" s="218">
        <v>0</v>
      </c>
      <c r="U52" s="218">
        <v>0</v>
      </c>
      <c r="V52" s="219">
        <v>0</v>
      </c>
      <c r="X52" s="223">
        <f t="array" ref="X52:X54">1/E57:E59</f>
        <v>0.22527273833645139</v>
      </c>
    </row>
    <row r="53" spans="1:24" x14ac:dyDescent="0.25">
      <c r="E53" s="123">
        <v>0.1287016133527922</v>
      </c>
      <c r="F53" s="37">
        <v>7.9063563209588808E-2</v>
      </c>
      <c r="G53" s="90">
        <v>-0.98852660444370055</v>
      </c>
      <c r="I53" s="123">
        <v>0.12489488683356814</v>
      </c>
      <c r="J53" s="37">
        <v>-0.65185496560594736</v>
      </c>
      <c r="K53" s="37">
        <v>-0.47555550447781103</v>
      </c>
      <c r="L53" s="90">
        <v>-0.57735026909022458</v>
      </c>
      <c r="N53" s="217">
        <f t="array" ref="N53:P55">[1]!DIAGONAL(E57:E59)</f>
        <v>4.4390635430838099</v>
      </c>
      <c r="O53" s="218">
        <v>0</v>
      </c>
      <c r="P53" s="219">
        <v>0</v>
      </c>
      <c r="S53" s="123">
        <v>0</v>
      </c>
      <c r="T53" s="37">
        <v>1</v>
      </c>
      <c r="U53" s="37">
        <v>0</v>
      </c>
      <c r="V53" s="90">
        <v>2</v>
      </c>
      <c r="X53" s="173">
        <v>0.32240903404285293</v>
      </c>
    </row>
    <row r="54" spans="1:24" x14ac:dyDescent="0.25">
      <c r="E54" s="123">
        <v>0.2128573627538409</v>
      </c>
      <c r="F54" s="37">
        <v>0.97138121520550169</v>
      </c>
      <c r="G54" s="90">
        <v>0.10540530284269278</v>
      </c>
      <c r="I54" s="123">
        <v>0.2851013491884179</v>
      </c>
      <c r="J54" s="37">
        <v>-0.52865985412964944</v>
      </c>
      <c r="K54" s="37">
        <v>0.79952234447985449</v>
      </c>
      <c r="L54" s="90">
        <v>-1.6711665964195459E-10</v>
      </c>
      <c r="N54" s="123">
        <v>0</v>
      </c>
      <c r="O54" s="37">
        <v>3.1016500606713309</v>
      </c>
      <c r="P54" s="90">
        <v>0</v>
      </c>
      <c r="S54" s="123">
        <v>0</v>
      </c>
      <c r="T54" s="37">
        <v>0</v>
      </c>
      <c r="U54" s="37">
        <v>1</v>
      </c>
      <c r="V54" s="90">
        <v>-1</v>
      </c>
      <c r="X54" s="173">
        <v>0.61147707532877582</v>
      </c>
    </row>
    <row r="55" spans="1:24" x14ac:dyDescent="0.25">
      <c r="E55" s="91">
        <v>0.96856989311141983</v>
      </c>
      <c r="F55" s="92">
        <v>-0.22398099856568934</v>
      </c>
      <c r="G55" s="93">
        <v>0.1081890680228295</v>
      </c>
      <c r="I55" s="123">
        <v>-0.606626215291726</v>
      </c>
      <c r="J55" s="37">
        <v>-0.52982257145633016</v>
      </c>
      <c r="K55" s="37">
        <v>-0.13401247826436438</v>
      </c>
      <c r="L55" s="90">
        <v>0.57735026921763766</v>
      </c>
      <c r="N55" s="123">
        <v>0</v>
      </c>
      <c r="O55" s="37">
        <v>0</v>
      </c>
      <c r="P55" s="90">
        <v>1.6353842856043708</v>
      </c>
      <c r="S55" s="91">
        <v>0</v>
      </c>
      <c r="T55" s="92">
        <v>0</v>
      </c>
      <c r="U55" s="92">
        <v>0</v>
      </c>
      <c r="V55" s="93">
        <v>0</v>
      </c>
      <c r="X55" s="174">
        <v>0</v>
      </c>
    </row>
    <row r="56" spans="1:24" x14ac:dyDescent="0.25">
      <c r="I56" s="91">
        <v>0.73152110212529475</v>
      </c>
      <c r="J56" s="92">
        <v>-0.12203239414961546</v>
      </c>
      <c r="K56" s="92">
        <v>-0.341543025851411</v>
      </c>
      <c r="L56" s="93">
        <v>0.57735026926101596</v>
      </c>
      <c r="N56" s="91">
        <v>0</v>
      </c>
      <c r="O56" s="92">
        <v>0</v>
      </c>
      <c r="P56" s="93">
        <v>0</v>
      </c>
    </row>
    <row r="57" spans="1:24" x14ac:dyDescent="0.25">
      <c r="E57" s="223">
        <f t="array" ref="E57:E59">SQRT(TRANSPOSE(E52:G52))</f>
        <v>4.4390635430838099</v>
      </c>
      <c r="S57" t="s">
        <v>565</v>
      </c>
      <c r="X57" s="47" t="s">
        <v>390</v>
      </c>
    </row>
    <row r="58" spans="1:24" x14ac:dyDescent="0.25">
      <c r="E58" s="173">
        <v>3.1016500606713309</v>
      </c>
      <c r="I58" t="s">
        <v>562</v>
      </c>
      <c r="N58" t="s">
        <v>202</v>
      </c>
      <c r="S58" s="217">
        <f t="array" ref="S58:V61">[1]!DIAGONAL(X52:X55)</f>
        <v>0.22527273833645139</v>
      </c>
      <c r="T58" s="218">
        <v>0</v>
      </c>
      <c r="U58" s="218">
        <v>0</v>
      </c>
      <c r="V58" s="219">
        <v>0</v>
      </c>
      <c r="X58" s="223">
        <f t="array" ref="X58:X60">MMULT(N59:P61,MMULT(S58:V60,X47:X50))</f>
        <v>1.6792123247455493E-15</v>
      </c>
    </row>
    <row r="59" spans="1:24" x14ac:dyDescent="0.25">
      <c r="E59" s="174">
        <v>1.6353842856043708</v>
      </c>
      <c r="I59" s="217">
        <f t="array" ref="I59:K62">1/SQRT(E52:G52)*MMULT(A47:C50,E53:G55)</f>
        <v>0.12489488683356893</v>
      </c>
      <c r="J59" s="218">
        <v>0.65185496560594647</v>
      </c>
      <c r="K59" s="218">
        <v>-0.47555550435713229</v>
      </c>
      <c r="L59" s="219">
        <f t="array" ref="L59:L62">L53:L56</f>
        <v>-0.57735026909022458</v>
      </c>
      <c r="N59" s="217">
        <f t="array" ref="N59:P61">E53:G55</f>
        <v>0.1287016133527922</v>
      </c>
      <c r="O59" s="218">
        <v>7.9063563209588808E-2</v>
      </c>
      <c r="P59" s="219">
        <v>-0.98852660444370055</v>
      </c>
      <c r="S59" s="123">
        <v>0</v>
      </c>
      <c r="T59" s="37">
        <v>0.32240903404285293</v>
      </c>
      <c r="U59" s="37">
        <v>0</v>
      </c>
      <c r="V59" s="90">
        <v>0</v>
      </c>
      <c r="X59" s="173">
        <v>1.9999999999999967</v>
      </c>
    </row>
    <row r="60" spans="1:24" x14ac:dyDescent="0.25">
      <c r="I60" s="123">
        <v>0.28510134918841712</v>
      </c>
      <c r="J60" s="37">
        <v>0.52865985412964978</v>
      </c>
      <c r="K60" s="37">
        <v>0.79952234447985271</v>
      </c>
      <c r="L60" s="90">
        <v>-1.6711665964195459E-10</v>
      </c>
      <c r="N60" s="123">
        <v>0.2128573627538409</v>
      </c>
      <c r="O60" s="37">
        <v>0.97138121520550169</v>
      </c>
      <c r="P60" s="90">
        <v>0.10540530284269278</v>
      </c>
      <c r="S60" s="91">
        <v>0</v>
      </c>
      <c r="T60" s="92">
        <v>0</v>
      </c>
      <c r="U60" s="92">
        <v>0.61147707532877582</v>
      </c>
      <c r="V60" s="93">
        <v>0</v>
      </c>
      <c r="X60" s="174">
        <v>-0.99999999999999933</v>
      </c>
    </row>
    <row r="61" spans="1:24" x14ac:dyDescent="0.25">
      <c r="I61" s="123">
        <v>-0.60662621529172756</v>
      </c>
      <c r="J61" s="37">
        <v>0.52982257145633105</v>
      </c>
      <c r="K61" s="37">
        <v>-0.1340124783850436</v>
      </c>
      <c r="L61" s="90">
        <v>0.57735026921763766</v>
      </c>
      <c r="N61" s="91">
        <v>0.96856989311141983</v>
      </c>
      <c r="O61" s="92">
        <v>-0.22398099856568934</v>
      </c>
      <c r="P61" s="93">
        <v>0.1081890680228295</v>
      </c>
      <c r="S61">
        <v>0</v>
      </c>
      <c r="T61">
        <v>0</v>
      </c>
      <c r="U61">
        <v>0</v>
      </c>
      <c r="V61">
        <v>0</v>
      </c>
    </row>
    <row r="62" spans="1:24" x14ac:dyDescent="0.25">
      <c r="I62" s="91">
        <v>0.73152110212529653</v>
      </c>
      <c r="J62" s="92">
        <v>0.12203239414961543</v>
      </c>
      <c r="K62" s="92">
        <v>-0.34154302597208869</v>
      </c>
      <c r="L62" s="93">
        <v>0.57735026926101596</v>
      </c>
    </row>
    <row r="63" spans="1:24" ht="17.25" x14ac:dyDescent="0.25">
      <c r="N63" t="s">
        <v>566</v>
      </c>
    </row>
    <row r="64" spans="1:24" x14ac:dyDescent="0.25">
      <c r="N64" s="217">
        <f t="array" ref="N64:P67">MMULT(N47:Q50,MMULT(N53:P56,TRANSPOSE(N59:P61)))</f>
        <v>1.0000000000000011</v>
      </c>
      <c r="O64" s="218">
        <v>1.9999999999999947</v>
      </c>
      <c r="P64" s="219">
        <v>6.3837823915946501E-16</v>
      </c>
    </row>
    <row r="65" spans="14:16" x14ac:dyDescent="0.25">
      <c r="N65" s="123">
        <v>-1.0000000000000002</v>
      </c>
      <c r="O65" s="37">
        <v>1.9999999999999944</v>
      </c>
      <c r="P65" s="90">
        <v>0.99999999999999989</v>
      </c>
    </row>
    <row r="66" spans="14:16" x14ac:dyDescent="0.25">
      <c r="N66" s="123">
        <v>6.6613381477509392E-16</v>
      </c>
      <c r="O66" s="37">
        <v>0.99999999999999611</v>
      </c>
      <c r="P66" s="90">
        <v>-2.999999999999996</v>
      </c>
    </row>
    <row r="67" spans="14:16" x14ac:dyDescent="0.25">
      <c r="N67" s="91">
        <v>1.0000000000000004</v>
      </c>
      <c r="O67" s="92">
        <v>0.99999999999999867</v>
      </c>
      <c r="P67" s="93">
        <v>2.9999999999999969</v>
      </c>
    </row>
  </sheetData>
  <mergeCells count="2">
    <mergeCell ref="A46:C46"/>
    <mergeCell ref="S46:U46"/>
  </mergeCells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1"/>
  <dimension ref="A1:AC27"/>
  <sheetViews>
    <sheetView workbookViewId="0"/>
  </sheetViews>
  <sheetFormatPr defaultRowHeight="15" x14ac:dyDescent="0.25"/>
  <cols>
    <col min="6" max="6" width="9.140625" customWidth="1"/>
    <col min="7" max="9" width="9.28515625" bestFit="1" customWidth="1"/>
  </cols>
  <sheetData>
    <row r="1" spans="1:29" ht="14.45" x14ac:dyDescent="0.35">
      <c r="A1" s="42" t="s">
        <v>709</v>
      </c>
      <c r="F1" t="s">
        <v>710</v>
      </c>
      <c r="K1" t="s">
        <v>712</v>
      </c>
      <c r="P1" t="s">
        <v>704</v>
      </c>
      <c r="U1" t="s">
        <v>714</v>
      </c>
      <c r="Z1" t="s">
        <v>716</v>
      </c>
    </row>
    <row r="3" spans="1:29" ht="14.45" x14ac:dyDescent="0.35">
      <c r="A3" s="138">
        <v>1</v>
      </c>
      <c r="B3" s="268">
        <v>3</v>
      </c>
      <c r="C3" s="268">
        <v>2</v>
      </c>
      <c r="D3" s="269">
        <v>5</v>
      </c>
      <c r="F3" s="270">
        <f t="array" ref="F3:I9">[1]!eVECTORS(A3:D6)</f>
        <v>11.088201585984528</v>
      </c>
      <c r="G3" s="271">
        <v>-3.1471189166099558</v>
      </c>
      <c r="H3" s="271">
        <v>2.3864710618057807</v>
      </c>
      <c r="I3" s="272">
        <v>0.67244626881963565</v>
      </c>
      <c r="K3" s="149">
        <f t="array" ref="K3:N6">MMULT(A3:D6,MINVERSE(K10:N13))</f>
        <v>-0.16012815380508713</v>
      </c>
      <c r="L3" s="267">
        <v>-0.73707118405938554</v>
      </c>
      <c r="M3" s="267">
        <v>-0.40548536018160142</v>
      </c>
      <c r="N3" s="82">
        <v>0.51639777949432553</v>
      </c>
      <c r="P3" s="149">
        <f t="array" ref="P3:S6">[1]!SPECTRAL(A3:D6)</f>
        <v>0.51520295700362739</v>
      </c>
      <c r="Q3" s="267">
        <v>0.79885276947034367</v>
      </c>
      <c r="R3" s="267">
        <v>1.47498517699092E-2</v>
      </c>
      <c r="S3" s="82">
        <v>-0.31013320956815565</v>
      </c>
      <c r="U3" s="149">
        <f t="array" ref="U3:X6">[1]!SVD_U(A3:D6)</f>
        <v>0.51520295700362795</v>
      </c>
      <c r="V3" s="267">
        <v>-0.79885276947033301</v>
      </c>
      <c r="W3" s="267">
        <v>1.4749851770424477E-2</v>
      </c>
      <c r="X3" s="82">
        <v>0.31013320956815571</v>
      </c>
      <c r="Z3" s="149">
        <f t="array" ref="Z3:AC6">[1]!SCHURQ(A3:D6)</f>
        <v>-0.51520295700362717</v>
      </c>
      <c r="AA3" s="267">
        <v>-0.79885276947043871</v>
      </c>
      <c r="AB3" s="267">
        <v>-1.4749851764785039E-2</v>
      </c>
      <c r="AC3" s="82">
        <v>0.31013320956815582</v>
      </c>
    </row>
    <row r="4" spans="1:29" ht="14.45" x14ac:dyDescent="0.35">
      <c r="A4" s="36">
        <v>3</v>
      </c>
      <c r="B4" s="37">
        <v>4</v>
      </c>
      <c r="C4" s="37">
        <v>1</v>
      </c>
      <c r="D4" s="38">
        <v>3</v>
      </c>
      <c r="F4" s="149">
        <v>0.51520295700362739</v>
      </c>
      <c r="G4" s="267">
        <v>0.79885276947034367</v>
      </c>
      <c r="H4" s="267">
        <v>1.47498517699092E-2</v>
      </c>
      <c r="I4" s="82">
        <v>-0.31013320956815565</v>
      </c>
      <c r="K4" s="83">
        <v>-0.48038446141526137</v>
      </c>
      <c r="L4" s="37">
        <v>-0.52028554168897823</v>
      </c>
      <c r="M4" s="37">
        <v>0.36819935004996018</v>
      </c>
      <c r="N4" s="84">
        <v>-0.60246407607670882</v>
      </c>
      <c r="P4" s="83">
        <v>0.5171408556068996</v>
      </c>
      <c r="Q4" s="37">
        <v>-7.8467749585094476E-2</v>
      </c>
      <c r="R4" s="37">
        <v>-0.5744102051129496</v>
      </c>
      <c r="S4" s="84">
        <v>0.62965154172710003</v>
      </c>
      <c r="U4" s="83">
        <v>0.51714085560689915</v>
      </c>
      <c r="V4" s="37">
        <v>7.8467749584723898E-2</v>
      </c>
      <c r="W4" s="37">
        <v>-0.57441020511300012</v>
      </c>
      <c r="X4" s="84">
        <v>-0.62965154172709958</v>
      </c>
      <c r="Z4" s="83">
        <v>-0.5171408556068996</v>
      </c>
      <c r="AA4" s="37">
        <v>7.8467749588779195E-2</v>
      </c>
      <c r="AB4" s="37">
        <v>0.57441020511244678</v>
      </c>
      <c r="AC4" s="84">
        <v>-0.62965154172709958</v>
      </c>
    </row>
    <row r="5" spans="1:29" ht="14.45" x14ac:dyDescent="0.35">
      <c r="A5" s="36">
        <v>2</v>
      </c>
      <c r="B5" s="37">
        <v>1</v>
      </c>
      <c r="C5" s="37">
        <v>3</v>
      </c>
      <c r="D5" s="38">
        <v>2</v>
      </c>
      <c r="F5" s="83">
        <v>0.5171408556068996</v>
      </c>
      <c r="G5" s="37">
        <v>-7.8467749585094476E-2</v>
      </c>
      <c r="H5" s="37">
        <v>-0.5744102051129496</v>
      </c>
      <c r="I5" s="84">
        <v>0.62965154172710003</v>
      </c>
      <c r="K5" s="83">
        <v>-0.32025630761017426</v>
      </c>
      <c r="L5" s="37">
        <v>0.21678564237040737</v>
      </c>
      <c r="M5" s="37">
        <v>-0.81563147162965854</v>
      </c>
      <c r="N5" s="84">
        <v>-0.43033148291193513</v>
      </c>
      <c r="P5" s="83">
        <v>0.33819735398497691</v>
      </c>
      <c r="Q5" s="37">
        <v>-5.3902694255929036E-2</v>
      </c>
      <c r="R5" s="37">
        <v>0.8181529087907613</v>
      </c>
      <c r="S5" s="84">
        <v>0.46189053589213891</v>
      </c>
      <c r="U5" s="83">
        <v>0.33819735398497669</v>
      </c>
      <c r="V5" s="37">
        <v>5.3902694256456579E-2</v>
      </c>
      <c r="W5" s="37">
        <v>0.81815290879072666</v>
      </c>
      <c r="X5" s="84">
        <v>-0.46189053589213913</v>
      </c>
      <c r="Z5" s="83">
        <v>-0.33819735398497691</v>
      </c>
      <c r="AA5" s="37">
        <v>5.3902694250680547E-2</v>
      </c>
      <c r="AB5" s="37">
        <v>-0.81815290879110747</v>
      </c>
      <c r="AC5" s="84">
        <v>-0.46189053589213891</v>
      </c>
    </row>
    <row r="6" spans="1:29" ht="14.45" x14ac:dyDescent="0.35">
      <c r="A6" s="39">
        <v>5</v>
      </c>
      <c r="B6" s="40">
        <v>3</v>
      </c>
      <c r="C6" s="40">
        <v>2</v>
      </c>
      <c r="D6" s="41">
        <v>3</v>
      </c>
      <c r="F6" s="83">
        <v>0.33819735398497691</v>
      </c>
      <c r="G6" s="37">
        <v>-5.3902694255929036E-2</v>
      </c>
      <c r="H6" s="37">
        <v>0.8181529087907613</v>
      </c>
      <c r="I6" s="84">
        <v>0.46189053589213891</v>
      </c>
      <c r="K6" s="85">
        <v>-0.80064076902543568</v>
      </c>
      <c r="L6" s="86">
        <v>0.37287130487710063</v>
      </c>
      <c r="M6" s="86">
        <v>0.1864300506582075</v>
      </c>
      <c r="N6" s="87">
        <v>0.43033148291193513</v>
      </c>
      <c r="P6" s="85">
        <v>0.59393080263145359</v>
      </c>
      <c r="Q6" s="86">
        <v>-0.59394575891790369</v>
      </c>
      <c r="R6" s="86">
        <v>2.1475008081016652E-2</v>
      </c>
      <c r="S6" s="87">
        <v>-0.54223008140171702</v>
      </c>
      <c r="U6" s="85">
        <v>0.59393080263145348</v>
      </c>
      <c r="V6" s="86">
        <v>0.59394575891791657</v>
      </c>
      <c r="W6" s="86">
        <v>2.1475008080633622E-2</v>
      </c>
      <c r="X6" s="87">
        <v>0.54223008140171736</v>
      </c>
      <c r="Z6" s="85">
        <v>-0.59393080263145359</v>
      </c>
      <c r="AA6" s="86">
        <v>0.59394575891776569</v>
      </c>
      <c r="AB6" s="86">
        <v>-2.1475008084826969E-2</v>
      </c>
      <c r="AC6" s="87">
        <v>0.54223008140171769</v>
      </c>
    </row>
    <row r="7" spans="1:29" ht="14.45" x14ac:dyDescent="0.35">
      <c r="F7" s="85">
        <v>0.59393080263145359</v>
      </c>
      <c r="G7" s="86">
        <v>-0.59394575891790369</v>
      </c>
      <c r="H7" s="86">
        <v>2.1475008081016652E-2</v>
      </c>
      <c r="I7" s="87">
        <v>-0.54223008140171702</v>
      </c>
    </row>
    <row r="8" spans="1:29" ht="14.45" x14ac:dyDescent="0.35">
      <c r="F8" s="83">
        <v>-6.6699028505138433E-12</v>
      </c>
      <c r="G8" s="37">
        <v>7.8058130786158617E-13</v>
      </c>
      <c r="H8" s="37">
        <v>2.6789281889460736E-13</v>
      </c>
      <c r="I8" s="84">
        <v>-2.5847342824462631E-14</v>
      </c>
      <c r="K8" t="s">
        <v>713</v>
      </c>
      <c r="P8" t="s">
        <v>705</v>
      </c>
      <c r="U8" t="s">
        <v>715</v>
      </c>
      <c r="Z8" t="s">
        <v>717</v>
      </c>
    </row>
    <row r="9" spans="1:29" ht="14.45" x14ac:dyDescent="0.35">
      <c r="F9" s="85">
        <v>8.8817841970012523E-15</v>
      </c>
      <c r="G9" s="86">
        <v>2.92135760027179E-12</v>
      </c>
      <c r="H9" s="86">
        <v>2.8531552120902859E-12</v>
      </c>
      <c r="I9" s="87">
        <v>1.8041124150158794E-15</v>
      </c>
    </row>
    <row r="10" spans="1:29" ht="14.45" x14ac:dyDescent="0.35">
      <c r="K10" s="149">
        <f t="array" ref="K10:N13">[1]!QRFactorR(A3:D6)</f>
        <v>-6.2449979983983983</v>
      </c>
      <c r="L10" s="267">
        <v>-5.1241009217627873</v>
      </c>
      <c r="M10" s="267">
        <v>-3.3626912299068294</v>
      </c>
      <c r="N10" s="82">
        <v>-5.2842290755678718</v>
      </c>
      <c r="P10" s="149">
        <f t="array" ref="P10:S13">[1]!DIAGONAL([1]!SUBMATRIX([1]!eVALUES(A3:D6),1,1,1))</f>
        <v>11.088201585984514</v>
      </c>
      <c r="Q10" s="267">
        <v>0</v>
      </c>
      <c r="R10" s="267">
        <v>0</v>
      </c>
      <c r="S10" s="82">
        <v>0</v>
      </c>
      <c r="U10" s="149">
        <f t="array" ref="U10:X13">[1]!SVD_D(A3:D6)</f>
        <v>11.08820158598453</v>
      </c>
      <c r="V10" s="267">
        <v>0</v>
      </c>
      <c r="W10" s="267">
        <v>0</v>
      </c>
      <c r="X10" s="82">
        <v>0</v>
      </c>
      <c r="Z10" s="149">
        <f t="array" ref="Z10:AC13">MMULT(TRANSPOSE(Z3:AC6),MMULT(A3:D6,Z3:AC6))</f>
        <v>11.088201585984532</v>
      </c>
      <c r="AA10" s="267">
        <v>6.2172489379008766E-15</v>
      </c>
      <c r="AB10" s="267">
        <v>9.298117831235686E-16</v>
      </c>
      <c r="AC10" s="82">
        <v>-5.3290705182007514E-15</v>
      </c>
    </row>
    <row r="11" spans="1:29" ht="14.45" x14ac:dyDescent="0.35">
      <c r="F11" t="s">
        <v>711</v>
      </c>
      <c r="K11" s="83">
        <v>0</v>
      </c>
      <c r="L11" s="37">
        <v>-2.9569561619323586</v>
      </c>
      <c r="M11" s="37">
        <v>-0.59832837294232544</v>
      </c>
      <c r="N11" s="84">
        <v>-3.6940273459917421</v>
      </c>
      <c r="P11" s="83">
        <v>0</v>
      </c>
      <c r="Q11" s="37">
        <v>-3.1471189166099531</v>
      </c>
      <c r="R11" s="37">
        <v>0</v>
      </c>
      <c r="S11" s="84">
        <v>0</v>
      </c>
      <c r="U11" s="83">
        <v>0</v>
      </c>
      <c r="V11" s="37">
        <v>3.1471189166099509</v>
      </c>
      <c r="W11" s="37">
        <v>0</v>
      </c>
      <c r="X11" s="84">
        <v>0</v>
      </c>
      <c r="Z11" s="83">
        <v>7.5495165674510645E-15</v>
      </c>
      <c r="AA11" s="37">
        <v>-3.147118916609954</v>
      </c>
      <c r="AB11" s="37">
        <v>3.9068241697304273E-11</v>
      </c>
      <c r="AC11" s="84">
        <v>-6.106226635438361E-16</v>
      </c>
    </row>
    <row r="12" spans="1:29" ht="14.45" x14ac:dyDescent="0.35">
      <c r="K12" s="83">
        <v>0</v>
      </c>
      <c r="L12" s="37">
        <v>0</v>
      </c>
      <c r="M12" s="37">
        <v>-2.5168056838858024</v>
      </c>
      <c r="N12" s="84">
        <v>-1.9948015420428198</v>
      </c>
      <c r="P12" s="83">
        <v>0</v>
      </c>
      <c r="Q12" s="37">
        <v>0</v>
      </c>
      <c r="R12" s="37">
        <v>2.386471061805775</v>
      </c>
      <c r="S12" s="84">
        <v>0</v>
      </c>
      <c r="U12" s="83">
        <v>0</v>
      </c>
      <c r="V12" s="37">
        <v>0</v>
      </c>
      <c r="W12" s="37">
        <v>2.3864710618057843</v>
      </c>
      <c r="X12" s="84">
        <v>0</v>
      </c>
      <c r="Z12" s="83">
        <v>9.1593399531575415E-16</v>
      </c>
      <c r="AA12" s="37">
        <v>3.9068213941728658E-11</v>
      </c>
      <c r="AB12" s="37">
        <v>2.3864710618057834</v>
      </c>
      <c r="AC12" s="84">
        <v>-2.5153490401663703E-16</v>
      </c>
    </row>
    <row r="13" spans="1:29" ht="14.45" x14ac:dyDescent="0.35">
      <c r="F13" s="270">
        <f t="array" ref="F13:I19">[1]!eVECT(A3:D6)</f>
        <v>11.088201585984532</v>
      </c>
      <c r="G13" s="271">
        <v>-3.147118916609954</v>
      </c>
      <c r="H13" s="271">
        <v>2.3864710618057834</v>
      </c>
      <c r="I13" s="272">
        <v>0.67244626881963587</v>
      </c>
      <c r="K13" s="85">
        <v>0</v>
      </c>
      <c r="L13" s="86">
        <v>0</v>
      </c>
      <c r="M13" s="86">
        <v>0</v>
      </c>
      <c r="N13" s="87">
        <v>1.2049281521534174</v>
      </c>
      <c r="P13" s="85">
        <v>0</v>
      </c>
      <c r="Q13" s="86">
        <v>0</v>
      </c>
      <c r="R13" s="86">
        <v>0</v>
      </c>
      <c r="S13" s="87">
        <v>0.67244626881963399</v>
      </c>
      <c r="U13" s="85">
        <v>0</v>
      </c>
      <c r="V13" s="86">
        <v>0</v>
      </c>
      <c r="W13" s="86">
        <v>0</v>
      </c>
      <c r="X13" s="87">
        <v>0.6724462688196351</v>
      </c>
      <c r="Z13" s="85">
        <v>-5.3290705182007514E-15</v>
      </c>
      <c r="AA13" s="86">
        <v>0</v>
      </c>
      <c r="AB13" s="86">
        <v>-5.2041704279304213E-16</v>
      </c>
      <c r="AC13" s="87">
        <v>0.67244626881963587</v>
      </c>
    </row>
    <row r="14" spans="1:29" ht="14.45" x14ac:dyDescent="0.35">
      <c r="F14" s="149">
        <v>0.51520295700362728</v>
      </c>
      <c r="G14" s="267">
        <v>0.79885276947043848</v>
      </c>
      <c r="H14" s="267">
        <v>1.4749851770425043E-2</v>
      </c>
      <c r="I14" s="82">
        <v>0.31013320956815577</v>
      </c>
    </row>
    <row r="15" spans="1:29" ht="14.45" x14ac:dyDescent="0.35">
      <c r="F15" s="83">
        <v>0.51714085560689971</v>
      </c>
      <c r="G15" s="37">
        <v>-7.8467749588779417E-2</v>
      </c>
      <c r="H15" s="37">
        <v>-0.57441020511300078</v>
      </c>
      <c r="I15" s="84">
        <v>-0.62965154172709992</v>
      </c>
      <c r="U15" t="s">
        <v>718</v>
      </c>
    </row>
    <row r="16" spans="1:29" ht="14.45" x14ac:dyDescent="0.35">
      <c r="F16" s="83">
        <v>0.33819735398497697</v>
      </c>
      <c r="G16" s="37">
        <v>-5.3902694250680692E-2</v>
      </c>
      <c r="H16" s="37">
        <v>0.81815290879072688</v>
      </c>
      <c r="I16" s="84">
        <v>-0.46189053589213924</v>
      </c>
    </row>
    <row r="17" spans="6:29" ht="14.45" x14ac:dyDescent="0.35">
      <c r="F17" s="85">
        <v>0.5939308026314537</v>
      </c>
      <c r="G17" s="86">
        <v>-0.59394575891776591</v>
      </c>
      <c r="H17" s="86">
        <v>2.1475008080633531E-2</v>
      </c>
      <c r="I17" s="87">
        <v>0.54223008140171736</v>
      </c>
      <c r="U17" s="149">
        <f t="array" ref="U17:X20">[1]!SVD_V(A3:D6)</f>
        <v>0.51520295700362795</v>
      </c>
      <c r="V17" s="267">
        <v>0.79885276947033346</v>
      </c>
      <c r="W17" s="267">
        <v>1.4749851770425697E-2</v>
      </c>
      <c r="X17" s="82">
        <v>0.31013320956815721</v>
      </c>
    </row>
    <row r="18" spans="6:29" ht="14.45" x14ac:dyDescent="0.35">
      <c r="F18" s="83">
        <v>-1.8190644137765055E-12</v>
      </c>
      <c r="G18" s="37">
        <v>2.6448630609015649E-13</v>
      </c>
      <c r="H18" s="37">
        <v>4.7010037931023769E-14</v>
      </c>
      <c r="I18" s="84">
        <v>-2.0677874259570103E-14</v>
      </c>
      <c r="U18" s="83">
        <v>0.51714085560689926</v>
      </c>
      <c r="V18" s="37">
        <v>-7.8467749584723911E-2</v>
      </c>
      <c r="W18" s="37">
        <v>-0.57441020511299989</v>
      </c>
      <c r="X18" s="84">
        <v>-0.62965154172709847</v>
      </c>
    </row>
    <row r="19" spans="6:29" ht="14.45" x14ac:dyDescent="0.35">
      <c r="F19" s="85">
        <v>7.9936057773011271E-15</v>
      </c>
      <c r="G19" s="86">
        <v>3.1963931501621801E-11</v>
      </c>
      <c r="H19" s="86">
        <v>8.8817841970012523E-16</v>
      </c>
      <c r="I19" s="87">
        <v>4.4408920985006262E-16</v>
      </c>
      <c r="U19" s="83">
        <v>0.33819735398497686</v>
      </c>
      <c r="V19" s="37">
        <v>-5.3902694256457266E-2</v>
      </c>
      <c r="W19" s="37">
        <v>0.81815290879072655</v>
      </c>
      <c r="X19" s="84">
        <v>-0.46189053589213952</v>
      </c>
    </row>
    <row r="20" spans="6:29" ht="14.45" x14ac:dyDescent="0.35">
      <c r="U20" s="85">
        <v>0.59393080263145381</v>
      </c>
      <c r="V20" s="86">
        <v>-0.59394575891791712</v>
      </c>
      <c r="W20" s="86">
        <v>2.147500808063316E-2</v>
      </c>
      <c r="X20" s="87">
        <v>0.54223008140172002</v>
      </c>
    </row>
    <row r="23" spans="6:29" ht="15" customHeight="1" x14ac:dyDescent="0.35">
      <c r="K23" t="s">
        <v>492</v>
      </c>
      <c r="P23" t="s">
        <v>719</v>
      </c>
      <c r="U23" t="s">
        <v>566</v>
      </c>
      <c r="Z23" t="s">
        <v>698</v>
      </c>
    </row>
    <row r="24" spans="6:29" ht="14.45" x14ac:dyDescent="0.35">
      <c r="K24" s="149">
        <f t="array" ref="K24:N27">MMULT(K3:N6,K10:N13)</f>
        <v>1</v>
      </c>
      <c r="L24" s="267">
        <v>3</v>
      </c>
      <c r="M24" s="267">
        <v>2</v>
      </c>
      <c r="N24" s="82">
        <v>5.0000000000000009</v>
      </c>
      <c r="P24" s="149">
        <f t="array" ref="P24:S27">MMULT(P3:S6,MMULT(P10:S13,TRANSPOSE(P3:S6)))</f>
        <v>0.99999999999990719</v>
      </c>
      <c r="Q24" s="267">
        <v>3.0000000000016387</v>
      </c>
      <c r="R24" s="267">
        <v>1.9999999999976648</v>
      </c>
      <c r="S24" s="82">
        <v>4.9999999999999609</v>
      </c>
      <c r="U24" s="149">
        <f t="array" ref="U24:X27">MMULT(U3:X6,MMULT(U10:X13,TRANSPOSE(U17:X20)))</f>
        <v>1.000000000000008</v>
      </c>
      <c r="V24" s="267">
        <v>3.0000000000000013</v>
      </c>
      <c r="W24" s="267">
        <v>1.9999999999999998</v>
      </c>
      <c r="X24" s="82">
        <v>4.9999999999999973</v>
      </c>
      <c r="Z24" s="149">
        <f t="array" ref="Z24:AC27">MMULT(Z3:AC6,MMULT(Z10:AC13,TRANSPOSE(Z3:AC6)))</f>
        <v>0.99999999999999867</v>
      </c>
      <c r="AA24" s="267">
        <v>2.9999999999999991</v>
      </c>
      <c r="AB24" s="267">
        <v>1.9999999999999996</v>
      </c>
      <c r="AC24" s="82">
        <v>5</v>
      </c>
    </row>
    <row r="25" spans="6:29" ht="14.45" x14ac:dyDescent="0.35">
      <c r="K25" s="83">
        <v>3</v>
      </c>
      <c r="L25" s="37">
        <v>4</v>
      </c>
      <c r="M25" s="37">
        <v>1</v>
      </c>
      <c r="N25" s="84">
        <v>2.9999999999999996</v>
      </c>
      <c r="P25" s="83">
        <v>3.0000000000016387</v>
      </c>
      <c r="Q25" s="37">
        <v>3.9999999999996736</v>
      </c>
      <c r="R25" s="37">
        <v>1.0000000000001228</v>
      </c>
      <c r="S25" s="84">
        <v>2.9999999999987867</v>
      </c>
      <c r="U25" s="83">
        <v>2.9999999999999982</v>
      </c>
      <c r="V25" s="37">
        <v>3.9999999999999973</v>
      </c>
      <c r="W25" s="37">
        <v>1.0000000000000013</v>
      </c>
      <c r="X25" s="84">
        <v>3</v>
      </c>
      <c r="Z25" s="83">
        <v>2.9999999999999996</v>
      </c>
      <c r="AA25" s="37">
        <v>4</v>
      </c>
      <c r="AB25" s="37">
        <v>0.99999999999999944</v>
      </c>
      <c r="AC25" s="84">
        <v>2.9999999999999996</v>
      </c>
    </row>
    <row r="26" spans="6:29" ht="14.45" x14ac:dyDescent="0.35">
      <c r="K26" s="83">
        <v>2</v>
      </c>
      <c r="L26" s="37">
        <v>1</v>
      </c>
      <c r="M26" s="37">
        <v>3</v>
      </c>
      <c r="N26" s="84">
        <v>1.9999999999999998</v>
      </c>
      <c r="P26" s="83">
        <v>1.9999999999976648</v>
      </c>
      <c r="Q26" s="37">
        <v>1.0000000000001228</v>
      </c>
      <c r="R26" s="37">
        <v>3.0000000000003051</v>
      </c>
      <c r="S26" s="84">
        <v>2.0000000000017373</v>
      </c>
      <c r="U26" s="83">
        <v>1.9999999999999996</v>
      </c>
      <c r="V26" s="37">
        <v>1.0000000000000007</v>
      </c>
      <c r="W26" s="37">
        <v>2.9999999999999978</v>
      </c>
      <c r="X26" s="84">
        <v>1.9999999999999993</v>
      </c>
      <c r="Z26" s="83">
        <v>2</v>
      </c>
      <c r="AA26" s="37">
        <v>0.99999999999999933</v>
      </c>
      <c r="AB26" s="37">
        <v>2.9999999999999978</v>
      </c>
      <c r="AC26" s="84">
        <v>1.9999999999999996</v>
      </c>
    </row>
    <row r="27" spans="6:29" ht="14.45" x14ac:dyDescent="0.35">
      <c r="K27" s="85">
        <v>5</v>
      </c>
      <c r="L27" s="86">
        <v>3.0000000000000004</v>
      </c>
      <c r="M27" s="86">
        <v>2</v>
      </c>
      <c r="N27" s="87">
        <v>2.9999999999999991</v>
      </c>
      <c r="P27" s="85">
        <v>4.99999999999996</v>
      </c>
      <c r="Q27" s="86">
        <v>2.9999999999987867</v>
      </c>
      <c r="R27" s="86">
        <v>2.0000000000017368</v>
      </c>
      <c r="S27" s="87">
        <v>3.000000000000083</v>
      </c>
      <c r="U27" s="85">
        <v>4.9999999999999947</v>
      </c>
      <c r="V27" s="86">
        <v>3.0000000000000004</v>
      </c>
      <c r="W27" s="86">
        <v>1.9999999999999996</v>
      </c>
      <c r="X27" s="87">
        <v>3.0000000000000031</v>
      </c>
      <c r="Z27" s="85">
        <v>5</v>
      </c>
      <c r="AA27" s="86">
        <v>2.9999999999999987</v>
      </c>
      <c r="AB27" s="86">
        <v>2.0000000000000004</v>
      </c>
      <c r="AC27" s="87">
        <v>2.9999999999999982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2"/>
  <dimension ref="A1:S27"/>
  <sheetViews>
    <sheetView workbookViewId="0"/>
  </sheetViews>
  <sheetFormatPr defaultRowHeight="15" x14ac:dyDescent="0.25"/>
  <cols>
    <col min="6" max="6" width="9.140625" customWidth="1"/>
    <col min="7" max="9" width="9.28515625" bestFit="1" customWidth="1"/>
  </cols>
  <sheetData>
    <row r="1" spans="1:19" ht="14.45" x14ac:dyDescent="0.35">
      <c r="A1" s="42" t="s">
        <v>709</v>
      </c>
      <c r="F1" t="s">
        <v>710</v>
      </c>
      <c r="K1" t="s">
        <v>714</v>
      </c>
      <c r="P1" t="s">
        <v>716</v>
      </c>
    </row>
    <row r="3" spans="1:19" ht="14.45" x14ac:dyDescent="0.35">
      <c r="A3" s="138">
        <v>1</v>
      </c>
      <c r="B3" s="268">
        <v>3</v>
      </c>
      <c r="C3" s="268">
        <v>2</v>
      </c>
      <c r="D3" s="269">
        <v>6</v>
      </c>
      <c r="F3" s="270">
        <f t="array" ref="F3:I9">[1]!eVECTORS(A3:D6)</f>
        <v>11.389107004797095</v>
      </c>
      <c r="G3" s="271">
        <v>-3.594609107001689</v>
      </c>
      <c r="H3" s="271">
        <v>2.386780750004994</v>
      </c>
      <c r="I3" s="272">
        <v>0.81872135219958064</v>
      </c>
      <c r="K3" s="149">
        <f t="array" ref="K3:N6">[1]!SVD_U(A3:D6)</f>
        <v>0.56556366368979827</v>
      </c>
      <c r="L3" s="267">
        <v>-0.78945329730171454</v>
      </c>
      <c r="M3" s="267">
        <v>7.1748695495822473E-3</v>
      </c>
      <c r="N3" s="82">
        <v>0.238431866452813</v>
      </c>
      <c r="P3" s="149">
        <f t="array" ref="P3:S6">[1]!SCHURQ(A3:D6)</f>
        <v>-0.5457406801553264</v>
      </c>
      <c r="Q3" s="267">
        <v>-0.79330329363749574</v>
      </c>
      <c r="R3" s="267">
        <v>-1.4166563225515587E-2</v>
      </c>
      <c r="S3" s="82">
        <v>0.26951122947639916</v>
      </c>
    </row>
    <row r="4" spans="1:19" ht="14.45" x14ac:dyDescent="0.35">
      <c r="A4" s="36">
        <v>3</v>
      </c>
      <c r="B4" s="37">
        <v>4</v>
      </c>
      <c r="C4" s="37">
        <v>1</v>
      </c>
      <c r="D4" s="38">
        <v>3</v>
      </c>
      <c r="F4" s="149">
        <v>0.5457406801553264</v>
      </c>
      <c r="G4" s="267">
        <v>0.79330329363749608</v>
      </c>
      <c r="H4" s="267">
        <v>1.4166563225515795E-2</v>
      </c>
      <c r="I4" s="82">
        <v>-0.26951122947639894</v>
      </c>
      <c r="K4" s="83">
        <v>0.49922951812820987</v>
      </c>
      <c r="L4" s="37">
        <v>0.16310332914091791</v>
      </c>
      <c r="M4" s="37">
        <v>-0.5755542513987757</v>
      </c>
      <c r="N4" s="84">
        <v>-0.6268209440896334</v>
      </c>
      <c r="P4" s="83">
        <v>-0.50309904015721529</v>
      </c>
      <c r="Q4" s="37">
        <v>0.1211404898407019</v>
      </c>
      <c r="R4" s="37">
        <v>0.57706725091748401</v>
      </c>
      <c r="S4" s="84">
        <v>-0.63183045624010659</v>
      </c>
    </row>
    <row r="5" spans="1:19" ht="14.45" x14ac:dyDescent="0.35">
      <c r="A5" s="36">
        <v>2</v>
      </c>
      <c r="B5" s="37">
        <v>1</v>
      </c>
      <c r="C5" s="37">
        <v>3</v>
      </c>
      <c r="D5" s="38">
        <v>2</v>
      </c>
      <c r="F5" s="83">
        <v>0.50309904015721496</v>
      </c>
      <c r="G5" s="37">
        <v>-0.12114048984070193</v>
      </c>
      <c r="H5" s="37">
        <v>-0.57706725091748445</v>
      </c>
      <c r="I5" s="84">
        <v>0.63183045624010625</v>
      </c>
      <c r="K5" s="83">
        <v>0.32669126095404816</v>
      </c>
      <c r="L5" s="37">
        <v>0.10138575309674304</v>
      </c>
      <c r="M5" s="37">
        <v>0.81723124139505998</v>
      </c>
      <c r="N5" s="84">
        <v>-0.46381768743025398</v>
      </c>
      <c r="P5" s="83">
        <v>-0.32922651442880208</v>
      </c>
      <c r="Q5" s="37">
        <v>8.2212947195802952E-2</v>
      </c>
      <c r="R5" s="37">
        <v>-0.81622806462245534</v>
      </c>
      <c r="S5" s="84">
        <v>-0.46757104276582778</v>
      </c>
    </row>
    <row r="6" spans="1:19" ht="14.45" x14ac:dyDescent="0.35">
      <c r="A6" s="39">
        <v>5</v>
      </c>
      <c r="B6" s="40">
        <v>3</v>
      </c>
      <c r="C6" s="40">
        <v>2</v>
      </c>
      <c r="D6" s="41">
        <v>3</v>
      </c>
      <c r="F6" s="83">
        <v>0.32922651442880191</v>
      </c>
      <c r="G6" s="37">
        <v>-8.2212947195803077E-2</v>
      </c>
      <c r="H6" s="37">
        <v>0.81622806462245412</v>
      </c>
      <c r="I6" s="84">
        <v>0.46757104276582789</v>
      </c>
      <c r="K6" s="85">
        <v>0.56936846642530359</v>
      </c>
      <c r="L6" s="86">
        <v>0.58299376023385507</v>
      </c>
      <c r="M6" s="86">
        <v>2.8616831264642619E-2</v>
      </c>
      <c r="N6" s="87">
        <v>0.57889455165622372</v>
      </c>
      <c r="P6" s="85">
        <v>-0.58366802894586567</v>
      </c>
      <c r="Q6" s="86">
        <v>0.59096184084798264</v>
      </c>
      <c r="R6" s="86">
        <v>-2.3758007652087659E-2</v>
      </c>
      <c r="S6" s="87">
        <v>0.55635536460109314</v>
      </c>
    </row>
    <row r="7" spans="1:19" ht="14.45" x14ac:dyDescent="0.35">
      <c r="F7" s="85">
        <v>0.58366802894586534</v>
      </c>
      <c r="G7" s="86">
        <v>-0.59096184084798287</v>
      </c>
      <c r="H7" s="86">
        <v>2.3758007652087902E-2</v>
      </c>
      <c r="I7" s="87">
        <v>-0.55635536460109325</v>
      </c>
    </row>
    <row r="8" spans="1:19" ht="14.45" x14ac:dyDescent="0.35">
      <c r="F8" s="83">
        <v>-1.8351633596196087E-11</v>
      </c>
      <c r="G8" s="37">
        <v>-5.2825877683078053E-13</v>
      </c>
      <c r="H8" s="37">
        <v>6.7821347815702092E-13</v>
      </c>
      <c r="I8" s="84">
        <v>4.8617730466736934E-15</v>
      </c>
      <c r="K8" t="s">
        <v>715</v>
      </c>
      <c r="P8" t="s">
        <v>717</v>
      </c>
    </row>
    <row r="9" spans="1:19" ht="14.45" x14ac:dyDescent="0.35">
      <c r="F9" s="85">
        <v>7.9936057773011271E-15</v>
      </c>
      <c r="G9" s="86">
        <v>0.45849323327282221</v>
      </c>
      <c r="H9" s="86">
        <v>2.4156505230108538E-2</v>
      </c>
      <c r="I9" s="87">
        <v>0.55635536460109503</v>
      </c>
    </row>
    <row r="10" spans="1:19" ht="14.45" x14ac:dyDescent="0.35">
      <c r="K10" s="149">
        <f t="array" ref="K10:N13">[1]!SVD_D(A3:D6)</f>
        <v>11.420278930615455</v>
      </c>
      <c r="L10" s="267">
        <v>0</v>
      </c>
      <c r="M10" s="267">
        <v>0</v>
      </c>
      <c r="N10" s="82">
        <v>0</v>
      </c>
      <c r="P10" s="149">
        <f t="array" ref="P10:S13">MMULT(TRANSPOSE(P3:S6),MMULT(A3:D6,P3:S6))</f>
        <v>11.389107004797104</v>
      </c>
      <c r="Q10" s="267">
        <v>-0.78553768672388058</v>
      </c>
      <c r="R10" s="267">
        <v>4.6971412204134533E-3</v>
      </c>
      <c r="S10" s="82">
        <v>-0.14632066699820007</v>
      </c>
    </row>
    <row r="11" spans="1:19" ht="14.45" x14ac:dyDescent="0.35">
      <c r="F11" t="s">
        <v>711</v>
      </c>
      <c r="K11" s="83">
        <v>0</v>
      </c>
      <c r="L11" s="37">
        <v>3.6372951221050727</v>
      </c>
      <c r="M11" s="37">
        <v>0</v>
      </c>
      <c r="N11" s="84">
        <v>0</v>
      </c>
      <c r="P11" s="83">
        <v>2.2204460492503131E-15</v>
      </c>
      <c r="Q11" s="37">
        <v>-3.5946091070016917</v>
      </c>
      <c r="R11" s="37">
        <v>2.721920400290662E-2</v>
      </c>
      <c r="S11" s="84">
        <v>-0.60062939547151228</v>
      </c>
    </row>
    <row r="12" spans="1:19" ht="14.45" x14ac:dyDescent="0.35">
      <c r="K12" s="83">
        <v>0</v>
      </c>
      <c r="L12" s="37">
        <v>0</v>
      </c>
      <c r="M12" s="37">
        <v>2.386661517423418</v>
      </c>
      <c r="N12" s="84">
        <v>0</v>
      </c>
      <c r="P12" s="83">
        <v>1.4432899320127035E-15</v>
      </c>
      <c r="Q12" s="37">
        <v>5.134781488891349E-16</v>
      </c>
      <c r="R12" s="37">
        <v>2.3867807500050038</v>
      </c>
      <c r="S12" s="84">
        <v>-1.4785935962527089E-3</v>
      </c>
    </row>
    <row r="13" spans="1:19" ht="14.45" x14ac:dyDescent="0.35">
      <c r="F13" s="270">
        <f t="array" ref="F13:I19">[1]!eVECT(A3:D6)</f>
        <v>11.389107004797104</v>
      </c>
      <c r="G13" s="271">
        <v>-3.5946091070016917</v>
      </c>
      <c r="H13" s="271">
        <v>2.3867807500050038</v>
      </c>
      <c r="I13" s="272">
        <v>0.81872135219958098</v>
      </c>
      <c r="K13" s="85">
        <v>0</v>
      </c>
      <c r="L13" s="86">
        <v>0</v>
      </c>
      <c r="M13" s="86">
        <v>0</v>
      </c>
      <c r="N13" s="87">
        <v>0.80694494415758078</v>
      </c>
      <c r="P13" s="85">
        <v>-1.7763568394002505E-15</v>
      </c>
      <c r="Q13" s="86">
        <v>8.8817841970012523E-16</v>
      </c>
      <c r="R13" s="86">
        <v>-4.8572257327350599E-16</v>
      </c>
      <c r="S13" s="87">
        <v>0.81872135219958098</v>
      </c>
    </row>
    <row r="14" spans="1:19" ht="14.45" x14ac:dyDescent="0.35">
      <c r="F14" s="149">
        <v>0.54574068015532651</v>
      </c>
      <c r="G14" s="267">
        <v>0.82078715423306015</v>
      </c>
      <c r="H14" s="267">
        <v>1.7708379866782156E-2</v>
      </c>
      <c r="I14" s="82">
        <v>0.37199089663471419</v>
      </c>
    </row>
    <row r="15" spans="1:19" ht="14.45" x14ac:dyDescent="0.35">
      <c r="F15" s="83">
        <v>0.5030990401572154</v>
      </c>
      <c r="G15" s="37">
        <v>-9.4635010334291336E-2</v>
      </c>
      <c r="H15" s="37">
        <v>-0.57767526069772968</v>
      </c>
      <c r="I15" s="84">
        <v>-0.64370988589668399</v>
      </c>
      <c r="K15" t="s">
        <v>718</v>
      </c>
    </row>
    <row r="16" spans="1:19" ht="14.45" x14ac:dyDescent="0.35">
      <c r="F16" s="83">
        <v>0.32922651442880213</v>
      </c>
      <c r="G16" s="37">
        <v>-6.486380973159081E-2</v>
      </c>
      <c r="H16" s="37">
        <v>0.81580444019890064</v>
      </c>
      <c r="I16" s="84">
        <v>-0.47636213103504949</v>
      </c>
    </row>
    <row r="17" spans="6:19" ht="14.45" x14ac:dyDescent="0.35">
      <c r="F17" s="85">
        <v>0.58366802894586578</v>
      </c>
      <c r="G17" s="86">
        <v>-0.55959391388052748</v>
      </c>
      <c r="H17" s="86">
        <v>2.0995757001402899E-2</v>
      </c>
      <c r="I17" s="87">
        <v>0.46940331883735742</v>
      </c>
      <c r="K17" s="149">
        <f t="array" ref="K17:N20">[1]!SVD_V(A3:D6)</f>
        <v>0.48715772232099236</v>
      </c>
      <c r="L17" s="267">
        <v>0.77464074343605238</v>
      </c>
      <c r="M17" s="267">
        <v>2.4326346255109998E-2</v>
      </c>
      <c r="N17" s="82">
        <v>0.40251372780284145</v>
      </c>
    </row>
    <row r="18" spans="6:19" ht="14.45" x14ac:dyDescent="0.35">
      <c r="F18" s="83">
        <v>-6.1936763387162017E-12</v>
      </c>
      <c r="G18" s="37">
        <v>2.7692860988045342E-13</v>
      </c>
      <c r="H18" s="37">
        <v>-1.4707470312305371E-13</v>
      </c>
      <c r="I18" s="84">
        <v>4.8617730466736936E-14</v>
      </c>
      <c r="K18" s="83">
        <v>0.50159945817571039</v>
      </c>
      <c r="L18" s="37">
        <v>3.6956159438346889E-2</v>
      </c>
      <c r="M18" s="37">
        <v>-0.57721241646557531</v>
      </c>
      <c r="N18" s="84">
        <v>-0.64331800232495495</v>
      </c>
    </row>
    <row r="19" spans="6:19" ht="14.45" x14ac:dyDescent="0.35">
      <c r="F19" s="85">
        <v>7.1054273576010019E-15</v>
      </c>
      <c r="G19" s="86">
        <v>1.7763568394002505E-15</v>
      </c>
      <c r="H19" s="86">
        <v>1.7763568394002505E-15</v>
      </c>
      <c r="I19" s="87">
        <v>4.9960036108132044E-16</v>
      </c>
      <c r="K19" s="83">
        <v>0.32829036698655401</v>
      </c>
      <c r="L19" s="37">
        <v>1.4940089399173642E-2</v>
      </c>
      <c r="M19" s="37">
        <v>0.81608676395703084</v>
      </c>
      <c r="N19" s="84">
        <v>-0.47539943454606759</v>
      </c>
    </row>
    <row r="20" spans="6:19" ht="14.45" x14ac:dyDescent="0.35">
      <c r="K20" s="85">
        <v>0.63505966025617688</v>
      </c>
      <c r="L20" s="86">
        <v>-0.63114400465912079</v>
      </c>
      <c r="M20" s="86">
        <v>1.5376893379013377E-2</v>
      </c>
      <c r="N20" s="87">
        <v>0.44510675623738805</v>
      </c>
    </row>
    <row r="23" spans="6:19" ht="15" customHeight="1" x14ac:dyDescent="0.35">
      <c r="K23" t="s">
        <v>566</v>
      </c>
      <c r="P23" t="s">
        <v>698</v>
      </c>
    </row>
    <row r="24" spans="6:19" ht="14.45" x14ac:dyDescent="0.35">
      <c r="K24" s="149">
        <f t="array" ref="K24:N27">MMULT(K3:N6,MMULT(K10:N13,TRANSPOSE(K17:N20)))</f>
        <v>0.99999999999999289</v>
      </c>
      <c r="L24" s="267">
        <v>2.9999999999999987</v>
      </c>
      <c r="M24" s="267">
        <v>2</v>
      </c>
      <c r="N24" s="82">
        <v>6.0000000000000044</v>
      </c>
      <c r="P24" s="149">
        <f t="array" ref="P24:S27">MMULT(P3:S6,MMULT(P10:S13,TRANSPOSE(P3:S6)))</f>
        <v>0.99999999999999467</v>
      </c>
      <c r="Q24" s="267">
        <v>2.9999999999999982</v>
      </c>
      <c r="R24" s="267">
        <v>1.999999999999998</v>
      </c>
      <c r="S24" s="82">
        <v>5.9999999999999973</v>
      </c>
    </row>
    <row r="25" spans="6:19" ht="14.45" x14ac:dyDescent="0.35">
      <c r="K25" s="83">
        <v>3.0000000000000022</v>
      </c>
      <c r="L25" s="37">
        <v>3.9999999999999982</v>
      </c>
      <c r="M25" s="37">
        <v>1.0000000000000016</v>
      </c>
      <c r="N25" s="84">
        <v>2.9999999999999964</v>
      </c>
      <c r="P25" s="83">
        <v>2.9999999999999978</v>
      </c>
      <c r="Q25" s="37">
        <v>4</v>
      </c>
      <c r="R25" s="37">
        <v>0.99999999999999778</v>
      </c>
      <c r="S25" s="84">
        <v>2.9999999999999987</v>
      </c>
    </row>
    <row r="26" spans="6:19" ht="14.45" x14ac:dyDescent="0.35">
      <c r="K26" s="83">
        <v>2.0000000000000013</v>
      </c>
      <c r="L26" s="37">
        <v>1.0000000000000036</v>
      </c>
      <c r="M26" s="37">
        <v>2.9999999999999987</v>
      </c>
      <c r="N26" s="84">
        <v>2.0000000000000013</v>
      </c>
      <c r="P26" s="83">
        <v>1.999999999999998</v>
      </c>
      <c r="Q26" s="37">
        <v>0.99999999999999833</v>
      </c>
      <c r="R26" s="37">
        <v>3.0000000000000027</v>
      </c>
      <c r="S26" s="84">
        <v>1.9999999999999984</v>
      </c>
    </row>
    <row r="27" spans="6:19" ht="14.45" x14ac:dyDescent="0.35">
      <c r="K27" s="85">
        <v>5.0000000000000044</v>
      </c>
      <c r="L27" s="86">
        <v>3.0000000000000009</v>
      </c>
      <c r="M27" s="86">
        <v>1.9999999999999989</v>
      </c>
      <c r="N27" s="87">
        <v>2.9999999999999956</v>
      </c>
      <c r="P27" s="85">
        <v>4.9999999999999964</v>
      </c>
      <c r="Q27" s="86">
        <v>2.9999999999999987</v>
      </c>
      <c r="R27" s="86">
        <v>1.9999999999999984</v>
      </c>
      <c r="S27" s="87">
        <v>2.9999999999999982</v>
      </c>
    </row>
  </sheetData>
  <pageMargins left="0.7" right="0.7" top="0.75" bottom="0.75" header="0.3" footer="0.3"/>
  <pageSetup paperSize="9"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/>
  <dimension ref="A1:F22"/>
  <sheetViews>
    <sheetView workbookViewId="0"/>
  </sheetViews>
  <sheetFormatPr defaultRowHeight="15" x14ac:dyDescent="0.25"/>
  <cols>
    <col min="1" max="1" width="6.7109375" customWidth="1"/>
    <col min="5" max="5" width="5.28515625" customWidth="1"/>
  </cols>
  <sheetData>
    <row r="1" spans="1:6" ht="14.45" x14ac:dyDescent="0.35">
      <c r="A1" s="42" t="s">
        <v>475</v>
      </c>
    </row>
    <row r="2" spans="1:6" ht="14.45" x14ac:dyDescent="0.35">
      <c r="A2" s="42"/>
    </row>
    <row r="3" spans="1:6" ht="14.45" x14ac:dyDescent="0.35">
      <c r="A3" s="46" t="s">
        <v>479</v>
      </c>
    </row>
    <row r="4" spans="1:6" ht="14.45" x14ac:dyDescent="0.35">
      <c r="A4" s="42"/>
    </row>
    <row r="5" spans="1:6" ht="14.45" x14ac:dyDescent="0.35">
      <c r="B5" s="47" t="s">
        <v>480</v>
      </c>
      <c r="C5" s="47" t="s">
        <v>278</v>
      </c>
      <c r="D5" s="47" t="s">
        <v>481</v>
      </c>
    </row>
    <row r="6" spans="1:6" ht="14.45" x14ac:dyDescent="0.35">
      <c r="A6" s="47" t="s">
        <v>480</v>
      </c>
      <c r="B6" s="156">
        <v>1</v>
      </c>
      <c r="C6" s="157">
        <v>-0.112</v>
      </c>
      <c r="D6" s="158">
        <v>0.56399999999999995</v>
      </c>
    </row>
    <row r="7" spans="1:6" ht="14.45" x14ac:dyDescent="0.35">
      <c r="A7" s="47" t="s">
        <v>278</v>
      </c>
      <c r="B7" s="123">
        <f>C6</f>
        <v>-0.112</v>
      </c>
      <c r="C7" s="37">
        <v>1</v>
      </c>
      <c r="D7" s="90">
        <v>-0.38100000000000001</v>
      </c>
    </row>
    <row r="8" spans="1:6" ht="14.45" x14ac:dyDescent="0.35">
      <c r="A8" s="47" t="s">
        <v>481</v>
      </c>
      <c r="B8" s="91">
        <f>D6</f>
        <v>0.56399999999999995</v>
      </c>
      <c r="C8" s="92">
        <f>D7</f>
        <v>-0.38100000000000001</v>
      </c>
      <c r="D8" s="93">
        <v>1</v>
      </c>
    </row>
    <row r="9" spans="1:6" ht="14.45" x14ac:dyDescent="0.35">
      <c r="A9" s="47"/>
      <c r="B9" s="37"/>
      <c r="C9" s="37"/>
      <c r="D9" s="37"/>
    </row>
    <row r="10" spans="1:6" ht="16.5" x14ac:dyDescent="0.35">
      <c r="A10" s="70" t="s">
        <v>482</v>
      </c>
      <c r="B10" s="37"/>
      <c r="C10" s="37"/>
      <c r="D10" s="37"/>
    </row>
    <row r="11" spans="1:6" ht="14.45" x14ac:dyDescent="0.35">
      <c r="A11" s="47"/>
      <c r="B11" s="37"/>
      <c r="C11" s="37"/>
      <c r="D11" s="37"/>
    </row>
    <row r="12" spans="1:6" ht="14.45" x14ac:dyDescent="0.35">
      <c r="B12" s="47" t="s">
        <v>480</v>
      </c>
      <c r="C12" s="47" t="s">
        <v>278</v>
      </c>
      <c r="D12" s="47" t="s">
        <v>481</v>
      </c>
      <c r="F12" s="47" t="s">
        <v>483</v>
      </c>
    </row>
    <row r="13" spans="1:6" ht="14.45" x14ac:dyDescent="0.35">
      <c r="A13" s="47" t="s">
        <v>480</v>
      </c>
      <c r="B13" s="156">
        <f t="array" ref="B13:D15">MINVERSE(B6:D8)</f>
        <v>1.4936042061218426</v>
      </c>
      <c r="C13" s="157">
        <v>-0.17976247590790731</v>
      </c>
      <c r="D13" s="158">
        <v>-0.91088227557363177</v>
      </c>
      <c r="F13" s="172">
        <f t="array" ref="F13:F15">SQRT([1]!DIAG(B13:D15))</f>
        <v>1.222131010212016</v>
      </c>
    </row>
    <row r="14" spans="1:6" ht="14.45" x14ac:dyDescent="0.35">
      <c r="A14" s="47" t="s">
        <v>278</v>
      </c>
      <c r="B14" s="123">
        <v>-0.17976247590790739</v>
      </c>
      <c r="C14" s="37">
        <v>1.1914462051582921</v>
      </c>
      <c r="D14" s="90">
        <v>0.55532704057736892</v>
      </c>
      <c r="F14" s="173">
        <v>1.0915338772380325</v>
      </c>
    </row>
    <row r="15" spans="1:6" ht="14.45" x14ac:dyDescent="0.35">
      <c r="A15" s="47" t="s">
        <v>481</v>
      </c>
      <c r="B15" s="91">
        <v>-0.91088227557363199</v>
      </c>
      <c r="C15" s="92">
        <v>0.55532704057736892</v>
      </c>
      <c r="D15" s="93">
        <v>1.7253172058835058</v>
      </c>
      <c r="F15" s="174">
        <v>1.3135133063214495</v>
      </c>
    </row>
    <row r="16" spans="1:6" ht="14.45" x14ac:dyDescent="0.35">
      <c r="A16" s="47"/>
      <c r="B16" s="37"/>
      <c r="C16" s="37"/>
      <c r="D16" s="37"/>
      <c r="F16" s="37"/>
    </row>
    <row r="17" spans="1:6" ht="14.45" x14ac:dyDescent="0.35">
      <c r="A17" s="70" t="s">
        <v>475</v>
      </c>
      <c r="B17" s="37"/>
      <c r="C17" s="37"/>
      <c r="D17" s="37"/>
      <c r="F17" s="37"/>
    </row>
    <row r="18" spans="1:6" ht="14.45" x14ac:dyDescent="0.35">
      <c r="B18" s="37"/>
      <c r="C18" s="37"/>
      <c r="D18" s="37"/>
      <c r="F18" s="37"/>
    </row>
    <row r="19" spans="1:6" ht="14.45" x14ac:dyDescent="0.35">
      <c r="B19" s="47" t="s">
        <v>480</v>
      </c>
      <c r="C19" s="47" t="s">
        <v>278</v>
      </c>
      <c r="D19" s="47" t="s">
        <v>481</v>
      </c>
    </row>
    <row r="20" spans="1:6" ht="14.45" x14ac:dyDescent="0.35">
      <c r="A20" s="47" t="s">
        <v>480</v>
      </c>
      <c r="B20" s="156">
        <f t="array" ref="B20:D22">-B13:D15/MMULT(F13:F15,TRANSPOSE(F13:F15))+2*[1]!IDENTITY()</f>
        <v>1</v>
      </c>
      <c r="C20" s="157">
        <v>0.13475474232448609</v>
      </c>
      <c r="D20" s="158">
        <v>0.56742701787483341</v>
      </c>
    </row>
    <row r="21" spans="1:6" ht="14.45" x14ac:dyDescent="0.35">
      <c r="A21" s="47" t="s">
        <v>278</v>
      </c>
      <c r="B21" s="123">
        <v>0.13475474232448614</v>
      </c>
      <c r="C21" s="37">
        <v>1.0000000000000002</v>
      </c>
      <c r="D21" s="90">
        <v>-0.38732642313002269</v>
      </c>
    </row>
    <row r="22" spans="1:6" ht="14.45" x14ac:dyDescent="0.35">
      <c r="A22" s="47" t="s">
        <v>481</v>
      </c>
      <c r="B22" s="91">
        <v>0.56742701787483363</v>
      </c>
      <c r="C22" s="92">
        <v>-0.38732642313002269</v>
      </c>
      <c r="D22" s="93">
        <v>1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K16"/>
  <sheetViews>
    <sheetView workbookViewId="0"/>
  </sheetViews>
  <sheetFormatPr defaultRowHeight="15" x14ac:dyDescent="0.25"/>
  <sheetData>
    <row r="1" spans="1:11" ht="14.45" x14ac:dyDescent="0.35">
      <c r="A1" s="42" t="s">
        <v>484</v>
      </c>
    </row>
    <row r="2" spans="1:11" ht="14.45" x14ac:dyDescent="0.35">
      <c r="A2" s="42"/>
    </row>
    <row r="3" spans="1:11" ht="16.5" x14ac:dyDescent="0.35">
      <c r="A3" t="s">
        <v>462</v>
      </c>
      <c r="E3" t="s">
        <v>469</v>
      </c>
      <c r="I3" t="s">
        <v>485</v>
      </c>
    </row>
    <row r="4" spans="1:11" ht="14.45" x14ac:dyDescent="0.35">
      <c r="A4" s="156">
        <v>18</v>
      </c>
      <c r="B4" s="157">
        <v>-6</v>
      </c>
      <c r="C4" s="158">
        <v>11</v>
      </c>
      <c r="E4" s="156">
        <f t="array" ref="E4:G6">A10:C12</f>
        <v>0.75417855220774155</v>
      </c>
      <c r="F4" s="157">
        <v>0.16427325367878071</v>
      </c>
      <c r="G4" s="158">
        <v>-0.63579006717282305</v>
      </c>
      <c r="I4" s="156">
        <f t="array" ref="I4:K6">MMULT(E4:G6,MMULT(E9:G11,E14:G16))</f>
        <v>3.8650839995467852</v>
      </c>
      <c r="J4" s="157">
        <v>-0.77310674317421169</v>
      </c>
      <c r="K4" s="158">
        <v>1.5695322997969845</v>
      </c>
    </row>
    <row r="5" spans="1:11" ht="14.45" x14ac:dyDescent="0.35">
      <c r="A5" s="123">
        <v>-6</v>
      </c>
      <c r="B5" s="37">
        <v>14</v>
      </c>
      <c r="C5" s="90">
        <v>-2</v>
      </c>
      <c r="E5" s="123">
        <v>-0.37733831466541329</v>
      </c>
      <c r="F5" s="37">
        <v>0.90080720846680162</v>
      </c>
      <c r="G5" s="90">
        <v>-0.21485383277873321</v>
      </c>
      <c r="I5" s="123">
        <v>-0.77310674317421169</v>
      </c>
      <c r="J5" s="37">
        <v>3.6590581183652087</v>
      </c>
      <c r="K5" s="90">
        <v>-0.11661753763513782</v>
      </c>
    </row>
    <row r="6" spans="1:11" ht="14.45" x14ac:dyDescent="0.35">
      <c r="A6" s="91">
        <v>11</v>
      </c>
      <c r="B6" s="92">
        <v>-2</v>
      </c>
      <c r="C6" s="93">
        <v>12</v>
      </c>
      <c r="E6" s="91">
        <v>0.53742953740495247</v>
      </c>
      <c r="F6" s="92">
        <v>0.40194610496935179</v>
      </c>
      <c r="G6" s="93">
        <v>0.74135606898754569</v>
      </c>
      <c r="I6" s="91">
        <v>1.5695322997969843</v>
      </c>
      <c r="J6" s="92">
        <v>-0.11661753763513805</v>
      </c>
      <c r="K6" s="93">
        <v>3.0859307687973025</v>
      </c>
    </row>
    <row r="8" spans="1:11" ht="16.5" x14ac:dyDescent="0.35">
      <c r="A8" t="s">
        <v>486</v>
      </c>
      <c r="E8" t="s">
        <v>487</v>
      </c>
      <c r="I8" t="s">
        <v>787</v>
      </c>
    </row>
    <row r="9" spans="1:11" ht="14.45" x14ac:dyDescent="0.35">
      <c r="A9" s="160">
        <f t="array" ref="A9:C12">[1]!eVECTORS(A4:C6)</f>
        <v>28.840608998377995</v>
      </c>
      <c r="B9" s="161">
        <v>12.013413175215032</v>
      </c>
      <c r="C9" s="162">
        <v>3.1459778264068525</v>
      </c>
      <c r="E9" s="156">
        <f t="array" ref="E9:G11">SQRT([1]!DIAGONAL(A9:C9))</f>
        <v>5.3703453332516702</v>
      </c>
      <c r="F9" s="157">
        <v>0</v>
      </c>
      <c r="G9" s="158">
        <v>0</v>
      </c>
      <c r="I9" s="156">
        <f t="array" ref="I9:K11">[1]!MSQRT(A4:C6)</f>
        <v>3.8650839995467901</v>
      </c>
      <c r="J9" s="157">
        <v>-0.77310674317421701</v>
      </c>
      <c r="K9" s="158">
        <v>1.5695322997969916</v>
      </c>
    </row>
    <row r="10" spans="1:11" ht="14.45" x14ac:dyDescent="0.35">
      <c r="A10" s="123">
        <v>0.75417855220774155</v>
      </c>
      <c r="B10" s="37">
        <v>0.16427325367878071</v>
      </c>
      <c r="C10" s="90">
        <v>-0.63579006717282305</v>
      </c>
      <c r="E10" s="123">
        <v>0</v>
      </c>
      <c r="F10" s="37">
        <v>3.466037099515098</v>
      </c>
      <c r="G10" s="90">
        <v>0</v>
      </c>
      <c r="I10" s="123">
        <v>-0.77310674317421746</v>
      </c>
      <c r="J10" s="37">
        <v>3.6590581183652215</v>
      </c>
      <c r="K10" s="90">
        <v>-0.11661753763513844</v>
      </c>
    </row>
    <row r="11" spans="1:11" ht="14.45" x14ac:dyDescent="0.35">
      <c r="A11" s="123">
        <v>-0.37733831466541329</v>
      </c>
      <c r="B11" s="37">
        <v>0.90080720846680162</v>
      </c>
      <c r="C11" s="90">
        <v>-0.21485383277873321</v>
      </c>
      <c r="E11" s="91">
        <v>0</v>
      </c>
      <c r="F11" s="92">
        <v>0</v>
      </c>
      <c r="G11" s="93">
        <v>1.7736904539425284</v>
      </c>
      <c r="I11" s="91">
        <v>1.5695322997969918</v>
      </c>
      <c r="J11" s="92">
        <v>-0.11661753763513821</v>
      </c>
      <c r="K11" s="93">
        <v>3.0859307687973034</v>
      </c>
    </row>
    <row r="12" spans="1:11" ht="14.45" x14ac:dyDescent="0.35">
      <c r="A12" s="91">
        <v>0.53742953740495247</v>
      </c>
      <c r="B12" s="92">
        <v>0.40194610496935179</v>
      </c>
      <c r="C12" s="93">
        <v>0.74135606898754569</v>
      </c>
    </row>
    <row r="13" spans="1:11" ht="16.5" x14ac:dyDescent="0.35">
      <c r="E13" t="s">
        <v>488</v>
      </c>
      <c r="I13" t="s">
        <v>489</v>
      </c>
    </row>
    <row r="14" spans="1:11" ht="14.45" x14ac:dyDescent="0.35">
      <c r="E14" s="156">
        <f t="array" ref="E14:G16">TRANSPOSE(E4:G6)</f>
        <v>0.75417855220774155</v>
      </c>
      <c r="F14" s="157">
        <v>-0.37733831466541329</v>
      </c>
      <c r="G14" s="158">
        <v>0.53742953740495247</v>
      </c>
      <c r="I14" s="156">
        <f t="array" ref="I14:K16">MMULT(E4:G6,MMULT([1]!DIAGONAL(A9:C9),E14:G16))</f>
        <v>18.000000000000007</v>
      </c>
      <c r="J14" s="157">
        <v>-5.9999999999999947</v>
      </c>
      <c r="K14" s="158">
        <v>10.999999999999986</v>
      </c>
    </row>
    <row r="15" spans="1:11" ht="14.45" x14ac:dyDescent="0.35">
      <c r="E15" s="123">
        <v>0.16427325367878071</v>
      </c>
      <c r="F15" s="37">
        <v>0.90080720846680162</v>
      </c>
      <c r="G15" s="90">
        <v>0.40194610496935179</v>
      </c>
      <c r="I15" s="123">
        <v>-5.9999999999999947</v>
      </c>
      <c r="J15" s="37">
        <v>13.999999999999886</v>
      </c>
      <c r="K15" s="90">
        <v>-2.0000000000000289</v>
      </c>
    </row>
    <row r="16" spans="1:11" ht="14.45" x14ac:dyDescent="0.35">
      <c r="E16" s="91">
        <v>-0.63579006717282305</v>
      </c>
      <c r="F16" s="92">
        <v>-0.21485383277873321</v>
      </c>
      <c r="G16" s="93">
        <v>0.74135606898754569</v>
      </c>
      <c r="I16" s="91">
        <v>10.999999999999986</v>
      </c>
      <c r="J16" s="92">
        <v>-2.0000000000000302</v>
      </c>
      <c r="K16" s="93">
        <v>11.999999999999993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W193"/>
  <sheetViews>
    <sheetView zoomScaleNormal="100" workbookViewId="0"/>
  </sheetViews>
  <sheetFormatPr defaultRowHeight="15" x14ac:dyDescent="0.25"/>
  <cols>
    <col min="12" max="12" width="9.42578125" customWidth="1"/>
  </cols>
  <sheetData>
    <row r="1" spans="1:21" ht="14.45" x14ac:dyDescent="0.35">
      <c r="A1" s="42" t="s">
        <v>516</v>
      </c>
      <c r="L1" t="s">
        <v>495</v>
      </c>
    </row>
    <row r="3" spans="1:21" ht="14.45" x14ac:dyDescent="0.35">
      <c r="A3" s="47"/>
      <c r="B3" s="47" t="s">
        <v>371</v>
      </c>
      <c r="C3" s="47" t="s">
        <v>372</v>
      </c>
      <c r="D3" s="47" t="s">
        <v>373</v>
      </c>
      <c r="E3" s="47" t="s">
        <v>374</v>
      </c>
      <c r="F3" s="47" t="s">
        <v>375</v>
      </c>
      <c r="G3" s="47" t="s">
        <v>376</v>
      </c>
      <c r="H3" s="47" t="s">
        <v>377</v>
      </c>
      <c r="I3" s="47" t="s">
        <v>378</v>
      </c>
      <c r="J3" s="47" t="s">
        <v>379</v>
      </c>
      <c r="L3" t="s">
        <v>496</v>
      </c>
    </row>
    <row r="4" spans="1:21" ht="14.45" x14ac:dyDescent="0.35">
      <c r="A4">
        <v>1</v>
      </c>
      <c r="B4" s="156">
        <v>2</v>
      </c>
      <c r="C4" s="157">
        <v>8</v>
      </c>
      <c r="D4" s="157">
        <v>1</v>
      </c>
      <c r="E4" s="157">
        <v>4</v>
      </c>
      <c r="F4" s="157">
        <v>7</v>
      </c>
      <c r="G4" s="157">
        <v>5</v>
      </c>
      <c r="H4" s="157">
        <v>4</v>
      </c>
      <c r="I4" s="157">
        <v>4</v>
      </c>
      <c r="J4" s="158">
        <v>8</v>
      </c>
    </row>
    <row r="5" spans="1:21" ht="14.45" x14ac:dyDescent="0.35">
      <c r="A5">
        <v>2</v>
      </c>
      <c r="B5" s="123">
        <v>4</v>
      </c>
      <c r="C5" s="37">
        <v>8</v>
      </c>
      <c r="D5" s="37">
        <v>5</v>
      </c>
      <c r="E5" s="37">
        <v>3</v>
      </c>
      <c r="F5" s="37">
        <v>7</v>
      </c>
      <c r="G5" s="37">
        <v>7</v>
      </c>
      <c r="H5" s="37">
        <v>7</v>
      </c>
      <c r="I5" s="37">
        <v>6</v>
      </c>
      <c r="J5" s="90">
        <v>6</v>
      </c>
      <c r="M5" t="str">
        <f t="array" ref="M5:U5">B3:J3</f>
        <v>Expect</v>
      </c>
      <c r="N5" t="str">
        <v>Entertain</v>
      </c>
      <c r="O5" t="str">
        <v>Comm</v>
      </c>
      <c r="P5" t="str">
        <v>Expert</v>
      </c>
      <c r="Q5" t="str">
        <v>Motivate</v>
      </c>
      <c r="R5" t="str">
        <v>Caring</v>
      </c>
      <c r="S5" t="str">
        <v>Charisma</v>
      </c>
      <c r="T5" t="str">
        <v>Passion</v>
      </c>
      <c r="U5" t="str">
        <v>Friendly</v>
      </c>
    </row>
    <row r="6" spans="1:21" ht="14.45" x14ac:dyDescent="0.35">
      <c r="A6">
        <v>3</v>
      </c>
      <c r="B6" s="123">
        <v>2</v>
      </c>
      <c r="C6" s="37">
        <v>8</v>
      </c>
      <c r="D6" s="37">
        <v>2</v>
      </c>
      <c r="E6" s="37">
        <v>3</v>
      </c>
      <c r="F6" s="37">
        <v>6</v>
      </c>
      <c r="G6" s="37">
        <v>7</v>
      </c>
      <c r="H6" s="37">
        <v>1</v>
      </c>
      <c r="I6" s="37">
        <v>3</v>
      </c>
      <c r="J6" s="90">
        <v>7</v>
      </c>
      <c r="L6" t="s">
        <v>34</v>
      </c>
      <c r="M6" s="203">
        <f>AVERAGE(B4:B123)</f>
        <v>3.7083333333333335</v>
      </c>
      <c r="N6" s="204">
        <f t="shared" ref="N6:U6" si="0">AVERAGE(C4:C123)</f>
        <v>8.1666666666666661</v>
      </c>
      <c r="O6" s="204">
        <f t="shared" si="0"/>
        <v>3.45</v>
      </c>
      <c r="P6" s="204">
        <f t="shared" si="0"/>
        <v>3.3833333333333333</v>
      </c>
      <c r="Q6" s="204">
        <f t="shared" si="0"/>
        <v>6.708333333333333</v>
      </c>
      <c r="R6" s="204">
        <f t="shared" si="0"/>
        <v>6.0083333333333337</v>
      </c>
      <c r="S6" s="204">
        <f t="shared" si="0"/>
        <v>4.8416666666666668</v>
      </c>
      <c r="T6" s="204">
        <f t="shared" si="0"/>
        <v>4.7249999999999996</v>
      </c>
      <c r="U6" s="205">
        <f t="shared" si="0"/>
        <v>7.3</v>
      </c>
    </row>
    <row r="7" spans="1:21" ht="14.45" x14ac:dyDescent="0.35">
      <c r="A7">
        <v>4</v>
      </c>
      <c r="B7" s="123">
        <v>4</v>
      </c>
      <c r="C7" s="37">
        <v>8</v>
      </c>
      <c r="D7" s="37">
        <v>4</v>
      </c>
      <c r="E7" s="37">
        <v>2</v>
      </c>
      <c r="F7" s="37">
        <v>8</v>
      </c>
      <c r="G7" s="37">
        <v>7</v>
      </c>
      <c r="H7" s="37">
        <v>7</v>
      </c>
      <c r="I7" s="37">
        <v>5</v>
      </c>
      <c r="J7" s="90">
        <v>7</v>
      </c>
      <c r="L7" t="s">
        <v>497</v>
      </c>
      <c r="M7" s="83">
        <f>STDEV(B4:B123)</f>
        <v>1.2662114027786242</v>
      </c>
      <c r="N7" s="37">
        <f t="shared" ref="N7:U7" si="1">STDEV(C4:C123)</f>
        <v>0.57002629061192933</v>
      </c>
      <c r="O7" s="37">
        <f t="shared" si="1"/>
        <v>1.6492932023224043</v>
      </c>
      <c r="P7" s="37">
        <f t="shared" si="1"/>
        <v>1.0140469991704575</v>
      </c>
      <c r="Q7" s="37">
        <f t="shared" si="1"/>
        <v>0.95614626824273719</v>
      </c>
      <c r="R7" s="37">
        <f t="shared" si="1"/>
        <v>1.3688972027952755</v>
      </c>
      <c r="S7" s="37">
        <f t="shared" si="1"/>
        <v>2.5895583262266895</v>
      </c>
      <c r="T7" s="37">
        <f t="shared" si="1"/>
        <v>0.95233018071950515</v>
      </c>
      <c r="U7" s="84">
        <f t="shared" si="1"/>
        <v>0.58840333734179207</v>
      </c>
    </row>
    <row r="8" spans="1:21" ht="14.45" x14ac:dyDescent="0.35">
      <c r="A8">
        <v>5</v>
      </c>
      <c r="B8" s="123">
        <v>3</v>
      </c>
      <c r="C8" s="37">
        <v>8</v>
      </c>
      <c r="D8" s="37">
        <v>5</v>
      </c>
      <c r="E8" s="37">
        <v>4</v>
      </c>
      <c r="F8" s="37">
        <v>8</v>
      </c>
      <c r="G8" s="37">
        <v>8</v>
      </c>
      <c r="H8" s="37">
        <v>7</v>
      </c>
      <c r="I8" s="37">
        <v>6</v>
      </c>
      <c r="J8" s="90">
        <v>7</v>
      </c>
      <c r="L8" t="s">
        <v>268</v>
      </c>
      <c r="M8" s="83">
        <f>SKEW(B4:B123)</f>
        <v>0.13857831473517168</v>
      </c>
      <c r="N8" s="37">
        <f t="shared" ref="N8:U8" si="2">SKEW(C4:C123)</f>
        <v>0.55879383518869019</v>
      </c>
      <c r="O8" s="37">
        <f t="shared" si="2"/>
        <v>0.60968237468969244</v>
      </c>
      <c r="P8" s="37">
        <f t="shared" si="2"/>
        <v>0.25011903407769448</v>
      </c>
      <c r="Q8" s="37">
        <f t="shared" si="2"/>
        <v>3.0992568092345463E-2</v>
      </c>
      <c r="R8" s="37">
        <f t="shared" si="2"/>
        <v>-0.23512012357640227</v>
      </c>
      <c r="S8" s="37">
        <f t="shared" si="2"/>
        <v>4.7501040439116834E-2</v>
      </c>
      <c r="T8" s="37">
        <f t="shared" si="2"/>
        <v>-7.3874092896665661E-2</v>
      </c>
      <c r="U8" s="84">
        <f t="shared" si="2"/>
        <v>0.32217223907072601</v>
      </c>
    </row>
    <row r="9" spans="1:21" ht="14.45" x14ac:dyDescent="0.35">
      <c r="A9">
        <v>6</v>
      </c>
      <c r="B9" s="123">
        <v>4</v>
      </c>
      <c r="C9" s="37">
        <v>7</v>
      </c>
      <c r="D9" s="37">
        <v>3</v>
      </c>
      <c r="E9" s="37">
        <v>3</v>
      </c>
      <c r="F9" s="37">
        <v>6</v>
      </c>
      <c r="G9" s="37">
        <v>6</v>
      </c>
      <c r="H9" s="37">
        <v>1</v>
      </c>
      <c r="I9" s="37">
        <v>4</v>
      </c>
      <c r="J9" s="90">
        <v>7</v>
      </c>
      <c r="L9" t="s">
        <v>267</v>
      </c>
      <c r="M9" s="85">
        <f>KURT(B4:B123)</f>
        <v>-7.5087531931202989E-2</v>
      </c>
      <c r="N9" s="86">
        <f t="shared" ref="N9:U9" si="3">KURT(C4:C123)</f>
        <v>1.2245729768528379</v>
      </c>
      <c r="O9" s="86">
        <f t="shared" si="3"/>
        <v>-0.37097323594953835</v>
      </c>
      <c r="P9" s="86">
        <f t="shared" si="3"/>
        <v>0.79048099823017459</v>
      </c>
      <c r="Q9" s="86">
        <f t="shared" si="3"/>
        <v>-9.1985537444213339E-2</v>
      </c>
      <c r="R9" s="86">
        <f t="shared" si="3"/>
        <v>-0.42617618904263521</v>
      </c>
      <c r="S9" s="86">
        <f t="shared" si="3"/>
        <v>-0.92188768731537785</v>
      </c>
      <c r="T9" s="86">
        <f t="shared" si="3"/>
        <v>-0.24984145123189316</v>
      </c>
      <c r="U9" s="87">
        <f t="shared" si="3"/>
        <v>0.13488543363239947</v>
      </c>
    </row>
    <row r="10" spans="1:21" ht="14.45" x14ac:dyDescent="0.35">
      <c r="A10">
        <v>7</v>
      </c>
      <c r="B10" s="123">
        <v>4</v>
      </c>
      <c r="C10" s="37">
        <v>8</v>
      </c>
      <c r="D10" s="37">
        <v>4</v>
      </c>
      <c r="E10" s="37">
        <v>2</v>
      </c>
      <c r="F10" s="37">
        <v>6</v>
      </c>
      <c r="G10" s="37">
        <v>4</v>
      </c>
      <c r="H10" s="37">
        <v>5</v>
      </c>
      <c r="I10" s="37">
        <v>4</v>
      </c>
      <c r="J10" s="90">
        <v>7</v>
      </c>
    </row>
    <row r="11" spans="1:21" ht="14.45" x14ac:dyDescent="0.35">
      <c r="A11">
        <v>8</v>
      </c>
      <c r="B11" s="123">
        <v>4</v>
      </c>
      <c r="C11" s="37">
        <v>8</v>
      </c>
      <c r="D11" s="37">
        <v>3</v>
      </c>
      <c r="E11" s="37">
        <v>3</v>
      </c>
      <c r="F11" s="37">
        <v>7</v>
      </c>
      <c r="G11" s="37">
        <v>5</v>
      </c>
      <c r="H11" s="37">
        <v>4</v>
      </c>
      <c r="I11" s="37">
        <v>4</v>
      </c>
      <c r="J11" s="90">
        <v>7</v>
      </c>
      <c r="L11" t="s">
        <v>39</v>
      </c>
    </row>
    <row r="12" spans="1:21" ht="14.45" x14ac:dyDescent="0.35">
      <c r="A12">
        <v>9</v>
      </c>
      <c r="B12" s="123">
        <v>2</v>
      </c>
      <c r="C12" s="37">
        <v>8</v>
      </c>
      <c r="D12" s="37">
        <v>2</v>
      </c>
      <c r="E12" s="37">
        <v>2</v>
      </c>
      <c r="F12" s="37">
        <v>7</v>
      </c>
      <c r="G12" s="37">
        <v>6</v>
      </c>
      <c r="H12" s="37">
        <v>1</v>
      </c>
      <c r="I12" s="37">
        <v>4</v>
      </c>
      <c r="J12" s="90">
        <v>7</v>
      </c>
    </row>
    <row r="13" spans="1:21" ht="14.45" x14ac:dyDescent="0.35">
      <c r="A13">
        <v>10</v>
      </c>
      <c r="B13" s="123">
        <v>4</v>
      </c>
      <c r="C13" s="37">
        <v>8</v>
      </c>
      <c r="D13" s="37">
        <v>3</v>
      </c>
      <c r="E13" s="37">
        <v>4</v>
      </c>
      <c r="F13" s="37">
        <v>8</v>
      </c>
      <c r="G13" s="37">
        <v>7</v>
      </c>
      <c r="H13" s="37">
        <v>4</v>
      </c>
      <c r="I13" s="37">
        <v>4</v>
      </c>
      <c r="J13" s="90">
        <v>8</v>
      </c>
      <c r="M13" t="str">
        <f t="array" ref="M13:U13">B3:J3</f>
        <v>Expect</v>
      </c>
      <c r="N13" t="str">
        <v>Entertain</v>
      </c>
      <c r="O13" t="str">
        <v>Comm</v>
      </c>
      <c r="P13" t="str">
        <v>Expert</v>
      </c>
      <c r="Q13" t="str">
        <v>Motivate</v>
      </c>
      <c r="R13" t="str">
        <v>Caring</v>
      </c>
      <c r="S13" t="str">
        <v>Charisma</v>
      </c>
      <c r="T13" t="str">
        <v>Passion</v>
      </c>
      <c r="U13" t="str">
        <v>Friendly</v>
      </c>
    </row>
    <row r="14" spans="1:21" ht="14.45" x14ac:dyDescent="0.35">
      <c r="A14">
        <v>11</v>
      </c>
      <c r="B14" s="123">
        <v>3</v>
      </c>
      <c r="C14" s="37">
        <v>10</v>
      </c>
      <c r="D14" s="37">
        <v>5</v>
      </c>
      <c r="E14" s="37">
        <v>4</v>
      </c>
      <c r="F14" s="37">
        <v>7</v>
      </c>
      <c r="G14" s="37">
        <v>8</v>
      </c>
      <c r="H14" s="37">
        <v>7</v>
      </c>
      <c r="I14" s="37">
        <v>6</v>
      </c>
      <c r="J14" s="90">
        <v>8</v>
      </c>
      <c r="L14" t="str">
        <f t="array" ref="L14:L22">TRANSPOSE(B3:J3)</f>
        <v>Expect</v>
      </c>
      <c r="M14" s="203">
        <f t="array" ref="M14:U22">[1]!CORR(B4:J123)</f>
        <v>0.99999999999999833</v>
      </c>
      <c r="N14" s="204">
        <v>-0.17658022821634106</v>
      </c>
      <c r="O14" s="204">
        <v>7.9472348910152368E-2</v>
      </c>
      <c r="P14" s="204">
        <v>0.12053127811168438</v>
      </c>
      <c r="Q14" s="204">
        <v>-0.1472071906836242</v>
      </c>
      <c r="R14" s="204">
        <v>-0.1052452402704131</v>
      </c>
      <c r="S14" s="204">
        <v>-2.189090621599556E-2</v>
      </c>
      <c r="T14" s="204">
        <v>-0.12979427946395597</v>
      </c>
      <c r="U14" s="205">
        <v>-0.34401036690229408</v>
      </c>
    </row>
    <row r="15" spans="1:21" ht="14.45" x14ac:dyDescent="0.35">
      <c r="A15">
        <v>12</v>
      </c>
      <c r="B15" s="123">
        <v>1</v>
      </c>
      <c r="C15" s="37">
        <v>9</v>
      </c>
      <c r="D15" s="37">
        <v>2</v>
      </c>
      <c r="E15" s="37">
        <v>5</v>
      </c>
      <c r="F15" s="37">
        <v>9</v>
      </c>
      <c r="G15" s="37">
        <v>7</v>
      </c>
      <c r="H15" s="37">
        <v>5</v>
      </c>
      <c r="I15" s="37">
        <v>6</v>
      </c>
      <c r="J15" s="90">
        <v>9</v>
      </c>
      <c r="L15" t="str">
        <v>Entertain</v>
      </c>
      <c r="M15" s="83">
        <v>-0.17658022821634106</v>
      </c>
      <c r="N15" s="37">
        <v>1.0000000000000011</v>
      </c>
      <c r="O15" s="37">
        <v>0.44692051174421527</v>
      </c>
      <c r="P15" s="37">
        <v>4.8459487091569518E-2</v>
      </c>
      <c r="Q15" s="37">
        <v>0.24412158026310946</v>
      </c>
      <c r="R15" s="37">
        <v>0.11666737388326598</v>
      </c>
      <c r="S15" s="37">
        <v>0.45068677465590851</v>
      </c>
      <c r="T15" s="37">
        <v>0.37925969237500351</v>
      </c>
      <c r="U15" s="84">
        <v>0.40086949354334672</v>
      </c>
    </row>
    <row r="16" spans="1:21" ht="14.45" x14ac:dyDescent="0.35">
      <c r="A16">
        <v>13</v>
      </c>
      <c r="B16" s="123">
        <v>5</v>
      </c>
      <c r="C16" s="37">
        <v>7</v>
      </c>
      <c r="D16" s="37">
        <v>2</v>
      </c>
      <c r="E16" s="37">
        <v>3</v>
      </c>
      <c r="F16" s="37">
        <v>6</v>
      </c>
      <c r="G16" s="37">
        <v>4</v>
      </c>
      <c r="H16" s="37">
        <v>2</v>
      </c>
      <c r="I16" s="37">
        <v>3</v>
      </c>
      <c r="J16" s="90">
        <v>6</v>
      </c>
      <c r="L16" t="str">
        <v>Comm</v>
      </c>
      <c r="M16" s="83">
        <v>7.9472348910152368E-2</v>
      </c>
      <c r="N16" s="37">
        <v>0.44692051174421527</v>
      </c>
      <c r="O16" s="37">
        <v>1.0000000000000007</v>
      </c>
      <c r="P16" s="37">
        <v>0.15224383453637197</v>
      </c>
      <c r="Q16" s="37">
        <v>0.28642393294527835</v>
      </c>
      <c r="R16" s="37">
        <v>0.10626504883200415</v>
      </c>
      <c r="S16" s="37">
        <v>0.74875752234637871</v>
      </c>
      <c r="T16" s="37">
        <v>0.3683592382753193</v>
      </c>
      <c r="U16" s="84">
        <v>6.9273962356187456E-3</v>
      </c>
    </row>
    <row r="17" spans="1:23" ht="14.45" x14ac:dyDescent="0.35">
      <c r="A17">
        <v>14</v>
      </c>
      <c r="B17" s="123">
        <v>3</v>
      </c>
      <c r="C17" s="37">
        <v>7</v>
      </c>
      <c r="D17" s="37">
        <v>3</v>
      </c>
      <c r="E17" s="37">
        <v>4</v>
      </c>
      <c r="F17" s="37">
        <v>6</v>
      </c>
      <c r="G17" s="37">
        <v>7</v>
      </c>
      <c r="H17" s="37">
        <v>1</v>
      </c>
      <c r="I17" s="37">
        <v>3</v>
      </c>
      <c r="J17" s="90">
        <v>7</v>
      </c>
      <c r="L17" t="str">
        <v>Expert</v>
      </c>
      <c r="M17" s="83">
        <v>0.12053127811168438</v>
      </c>
      <c r="N17" s="37">
        <v>4.8459487091569518E-2</v>
      </c>
      <c r="O17" s="37">
        <v>0.15224383453637197</v>
      </c>
      <c r="P17" s="37">
        <v>1.0000000000000009</v>
      </c>
      <c r="Q17" s="37">
        <v>0.19428606575437976</v>
      </c>
      <c r="R17" s="37">
        <v>4.610935721914871E-2</v>
      </c>
      <c r="S17" s="37">
        <v>0.24731764508778434</v>
      </c>
      <c r="T17" s="37">
        <v>0.25800736545459846</v>
      </c>
      <c r="U17" s="84">
        <v>0.18590615055713855</v>
      </c>
    </row>
    <row r="18" spans="1:23" ht="14.45" x14ac:dyDescent="0.35">
      <c r="A18">
        <v>15</v>
      </c>
      <c r="B18" s="123">
        <v>2</v>
      </c>
      <c r="C18" s="37">
        <v>9</v>
      </c>
      <c r="D18" s="37">
        <v>6</v>
      </c>
      <c r="E18" s="37">
        <v>4</v>
      </c>
      <c r="F18" s="37">
        <v>6</v>
      </c>
      <c r="G18" s="37">
        <v>3</v>
      </c>
      <c r="H18" s="37">
        <v>8</v>
      </c>
      <c r="I18" s="37">
        <v>5</v>
      </c>
      <c r="J18" s="90">
        <v>7</v>
      </c>
      <c r="L18" t="str">
        <v>Motivate</v>
      </c>
      <c r="M18" s="83">
        <v>-0.1472071906836242</v>
      </c>
      <c r="N18" s="37">
        <v>0.24412158026310946</v>
      </c>
      <c r="O18" s="37">
        <v>0.28642393294527835</v>
      </c>
      <c r="P18" s="37">
        <v>0.19428606575437976</v>
      </c>
      <c r="Q18" s="37">
        <v>1.0000000000000009</v>
      </c>
      <c r="R18" s="37">
        <v>0.28436745486873366</v>
      </c>
      <c r="S18" s="37">
        <v>0.34434258129116857</v>
      </c>
      <c r="T18" s="37">
        <v>0.32646573442580362</v>
      </c>
      <c r="U18" s="84">
        <v>3.7341657013804541E-2</v>
      </c>
    </row>
    <row r="19" spans="1:23" ht="14.45" x14ac:dyDescent="0.35">
      <c r="A19">
        <v>16</v>
      </c>
      <c r="B19" s="123">
        <v>7</v>
      </c>
      <c r="C19" s="37">
        <v>7</v>
      </c>
      <c r="D19" s="37">
        <v>2</v>
      </c>
      <c r="E19" s="37">
        <v>7</v>
      </c>
      <c r="F19" s="37">
        <v>6</v>
      </c>
      <c r="G19" s="37">
        <v>5</v>
      </c>
      <c r="H19" s="37">
        <v>1</v>
      </c>
      <c r="I19" s="37">
        <v>4</v>
      </c>
      <c r="J19" s="90">
        <v>7</v>
      </c>
      <c r="L19" t="str">
        <v>Caring</v>
      </c>
      <c r="M19" s="83">
        <v>-0.1052452402704131</v>
      </c>
      <c r="N19" s="37">
        <v>0.11666737388326598</v>
      </c>
      <c r="O19" s="37">
        <v>0.10626504883200415</v>
      </c>
      <c r="P19" s="37">
        <v>4.610935721914871E-2</v>
      </c>
      <c r="Q19" s="37">
        <v>0.28436745486873366</v>
      </c>
      <c r="R19" s="37">
        <v>1.0000000000000018</v>
      </c>
      <c r="S19" s="37">
        <v>0.10231072687883692</v>
      </c>
      <c r="T19" s="37">
        <v>0.19515460623774106</v>
      </c>
      <c r="U19" s="84">
        <v>-5.5294628532650346E-2</v>
      </c>
    </row>
    <row r="20" spans="1:23" ht="14.45" x14ac:dyDescent="0.35">
      <c r="A20">
        <v>17</v>
      </c>
      <c r="B20" s="123">
        <v>2</v>
      </c>
      <c r="C20" s="37">
        <v>8</v>
      </c>
      <c r="D20" s="37">
        <v>3</v>
      </c>
      <c r="E20" s="37">
        <v>2</v>
      </c>
      <c r="F20" s="37">
        <v>6</v>
      </c>
      <c r="G20" s="37">
        <v>7</v>
      </c>
      <c r="H20" s="37">
        <v>4</v>
      </c>
      <c r="I20" s="37">
        <v>5</v>
      </c>
      <c r="J20" s="90">
        <v>7</v>
      </c>
      <c r="L20" t="str">
        <v>Charisma</v>
      </c>
      <c r="M20" s="83">
        <v>-2.189090621599556E-2</v>
      </c>
      <c r="N20" s="37">
        <v>0.45068677465590851</v>
      </c>
      <c r="O20" s="37">
        <v>0.74875752234637871</v>
      </c>
      <c r="P20" s="37">
        <v>0.24731764508778434</v>
      </c>
      <c r="Q20" s="37">
        <v>0.34434258129116857</v>
      </c>
      <c r="R20" s="37">
        <v>0.10231072687883692</v>
      </c>
      <c r="S20" s="37">
        <v>1.0000000000000009</v>
      </c>
      <c r="T20" s="37">
        <v>0.43880478206893986</v>
      </c>
      <c r="U20" s="84">
        <v>0.10313209036584842</v>
      </c>
    </row>
    <row r="21" spans="1:23" ht="14.45" x14ac:dyDescent="0.35">
      <c r="A21">
        <v>18</v>
      </c>
      <c r="B21" s="123">
        <v>4</v>
      </c>
      <c r="C21" s="37">
        <v>8</v>
      </c>
      <c r="D21" s="37">
        <v>4</v>
      </c>
      <c r="E21" s="37">
        <v>2</v>
      </c>
      <c r="F21" s="37">
        <v>7</v>
      </c>
      <c r="G21" s="37">
        <v>8</v>
      </c>
      <c r="H21" s="37">
        <v>4</v>
      </c>
      <c r="I21" s="37">
        <v>5</v>
      </c>
      <c r="J21" s="90">
        <v>7</v>
      </c>
      <c r="L21" t="str">
        <v>Passion</v>
      </c>
      <c r="M21" s="83">
        <v>-0.12979427946395597</v>
      </c>
      <c r="N21" s="37">
        <v>0.37925969237500351</v>
      </c>
      <c r="O21" s="37">
        <v>0.3683592382753193</v>
      </c>
      <c r="P21" s="37">
        <v>0.25800736545459846</v>
      </c>
      <c r="Q21" s="37">
        <v>0.32646573442580362</v>
      </c>
      <c r="R21" s="37">
        <v>0.19515460623774106</v>
      </c>
      <c r="S21" s="37">
        <v>0.43880478206893986</v>
      </c>
      <c r="T21" s="37">
        <v>0.99999999999999967</v>
      </c>
      <c r="U21" s="84">
        <v>8.8479441977978163E-2</v>
      </c>
    </row>
    <row r="22" spans="1:23" ht="14.45" x14ac:dyDescent="0.35">
      <c r="A22">
        <v>19</v>
      </c>
      <c r="B22" s="123">
        <v>2</v>
      </c>
      <c r="C22" s="37">
        <v>8</v>
      </c>
      <c r="D22" s="37">
        <v>2</v>
      </c>
      <c r="E22" s="37">
        <v>3</v>
      </c>
      <c r="F22" s="37">
        <v>5</v>
      </c>
      <c r="G22" s="37">
        <v>4</v>
      </c>
      <c r="H22" s="37">
        <v>6</v>
      </c>
      <c r="I22" s="37">
        <v>4</v>
      </c>
      <c r="J22" s="90">
        <v>9</v>
      </c>
      <c r="L22" t="str">
        <v>Friendly</v>
      </c>
      <c r="M22" s="85">
        <v>-0.34401036690229408</v>
      </c>
      <c r="N22" s="86">
        <v>0.40086949354334672</v>
      </c>
      <c r="O22" s="86">
        <v>6.9273962356187456E-3</v>
      </c>
      <c r="P22" s="86">
        <v>0.18590615055713855</v>
      </c>
      <c r="Q22" s="86">
        <v>3.7341657013804541E-2</v>
      </c>
      <c r="R22" s="86">
        <v>-5.5294628532650346E-2</v>
      </c>
      <c r="S22" s="86">
        <v>0.10313209036584842</v>
      </c>
      <c r="T22" s="86">
        <v>8.8479441977978163E-2</v>
      </c>
      <c r="U22" s="87">
        <v>1.0000000000000009</v>
      </c>
    </row>
    <row r="23" spans="1:23" ht="14.45" x14ac:dyDescent="0.35">
      <c r="A23">
        <v>20</v>
      </c>
      <c r="B23" s="123">
        <v>3</v>
      </c>
      <c r="C23" s="37">
        <v>8</v>
      </c>
      <c r="D23" s="37">
        <v>6</v>
      </c>
      <c r="E23" s="37">
        <v>4</v>
      </c>
      <c r="F23" s="37">
        <v>9</v>
      </c>
      <c r="G23" s="37">
        <v>9</v>
      </c>
      <c r="H23" s="37">
        <v>8</v>
      </c>
      <c r="I23" s="37">
        <v>5</v>
      </c>
      <c r="J23" s="90">
        <v>7</v>
      </c>
      <c r="M23">
        <f>SUMSQ(M14:M22)-1</f>
        <v>0.22043963712278303</v>
      </c>
      <c r="N23">
        <f t="shared" ref="N23:U23" si="4">SUMSQ(N14:N22)-1</f>
        <v>0.81412629874662956</v>
      </c>
      <c r="O23">
        <f t="shared" si="4"/>
        <v>1.0189372576921238</v>
      </c>
      <c r="P23">
        <f t="shared" si="4"/>
        <v>0.2422223592317958</v>
      </c>
      <c r="Q23">
        <f t="shared" si="4"/>
        <v>0.50846198543078347</v>
      </c>
      <c r="R23">
        <f t="shared" si="4"/>
        <v>0.17058132065819831</v>
      </c>
      <c r="S23">
        <f t="shared" si="4"/>
        <v>1.1576267884213003</v>
      </c>
      <c r="T23">
        <f t="shared" si="4"/>
        <v>0.70798424280283645</v>
      </c>
      <c r="U23">
        <f t="shared" si="4"/>
        <v>0.3365653040325951</v>
      </c>
      <c r="V23">
        <f>SUM(M23:U23)</f>
        <v>5.1769451941390452</v>
      </c>
    </row>
    <row r="24" spans="1:23" ht="14.45" x14ac:dyDescent="0.35">
      <c r="A24">
        <v>21</v>
      </c>
      <c r="B24" s="123">
        <v>5</v>
      </c>
      <c r="C24" s="37">
        <v>9</v>
      </c>
      <c r="D24" s="37">
        <v>3</v>
      </c>
      <c r="E24" s="37">
        <v>5</v>
      </c>
      <c r="F24" s="37">
        <v>6</v>
      </c>
      <c r="G24" s="37">
        <v>3</v>
      </c>
      <c r="H24" s="37">
        <v>3</v>
      </c>
      <c r="I24" s="37">
        <v>6</v>
      </c>
      <c r="J24" s="90">
        <v>8</v>
      </c>
    </row>
    <row r="25" spans="1:23" ht="14.45" x14ac:dyDescent="0.35">
      <c r="A25">
        <v>22</v>
      </c>
      <c r="B25" s="123">
        <v>5</v>
      </c>
      <c r="C25" s="37">
        <v>8</v>
      </c>
      <c r="D25" s="37">
        <v>5</v>
      </c>
      <c r="E25" s="37">
        <v>3</v>
      </c>
      <c r="F25" s="37">
        <v>6</v>
      </c>
      <c r="G25" s="37">
        <v>4</v>
      </c>
      <c r="H25" s="37">
        <v>4</v>
      </c>
      <c r="I25" s="37">
        <v>3</v>
      </c>
      <c r="J25" s="90">
        <v>7</v>
      </c>
      <c r="L25" t="s">
        <v>498</v>
      </c>
    </row>
    <row r="26" spans="1:23" ht="14.45" x14ac:dyDescent="0.35">
      <c r="A26">
        <v>23</v>
      </c>
      <c r="B26" s="123">
        <v>4</v>
      </c>
      <c r="C26" s="37">
        <v>9</v>
      </c>
      <c r="D26" s="37">
        <v>4</v>
      </c>
      <c r="E26" s="37">
        <v>3</v>
      </c>
      <c r="F26" s="37">
        <v>7</v>
      </c>
      <c r="G26" s="37">
        <v>7</v>
      </c>
      <c r="H26" s="37">
        <v>7</v>
      </c>
      <c r="I26" s="37">
        <v>5</v>
      </c>
      <c r="J26" s="90">
        <v>7</v>
      </c>
    </row>
    <row r="27" spans="1:23" ht="14.45" x14ac:dyDescent="0.35">
      <c r="A27">
        <v>24</v>
      </c>
      <c r="B27" s="123">
        <v>4</v>
      </c>
      <c r="C27" s="37">
        <v>8</v>
      </c>
      <c r="D27" s="37">
        <v>3</v>
      </c>
      <c r="E27" s="37">
        <v>4</v>
      </c>
      <c r="F27" s="37">
        <v>6</v>
      </c>
      <c r="G27" s="37">
        <v>5</v>
      </c>
      <c r="H27" s="37">
        <v>7</v>
      </c>
      <c r="I27" s="37">
        <v>4</v>
      </c>
      <c r="J27" s="90">
        <v>8</v>
      </c>
      <c r="M27" t="str">
        <f t="array" ref="M27:U27">B3:J3</f>
        <v>Expect</v>
      </c>
      <c r="N27" t="str">
        <v>Entertain</v>
      </c>
      <c r="O27" t="str">
        <v>Comm</v>
      </c>
      <c r="P27" t="str">
        <v>Expert</v>
      </c>
      <c r="Q27" t="str">
        <v>Motivate</v>
      </c>
      <c r="R27" t="str">
        <v>Caring</v>
      </c>
      <c r="S27" t="str">
        <v>Charisma</v>
      </c>
      <c r="T27" t="str">
        <v>Passion</v>
      </c>
      <c r="U27" t="str">
        <v>Friendly</v>
      </c>
      <c r="W27" t="s">
        <v>499</v>
      </c>
    </row>
    <row r="28" spans="1:23" ht="14.45" x14ac:dyDescent="0.35">
      <c r="A28">
        <v>25</v>
      </c>
      <c r="B28" s="123">
        <v>2</v>
      </c>
      <c r="C28" s="37">
        <v>8</v>
      </c>
      <c r="D28" s="37">
        <v>2</v>
      </c>
      <c r="E28" s="37">
        <v>5</v>
      </c>
      <c r="F28" s="37">
        <v>6</v>
      </c>
      <c r="G28" s="37">
        <v>8</v>
      </c>
      <c r="H28" s="37">
        <v>4</v>
      </c>
      <c r="I28" s="37">
        <v>5</v>
      </c>
      <c r="J28" s="90">
        <v>8</v>
      </c>
      <c r="L28" t="str">
        <f t="array" ref="L28:L36">TRANSPOSE(B3:J3)</f>
        <v>Expect</v>
      </c>
      <c r="M28" s="203">
        <f t="array" ref="M28:U36">MINVERSE(M14:U22)</f>
        <v>1.286264778805037</v>
      </c>
      <c r="N28" s="204">
        <v>-2.2988566810562866E-3</v>
      </c>
      <c r="O28" s="204">
        <v>-0.26283115472222746</v>
      </c>
      <c r="P28" s="204">
        <v>-0.31554543843253663</v>
      </c>
      <c r="Q28" s="204">
        <v>0.18513144145075158</v>
      </c>
      <c r="R28" s="204">
        <v>0.1066790493085548</v>
      </c>
      <c r="S28" s="204">
        <v>0.10220522181390651</v>
      </c>
      <c r="T28" s="204">
        <v>0.17777486299581205</v>
      </c>
      <c r="U28" s="205">
        <v>0.47660813810741892</v>
      </c>
      <c r="W28" s="206">
        <f t="array" ref="W28:W36">SQRT([1]!DIAG(M28:U36))</f>
        <v>1.1341361376858763</v>
      </c>
    </row>
    <row r="29" spans="1:23" ht="14.45" x14ac:dyDescent="0.35">
      <c r="A29">
        <v>26</v>
      </c>
      <c r="B29" s="123">
        <v>4</v>
      </c>
      <c r="C29" s="37">
        <v>8</v>
      </c>
      <c r="D29" s="37">
        <v>6</v>
      </c>
      <c r="E29" s="37">
        <v>5</v>
      </c>
      <c r="F29" s="37">
        <v>8</v>
      </c>
      <c r="G29" s="37">
        <v>7</v>
      </c>
      <c r="H29" s="37">
        <v>9</v>
      </c>
      <c r="I29" s="37">
        <v>6</v>
      </c>
      <c r="J29" s="90">
        <v>7</v>
      </c>
      <c r="L29" t="str">
        <v>Entertain</v>
      </c>
      <c r="M29" s="83">
        <v>-2.2988566810562472E-3</v>
      </c>
      <c r="N29" s="37">
        <v>1.7535779957431996</v>
      </c>
      <c r="O29" s="37">
        <v>-0.48271020356459532</v>
      </c>
      <c r="P29" s="37">
        <v>0.29008922936116777</v>
      </c>
      <c r="Q29" s="37">
        <v>-0.10275190461535938</v>
      </c>
      <c r="R29" s="37">
        <v>-8.4674990614936052E-2</v>
      </c>
      <c r="S29" s="37">
        <v>-0.23131630923176738</v>
      </c>
      <c r="T29" s="37">
        <v>-0.34884591795130793</v>
      </c>
      <c r="U29" s="84">
        <v>-0.70045551978317655</v>
      </c>
      <c r="W29" s="98">
        <v>1.3242273202676342</v>
      </c>
    </row>
    <row r="30" spans="1:23" ht="14.45" x14ac:dyDescent="0.35">
      <c r="A30">
        <v>27</v>
      </c>
      <c r="B30" s="123">
        <v>2</v>
      </c>
      <c r="C30" s="37">
        <v>8</v>
      </c>
      <c r="D30" s="37">
        <v>3</v>
      </c>
      <c r="E30" s="37">
        <v>3</v>
      </c>
      <c r="F30" s="37">
        <v>7</v>
      </c>
      <c r="G30" s="37">
        <v>5</v>
      </c>
      <c r="H30" s="37">
        <v>5</v>
      </c>
      <c r="I30" s="37">
        <v>5</v>
      </c>
      <c r="J30" s="90">
        <v>7</v>
      </c>
      <c r="L30" t="str">
        <v>Comm</v>
      </c>
      <c r="M30" s="83">
        <v>-0.2628311547222274</v>
      </c>
      <c r="N30" s="37">
        <v>-0.48271020356459521</v>
      </c>
      <c r="O30" s="37">
        <v>2.5101944742139133</v>
      </c>
      <c r="P30" s="37">
        <v>6.5761730864781084E-2</v>
      </c>
      <c r="Q30" s="37">
        <v>-6.3049251939945081E-2</v>
      </c>
      <c r="R30" s="37">
        <v>-2.7723995073408184E-2</v>
      </c>
      <c r="S30" s="37">
        <v>-1.6584964436859573</v>
      </c>
      <c r="T30" s="37">
        <v>-6.1097423397641348E-2</v>
      </c>
      <c r="U30" s="84">
        <v>0.25074397743347854</v>
      </c>
      <c r="W30" s="98">
        <v>1.5843593261043762</v>
      </c>
    </row>
    <row r="31" spans="1:23" ht="14.45" x14ac:dyDescent="0.35">
      <c r="A31">
        <v>28</v>
      </c>
      <c r="B31" s="123">
        <v>2</v>
      </c>
      <c r="C31" s="37">
        <v>8</v>
      </c>
      <c r="D31" s="37">
        <v>1</v>
      </c>
      <c r="E31" s="37">
        <v>5</v>
      </c>
      <c r="F31" s="37">
        <v>6</v>
      </c>
      <c r="G31" s="37">
        <v>8</v>
      </c>
      <c r="H31" s="37">
        <v>7</v>
      </c>
      <c r="I31" s="37">
        <v>4</v>
      </c>
      <c r="J31" s="90">
        <v>8</v>
      </c>
      <c r="L31" t="str">
        <v>Expert</v>
      </c>
      <c r="M31" s="83">
        <v>-0.31554543843253657</v>
      </c>
      <c r="N31" s="37">
        <v>0.29008922936116777</v>
      </c>
      <c r="O31" s="37">
        <v>6.5761730864781126E-2</v>
      </c>
      <c r="P31" s="37">
        <v>1.26417078448905</v>
      </c>
      <c r="Q31" s="37">
        <v>-0.17405972839978645</v>
      </c>
      <c r="R31" s="37">
        <v>-2.154762970191491E-2</v>
      </c>
      <c r="S31" s="37">
        <v>-0.27040432609499265</v>
      </c>
      <c r="T31" s="37">
        <v>-0.2861291060471825</v>
      </c>
      <c r="U31" s="84">
        <v>-0.40179938873535875</v>
      </c>
      <c r="W31" s="98">
        <v>1.1243534962319679</v>
      </c>
    </row>
    <row r="32" spans="1:23" x14ac:dyDescent="0.25">
      <c r="A32">
        <v>29</v>
      </c>
      <c r="B32" s="123">
        <v>5</v>
      </c>
      <c r="C32" s="37">
        <v>8</v>
      </c>
      <c r="D32" s="37">
        <v>3</v>
      </c>
      <c r="E32" s="37">
        <v>4</v>
      </c>
      <c r="F32" s="37">
        <v>7</v>
      </c>
      <c r="G32" s="37">
        <v>7</v>
      </c>
      <c r="H32" s="37">
        <v>1</v>
      </c>
      <c r="I32" s="37">
        <v>5</v>
      </c>
      <c r="J32" s="90">
        <v>7</v>
      </c>
      <c r="L32" t="str">
        <v>Motivate</v>
      </c>
      <c r="M32" s="83">
        <v>0.18513144145075167</v>
      </c>
      <c r="N32" s="37">
        <v>-0.10275190461535937</v>
      </c>
      <c r="O32" s="37">
        <v>-6.3049251939945275E-2</v>
      </c>
      <c r="P32" s="37">
        <v>-0.17405972839978653</v>
      </c>
      <c r="Q32" s="37">
        <v>1.3031191024025841</v>
      </c>
      <c r="R32" s="37">
        <v>-0.2652181660383473</v>
      </c>
      <c r="S32" s="37">
        <v>-0.22501603613813564</v>
      </c>
      <c r="T32" s="37">
        <v>-0.15362912326167955</v>
      </c>
      <c r="U32" s="84">
        <v>0.11114640701603698</v>
      </c>
      <c r="W32" s="98">
        <v>1.1415424225155122</v>
      </c>
    </row>
    <row r="33" spans="1:23" x14ac:dyDescent="0.25">
      <c r="A33">
        <v>30</v>
      </c>
      <c r="B33" s="123">
        <v>2</v>
      </c>
      <c r="C33" s="37">
        <v>8</v>
      </c>
      <c r="D33" s="37">
        <v>2</v>
      </c>
      <c r="E33" s="37">
        <v>4</v>
      </c>
      <c r="F33" s="37">
        <v>6</v>
      </c>
      <c r="G33" s="37">
        <v>5</v>
      </c>
      <c r="H33" s="37">
        <v>5</v>
      </c>
      <c r="I33" s="37">
        <v>5</v>
      </c>
      <c r="J33" s="90">
        <v>8</v>
      </c>
      <c r="L33" t="str">
        <v>Caring</v>
      </c>
      <c r="M33" s="83">
        <v>0.10667904930855475</v>
      </c>
      <c r="N33" s="37">
        <v>-8.467499061493608E-2</v>
      </c>
      <c r="O33" s="37">
        <v>-2.7723995073408135E-2</v>
      </c>
      <c r="P33" s="37">
        <v>-2.1547629701914914E-2</v>
      </c>
      <c r="Q33" s="37">
        <v>-0.26521816603834736</v>
      </c>
      <c r="R33" s="37">
        <v>1.1238156967035202</v>
      </c>
      <c r="S33" s="37">
        <v>7.987305324240028E-2</v>
      </c>
      <c r="T33" s="37">
        <v>-0.11925087888368882</v>
      </c>
      <c r="U33" s="84">
        <v>0.1491986450402801</v>
      </c>
      <c r="W33" s="98">
        <v>1.0601017388456262</v>
      </c>
    </row>
    <row r="34" spans="1:23" x14ac:dyDescent="0.25">
      <c r="A34">
        <v>31</v>
      </c>
      <c r="B34" s="123">
        <v>6</v>
      </c>
      <c r="C34" s="37">
        <v>8</v>
      </c>
      <c r="D34" s="37">
        <v>3</v>
      </c>
      <c r="E34" s="37">
        <v>1</v>
      </c>
      <c r="F34" s="37">
        <v>6</v>
      </c>
      <c r="G34" s="37">
        <v>8</v>
      </c>
      <c r="H34" s="37">
        <v>4</v>
      </c>
      <c r="I34" s="37">
        <v>4</v>
      </c>
      <c r="J34" s="90">
        <v>6</v>
      </c>
      <c r="L34" t="str">
        <v>Charisma</v>
      </c>
      <c r="M34" s="83">
        <v>0.10220522181390655</v>
      </c>
      <c r="N34" s="37">
        <v>-0.23131630923176719</v>
      </c>
      <c r="O34" s="37">
        <v>-1.6584964436859573</v>
      </c>
      <c r="P34" s="37">
        <v>-0.27040432609499271</v>
      </c>
      <c r="Q34" s="37">
        <v>-0.22501603613813578</v>
      </c>
      <c r="R34" s="37">
        <v>7.9873053242400308E-2</v>
      </c>
      <c r="S34" s="37">
        <v>2.6239560750183957</v>
      </c>
      <c r="T34" s="37">
        <v>-0.30823189765931713</v>
      </c>
      <c r="U34" s="84">
        <v>-4.0876669322539645E-2</v>
      </c>
      <c r="W34" s="98">
        <v>1.6198629803222233</v>
      </c>
    </row>
    <row r="35" spans="1:23" x14ac:dyDescent="0.25">
      <c r="A35">
        <v>32</v>
      </c>
      <c r="B35" s="123">
        <v>2</v>
      </c>
      <c r="C35" s="37">
        <v>8</v>
      </c>
      <c r="D35" s="37">
        <v>1</v>
      </c>
      <c r="E35" s="37">
        <v>3</v>
      </c>
      <c r="F35" s="37">
        <v>7</v>
      </c>
      <c r="G35" s="37">
        <v>7</v>
      </c>
      <c r="H35" s="37">
        <v>4</v>
      </c>
      <c r="I35" s="37">
        <v>6</v>
      </c>
      <c r="J35" s="90">
        <v>7</v>
      </c>
      <c r="L35" t="str">
        <v>Passion</v>
      </c>
      <c r="M35" s="83">
        <v>0.17777486299581202</v>
      </c>
      <c r="N35" s="37">
        <v>-0.34884591795130798</v>
      </c>
      <c r="O35" s="37">
        <v>-6.1097423397641473E-2</v>
      </c>
      <c r="P35" s="37">
        <v>-0.28612910604718256</v>
      </c>
      <c r="Q35" s="37">
        <v>-0.15362912326167955</v>
      </c>
      <c r="R35" s="37">
        <v>-0.11925087888368885</v>
      </c>
      <c r="S35" s="37">
        <v>-0.30823189765931708</v>
      </c>
      <c r="T35" s="37">
        <v>1.4464459260990281</v>
      </c>
      <c r="U35" s="84">
        <v>0.157565193536016</v>
      </c>
      <c r="W35" s="98">
        <v>1.2026828036099244</v>
      </c>
    </row>
    <row r="36" spans="1:23" x14ac:dyDescent="0.25">
      <c r="A36">
        <v>33</v>
      </c>
      <c r="B36" s="123">
        <v>4</v>
      </c>
      <c r="C36" s="37">
        <v>8</v>
      </c>
      <c r="D36" s="37">
        <v>2</v>
      </c>
      <c r="E36" s="37">
        <v>4</v>
      </c>
      <c r="F36" s="37">
        <v>6</v>
      </c>
      <c r="G36" s="37">
        <v>6</v>
      </c>
      <c r="H36" s="37">
        <v>1</v>
      </c>
      <c r="I36" s="37">
        <v>4</v>
      </c>
      <c r="J36" s="90">
        <v>6</v>
      </c>
      <c r="L36" t="str">
        <v>Friendly</v>
      </c>
      <c r="M36" s="85">
        <v>0.47660813810741898</v>
      </c>
      <c r="N36" s="86">
        <v>-0.70045551978317644</v>
      </c>
      <c r="O36" s="86">
        <v>0.25074397743347843</v>
      </c>
      <c r="P36" s="86">
        <v>-0.40179938873535881</v>
      </c>
      <c r="Q36" s="86">
        <v>0.11114640701603695</v>
      </c>
      <c r="R36" s="86">
        <v>0.14919864504028013</v>
      </c>
      <c r="S36" s="86">
        <v>-4.0876669322539583E-2</v>
      </c>
      <c r="T36" s="86">
        <v>0.15756519353601603</v>
      </c>
      <c r="U36" s="87">
        <v>1.5120832732958756</v>
      </c>
      <c r="W36" s="99">
        <v>1.2296679524554079</v>
      </c>
    </row>
    <row r="37" spans="1:23" x14ac:dyDescent="0.25">
      <c r="A37">
        <v>34</v>
      </c>
      <c r="B37" s="123">
        <v>3</v>
      </c>
      <c r="C37" s="37">
        <v>9</v>
      </c>
      <c r="D37" s="37">
        <v>6</v>
      </c>
      <c r="E37" s="37">
        <v>3</v>
      </c>
      <c r="F37" s="37">
        <v>6</v>
      </c>
      <c r="G37" s="37">
        <v>5</v>
      </c>
      <c r="H37" s="37">
        <v>9</v>
      </c>
      <c r="I37" s="37">
        <v>5</v>
      </c>
      <c r="J37" s="90">
        <v>8</v>
      </c>
    </row>
    <row r="38" spans="1:23" x14ac:dyDescent="0.25">
      <c r="A38">
        <v>35</v>
      </c>
      <c r="B38" s="123">
        <v>2</v>
      </c>
      <c r="C38" s="37">
        <v>8</v>
      </c>
      <c r="D38" s="37">
        <v>2</v>
      </c>
      <c r="E38" s="37">
        <v>3</v>
      </c>
      <c r="F38" s="37">
        <v>8</v>
      </c>
      <c r="G38" s="37">
        <v>9</v>
      </c>
      <c r="H38" s="37">
        <v>3</v>
      </c>
      <c r="I38" s="37">
        <v>5</v>
      </c>
      <c r="J38" s="90">
        <v>7</v>
      </c>
      <c r="L38" t="s">
        <v>500</v>
      </c>
    </row>
    <row r="39" spans="1:23" x14ac:dyDescent="0.25">
      <c r="A39">
        <v>36</v>
      </c>
      <c r="B39" s="123">
        <v>2</v>
      </c>
      <c r="C39" s="37">
        <v>8</v>
      </c>
      <c r="D39" s="37">
        <v>2</v>
      </c>
      <c r="E39" s="37">
        <v>3</v>
      </c>
      <c r="F39" s="37">
        <v>6</v>
      </c>
      <c r="G39" s="37">
        <v>5</v>
      </c>
      <c r="H39" s="37">
        <v>3</v>
      </c>
      <c r="I39" s="37">
        <v>5</v>
      </c>
      <c r="J39" s="90">
        <v>7</v>
      </c>
    </row>
    <row r="40" spans="1:23" x14ac:dyDescent="0.25">
      <c r="A40">
        <v>37</v>
      </c>
      <c r="B40" s="123">
        <v>2</v>
      </c>
      <c r="C40" s="37">
        <v>8</v>
      </c>
      <c r="D40" s="37">
        <v>4</v>
      </c>
      <c r="E40" s="37">
        <v>2</v>
      </c>
      <c r="F40" s="37">
        <v>7</v>
      </c>
      <c r="G40" s="37">
        <v>7</v>
      </c>
      <c r="H40" s="37">
        <v>5</v>
      </c>
      <c r="I40" s="37">
        <v>5</v>
      </c>
      <c r="J40" s="90">
        <v>7</v>
      </c>
      <c r="M40" t="str">
        <f t="array" ref="M40:U40">B3:J3</f>
        <v>Expect</v>
      </c>
      <c r="N40" t="str">
        <v>Entertain</v>
      </c>
      <c r="O40" t="str">
        <v>Comm</v>
      </c>
      <c r="P40" t="str">
        <v>Expert</v>
      </c>
      <c r="Q40" t="str">
        <v>Motivate</v>
      </c>
      <c r="R40" t="str">
        <v>Caring</v>
      </c>
      <c r="S40" t="str">
        <v>Charisma</v>
      </c>
      <c r="T40" t="str">
        <v>Passion</v>
      </c>
      <c r="U40" t="str">
        <v>Friendly</v>
      </c>
    </row>
    <row r="41" spans="1:23" x14ac:dyDescent="0.25">
      <c r="A41">
        <v>38</v>
      </c>
      <c r="B41" s="123">
        <v>5</v>
      </c>
      <c r="C41" s="37">
        <v>8</v>
      </c>
      <c r="D41" s="37">
        <v>5</v>
      </c>
      <c r="E41" s="37">
        <v>4</v>
      </c>
      <c r="F41" s="37">
        <v>7</v>
      </c>
      <c r="G41" s="37">
        <v>7</v>
      </c>
      <c r="H41" s="37">
        <v>7</v>
      </c>
      <c r="I41" s="37">
        <v>4</v>
      </c>
      <c r="J41" s="90">
        <v>7</v>
      </c>
      <c r="L41" t="str">
        <f t="array" ref="L41:L49">TRANSPOSE(B3:J3)</f>
        <v>Expect</v>
      </c>
      <c r="M41" s="203">
        <f t="array" ref="M41:U49">-M28:U36/MMULT(W28:W36,TRANSPOSE(W28:W36))+2*[1]!IDENTITY()</f>
        <v>1</v>
      </c>
      <c r="N41" s="204">
        <v>1.53067914166366E-3</v>
      </c>
      <c r="O41" s="204">
        <v>0.14627091213270429</v>
      </c>
      <c r="P41" s="204">
        <v>0.24745363783327509</v>
      </c>
      <c r="Q41" s="204">
        <v>-0.14299568686551481</v>
      </c>
      <c r="R41" s="204">
        <v>-8.872916632149204E-2</v>
      </c>
      <c r="S41" s="204">
        <v>-5.5632633133580092E-2</v>
      </c>
      <c r="T41" s="204">
        <v>-0.13033290111535403</v>
      </c>
      <c r="U41" s="205">
        <v>-0.34174991104256275</v>
      </c>
    </row>
    <row r="42" spans="1:23" x14ac:dyDescent="0.25">
      <c r="A42">
        <v>39</v>
      </c>
      <c r="B42" s="123">
        <v>1</v>
      </c>
      <c r="C42" s="37">
        <v>8</v>
      </c>
      <c r="D42" s="37">
        <v>3</v>
      </c>
      <c r="E42" s="37">
        <v>2</v>
      </c>
      <c r="F42" s="37">
        <v>7</v>
      </c>
      <c r="G42" s="37">
        <v>8</v>
      </c>
      <c r="H42" s="37">
        <v>4</v>
      </c>
      <c r="I42" s="37">
        <v>5</v>
      </c>
      <c r="J42" s="90">
        <v>8</v>
      </c>
      <c r="L42" t="str">
        <v>Entertain</v>
      </c>
      <c r="M42" s="83">
        <v>1.5306791416636336E-3</v>
      </c>
      <c r="N42" s="37">
        <v>1</v>
      </c>
      <c r="O42" s="37">
        <v>0.23007543448860512</v>
      </c>
      <c r="P42" s="37">
        <v>-0.19483464565442801</v>
      </c>
      <c r="Q42" s="37">
        <v>6.7972818998370307E-2</v>
      </c>
      <c r="R42" s="37">
        <v>6.0317740804007251E-2</v>
      </c>
      <c r="S42" s="37">
        <v>0.10783641225608949</v>
      </c>
      <c r="T42" s="37">
        <v>0.21903826990456729</v>
      </c>
      <c r="U42" s="84">
        <v>0.43016013895883903</v>
      </c>
    </row>
    <row r="43" spans="1:23" x14ac:dyDescent="0.25">
      <c r="A43">
        <v>40</v>
      </c>
      <c r="B43" s="123">
        <v>6</v>
      </c>
      <c r="C43" s="37">
        <v>8</v>
      </c>
      <c r="D43" s="37">
        <v>3</v>
      </c>
      <c r="E43" s="37">
        <v>3</v>
      </c>
      <c r="F43" s="37">
        <v>4</v>
      </c>
      <c r="G43" s="37">
        <v>6</v>
      </c>
      <c r="H43" s="37">
        <v>5</v>
      </c>
      <c r="I43" s="37">
        <v>5</v>
      </c>
      <c r="J43" s="90">
        <v>7</v>
      </c>
      <c r="L43" t="str">
        <v>Comm</v>
      </c>
      <c r="M43" s="83">
        <v>0.14627091213270427</v>
      </c>
      <c r="N43" s="37">
        <v>0.23007543448860507</v>
      </c>
      <c r="O43" s="37">
        <v>1</v>
      </c>
      <c r="P43" s="37">
        <v>-3.6916173303528914E-2</v>
      </c>
      <c r="Q43" s="37">
        <v>3.4860547048718049E-2</v>
      </c>
      <c r="R43" s="37">
        <v>1.6506484238149401E-2</v>
      </c>
      <c r="S43" s="37">
        <v>0.64622325077528375</v>
      </c>
      <c r="T43" s="37">
        <v>3.2064030253751298E-2</v>
      </c>
      <c r="U43" s="84">
        <v>-0.12870308924887999</v>
      </c>
    </row>
    <row r="44" spans="1:23" x14ac:dyDescent="0.25">
      <c r="A44">
        <v>41</v>
      </c>
      <c r="B44" s="123">
        <v>4</v>
      </c>
      <c r="C44" s="37">
        <v>8</v>
      </c>
      <c r="D44" s="37">
        <v>3</v>
      </c>
      <c r="E44" s="37">
        <v>3</v>
      </c>
      <c r="F44" s="37">
        <v>9</v>
      </c>
      <c r="G44" s="37">
        <v>6</v>
      </c>
      <c r="H44" s="37">
        <v>4</v>
      </c>
      <c r="I44" s="37">
        <v>4</v>
      </c>
      <c r="J44" s="90">
        <v>7</v>
      </c>
      <c r="L44" t="str">
        <v>Expert</v>
      </c>
      <c r="M44" s="83">
        <v>0.24745363783327504</v>
      </c>
      <c r="N44" s="37">
        <v>-0.19483464565442801</v>
      </c>
      <c r="O44" s="37">
        <v>-3.6916173303528935E-2</v>
      </c>
      <c r="P44" s="37">
        <v>1</v>
      </c>
      <c r="Q44" s="37">
        <v>0.13561363945414798</v>
      </c>
      <c r="R44" s="37">
        <v>1.8077945883194679E-2</v>
      </c>
      <c r="S44" s="37">
        <v>0.14846787083780399</v>
      </c>
      <c r="T44" s="37">
        <v>0.21159629643773292</v>
      </c>
      <c r="U44" s="84">
        <v>0.29061534521487786</v>
      </c>
    </row>
    <row r="45" spans="1:23" x14ac:dyDescent="0.25">
      <c r="A45">
        <v>42</v>
      </c>
      <c r="B45" s="123">
        <v>4</v>
      </c>
      <c r="C45" s="37">
        <v>8</v>
      </c>
      <c r="D45" s="37">
        <v>2</v>
      </c>
      <c r="E45" s="37">
        <v>3</v>
      </c>
      <c r="F45" s="37">
        <v>8</v>
      </c>
      <c r="G45" s="37">
        <v>5</v>
      </c>
      <c r="H45" s="37">
        <v>5</v>
      </c>
      <c r="I45" s="37">
        <v>5</v>
      </c>
      <c r="J45" s="90">
        <v>7</v>
      </c>
      <c r="L45" t="str">
        <v>Motivate</v>
      </c>
      <c r="M45" s="83">
        <v>-0.14299568686551486</v>
      </c>
      <c r="N45" s="37">
        <v>6.7972818998370294E-2</v>
      </c>
      <c r="O45" s="37">
        <v>3.486054704871816E-2</v>
      </c>
      <c r="P45" s="37">
        <v>0.13561363945414806</v>
      </c>
      <c r="Q45" s="37">
        <v>1</v>
      </c>
      <c r="R45" s="37">
        <v>0.21916119771145781</v>
      </c>
      <c r="S45" s="37">
        <v>0.12168670568839408</v>
      </c>
      <c r="T45" s="37">
        <v>0.11190007953664212</v>
      </c>
      <c r="U45" s="84">
        <v>-7.9180003717641875E-2</v>
      </c>
    </row>
    <row r="46" spans="1:23" x14ac:dyDescent="0.25">
      <c r="A46">
        <v>43</v>
      </c>
      <c r="B46" s="123">
        <v>3</v>
      </c>
      <c r="C46" s="37">
        <v>9</v>
      </c>
      <c r="D46" s="37">
        <v>7</v>
      </c>
      <c r="E46" s="37">
        <v>4</v>
      </c>
      <c r="F46" s="37">
        <v>8</v>
      </c>
      <c r="G46" s="37">
        <v>6</v>
      </c>
      <c r="H46" s="37">
        <v>10</v>
      </c>
      <c r="I46" s="37">
        <v>6</v>
      </c>
      <c r="J46" s="90">
        <v>8</v>
      </c>
      <c r="L46" t="str">
        <v>Caring</v>
      </c>
      <c r="M46" s="83">
        <v>-8.8729166321491998E-2</v>
      </c>
      <c r="N46" s="37">
        <v>6.0317740804007272E-2</v>
      </c>
      <c r="O46" s="37">
        <v>1.650648423814937E-2</v>
      </c>
      <c r="P46" s="37">
        <v>1.8077945883194682E-2</v>
      </c>
      <c r="Q46" s="37">
        <v>0.21916119771145784</v>
      </c>
      <c r="R46" s="37">
        <v>1</v>
      </c>
      <c r="S46" s="37">
        <v>-4.6513011500561724E-2</v>
      </c>
      <c r="T46" s="37">
        <v>9.3532585649153885E-2</v>
      </c>
      <c r="U46" s="84">
        <v>-0.11445360530997695</v>
      </c>
    </row>
    <row r="47" spans="1:23" x14ac:dyDescent="0.25">
      <c r="A47">
        <v>44</v>
      </c>
      <c r="B47" s="123">
        <v>2</v>
      </c>
      <c r="C47" s="37">
        <v>9</v>
      </c>
      <c r="D47" s="37">
        <v>3</v>
      </c>
      <c r="E47" s="37">
        <v>4</v>
      </c>
      <c r="F47" s="37">
        <v>8</v>
      </c>
      <c r="G47" s="37">
        <v>8</v>
      </c>
      <c r="H47" s="37">
        <v>6</v>
      </c>
      <c r="I47" s="37">
        <v>7</v>
      </c>
      <c r="J47" s="90">
        <v>8</v>
      </c>
      <c r="L47" t="str">
        <v>Charisma</v>
      </c>
      <c r="M47" s="83">
        <v>-5.563263313358012E-2</v>
      </c>
      <c r="N47" s="37">
        <v>0.10783641225608941</v>
      </c>
      <c r="O47" s="37">
        <v>0.64622325077528375</v>
      </c>
      <c r="P47" s="37">
        <v>0.14846787083780402</v>
      </c>
      <c r="Q47" s="37">
        <v>0.12168670568839415</v>
      </c>
      <c r="R47" s="37">
        <v>-4.6513011500561745E-2</v>
      </c>
      <c r="S47" s="37">
        <v>1</v>
      </c>
      <c r="T47" s="37">
        <v>0.15821519775784637</v>
      </c>
      <c r="U47" s="84">
        <v>2.0521512514576307E-2</v>
      </c>
    </row>
    <row r="48" spans="1:23" x14ac:dyDescent="0.25">
      <c r="A48">
        <v>45</v>
      </c>
      <c r="B48" s="123">
        <v>5</v>
      </c>
      <c r="C48" s="37">
        <v>8</v>
      </c>
      <c r="D48" s="37">
        <v>1</v>
      </c>
      <c r="E48" s="37">
        <v>4</v>
      </c>
      <c r="F48" s="37">
        <v>7</v>
      </c>
      <c r="G48" s="37">
        <v>7</v>
      </c>
      <c r="H48" s="37">
        <v>1</v>
      </c>
      <c r="I48" s="37">
        <v>4</v>
      </c>
      <c r="J48" s="90">
        <v>8</v>
      </c>
      <c r="L48" t="str">
        <v>Passion</v>
      </c>
      <c r="M48" s="83">
        <v>-0.13033290111535401</v>
      </c>
      <c r="N48" s="37">
        <v>0.21903826990456732</v>
      </c>
      <c r="O48" s="37">
        <v>3.2064030253751367E-2</v>
      </c>
      <c r="P48" s="37">
        <v>0.21159629643773295</v>
      </c>
      <c r="Q48" s="37">
        <v>0.11190007953664212</v>
      </c>
      <c r="R48" s="37">
        <v>9.3532585649153899E-2</v>
      </c>
      <c r="S48" s="37">
        <v>0.15821519775784632</v>
      </c>
      <c r="T48" s="37">
        <v>1</v>
      </c>
      <c r="U48" s="84">
        <v>-0.10654211928081929</v>
      </c>
    </row>
    <row r="49" spans="1:22" x14ac:dyDescent="0.25">
      <c r="A49">
        <v>46</v>
      </c>
      <c r="B49" s="123">
        <v>5</v>
      </c>
      <c r="C49" s="37">
        <v>8</v>
      </c>
      <c r="D49" s="37">
        <v>2</v>
      </c>
      <c r="E49" s="37">
        <v>3</v>
      </c>
      <c r="F49" s="37">
        <v>6</v>
      </c>
      <c r="G49" s="37">
        <v>7</v>
      </c>
      <c r="H49" s="37">
        <v>4</v>
      </c>
      <c r="I49" s="37">
        <v>4</v>
      </c>
      <c r="J49" s="90">
        <v>8</v>
      </c>
      <c r="L49" t="str">
        <v>Friendly</v>
      </c>
      <c r="M49" s="85">
        <v>-0.3417499110425628</v>
      </c>
      <c r="N49" s="86">
        <v>0.43016013895883898</v>
      </c>
      <c r="O49" s="86">
        <v>-0.12870308924887994</v>
      </c>
      <c r="P49" s="86">
        <v>0.29061534521487792</v>
      </c>
      <c r="Q49" s="86">
        <v>-7.9180003717641861E-2</v>
      </c>
      <c r="R49" s="86">
        <v>-0.11445360530997696</v>
      </c>
      <c r="S49" s="86">
        <v>2.0521512514576276E-2</v>
      </c>
      <c r="T49" s="86">
        <v>-0.1065421192808193</v>
      </c>
      <c r="U49" s="87">
        <v>0.99999999999999978</v>
      </c>
    </row>
    <row r="50" spans="1:22" x14ac:dyDescent="0.25">
      <c r="A50">
        <v>47</v>
      </c>
      <c r="B50" s="123">
        <v>3</v>
      </c>
      <c r="C50" s="37">
        <v>8</v>
      </c>
      <c r="D50" s="37">
        <v>1</v>
      </c>
      <c r="E50" s="37">
        <v>3</v>
      </c>
      <c r="F50" s="37">
        <v>5</v>
      </c>
      <c r="G50" s="37">
        <v>5</v>
      </c>
      <c r="H50" s="37">
        <v>1</v>
      </c>
      <c r="I50" s="37">
        <v>5</v>
      </c>
      <c r="J50" s="90">
        <v>7</v>
      </c>
      <c r="M50">
        <f>SUMSQ(M41:M49)-1</f>
        <v>0.2478261136900568</v>
      </c>
      <c r="N50">
        <f t="shared" ref="N50:U50" si="5">SUMSQ(N41:N49)-1</f>
        <v>0.34380032229946522</v>
      </c>
      <c r="O50">
        <f t="shared" si="5"/>
        <v>0.51237748796596416</v>
      </c>
      <c r="P50">
        <f t="shared" si="5"/>
        <v>0.27054749742057815</v>
      </c>
      <c r="Q50">
        <f t="shared" si="5"/>
        <v>0.12630477324390843</v>
      </c>
      <c r="R50">
        <f t="shared" si="5"/>
        <v>8.4153434128906968E-2</v>
      </c>
      <c r="S50">
        <f t="shared" si="5"/>
        <v>0.49679517604891243</v>
      </c>
      <c r="T50">
        <f t="shared" si="5"/>
        <v>0.16841876785913512</v>
      </c>
      <c r="U50">
        <f t="shared" si="5"/>
        <v>0.43399396731716644</v>
      </c>
      <c r="V50">
        <f>SUM(M50:U50)</f>
        <v>2.6842175399740937</v>
      </c>
    </row>
    <row r="51" spans="1:22" x14ac:dyDescent="0.25">
      <c r="A51">
        <v>48</v>
      </c>
      <c r="B51" s="123">
        <v>4</v>
      </c>
      <c r="C51" s="37">
        <v>9</v>
      </c>
      <c r="D51" s="37">
        <v>6</v>
      </c>
      <c r="E51" s="37">
        <v>3</v>
      </c>
      <c r="F51" s="37">
        <v>6</v>
      </c>
      <c r="G51" s="37">
        <v>4</v>
      </c>
      <c r="H51" s="37">
        <v>8</v>
      </c>
      <c r="I51" s="37">
        <v>5</v>
      </c>
      <c r="J51" s="90">
        <v>8</v>
      </c>
    </row>
    <row r="52" spans="1:22" x14ac:dyDescent="0.25">
      <c r="A52">
        <v>49</v>
      </c>
      <c r="B52" s="123">
        <v>3</v>
      </c>
      <c r="C52" s="37">
        <v>9</v>
      </c>
      <c r="D52" s="37">
        <v>4</v>
      </c>
      <c r="E52" s="37">
        <v>2</v>
      </c>
      <c r="F52" s="37">
        <v>7</v>
      </c>
      <c r="G52" s="37">
        <v>7</v>
      </c>
      <c r="H52" s="37">
        <v>2</v>
      </c>
      <c r="I52" s="37">
        <v>3</v>
      </c>
      <c r="J52" s="90">
        <v>8</v>
      </c>
      <c r="L52" t="s">
        <v>471</v>
      </c>
    </row>
    <row r="53" spans="1:22" x14ac:dyDescent="0.25">
      <c r="A53">
        <v>50</v>
      </c>
      <c r="B53" s="123">
        <v>3</v>
      </c>
      <c r="C53" s="37">
        <v>8</v>
      </c>
      <c r="D53" s="37">
        <v>3</v>
      </c>
      <c r="E53" s="37">
        <v>4</v>
      </c>
      <c r="F53" s="37">
        <v>7</v>
      </c>
      <c r="G53" s="37">
        <v>7</v>
      </c>
      <c r="H53" s="37">
        <v>5</v>
      </c>
      <c r="I53" s="37">
        <v>4</v>
      </c>
      <c r="J53" s="90">
        <v>8</v>
      </c>
    </row>
    <row r="54" spans="1:22" x14ac:dyDescent="0.25">
      <c r="A54">
        <v>51</v>
      </c>
      <c r="B54" s="123">
        <v>3</v>
      </c>
      <c r="C54" s="37">
        <v>7</v>
      </c>
      <c r="D54" s="37">
        <v>1</v>
      </c>
      <c r="E54" s="37">
        <v>4</v>
      </c>
      <c r="F54" s="37">
        <v>6</v>
      </c>
      <c r="G54" s="37">
        <v>4</v>
      </c>
      <c r="H54" s="37">
        <v>1</v>
      </c>
      <c r="I54" s="37">
        <v>6</v>
      </c>
      <c r="J54" s="90">
        <v>7</v>
      </c>
      <c r="M54" t="str">
        <f t="array" ref="M54:U54">B3:J3</f>
        <v>Expect</v>
      </c>
      <c r="N54" t="str">
        <v>Entertain</v>
      </c>
      <c r="O54" t="str">
        <v>Comm</v>
      </c>
      <c r="P54" t="str">
        <v>Expert</v>
      </c>
      <c r="Q54" t="str">
        <v>Motivate</v>
      </c>
      <c r="R54" t="str">
        <v>Caring</v>
      </c>
      <c r="S54" t="str">
        <v>Charisma</v>
      </c>
      <c r="T54" t="str">
        <v>Passion</v>
      </c>
      <c r="U54" t="str">
        <v>Friendly</v>
      </c>
    </row>
    <row r="55" spans="1:22" x14ac:dyDescent="0.25">
      <c r="A55">
        <v>52</v>
      </c>
      <c r="B55" s="123">
        <v>1</v>
      </c>
      <c r="C55" s="37">
        <v>8</v>
      </c>
      <c r="D55" s="37">
        <v>3</v>
      </c>
      <c r="E55" s="37">
        <v>4</v>
      </c>
      <c r="F55" s="37">
        <v>6</v>
      </c>
      <c r="G55" s="37">
        <v>3</v>
      </c>
      <c r="H55" s="37">
        <v>5</v>
      </c>
      <c r="I55" s="37">
        <v>4</v>
      </c>
      <c r="J55" s="90">
        <v>8</v>
      </c>
      <c r="M55" s="207">
        <f t="array" ref="M55:V55">M23:V23/(M23:V23+M50:V50)</f>
        <v>0.47075754897754651</v>
      </c>
      <c r="N55" s="208">
        <v>0.70308971566016076</v>
      </c>
      <c r="O55" s="208">
        <v>0.6654002781474111</v>
      </c>
      <c r="P55" s="208">
        <v>0.47238026200125777</v>
      </c>
      <c r="Q55" s="208">
        <v>0.8010217587518037</v>
      </c>
      <c r="R55" s="208">
        <v>0.66964290287268324</v>
      </c>
      <c r="S55" s="208">
        <v>0.6997167671138852</v>
      </c>
      <c r="T55" s="208">
        <v>0.80782954210537938</v>
      </c>
      <c r="U55" s="208">
        <v>0.4367805521865249</v>
      </c>
      <c r="V55" s="210">
        <v>0.65854700751505113</v>
      </c>
    </row>
    <row r="56" spans="1:22" x14ac:dyDescent="0.25">
      <c r="A56">
        <v>53</v>
      </c>
      <c r="B56" s="123">
        <v>4</v>
      </c>
      <c r="C56" s="37">
        <v>8</v>
      </c>
      <c r="D56" s="37">
        <v>6</v>
      </c>
      <c r="E56" s="37">
        <v>3</v>
      </c>
      <c r="F56" s="37">
        <v>7</v>
      </c>
      <c r="G56" s="37">
        <v>7</v>
      </c>
      <c r="H56" s="37">
        <v>8</v>
      </c>
      <c r="I56" s="37">
        <v>6</v>
      </c>
      <c r="J56" s="90">
        <v>7</v>
      </c>
    </row>
    <row r="57" spans="1:22" x14ac:dyDescent="0.25">
      <c r="A57">
        <v>54</v>
      </c>
      <c r="B57" s="123">
        <v>3</v>
      </c>
      <c r="C57" s="37">
        <v>8</v>
      </c>
      <c r="D57" s="37">
        <v>4</v>
      </c>
      <c r="E57" s="37">
        <v>3</v>
      </c>
      <c r="F57" s="37">
        <v>5</v>
      </c>
      <c r="G57" s="37">
        <v>8</v>
      </c>
      <c r="H57" s="37">
        <v>1</v>
      </c>
      <c r="I57" s="37">
        <v>3</v>
      </c>
      <c r="J57" s="90">
        <v>7</v>
      </c>
      <c r="L57" t="s">
        <v>417</v>
      </c>
    </row>
    <row r="58" spans="1:22" x14ac:dyDescent="0.25">
      <c r="A58">
        <v>55</v>
      </c>
      <c r="B58" s="123">
        <v>2</v>
      </c>
      <c r="C58" s="37">
        <v>9</v>
      </c>
      <c r="D58" s="37">
        <v>5</v>
      </c>
      <c r="E58" s="37">
        <v>2</v>
      </c>
      <c r="F58" s="37">
        <v>8</v>
      </c>
      <c r="G58" s="37">
        <v>4</v>
      </c>
      <c r="H58" s="37">
        <v>5</v>
      </c>
      <c r="I58" s="37">
        <v>6</v>
      </c>
      <c r="J58" s="90">
        <v>8</v>
      </c>
    </row>
    <row r="59" spans="1:22" x14ac:dyDescent="0.25">
      <c r="A59">
        <v>56</v>
      </c>
      <c r="B59" s="123">
        <v>4</v>
      </c>
      <c r="C59" s="37">
        <v>8</v>
      </c>
      <c r="D59" s="37">
        <v>2</v>
      </c>
      <c r="E59" s="37">
        <v>3</v>
      </c>
      <c r="F59" s="37">
        <v>7</v>
      </c>
      <c r="G59" s="37">
        <v>4</v>
      </c>
      <c r="H59" s="37">
        <v>4</v>
      </c>
      <c r="I59" s="37">
        <v>4</v>
      </c>
      <c r="J59" s="90">
        <v>7</v>
      </c>
      <c r="M59" s="207">
        <f t="array" ref="M59:U68">[1]!eVECTORS(M14:U22,200,FALSE)</f>
        <v>2.8804369060025632</v>
      </c>
      <c r="N59" s="208">
        <v>1.4386543900717295</v>
      </c>
      <c r="O59" s="208">
        <v>1.1639296497396623</v>
      </c>
      <c r="P59" s="208">
        <v>1.0244527111999022</v>
      </c>
      <c r="Q59" s="208">
        <v>0.7052086647828173</v>
      </c>
      <c r="R59" s="208">
        <v>0.64762340943816155</v>
      </c>
      <c r="S59" s="208">
        <v>0.56239324882697206</v>
      </c>
      <c r="T59" s="208">
        <v>0.34524839907614585</v>
      </c>
      <c r="U59" s="209">
        <v>0.2320526208620349</v>
      </c>
    </row>
    <row r="60" spans="1:22" x14ac:dyDescent="0.25">
      <c r="A60">
        <v>57</v>
      </c>
      <c r="B60" s="123">
        <v>4</v>
      </c>
      <c r="C60" s="37">
        <v>9</v>
      </c>
      <c r="D60" s="37">
        <v>1</v>
      </c>
      <c r="E60" s="37">
        <v>4</v>
      </c>
      <c r="F60" s="37">
        <v>7</v>
      </c>
      <c r="G60" s="37">
        <v>7</v>
      </c>
      <c r="H60" s="37">
        <v>1</v>
      </c>
      <c r="I60" s="37">
        <v>4</v>
      </c>
      <c r="J60" s="90">
        <v>8</v>
      </c>
      <c r="M60" s="83">
        <v>0.10867282066236424</v>
      </c>
      <c r="N60" s="37">
        <v>0.63924827708711807</v>
      </c>
      <c r="O60" s="37">
        <v>-0.25729558511519024</v>
      </c>
      <c r="P60" s="37">
        <v>0.11377573138837584</v>
      </c>
      <c r="Q60" s="37">
        <v>0.41709285009666042</v>
      </c>
      <c r="R60" s="37">
        <v>-9.5945434483222611E-2</v>
      </c>
      <c r="S60" s="37">
        <v>0.48082963990072808</v>
      </c>
      <c r="T60" s="37">
        <v>-0.28424031931196581</v>
      </c>
      <c r="U60" s="84">
        <v>-7.2417189866390647E-2</v>
      </c>
    </row>
    <row r="61" spans="1:22" x14ac:dyDescent="0.25">
      <c r="A61">
        <v>58</v>
      </c>
      <c r="B61" s="123">
        <v>4</v>
      </c>
      <c r="C61" s="37">
        <v>8</v>
      </c>
      <c r="D61" s="37">
        <v>3</v>
      </c>
      <c r="E61" s="37">
        <v>3</v>
      </c>
      <c r="F61" s="37">
        <v>7</v>
      </c>
      <c r="G61" s="37">
        <v>6</v>
      </c>
      <c r="H61" s="37">
        <v>3</v>
      </c>
      <c r="I61" s="37">
        <v>4</v>
      </c>
      <c r="J61" s="90">
        <v>7</v>
      </c>
      <c r="M61" s="83">
        <v>-0.41155512846221565</v>
      </c>
      <c r="N61" s="37">
        <v>-0.25314343490616653</v>
      </c>
      <c r="O61" s="37">
        <v>-0.18110413876496192</v>
      </c>
      <c r="P61" s="37">
        <v>-0.26161989563197352</v>
      </c>
      <c r="Q61" s="37">
        <v>0.33963617020547054</v>
      </c>
      <c r="R61" s="37">
        <v>4.1010447452216252E-5</v>
      </c>
      <c r="S61" s="37">
        <v>0.43645311461584763</v>
      </c>
      <c r="T61" s="37">
        <v>0.59253174817325882</v>
      </c>
      <c r="U61" s="84">
        <v>-9.1428524472632805E-2</v>
      </c>
    </row>
    <row r="62" spans="1:22" x14ac:dyDescent="0.25">
      <c r="A62">
        <v>59</v>
      </c>
      <c r="B62" s="123">
        <v>5</v>
      </c>
      <c r="C62" s="37">
        <v>8</v>
      </c>
      <c r="D62" s="37">
        <v>3</v>
      </c>
      <c r="E62" s="37">
        <v>4</v>
      </c>
      <c r="F62" s="37">
        <v>8</v>
      </c>
      <c r="G62" s="37">
        <v>6</v>
      </c>
      <c r="H62" s="37">
        <v>5</v>
      </c>
      <c r="I62" s="37">
        <v>5</v>
      </c>
      <c r="J62" s="90">
        <v>7</v>
      </c>
      <c r="M62" s="83">
        <v>-0.44432039453439659</v>
      </c>
      <c r="N62" s="37">
        <v>0.29067886859957309</v>
      </c>
      <c r="O62" s="37">
        <v>-0.18728039014076323</v>
      </c>
      <c r="P62" s="37">
        <v>-0.30220259515496317</v>
      </c>
      <c r="Q62" s="37">
        <v>3.0092029332481934E-2</v>
      </c>
      <c r="R62" s="37">
        <v>-0.13252764699834219</v>
      </c>
      <c r="S62" s="37">
        <v>-0.30089770286092654</v>
      </c>
      <c r="T62" s="37">
        <v>-6.3954964480359006E-2</v>
      </c>
      <c r="U62" s="84">
        <v>0.69179914482736116</v>
      </c>
    </row>
    <row r="63" spans="1:22" x14ac:dyDescent="0.25">
      <c r="A63">
        <v>60</v>
      </c>
      <c r="B63" s="123">
        <v>7</v>
      </c>
      <c r="C63" s="37">
        <v>8</v>
      </c>
      <c r="D63" s="37">
        <v>4</v>
      </c>
      <c r="E63" s="37">
        <v>4</v>
      </c>
      <c r="F63" s="37">
        <v>7</v>
      </c>
      <c r="G63" s="37">
        <v>7</v>
      </c>
      <c r="H63" s="37">
        <v>6</v>
      </c>
      <c r="I63" s="37">
        <v>6</v>
      </c>
      <c r="J63" s="90">
        <v>7</v>
      </c>
      <c r="M63" s="83">
        <v>-0.21563850036801047</v>
      </c>
      <c r="N63" s="37">
        <v>0.1355008561186731</v>
      </c>
      <c r="O63" s="37">
        <v>-0.18288111465179668</v>
      </c>
      <c r="P63" s="37">
        <v>0.8396414038293164</v>
      </c>
      <c r="Q63" s="37">
        <v>2.8151905951375684E-2</v>
      </c>
      <c r="R63" s="37">
        <v>-8.2469997114449113E-3</v>
      </c>
      <c r="S63" s="37">
        <v>-0.22139123759018514</v>
      </c>
      <c r="T63" s="37">
        <v>0.37879413338631968</v>
      </c>
      <c r="U63" s="84">
        <v>5.7764588173452189E-2</v>
      </c>
    </row>
    <row r="64" spans="1:22" x14ac:dyDescent="0.25">
      <c r="A64">
        <v>61</v>
      </c>
      <c r="B64" s="123">
        <v>4</v>
      </c>
      <c r="C64" s="37">
        <v>8</v>
      </c>
      <c r="D64" s="37">
        <v>3</v>
      </c>
      <c r="E64" s="37">
        <v>3</v>
      </c>
      <c r="F64" s="37">
        <v>7</v>
      </c>
      <c r="G64" s="37">
        <v>5</v>
      </c>
      <c r="H64" s="37">
        <v>6</v>
      </c>
      <c r="I64" s="37">
        <v>3</v>
      </c>
      <c r="J64" s="90">
        <v>7</v>
      </c>
      <c r="M64" s="83">
        <v>-0.34065994702866276</v>
      </c>
      <c r="N64" s="37">
        <v>3.6795371440606912E-2</v>
      </c>
      <c r="O64" s="37">
        <v>0.4196315249888759</v>
      </c>
      <c r="P64" s="37">
        <v>0.15599941127281186</v>
      </c>
      <c r="Q64" s="37">
        <v>-0.42356977521057582</v>
      </c>
      <c r="R64" s="37">
        <v>-0.55990863089491949</v>
      </c>
      <c r="S64" s="37">
        <v>0.42454928955816817</v>
      </c>
      <c r="T64" s="37">
        <v>-8.8223691667977652E-2</v>
      </c>
      <c r="U64" s="84">
        <v>3.51556480609738E-2</v>
      </c>
    </row>
    <row r="65" spans="1:23" x14ac:dyDescent="0.25">
      <c r="A65">
        <v>62</v>
      </c>
      <c r="B65" s="123">
        <v>4</v>
      </c>
      <c r="C65" s="37">
        <v>8</v>
      </c>
      <c r="D65" s="37">
        <v>4</v>
      </c>
      <c r="E65" s="37">
        <v>4</v>
      </c>
      <c r="F65" s="37">
        <v>8</v>
      </c>
      <c r="G65" s="37">
        <v>5</v>
      </c>
      <c r="H65" s="37">
        <v>7</v>
      </c>
      <c r="I65" s="37">
        <v>4</v>
      </c>
      <c r="J65" s="90">
        <v>7</v>
      </c>
      <c r="M65" s="83">
        <v>-0.17656698530373344</v>
      </c>
      <c r="N65" s="37">
        <v>2.533518723812293E-2</v>
      </c>
      <c r="O65" s="37">
        <v>0.7145130584986833</v>
      </c>
      <c r="P65" s="37">
        <v>6.2973499059261015E-2</v>
      </c>
      <c r="Q65" s="37">
        <v>0.63254625459716418</v>
      </c>
      <c r="R65" s="37">
        <v>2.9625191396581044E-2</v>
      </c>
      <c r="S65" s="37">
        <v>-0.21612684057595452</v>
      </c>
      <c r="T65" s="37">
        <v>-7.2965594974557554E-2</v>
      </c>
      <c r="U65" s="84">
        <v>-2.5699225706734535E-2</v>
      </c>
    </row>
    <row r="66" spans="1:23" x14ac:dyDescent="0.25">
      <c r="A66">
        <v>63</v>
      </c>
      <c r="B66" s="123">
        <v>3</v>
      </c>
      <c r="C66" s="37">
        <v>9</v>
      </c>
      <c r="D66" s="37">
        <v>4</v>
      </c>
      <c r="E66" s="37">
        <v>3</v>
      </c>
      <c r="F66" s="37">
        <v>8</v>
      </c>
      <c r="G66" s="37">
        <v>6</v>
      </c>
      <c r="H66" s="37">
        <v>4</v>
      </c>
      <c r="I66" s="37">
        <v>5</v>
      </c>
      <c r="J66" s="90">
        <v>8</v>
      </c>
      <c r="M66" s="83">
        <v>-0.48149531050226674</v>
      </c>
      <c r="N66" s="37">
        <v>0.19955381602753666</v>
      </c>
      <c r="O66" s="37">
        <v>-0.18029726124337572</v>
      </c>
      <c r="P66" s="37">
        <v>-0.16443593459470768</v>
      </c>
      <c r="Q66" s="37">
        <v>-8.9082064227918617E-2</v>
      </c>
      <c r="R66" s="37">
        <v>-9.915081286527104E-2</v>
      </c>
      <c r="S66" s="37">
        <v>-0.36144073391629705</v>
      </c>
      <c r="T66" s="37">
        <v>-0.1678417200000899</v>
      </c>
      <c r="U66" s="84">
        <v>-0.70158215235978194</v>
      </c>
    </row>
    <row r="67" spans="1:23" x14ac:dyDescent="0.25">
      <c r="A67">
        <v>64</v>
      </c>
      <c r="B67" s="123">
        <v>5</v>
      </c>
      <c r="C67" s="37">
        <v>8</v>
      </c>
      <c r="D67" s="37">
        <v>2</v>
      </c>
      <c r="E67" s="37">
        <v>3</v>
      </c>
      <c r="F67" s="37">
        <v>6</v>
      </c>
      <c r="G67" s="37">
        <v>4</v>
      </c>
      <c r="H67" s="37">
        <v>6</v>
      </c>
      <c r="I67" s="37">
        <v>4</v>
      </c>
      <c r="J67" s="90">
        <v>7</v>
      </c>
      <c r="M67" s="83">
        <v>-0.40531393485510109</v>
      </c>
      <c r="N67" s="37">
        <v>2.9433741083360061E-2</v>
      </c>
      <c r="O67" s="37">
        <v>0.10755133207121426</v>
      </c>
      <c r="P67" s="37">
        <v>0.11621471578699419</v>
      </c>
      <c r="Q67" s="37">
        <v>-0.2149849248039076</v>
      </c>
      <c r="R67" s="37">
        <v>0.7827772437504753</v>
      </c>
      <c r="S67" s="37">
        <v>0.28183460598348936</v>
      </c>
      <c r="T67" s="37">
        <v>-0.25913253981977796</v>
      </c>
      <c r="U67" s="84">
        <v>6.513041035120351E-2</v>
      </c>
    </row>
    <row r="68" spans="1:23" x14ac:dyDescent="0.25">
      <c r="A68">
        <v>65</v>
      </c>
      <c r="B68" s="123">
        <v>7</v>
      </c>
      <c r="C68" s="37">
        <v>9</v>
      </c>
      <c r="D68" s="37">
        <v>7</v>
      </c>
      <c r="E68" s="37">
        <v>4</v>
      </c>
      <c r="F68" s="37">
        <v>8</v>
      </c>
      <c r="G68" s="37">
        <v>6</v>
      </c>
      <c r="H68" s="37">
        <v>10</v>
      </c>
      <c r="I68" s="37">
        <v>6</v>
      </c>
      <c r="J68" s="90">
        <v>7</v>
      </c>
      <c r="M68" s="85">
        <v>-0.17762263035252251</v>
      </c>
      <c r="N68" s="86">
        <v>-0.61785233937299122</v>
      </c>
      <c r="O68" s="86">
        <v>-0.31904060431719955</v>
      </c>
      <c r="P68" s="86">
        <v>0.23116985737975318</v>
      </c>
      <c r="Q68" s="86">
        <v>0.27441303815866641</v>
      </c>
      <c r="R68" s="86">
        <v>-0.19030622101094335</v>
      </c>
      <c r="S68" s="86">
        <v>4.165295572770561E-2</v>
      </c>
      <c r="T68" s="86">
        <v>-0.55866843595019611</v>
      </c>
      <c r="U68" s="87">
        <v>7.8217098124915549E-2</v>
      </c>
    </row>
    <row r="69" spans="1:23" x14ac:dyDescent="0.25">
      <c r="A69">
        <v>66</v>
      </c>
      <c r="B69" s="123">
        <v>3</v>
      </c>
      <c r="C69" s="37">
        <v>8</v>
      </c>
      <c r="D69" s="37">
        <v>1</v>
      </c>
      <c r="E69" s="37">
        <v>3</v>
      </c>
      <c r="F69" s="37">
        <v>7</v>
      </c>
      <c r="G69" s="37">
        <v>6</v>
      </c>
      <c r="H69" s="37">
        <v>5</v>
      </c>
      <c r="I69" s="37">
        <v>5</v>
      </c>
      <c r="J69" s="90">
        <v>7</v>
      </c>
    </row>
    <row r="70" spans="1:23" x14ac:dyDescent="0.25">
      <c r="A70">
        <v>67</v>
      </c>
      <c r="B70" s="123">
        <v>4</v>
      </c>
      <c r="C70" s="37">
        <v>8</v>
      </c>
      <c r="D70" s="37">
        <v>5</v>
      </c>
      <c r="E70" s="37">
        <v>4</v>
      </c>
      <c r="F70" s="37">
        <v>7</v>
      </c>
      <c r="G70" s="37">
        <v>6</v>
      </c>
      <c r="H70" s="37">
        <v>9</v>
      </c>
      <c r="I70" s="37">
        <v>6</v>
      </c>
      <c r="J70" s="90">
        <v>7</v>
      </c>
      <c r="L70" t="s">
        <v>501</v>
      </c>
    </row>
    <row r="71" spans="1:23" x14ac:dyDescent="0.25">
      <c r="A71">
        <v>68</v>
      </c>
      <c r="B71" s="123">
        <v>5</v>
      </c>
      <c r="C71" s="37">
        <v>8</v>
      </c>
      <c r="D71" s="37">
        <v>2</v>
      </c>
      <c r="E71" s="37">
        <v>3</v>
      </c>
      <c r="F71" s="37">
        <v>5</v>
      </c>
      <c r="G71" s="37">
        <v>7</v>
      </c>
      <c r="H71" s="37">
        <v>1</v>
      </c>
      <c r="I71" s="37">
        <v>5</v>
      </c>
      <c r="J71" s="90">
        <v>7</v>
      </c>
    </row>
    <row r="72" spans="1:23" x14ac:dyDescent="0.25">
      <c r="A72">
        <v>69</v>
      </c>
      <c r="B72" s="123">
        <v>4</v>
      </c>
      <c r="C72" s="37">
        <v>8</v>
      </c>
      <c r="D72" s="37">
        <v>6</v>
      </c>
      <c r="E72" s="37">
        <v>4</v>
      </c>
      <c r="F72" s="37">
        <v>8</v>
      </c>
      <c r="G72" s="37">
        <v>8</v>
      </c>
      <c r="H72" s="37">
        <v>9</v>
      </c>
      <c r="I72" s="37">
        <v>6</v>
      </c>
      <c r="J72" s="90">
        <v>7</v>
      </c>
      <c r="M72">
        <v>1</v>
      </c>
      <c r="N72">
        <f>M72+1</f>
        <v>2</v>
      </c>
      <c r="O72">
        <f t="shared" ref="O72:U72" si="6">N72+1</f>
        <v>3</v>
      </c>
      <c r="P72">
        <f t="shared" si="6"/>
        <v>4</v>
      </c>
      <c r="Q72">
        <f t="shared" si="6"/>
        <v>5</v>
      </c>
      <c r="R72">
        <f t="shared" si="6"/>
        <v>6</v>
      </c>
      <c r="S72">
        <f t="shared" si="6"/>
        <v>7</v>
      </c>
      <c r="T72">
        <f t="shared" si="6"/>
        <v>8</v>
      </c>
      <c r="U72">
        <f t="shared" si="6"/>
        <v>9</v>
      </c>
      <c r="W72" t="s">
        <v>502</v>
      </c>
    </row>
    <row r="73" spans="1:23" x14ac:dyDescent="0.25">
      <c r="A73">
        <v>70</v>
      </c>
      <c r="B73" s="123">
        <v>3</v>
      </c>
      <c r="C73" s="37">
        <v>8</v>
      </c>
      <c r="D73" s="37">
        <v>3</v>
      </c>
      <c r="E73" s="37">
        <v>4</v>
      </c>
      <c r="F73" s="37">
        <v>6</v>
      </c>
      <c r="G73" s="37">
        <v>4</v>
      </c>
      <c r="H73" s="37">
        <v>5</v>
      </c>
      <c r="I73" s="37">
        <v>5</v>
      </c>
      <c r="J73" s="90">
        <v>8</v>
      </c>
      <c r="L73" t="str">
        <f t="array" ref="L73:L81">TRANSPOSE(B3:J3)</f>
        <v>Expect</v>
      </c>
      <c r="M73" s="203">
        <f t="array" ref="M73:U81">M60:U68*SQRT(ABS(M59:U59))</f>
        <v>0.18443788055245225</v>
      </c>
      <c r="N73" s="204">
        <v>0.76673944089161006</v>
      </c>
      <c r="O73" s="204">
        <v>-0.27758481196302998</v>
      </c>
      <c r="P73" s="204">
        <v>0.11515839253464147</v>
      </c>
      <c r="Q73" s="204">
        <v>0.35026082398667768</v>
      </c>
      <c r="R73" s="204">
        <v>-7.7212138887992735E-2</v>
      </c>
      <c r="S73" s="204">
        <v>0.36058800888312886</v>
      </c>
      <c r="T73" s="204">
        <v>-0.16701347758289317</v>
      </c>
      <c r="U73" s="205">
        <v>-3.4884693132850413E-2</v>
      </c>
      <c r="W73" s="206">
        <f>SUMSQ(M73:U73)</f>
        <v>1.0000000000762619</v>
      </c>
    </row>
    <row r="74" spans="1:23" x14ac:dyDescent="0.25">
      <c r="A74">
        <v>71</v>
      </c>
      <c r="B74" s="123">
        <v>6</v>
      </c>
      <c r="C74" s="37">
        <v>8</v>
      </c>
      <c r="D74" s="37">
        <v>5</v>
      </c>
      <c r="E74" s="37">
        <v>4</v>
      </c>
      <c r="F74" s="37">
        <v>7</v>
      </c>
      <c r="G74" s="37">
        <v>5</v>
      </c>
      <c r="H74" s="37">
        <v>6</v>
      </c>
      <c r="I74" s="37">
        <v>4</v>
      </c>
      <c r="J74" s="90">
        <v>7</v>
      </c>
      <c r="L74" t="str">
        <v>Entertain</v>
      </c>
      <c r="M74" s="83">
        <v>-0.69848518848974062</v>
      </c>
      <c r="N74" s="37">
        <v>-0.30363015858216247</v>
      </c>
      <c r="O74" s="37">
        <v>-0.19538523477692776</v>
      </c>
      <c r="P74" s="37">
        <v>-0.26479923502506097</v>
      </c>
      <c r="Q74" s="37">
        <v>0.28521525795582114</v>
      </c>
      <c r="R74" s="37">
        <v>3.3003179167352208E-5</v>
      </c>
      <c r="S74" s="37">
        <v>0.32730877323340773</v>
      </c>
      <c r="T74" s="37">
        <v>0.34815886810228847</v>
      </c>
      <c r="U74" s="84">
        <v>-4.4042802899444587E-2</v>
      </c>
      <c r="W74" s="98">
        <f t="shared" ref="W74:W81" si="7">SUMSQ(M74:U74)</f>
        <v>0.99999999999995004</v>
      </c>
    </row>
    <row r="75" spans="1:23" x14ac:dyDescent="0.25">
      <c r="A75">
        <v>72</v>
      </c>
      <c r="B75" s="123">
        <v>4</v>
      </c>
      <c r="C75" s="37">
        <v>8</v>
      </c>
      <c r="D75" s="37">
        <v>4</v>
      </c>
      <c r="E75" s="37">
        <v>4</v>
      </c>
      <c r="F75" s="37">
        <v>7</v>
      </c>
      <c r="G75" s="37">
        <v>7</v>
      </c>
      <c r="H75" s="37">
        <v>6</v>
      </c>
      <c r="I75" s="37">
        <v>4</v>
      </c>
      <c r="J75" s="90">
        <v>7</v>
      </c>
      <c r="L75" t="str">
        <v>Comm</v>
      </c>
      <c r="M75" s="83">
        <v>-0.75409390641255702</v>
      </c>
      <c r="N75" s="37">
        <v>0.34865162907379821</v>
      </c>
      <c r="O75" s="37">
        <v>-0.20204851885939915</v>
      </c>
      <c r="P75" s="37">
        <v>-0.30587511636421028</v>
      </c>
      <c r="Q75" s="37">
        <v>2.527029410114261E-2</v>
      </c>
      <c r="R75" s="37">
        <v>-0.10665169365952692</v>
      </c>
      <c r="S75" s="37">
        <v>-0.22565186200777834</v>
      </c>
      <c r="T75" s="37">
        <v>-3.7578556949311413E-2</v>
      </c>
      <c r="U75" s="84">
        <v>0.33325238001359164</v>
      </c>
      <c r="W75" s="98">
        <f t="shared" si="7"/>
        <v>1.0000000000075571</v>
      </c>
    </row>
    <row r="76" spans="1:23" x14ac:dyDescent="0.25">
      <c r="A76">
        <v>73</v>
      </c>
      <c r="B76" s="123">
        <v>4</v>
      </c>
      <c r="C76" s="37">
        <v>7</v>
      </c>
      <c r="D76" s="37">
        <v>3</v>
      </c>
      <c r="E76" s="37">
        <v>3</v>
      </c>
      <c r="F76" s="37">
        <v>6</v>
      </c>
      <c r="G76" s="37">
        <v>5</v>
      </c>
      <c r="H76" s="37">
        <v>5</v>
      </c>
      <c r="I76" s="37">
        <v>4</v>
      </c>
      <c r="J76" s="90">
        <v>7</v>
      </c>
      <c r="L76" t="str">
        <v>Expert</v>
      </c>
      <c r="M76" s="83">
        <v>-0.36597842708944173</v>
      </c>
      <c r="N76" s="37">
        <v>0.16252503821235492</v>
      </c>
      <c r="O76" s="37">
        <v>-0.19730233536452252</v>
      </c>
      <c r="P76" s="37">
        <v>0.84984515757982271</v>
      </c>
      <c r="Q76" s="37">
        <v>2.3641042451432937E-2</v>
      </c>
      <c r="R76" s="37">
        <v>-6.6367773574538165E-3</v>
      </c>
      <c r="S76" s="37">
        <v>-0.16602767159549162</v>
      </c>
      <c r="T76" s="37">
        <v>0.22257125821552756</v>
      </c>
      <c r="U76" s="84">
        <v>2.7826265229211583E-2</v>
      </c>
      <c r="W76" s="98">
        <f t="shared" si="7"/>
        <v>1.0000000000005103</v>
      </c>
    </row>
    <row r="77" spans="1:23" x14ac:dyDescent="0.25">
      <c r="A77">
        <v>74</v>
      </c>
      <c r="B77" s="123">
        <v>4</v>
      </c>
      <c r="C77" s="37">
        <v>8</v>
      </c>
      <c r="D77" s="37">
        <v>5</v>
      </c>
      <c r="E77" s="37">
        <v>4</v>
      </c>
      <c r="F77" s="37">
        <v>7</v>
      </c>
      <c r="G77" s="37">
        <v>8</v>
      </c>
      <c r="H77" s="37">
        <v>8</v>
      </c>
      <c r="I77" s="37">
        <v>5</v>
      </c>
      <c r="J77" s="90">
        <v>7</v>
      </c>
      <c r="L77" t="str">
        <v>Motivate</v>
      </c>
      <c r="M77" s="83">
        <v>-0.57816295036903198</v>
      </c>
      <c r="N77" s="37">
        <v>4.4133810816552592E-2</v>
      </c>
      <c r="O77" s="37">
        <v>0.45272186814106236</v>
      </c>
      <c r="P77" s="37">
        <v>0.15789519627173182</v>
      </c>
      <c r="Q77" s="37">
        <v>-0.35569993215353857</v>
      </c>
      <c r="R77" s="37">
        <v>-0.45058676534321235</v>
      </c>
      <c r="S77" s="37">
        <v>0.31838175164520466</v>
      </c>
      <c r="T77" s="37">
        <v>-5.1838337313778758E-2</v>
      </c>
      <c r="U77" s="84">
        <v>1.6935122679521939E-2</v>
      </c>
      <c r="W77" s="98">
        <f t="shared" si="7"/>
        <v>0.99999999954822449</v>
      </c>
    </row>
    <row r="78" spans="1:23" x14ac:dyDescent="0.25">
      <c r="A78">
        <v>75</v>
      </c>
      <c r="B78" s="123">
        <v>3</v>
      </c>
      <c r="C78" s="37">
        <v>8</v>
      </c>
      <c r="D78" s="37">
        <v>2</v>
      </c>
      <c r="E78" s="37">
        <v>4</v>
      </c>
      <c r="F78" s="37">
        <v>6</v>
      </c>
      <c r="G78" s="37">
        <v>5</v>
      </c>
      <c r="H78" s="37">
        <v>5</v>
      </c>
      <c r="I78" s="37">
        <v>5</v>
      </c>
      <c r="J78" s="90">
        <v>8</v>
      </c>
      <c r="L78" t="str">
        <v>Caring</v>
      </c>
      <c r="M78" s="83">
        <v>-0.29966683800482935</v>
      </c>
      <c r="N78" s="37">
        <v>3.0388016666011732E-2</v>
      </c>
      <c r="O78" s="37">
        <v>0.77085649526279787</v>
      </c>
      <c r="P78" s="37">
        <v>6.3738785375869411E-2</v>
      </c>
      <c r="Q78" s="37">
        <v>0.53119148960128271</v>
      </c>
      <c r="R78" s="37">
        <v>2.3840888365523748E-2</v>
      </c>
      <c r="S78" s="37">
        <v>-0.16207974850630014</v>
      </c>
      <c r="T78" s="37">
        <v>-4.287300897389866E-2</v>
      </c>
      <c r="U78" s="84">
        <v>-1.2379789994410867E-2</v>
      </c>
      <c r="W78" s="98">
        <f t="shared" si="7"/>
        <v>0.99999999996427558</v>
      </c>
    </row>
    <row r="79" spans="1:23" x14ac:dyDescent="0.25">
      <c r="A79">
        <v>76</v>
      </c>
      <c r="B79" s="123">
        <v>4</v>
      </c>
      <c r="C79" s="37">
        <v>8</v>
      </c>
      <c r="D79" s="37">
        <v>3</v>
      </c>
      <c r="E79" s="37">
        <v>1</v>
      </c>
      <c r="F79" s="37">
        <v>6</v>
      </c>
      <c r="G79" s="37">
        <v>4</v>
      </c>
      <c r="H79" s="37">
        <v>1</v>
      </c>
      <c r="I79" s="37">
        <v>4</v>
      </c>
      <c r="J79" s="90">
        <v>7</v>
      </c>
      <c r="L79" t="str">
        <v>Charisma</v>
      </c>
      <c r="M79" s="83">
        <v>-0.81718661596991582</v>
      </c>
      <c r="N79" s="37">
        <v>0.23935266908492384</v>
      </c>
      <c r="O79" s="37">
        <v>-0.1945147303529734</v>
      </c>
      <c r="P79" s="37">
        <v>-0.16643424455975536</v>
      </c>
      <c r="Q79" s="37">
        <v>-7.4808180508665945E-2</v>
      </c>
      <c r="R79" s="37">
        <v>-7.9791668827654122E-2</v>
      </c>
      <c r="S79" s="37">
        <v>-0.27105482640180517</v>
      </c>
      <c r="T79" s="37">
        <v>-9.8620172565817898E-2</v>
      </c>
      <c r="U79" s="84">
        <v>-0.33796503478954354</v>
      </c>
      <c r="W79" s="98">
        <f t="shared" si="7"/>
        <v>0.99999999998314737</v>
      </c>
    </row>
    <row r="80" spans="1:23" x14ac:dyDescent="0.25">
      <c r="A80">
        <v>77</v>
      </c>
      <c r="B80" s="123">
        <v>4</v>
      </c>
      <c r="C80" s="37">
        <v>9</v>
      </c>
      <c r="D80" s="37">
        <v>6</v>
      </c>
      <c r="E80" s="37">
        <v>5</v>
      </c>
      <c r="F80" s="37">
        <v>8</v>
      </c>
      <c r="G80" s="37">
        <v>5</v>
      </c>
      <c r="H80" s="37">
        <v>9</v>
      </c>
      <c r="I80" s="37">
        <v>5</v>
      </c>
      <c r="J80" s="90">
        <v>8</v>
      </c>
      <c r="L80" t="str">
        <v>Passion</v>
      </c>
      <c r="M80" s="83">
        <v>-0.68789272835115534</v>
      </c>
      <c r="N80" s="37">
        <v>3.5303982803739795E-2</v>
      </c>
      <c r="O80" s="37">
        <v>0.11603236905909446</v>
      </c>
      <c r="P80" s="37">
        <v>0.11762701672483196</v>
      </c>
      <c r="Q80" s="37">
        <v>-0.18053725181114905</v>
      </c>
      <c r="R80" s="37">
        <v>0.62994039881481378</v>
      </c>
      <c r="S80" s="37">
        <v>0.21135589608604263</v>
      </c>
      <c r="T80" s="37">
        <v>-0.15226068819141922</v>
      </c>
      <c r="U80" s="84">
        <v>3.1374517333664663E-2</v>
      </c>
      <c r="W80" s="98">
        <f t="shared" si="7"/>
        <v>1.0000000003205209</v>
      </c>
    </row>
    <row r="81" spans="1:23" x14ac:dyDescent="0.25">
      <c r="A81">
        <v>78</v>
      </c>
      <c r="B81" s="123">
        <v>2</v>
      </c>
      <c r="C81" s="37">
        <v>9</v>
      </c>
      <c r="D81" s="37">
        <v>5</v>
      </c>
      <c r="E81" s="37">
        <v>2</v>
      </c>
      <c r="F81" s="37">
        <v>6</v>
      </c>
      <c r="G81" s="37">
        <v>7</v>
      </c>
      <c r="H81" s="37">
        <v>8</v>
      </c>
      <c r="I81" s="37">
        <v>5</v>
      </c>
      <c r="J81" s="90">
        <v>8</v>
      </c>
      <c r="L81" t="str">
        <v>Friendly</v>
      </c>
      <c r="M81" s="85">
        <v>-0.30145846294129131</v>
      </c>
      <c r="N81" s="86">
        <v>-0.74107631451599432</v>
      </c>
      <c r="O81" s="86">
        <v>-0.3441987786860507</v>
      </c>
      <c r="P81" s="86">
        <v>0.23397915226264601</v>
      </c>
      <c r="Q81" s="86">
        <v>0.23044302206539241</v>
      </c>
      <c r="R81" s="86">
        <v>-0.15314903149993489</v>
      </c>
      <c r="S81" s="86">
        <v>3.1236752320533766E-2</v>
      </c>
      <c r="T81" s="86">
        <v>-0.32826151662682201</v>
      </c>
      <c r="U81" s="87">
        <v>3.7678615683154011E-2</v>
      </c>
      <c r="W81" s="99">
        <f t="shared" si="7"/>
        <v>1.0000000000995239</v>
      </c>
    </row>
    <row r="82" spans="1:23" x14ac:dyDescent="0.25">
      <c r="A82">
        <v>79</v>
      </c>
      <c r="B82" s="123">
        <v>4</v>
      </c>
      <c r="C82" s="37">
        <v>7</v>
      </c>
      <c r="D82" s="37">
        <v>2</v>
      </c>
      <c r="E82" s="37">
        <v>1</v>
      </c>
      <c r="F82" s="37">
        <v>6</v>
      </c>
      <c r="G82" s="37">
        <v>3</v>
      </c>
      <c r="H82" s="37">
        <v>1</v>
      </c>
      <c r="I82" s="37">
        <v>2</v>
      </c>
      <c r="J82" s="90">
        <v>7</v>
      </c>
    </row>
    <row r="83" spans="1:23" x14ac:dyDescent="0.25">
      <c r="A83">
        <v>80</v>
      </c>
      <c r="B83" s="123">
        <v>5</v>
      </c>
      <c r="C83" s="37">
        <v>8</v>
      </c>
      <c r="D83" s="37">
        <v>4</v>
      </c>
      <c r="E83" s="37">
        <v>3</v>
      </c>
      <c r="F83" s="37">
        <v>7</v>
      </c>
      <c r="G83" s="37">
        <v>5</v>
      </c>
      <c r="H83" s="37">
        <v>4</v>
      </c>
      <c r="I83" s="37">
        <v>5</v>
      </c>
      <c r="J83" s="90">
        <v>7</v>
      </c>
      <c r="L83" t="s">
        <v>396</v>
      </c>
    </row>
    <row r="84" spans="1:23" x14ac:dyDescent="0.25">
      <c r="A84">
        <v>81</v>
      </c>
      <c r="B84" s="123">
        <v>4</v>
      </c>
      <c r="C84" s="37">
        <v>8</v>
      </c>
      <c r="D84" s="37">
        <v>5</v>
      </c>
      <c r="E84" s="37">
        <v>4</v>
      </c>
      <c r="F84" s="37">
        <v>7</v>
      </c>
      <c r="G84" s="37">
        <v>6</v>
      </c>
      <c r="H84" s="37">
        <v>8</v>
      </c>
      <c r="I84" s="37">
        <v>4</v>
      </c>
      <c r="J84" s="90">
        <v>7</v>
      </c>
    </row>
    <row r="85" spans="1:23" x14ac:dyDescent="0.25">
      <c r="A85">
        <v>82</v>
      </c>
      <c r="B85" s="123">
        <v>4</v>
      </c>
      <c r="C85" s="37">
        <v>8</v>
      </c>
      <c r="D85" s="37">
        <v>3</v>
      </c>
      <c r="E85" s="37">
        <v>4</v>
      </c>
      <c r="F85" s="37">
        <v>7</v>
      </c>
      <c r="G85" s="37">
        <v>6</v>
      </c>
      <c r="H85" s="37">
        <v>3</v>
      </c>
      <c r="I85" s="37">
        <v>7</v>
      </c>
      <c r="J85" s="90">
        <v>8</v>
      </c>
      <c r="M85" s="32" t="s">
        <v>386</v>
      </c>
      <c r="N85" s="32" t="s">
        <v>387</v>
      </c>
      <c r="O85" s="32" t="s">
        <v>503</v>
      </c>
    </row>
    <row r="86" spans="1:23" x14ac:dyDescent="0.25">
      <c r="A86">
        <v>83</v>
      </c>
      <c r="B86" s="123">
        <v>5</v>
      </c>
      <c r="C86" s="37">
        <v>8</v>
      </c>
      <c r="D86" s="37">
        <v>3</v>
      </c>
      <c r="E86" s="37">
        <v>3</v>
      </c>
      <c r="F86" s="37">
        <v>7</v>
      </c>
      <c r="G86" s="37">
        <v>6</v>
      </c>
      <c r="H86" s="37">
        <v>1</v>
      </c>
      <c r="I86" s="37">
        <v>4</v>
      </c>
      <c r="J86" s="90">
        <v>7</v>
      </c>
      <c r="M86" s="203">
        <f t="array" ref="M86:M94">TRANSPOSE(M59:U59)</f>
        <v>2.8804369060025632</v>
      </c>
      <c r="N86" s="211">
        <f>M86/M$95</f>
        <v>0.3200485451113963</v>
      </c>
      <c r="O86" s="212">
        <f>N86</f>
        <v>0.3200485451113963</v>
      </c>
    </row>
    <row r="87" spans="1:23" x14ac:dyDescent="0.25">
      <c r="A87">
        <v>84</v>
      </c>
      <c r="B87" s="123">
        <v>2</v>
      </c>
      <c r="C87" s="37">
        <v>9</v>
      </c>
      <c r="D87" s="37">
        <v>6</v>
      </c>
      <c r="E87" s="37">
        <v>4</v>
      </c>
      <c r="F87" s="37">
        <v>8</v>
      </c>
      <c r="G87" s="37">
        <v>6</v>
      </c>
      <c r="H87" s="37">
        <v>8</v>
      </c>
      <c r="I87" s="37">
        <v>5</v>
      </c>
      <c r="J87" s="90">
        <v>8</v>
      </c>
      <c r="M87" s="83">
        <v>1.4386543900717295</v>
      </c>
      <c r="N87" s="213">
        <f t="shared" ref="N87:N94" si="8">M87/M$95</f>
        <v>0.1598504877857479</v>
      </c>
      <c r="O87" s="214">
        <f>O86+N87</f>
        <v>0.4798990328971442</v>
      </c>
    </row>
    <row r="88" spans="1:23" x14ac:dyDescent="0.25">
      <c r="A88">
        <v>85</v>
      </c>
      <c r="B88" s="123">
        <v>5</v>
      </c>
      <c r="C88" s="37">
        <v>8</v>
      </c>
      <c r="D88" s="37">
        <v>4</v>
      </c>
      <c r="E88" s="37">
        <v>4</v>
      </c>
      <c r="F88" s="37">
        <v>7</v>
      </c>
      <c r="G88" s="37">
        <v>6</v>
      </c>
      <c r="H88" s="37">
        <v>5</v>
      </c>
      <c r="I88" s="37">
        <v>5</v>
      </c>
      <c r="J88" s="90">
        <v>7</v>
      </c>
      <c r="M88" s="83">
        <v>1.1639296497396623</v>
      </c>
      <c r="N88" s="213">
        <f t="shared" si="8"/>
        <v>0.12932551663774042</v>
      </c>
      <c r="O88" s="214">
        <f t="shared" ref="O88:O94" si="9">O87+N88</f>
        <v>0.60922454953488459</v>
      </c>
    </row>
    <row r="89" spans="1:23" x14ac:dyDescent="0.25">
      <c r="A89">
        <v>86</v>
      </c>
      <c r="B89" s="123">
        <v>4</v>
      </c>
      <c r="C89" s="37">
        <v>8</v>
      </c>
      <c r="D89" s="37">
        <v>7</v>
      </c>
      <c r="E89" s="37">
        <v>5</v>
      </c>
      <c r="F89" s="37">
        <v>7</v>
      </c>
      <c r="G89" s="37">
        <v>6</v>
      </c>
      <c r="H89" s="37">
        <v>9</v>
      </c>
      <c r="I89" s="37">
        <v>6</v>
      </c>
      <c r="J89" s="90">
        <v>7</v>
      </c>
      <c r="M89" s="83">
        <v>1.0244527111999022</v>
      </c>
      <c r="N89" s="213">
        <f t="shared" si="8"/>
        <v>0.1138280790222115</v>
      </c>
      <c r="O89" s="214">
        <f t="shared" si="9"/>
        <v>0.72305262855709607</v>
      </c>
    </row>
    <row r="90" spans="1:23" x14ac:dyDescent="0.25">
      <c r="A90">
        <v>87</v>
      </c>
      <c r="B90" s="123">
        <v>5</v>
      </c>
      <c r="C90" s="37">
        <v>7</v>
      </c>
      <c r="D90" s="37">
        <v>2</v>
      </c>
      <c r="E90" s="37">
        <v>3</v>
      </c>
      <c r="F90" s="37">
        <v>5</v>
      </c>
      <c r="G90" s="37">
        <v>5</v>
      </c>
      <c r="H90" s="37">
        <v>1</v>
      </c>
      <c r="I90" s="37">
        <v>3</v>
      </c>
      <c r="J90" s="90">
        <v>7</v>
      </c>
      <c r="M90" s="83">
        <v>0.7052086647828173</v>
      </c>
      <c r="N90" s="213">
        <f t="shared" si="8"/>
        <v>7.8356518309202011E-2</v>
      </c>
      <c r="O90" s="214">
        <f t="shared" si="9"/>
        <v>0.80140914686629805</v>
      </c>
    </row>
    <row r="91" spans="1:23" x14ac:dyDescent="0.25">
      <c r="A91">
        <v>88</v>
      </c>
      <c r="B91" s="123">
        <v>3</v>
      </c>
      <c r="C91" s="37">
        <v>8</v>
      </c>
      <c r="D91" s="37">
        <v>3</v>
      </c>
      <c r="E91" s="37">
        <v>2</v>
      </c>
      <c r="F91" s="37">
        <v>6</v>
      </c>
      <c r="G91" s="37">
        <v>6</v>
      </c>
      <c r="H91" s="37">
        <v>1</v>
      </c>
      <c r="I91" s="37">
        <v>5</v>
      </c>
      <c r="J91" s="90">
        <v>7</v>
      </c>
      <c r="M91" s="83">
        <v>0.64762340943816155</v>
      </c>
      <c r="N91" s="213">
        <f t="shared" si="8"/>
        <v>7.195815660424025E-2</v>
      </c>
      <c r="O91" s="214">
        <f t="shared" si="9"/>
        <v>0.87336730347053826</v>
      </c>
    </row>
    <row r="92" spans="1:23" x14ac:dyDescent="0.25">
      <c r="A92">
        <v>89</v>
      </c>
      <c r="B92" s="123">
        <v>2</v>
      </c>
      <c r="C92" s="37">
        <v>8</v>
      </c>
      <c r="D92" s="37">
        <v>4</v>
      </c>
      <c r="E92" s="37">
        <v>2</v>
      </c>
      <c r="F92" s="37">
        <v>7</v>
      </c>
      <c r="G92" s="37">
        <v>6</v>
      </c>
      <c r="H92" s="37">
        <v>5</v>
      </c>
      <c r="I92" s="37">
        <v>6</v>
      </c>
      <c r="J92" s="90">
        <v>7</v>
      </c>
      <c r="M92" s="83">
        <v>0.56239324882697206</v>
      </c>
      <c r="N92" s="213">
        <f t="shared" si="8"/>
        <v>6.2488138758552525E-2</v>
      </c>
      <c r="O92" s="214">
        <f t="shared" si="9"/>
        <v>0.93585544222909078</v>
      </c>
    </row>
    <row r="93" spans="1:23" x14ac:dyDescent="0.25">
      <c r="A93">
        <v>90</v>
      </c>
      <c r="B93" s="123">
        <v>3</v>
      </c>
      <c r="C93" s="37">
        <v>8</v>
      </c>
      <c r="D93" s="37">
        <v>2</v>
      </c>
      <c r="E93" s="37">
        <v>4</v>
      </c>
      <c r="F93" s="37">
        <v>8</v>
      </c>
      <c r="G93" s="37">
        <v>7</v>
      </c>
      <c r="H93" s="37">
        <v>3</v>
      </c>
      <c r="I93" s="37">
        <v>5</v>
      </c>
      <c r="J93" s="90">
        <v>8</v>
      </c>
      <c r="M93" s="83">
        <v>0.34524839907614585</v>
      </c>
      <c r="N93" s="213">
        <f t="shared" si="8"/>
        <v>3.8360933230682917E-2</v>
      </c>
      <c r="O93" s="214">
        <f t="shared" si="9"/>
        <v>0.97421637545977369</v>
      </c>
    </row>
    <row r="94" spans="1:23" x14ac:dyDescent="0.25">
      <c r="A94">
        <v>91</v>
      </c>
      <c r="B94" s="123">
        <v>5</v>
      </c>
      <c r="C94" s="37">
        <v>8</v>
      </c>
      <c r="D94" s="37">
        <v>3</v>
      </c>
      <c r="E94" s="37">
        <v>2</v>
      </c>
      <c r="F94" s="37">
        <v>5</v>
      </c>
      <c r="G94" s="37">
        <v>5</v>
      </c>
      <c r="H94" s="37">
        <v>5</v>
      </c>
      <c r="I94" s="37">
        <v>4</v>
      </c>
      <c r="J94" s="90">
        <v>7</v>
      </c>
      <c r="M94" s="85">
        <v>0.2320526208620349</v>
      </c>
      <c r="N94" s="215">
        <f t="shared" si="8"/>
        <v>2.5783624540226129E-2</v>
      </c>
      <c r="O94" s="216">
        <f t="shared" si="9"/>
        <v>0.99999999999999978</v>
      </c>
    </row>
    <row r="95" spans="1:23" x14ac:dyDescent="0.25">
      <c r="A95">
        <v>92</v>
      </c>
      <c r="B95" s="123">
        <v>3</v>
      </c>
      <c r="C95" s="37">
        <v>8</v>
      </c>
      <c r="D95" s="37">
        <v>2</v>
      </c>
      <c r="E95" s="37">
        <v>4</v>
      </c>
      <c r="F95" s="37">
        <v>6</v>
      </c>
      <c r="G95" s="37">
        <v>6</v>
      </c>
      <c r="H95" s="37">
        <v>7</v>
      </c>
      <c r="I95" s="37">
        <v>4</v>
      </c>
      <c r="J95" s="90">
        <v>7</v>
      </c>
      <c r="M95">
        <f>SUM(M86:M94)</f>
        <v>8.9999999999999893</v>
      </c>
    </row>
    <row r="96" spans="1:23" x14ac:dyDescent="0.25">
      <c r="A96">
        <v>93</v>
      </c>
      <c r="B96" s="123">
        <v>3</v>
      </c>
      <c r="C96" s="37">
        <v>8</v>
      </c>
      <c r="D96" s="37">
        <v>2</v>
      </c>
      <c r="E96" s="37">
        <v>2</v>
      </c>
      <c r="F96" s="37">
        <v>7</v>
      </c>
      <c r="G96" s="37">
        <v>8</v>
      </c>
      <c r="H96" s="37">
        <v>1</v>
      </c>
      <c r="I96" s="37">
        <v>4</v>
      </c>
      <c r="J96" s="90">
        <v>7</v>
      </c>
    </row>
    <row r="97" spans="1:19" x14ac:dyDescent="0.25">
      <c r="A97">
        <v>94</v>
      </c>
      <c r="B97" s="123">
        <v>3</v>
      </c>
      <c r="C97" s="37">
        <v>8</v>
      </c>
      <c r="D97" s="37">
        <v>2</v>
      </c>
      <c r="E97" s="37">
        <v>2</v>
      </c>
      <c r="F97" s="37">
        <v>6</v>
      </c>
      <c r="G97" s="37">
        <v>4</v>
      </c>
      <c r="H97" s="37">
        <v>4</v>
      </c>
      <c r="I97" s="37">
        <v>5</v>
      </c>
      <c r="J97" s="90">
        <v>7</v>
      </c>
      <c r="L97" t="s">
        <v>504</v>
      </c>
    </row>
    <row r="98" spans="1:19" x14ac:dyDescent="0.25">
      <c r="A98">
        <v>95</v>
      </c>
      <c r="B98" s="123">
        <v>4</v>
      </c>
      <c r="C98" s="37">
        <v>8</v>
      </c>
      <c r="D98" s="37">
        <v>3</v>
      </c>
      <c r="E98" s="37">
        <v>3</v>
      </c>
      <c r="F98" s="37">
        <v>5</v>
      </c>
      <c r="G98" s="37">
        <v>5</v>
      </c>
      <c r="H98" s="37">
        <v>1</v>
      </c>
      <c r="I98" s="37">
        <v>4</v>
      </c>
      <c r="J98" s="90">
        <v>8</v>
      </c>
    </row>
    <row r="99" spans="1:19" x14ac:dyDescent="0.25">
      <c r="A99">
        <v>96</v>
      </c>
      <c r="B99" s="123">
        <v>5</v>
      </c>
      <c r="C99" s="37">
        <v>8</v>
      </c>
      <c r="D99" s="37">
        <v>2</v>
      </c>
      <c r="E99" s="37">
        <v>3</v>
      </c>
      <c r="F99" s="37">
        <v>7</v>
      </c>
      <c r="G99" s="37">
        <v>6</v>
      </c>
      <c r="H99" s="37">
        <v>5</v>
      </c>
      <c r="I99" s="37">
        <v>4</v>
      </c>
      <c r="J99" s="90">
        <v>7</v>
      </c>
      <c r="M99">
        <v>1</v>
      </c>
      <c r="N99">
        <f>M99+1</f>
        <v>2</v>
      </c>
      <c r="O99">
        <f>N99+1</f>
        <v>3</v>
      </c>
      <c r="P99">
        <f>O99+1</f>
        <v>4</v>
      </c>
      <c r="R99" t="s">
        <v>502</v>
      </c>
      <c r="S99" t="s">
        <v>505</v>
      </c>
    </row>
    <row r="100" spans="1:19" x14ac:dyDescent="0.25">
      <c r="A100">
        <v>97</v>
      </c>
      <c r="B100" s="123">
        <v>4</v>
      </c>
      <c r="C100" s="37">
        <v>9</v>
      </c>
      <c r="D100" s="37">
        <v>2</v>
      </c>
      <c r="E100" s="37">
        <v>3</v>
      </c>
      <c r="F100" s="37">
        <v>7</v>
      </c>
      <c r="G100" s="37">
        <v>7</v>
      </c>
      <c r="H100" s="37">
        <v>6</v>
      </c>
      <c r="I100" s="37">
        <v>6</v>
      </c>
      <c r="J100" s="90">
        <v>6</v>
      </c>
      <c r="L100" t="str">
        <f t="array" ref="L100:L108">TRANSPOSE(B3:J3)</f>
        <v>Expect</v>
      </c>
      <c r="M100" s="203">
        <f t="array" ref="M100:P108">M73:P81</f>
        <v>0.18443788055245225</v>
      </c>
      <c r="N100" s="204">
        <v>0.76673944089161006</v>
      </c>
      <c r="O100" s="204">
        <v>-0.27758481196302998</v>
      </c>
      <c r="P100" s="205">
        <v>0.11515839253464147</v>
      </c>
      <c r="R100" s="206">
        <f>SUMSQ(M100:P100)</f>
        <v>0.71222148520517259</v>
      </c>
      <c r="S100" s="206">
        <f>1-R100</f>
        <v>0.28777851479482741</v>
      </c>
    </row>
    <row r="101" spans="1:19" x14ac:dyDescent="0.25">
      <c r="A101">
        <v>98</v>
      </c>
      <c r="B101" s="123">
        <v>4</v>
      </c>
      <c r="C101" s="37">
        <v>8</v>
      </c>
      <c r="D101" s="37">
        <v>3</v>
      </c>
      <c r="E101" s="37">
        <v>3</v>
      </c>
      <c r="F101" s="37">
        <v>6</v>
      </c>
      <c r="G101" s="37">
        <v>6</v>
      </c>
      <c r="H101" s="37">
        <v>5</v>
      </c>
      <c r="I101" s="37">
        <v>5</v>
      </c>
      <c r="J101" s="90">
        <v>7</v>
      </c>
      <c r="L101" t="str">
        <v>Entertain</v>
      </c>
      <c r="M101" s="83">
        <v>-0.69848518848974062</v>
      </c>
      <c r="N101" s="37">
        <v>-0.30363015858216247</v>
      </c>
      <c r="O101" s="37">
        <v>-0.19538523477692776</v>
      </c>
      <c r="P101" s="84">
        <v>-0.26479923502506097</v>
      </c>
      <c r="R101" s="98">
        <f t="shared" ref="R101:R108" si="10">SUMSQ(M101:P101)</f>
        <v>0.6883668565788702</v>
      </c>
      <c r="S101" s="98">
        <f t="shared" ref="S101:S108" si="11">1-R101</f>
        <v>0.3116331434211298</v>
      </c>
    </row>
    <row r="102" spans="1:19" x14ac:dyDescent="0.25">
      <c r="A102">
        <v>99</v>
      </c>
      <c r="B102" s="123">
        <v>3</v>
      </c>
      <c r="C102" s="37">
        <v>8</v>
      </c>
      <c r="D102" s="37">
        <v>3</v>
      </c>
      <c r="E102" s="37">
        <v>3</v>
      </c>
      <c r="F102" s="37">
        <v>7</v>
      </c>
      <c r="G102" s="37">
        <v>5</v>
      </c>
      <c r="H102" s="37">
        <v>3</v>
      </c>
      <c r="I102" s="37">
        <v>5</v>
      </c>
      <c r="J102" s="90">
        <v>7</v>
      </c>
      <c r="L102" t="str">
        <v>Comm</v>
      </c>
      <c r="M102" s="83">
        <v>-0.75409390641255702</v>
      </c>
      <c r="N102" s="37">
        <v>0.34865162907379821</v>
      </c>
      <c r="O102" s="37">
        <v>-0.20204851885939915</v>
      </c>
      <c r="P102" s="84">
        <v>-0.30587511636421028</v>
      </c>
      <c r="R102" s="98">
        <f t="shared" si="10"/>
        <v>0.82459876892845996</v>
      </c>
      <c r="S102" s="98">
        <f t="shared" si="11"/>
        <v>0.17540123107154004</v>
      </c>
    </row>
    <row r="103" spans="1:19" x14ac:dyDescent="0.25">
      <c r="A103">
        <v>100</v>
      </c>
      <c r="B103" s="123">
        <v>2</v>
      </c>
      <c r="C103" s="37">
        <v>8</v>
      </c>
      <c r="D103" s="37">
        <v>3</v>
      </c>
      <c r="E103" s="37">
        <v>2</v>
      </c>
      <c r="F103" s="37">
        <v>8</v>
      </c>
      <c r="G103" s="37">
        <v>8</v>
      </c>
      <c r="H103" s="37">
        <v>5</v>
      </c>
      <c r="I103" s="37">
        <v>4</v>
      </c>
      <c r="J103" s="90">
        <v>7</v>
      </c>
      <c r="L103" t="str">
        <v>Expert</v>
      </c>
      <c r="M103" s="83">
        <v>-0.36597842708944173</v>
      </c>
      <c r="N103" s="37">
        <v>0.16252503821235492</v>
      </c>
      <c r="O103" s="37">
        <v>-0.19730233536452252</v>
      </c>
      <c r="P103" s="84">
        <v>0.84984515757982271</v>
      </c>
      <c r="R103" s="98">
        <f t="shared" si="10"/>
        <v>0.92151960054295756</v>
      </c>
      <c r="S103" s="98">
        <f t="shared" si="11"/>
        <v>7.8480399457042438E-2</v>
      </c>
    </row>
    <row r="104" spans="1:19" x14ac:dyDescent="0.25">
      <c r="A104">
        <f>A103+1</f>
        <v>101</v>
      </c>
      <c r="B104" s="123">
        <v>5</v>
      </c>
      <c r="C104" s="37">
        <v>8</v>
      </c>
      <c r="D104" s="37">
        <v>1</v>
      </c>
      <c r="E104" s="37">
        <v>3</v>
      </c>
      <c r="F104" s="37">
        <v>6</v>
      </c>
      <c r="G104" s="37">
        <v>6</v>
      </c>
      <c r="H104" s="37">
        <v>4</v>
      </c>
      <c r="I104" s="37">
        <v>5</v>
      </c>
      <c r="J104" s="90">
        <v>7</v>
      </c>
      <c r="L104" t="str">
        <v>Motivate</v>
      </c>
      <c r="M104" s="83">
        <v>-0.57816295036903198</v>
      </c>
      <c r="N104" s="37">
        <v>4.4133810816552592E-2</v>
      </c>
      <c r="O104" s="37">
        <v>0.45272186814106236</v>
      </c>
      <c r="P104" s="84">
        <v>0.15789519627173182</v>
      </c>
      <c r="R104" s="98">
        <f t="shared" si="10"/>
        <v>0.56610817333543717</v>
      </c>
      <c r="S104" s="98">
        <f t="shared" si="11"/>
        <v>0.43389182666456283</v>
      </c>
    </row>
    <row r="105" spans="1:19" x14ac:dyDescent="0.25">
      <c r="A105">
        <f t="shared" ref="A105:A123" si="12">A104+1</f>
        <v>102</v>
      </c>
      <c r="B105" s="123">
        <v>6</v>
      </c>
      <c r="C105" s="37">
        <v>8</v>
      </c>
      <c r="D105" s="37">
        <v>3</v>
      </c>
      <c r="E105" s="37">
        <v>3</v>
      </c>
      <c r="F105" s="37">
        <v>6</v>
      </c>
      <c r="G105" s="37">
        <v>5</v>
      </c>
      <c r="H105" s="37">
        <v>4</v>
      </c>
      <c r="I105" s="37">
        <v>4</v>
      </c>
      <c r="J105" s="90">
        <v>7</v>
      </c>
      <c r="L105" t="str">
        <v>Caring</v>
      </c>
      <c r="M105" s="83">
        <v>-0.29966683800482935</v>
      </c>
      <c r="N105" s="37">
        <v>3.0388016666011732E-2</v>
      </c>
      <c r="O105" s="37">
        <v>0.77085649526279787</v>
      </c>
      <c r="P105" s="84">
        <v>6.3738785375869411E-2</v>
      </c>
      <c r="R105" s="98">
        <f t="shared" si="10"/>
        <v>0.68900601440674147</v>
      </c>
      <c r="S105" s="98">
        <f t="shared" si="11"/>
        <v>0.31099398559325853</v>
      </c>
    </row>
    <row r="106" spans="1:19" x14ac:dyDescent="0.25">
      <c r="A106">
        <f t="shared" si="12"/>
        <v>103</v>
      </c>
      <c r="B106" s="123">
        <v>5</v>
      </c>
      <c r="C106" s="37">
        <v>7</v>
      </c>
      <c r="D106" s="37">
        <v>3</v>
      </c>
      <c r="E106" s="37">
        <v>3</v>
      </c>
      <c r="F106" s="37">
        <v>7</v>
      </c>
      <c r="G106" s="37">
        <v>6</v>
      </c>
      <c r="H106" s="37">
        <v>6</v>
      </c>
      <c r="I106" s="37">
        <v>4</v>
      </c>
      <c r="J106" s="90">
        <v>7</v>
      </c>
      <c r="L106" t="str">
        <v>Charisma</v>
      </c>
      <c r="M106" s="83">
        <v>-0.81718661596991582</v>
      </c>
      <c r="N106" s="37">
        <v>0.23935266908492384</v>
      </c>
      <c r="O106" s="37">
        <v>-0.1945147303529734</v>
      </c>
      <c r="P106" s="84">
        <v>-0.16643424455975536</v>
      </c>
      <c r="R106" s="98">
        <f t="shared" si="10"/>
        <v>0.79062000360490625</v>
      </c>
      <c r="S106" s="98">
        <f t="shared" si="11"/>
        <v>0.20937999639509375</v>
      </c>
    </row>
    <row r="107" spans="1:19" x14ac:dyDescent="0.25">
      <c r="A107">
        <f t="shared" si="12"/>
        <v>104</v>
      </c>
      <c r="B107" s="123">
        <v>4</v>
      </c>
      <c r="C107" s="37">
        <v>8</v>
      </c>
      <c r="D107" s="37">
        <v>3</v>
      </c>
      <c r="E107" s="37">
        <v>5</v>
      </c>
      <c r="F107" s="37">
        <v>6</v>
      </c>
      <c r="G107" s="37">
        <v>7</v>
      </c>
      <c r="H107" s="37">
        <v>2</v>
      </c>
      <c r="I107" s="37">
        <v>6</v>
      </c>
      <c r="J107" s="90">
        <v>6</v>
      </c>
      <c r="L107" t="str">
        <v>Passion</v>
      </c>
      <c r="M107" s="83">
        <v>-0.68789272835115534</v>
      </c>
      <c r="N107" s="37">
        <v>3.5303982803739795E-2</v>
      </c>
      <c r="O107" s="37">
        <v>0.11603236905909446</v>
      </c>
      <c r="P107" s="84">
        <v>0.11762701672483196</v>
      </c>
      <c r="R107" s="98">
        <f t="shared" si="10"/>
        <v>0.50174240265325287</v>
      </c>
      <c r="S107" s="98">
        <f t="shared" si="11"/>
        <v>0.49825759734674713</v>
      </c>
    </row>
    <row r="108" spans="1:19" x14ac:dyDescent="0.25">
      <c r="A108">
        <f t="shared" si="12"/>
        <v>105</v>
      </c>
      <c r="B108" s="123">
        <v>3</v>
      </c>
      <c r="C108" s="37">
        <v>9</v>
      </c>
      <c r="D108" s="37">
        <v>3</v>
      </c>
      <c r="E108" s="37">
        <v>2</v>
      </c>
      <c r="F108" s="37">
        <v>6</v>
      </c>
      <c r="G108" s="37">
        <v>6</v>
      </c>
      <c r="H108" s="37">
        <v>5</v>
      </c>
      <c r="I108" s="37">
        <v>4</v>
      </c>
      <c r="J108" s="90">
        <v>8</v>
      </c>
      <c r="L108" t="str">
        <v>Friendly</v>
      </c>
      <c r="M108" s="85">
        <v>-0.30145846294129131</v>
      </c>
      <c r="N108" s="86">
        <v>-0.74107631451599432</v>
      </c>
      <c r="O108" s="86">
        <v>-0.3441987786860507</v>
      </c>
      <c r="P108" s="87">
        <v>0.23397915226264601</v>
      </c>
      <c r="R108" s="99">
        <f t="shared" si="10"/>
        <v>0.81329035175805031</v>
      </c>
      <c r="S108" s="99">
        <f t="shared" si="11"/>
        <v>0.18670964824194969</v>
      </c>
    </row>
    <row r="109" spans="1:19" x14ac:dyDescent="0.25">
      <c r="A109">
        <f t="shared" si="12"/>
        <v>106</v>
      </c>
      <c r="B109" s="123">
        <v>4</v>
      </c>
      <c r="C109" s="37">
        <v>8</v>
      </c>
      <c r="D109" s="37">
        <v>5</v>
      </c>
      <c r="E109" s="37">
        <v>4</v>
      </c>
      <c r="F109" s="37">
        <v>7</v>
      </c>
      <c r="G109" s="37">
        <v>6</v>
      </c>
      <c r="H109" s="37">
        <v>7</v>
      </c>
      <c r="I109" s="37">
        <v>5</v>
      </c>
      <c r="J109" s="90">
        <v>8</v>
      </c>
      <c r="M109">
        <f>SUMSQ(M100:M108)</f>
        <v>2.8804369060025623</v>
      </c>
      <c r="N109">
        <f>SUMSQ(N100:N108)</f>
        <v>1.4386543900717266</v>
      </c>
      <c r="O109">
        <f>SUMSQ(O100:O108)</f>
        <v>1.1639296497396596</v>
      </c>
      <c r="P109">
        <f>SUMSQ(P100:P108)</f>
        <v>1.0244527111998996</v>
      </c>
      <c r="R109">
        <f>SUM(R100:R108)</f>
        <v>6.5074736570138487</v>
      </c>
      <c r="S109">
        <f>SUM(S100:S108)</f>
        <v>2.4925263429861513</v>
      </c>
    </row>
    <row r="110" spans="1:19" x14ac:dyDescent="0.25">
      <c r="A110">
        <f t="shared" si="12"/>
        <v>107</v>
      </c>
      <c r="B110" s="123">
        <v>5</v>
      </c>
      <c r="C110" s="37">
        <v>9</v>
      </c>
      <c r="D110" s="37">
        <v>7</v>
      </c>
      <c r="E110" s="37">
        <v>2</v>
      </c>
      <c r="F110" s="37">
        <v>5</v>
      </c>
      <c r="G110" s="37">
        <v>6</v>
      </c>
      <c r="H110" s="37">
        <v>8</v>
      </c>
      <c r="I110" s="37">
        <v>6</v>
      </c>
      <c r="J110" s="90">
        <v>8</v>
      </c>
    </row>
    <row r="111" spans="1:19" x14ac:dyDescent="0.25">
      <c r="A111">
        <f t="shared" si="12"/>
        <v>108</v>
      </c>
      <c r="B111" s="123">
        <v>5</v>
      </c>
      <c r="C111" s="37">
        <v>8</v>
      </c>
      <c r="D111" s="37">
        <v>2</v>
      </c>
      <c r="E111" s="37">
        <v>4</v>
      </c>
      <c r="F111" s="37">
        <v>6</v>
      </c>
      <c r="G111" s="37">
        <v>7</v>
      </c>
      <c r="H111" s="37">
        <v>3</v>
      </c>
      <c r="I111" s="37">
        <v>4</v>
      </c>
      <c r="J111" s="90">
        <v>7</v>
      </c>
      <c r="L111" t="s">
        <v>506</v>
      </c>
    </row>
    <row r="112" spans="1:19" x14ac:dyDescent="0.25">
      <c r="A112">
        <f t="shared" si="12"/>
        <v>109</v>
      </c>
      <c r="B112" s="123">
        <v>4</v>
      </c>
      <c r="C112" s="37">
        <v>9</v>
      </c>
      <c r="D112" s="37">
        <v>4</v>
      </c>
      <c r="E112" s="37">
        <v>3</v>
      </c>
      <c r="F112" s="37">
        <v>7</v>
      </c>
      <c r="G112" s="37">
        <v>6</v>
      </c>
      <c r="H112" s="37">
        <v>4</v>
      </c>
      <c r="I112" s="37">
        <v>4</v>
      </c>
      <c r="J112" s="90">
        <v>8</v>
      </c>
    </row>
    <row r="113" spans="1:21" x14ac:dyDescent="0.25">
      <c r="A113">
        <f t="shared" si="12"/>
        <v>110</v>
      </c>
      <c r="B113" s="123">
        <v>4</v>
      </c>
      <c r="C113" s="37">
        <v>9</v>
      </c>
      <c r="D113" s="37">
        <v>5</v>
      </c>
      <c r="E113" s="37">
        <v>3</v>
      </c>
      <c r="F113" s="37">
        <v>8</v>
      </c>
      <c r="G113" s="37">
        <v>6</v>
      </c>
      <c r="H113" s="37">
        <v>8</v>
      </c>
      <c r="I113" s="37">
        <v>5</v>
      </c>
      <c r="J113" s="90">
        <v>7</v>
      </c>
      <c r="M113">
        <v>1</v>
      </c>
      <c r="N113">
        <f>M113+1</f>
        <v>2</v>
      </c>
      <c r="O113">
        <f>N113+1</f>
        <v>3</v>
      </c>
      <c r="P113">
        <f>O113+1</f>
        <v>4</v>
      </c>
      <c r="R113" t="s">
        <v>502</v>
      </c>
      <c r="S113" t="s">
        <v>505</v>
      </c>
    </row>
    <row r="114" spans="1:21" x14ac:dyDescent="0.25">
      <c r="A114">
        <f t="shared" si="12"/>
        <v>111</v>
      </c>
      <c r="B114" s="123">
        <v>4</v>
      </c>
      <c r="C114" s="37">
        <v>9</v>
      </c>
      <c r="D114" s="37">
        <v>2</v>
      </c>
      <c r="E114" s="37">
        <v>3</v>
      </c>
      <c r="F114" s="37">
        <v>7</v>
      </c>
      <c r="G114" s="37">
        <v>6</v>
      </c>
      <c r="H114" s="37">
        <v>4</v>
      </c>
      <c r="I114" s="37">
        <v>5</v>
      </c>
      <c r="J114" s="90">
        <v>8</v>
      </c>
      <c r="L114" t="str">
        <f t="array" ref="L114:L122">TRANSPOSE(B3:J3)</f>
        <v>Expect</v>
      </c>
      <c r="M114" s="203">
        <f t="array" ref="M114:P122">[1]!VARIMAX(M100:P108,100)</f>
        <v>-9.3044211001315102E-2</v>
      </c>
      <c r="N114" s="204">
        <v>0.75088947279199736</v>
      </c>
      <c r="O114" s="204">
        <v>-0.28778265042245305</v>
      </c>
      <c r="P114" s="205">
        <v>0.23855901946960667</v>
      </c>
      <c r="R114" s="206">
        <f>SUMSQ(M114:P114)</f>
        <v>0.71222148520517303</v>
      </c>
      <c r="S114" s="206">
        <f>1-R114</f>
        <v>0.28777851479482697</v>
      </c>
    </row>
    <row r="115" spans="1:21" x14ac:dyDescent="0.25">
      <c r="A115">
        <f t="shared" si="12"/>
        <v>112</v>
      </c>
      <c r="B115" s="123">
        <v>4</v>
      </c>
      <c r="C115" s="37">
        <v>8</v>
      </c>
      <c r="D115" s="37">
        <v>6</v>
      </c>
      <c r="E115" s="37">
        <v>5</v>
      </c>
      <c r="F115" s="37">
        <v>7</v>
      </c>
      <c r="G115" s="37">
        <v>7</v>
      </c>
      <c r="H115" s="37">
        <v>8</v>
      </c>
      <c r="I115" s="37">
        <v>6</v>
      </c>
      <c r="J115" s="90">
        <v>8</v>
      </c>
      <c r="L115" t="str">
        <v>Entertain</v>
      </c>
      <c r="M115" s="83">
        <v>-0.65869691024767973</v>
      </c>
      <c r="N115" s="37">
        <v>-0.49931312319314547</v>
      </c>
      <c r="O115" s="37">
        <v>6.975101896830023E-2</v>
      </c>
      <c r="P115" s="84">
        <v>-1.7505352582024167E-2</v>
      </c>
      <c r="R115" s="98">
        <f t="shared" ref="R115:R122" si="13">SUMSQ(M115:P115)</f>
        <v>0.68836685657887031</v>
      </c>
      <c r="S115" s="98">
        <f t="shared" ref="S115:S122" si="14">1-R115</f>
        <v>0.31163314342112969</v>
      </c>
    </row>
    <row r="116" spans="1:21" x14ac:dyDescent="0.25">
      <c r="A116">
        <f t="shared" si="12"/>
        <v>113</v>
      </c>
      <c r="B116" s="123">
        <v>3</v>
      </c>
      <c r="C116" s="37">
        <v>9</v>
      </c>
      <c r="D116" s="37">
        <v>8</v>
      </c>
      <c r="E116" s="37">
        <v>6</v>
      </c>
      <c r="F116" s="37">
        <v>8</v>
      </c>
      <c r="G116" s="37">
        <v>7</v>
      </c>
      <c r="H116" s="37">
        <v>10</v>
      </c>
      <c r="I116" s="37">
        <v>6</v>
      </c>
      <c r="J116" s="90">
        <v>7</v>
      </c>
      <c r="L116" t="str">
        <v>Comm</v>
      </c>
      <c r="M116" s="83">
        <v>-0.89343770771827546</v>
      </c>
      <c r="N116" s="37">
        <v>0.10660633892082662</v>
      </c>
      <c r="O116" s="37">
        <v>0.1033744945787235</v>
      </c>
      <c r="P116" s="84">
        <v>6.5701093811782518E-2</v>
      </c>
      <c r="R116" s="98">
        <f t="shared" si="13"/>
        <v>0.82459876892846007</v>
      </c>
      <c r="S116" s="98">
        <f t="shared" si="14"/>
        <v>0.17540123107153993</v>
      </c>
    </row>
    <row r="117" spans="1:21" x14ac:dyDescent="0.25">
      <c r="A117">
        <f t="shared" si="12"/>
        <v>114</v>
      </c>
      <c r="B117" s="123">
        <v>2</v>
      </c>
      <c r="C117" s="37">
        <v>9</v>
      </c>
      <c r="D117" s="37">
        <v>7</v>
      </c>
      <c r="E117" s="37">
        <v>4</v>
      </c>
      <c r="F117" s="37">
        <v>6</v>
      </c>
      <c r="G117" s="37">
        <v>6</v>
      </c>
      <c r="H117" s="37">
        <v>9</v>
      </c>
      <c r="I117" s="37">
        <v>5</v>
      </c>
      <c r="J117" s="90">
        <v>7</v>
      </c>
      <c r="L117" t="str">
        <v>Expert</v>
      </c>
      <c r="M117" s="83">
        <v>-4.6860080201476362E-2</v>
      </c>
      <c r="N117" s="37">
        <v>-5.6519618337628119E-4</v>
      </c>
      <c r="O117" s="37">
        <v>7.7072404609851805E-2</v>
      </c>
      <c r="P117" s="84">
        <v>0.95571086549614936</v>
      </c>
      <c r="R117" s="98">
        <f t="shared" si="13"/>
        <v>0.92151960054295812</v>
      </c>
      <c r="S117" s="98">
        <f t="shared" si="14"/>
        <v>7.8480399457041883E-2</v>
      </c>
    </row>
    <row r="118" spans="1:21" x14ac:dyDescent="0.25">
      <c r="A118">
        <f t="shared" si="12"/>
        <v>115</v>
      </c>
      <c r="B118" s="123">
        <v>4</v>
      </c>
      <c r="C118" s="37">
        <v>8</v>
      </c>
      <c r="D118" s="37">
        <v>2</v>
      </c>
      <c r="E118" s="37">
        <v>3</v>
      </c>
      <c r="F118" s="37">
        <v>7</v>
      </c>
      <c r="G118" s="37">
        <v>6</v>
      </c>
      <c r="H118" s="37">
        <v>3</v>
      </c>
      <c r="I118" s="37">
        <v>5</v>
      </c>
      <c r="J118" s="90">
        <v>7</v>
      </c>
      <c r="L118" t="str">
        <v>Motivate</v>
      </c>
      <c r="M118" s="83">
        <v>-0.26628706702688987</v>
      </c>
      <c r="N118" s="37">
        <v>-8.3966477967249376E-2</v>
      </c>
      <c r="O118" s="37">
        <v>0.6666913418866387</v>
      </c>
      <c r="P118" s="84">
        <v>0.20897764593568968</v>
      </c>
      <c r="R118" s="98">
        <f t="shared" si="13"/>
        <v>0.56610817333543739</v>
      </c>
      <c r="S118" s="98">
        <f t="shared" si="14"/>
        <v>0.43389182666456261</v>
      </c>
    </row>
    <row r="119" spans="1:21" x14ac:dyDescent="0.25">
      <c r="A119">
        <f t="shared" si="12"/>
        <v>116</v>
      </c>
      <c r="B119" s="123">
        <v>5</v>
      </c>
      <c r="C119" s="37">
        <v>8</v>
      </c>
      <c r="D119" s="37">
        <v>5</v>
      </c>
      <c r="E119" s="37">
        <v>4</v>
      </c>
      <c r="F119" s="37">
        <v>6</v>
      </c>
      <c r="G119" s="37">
        <v>7</v>
      </c>
      <c r="H119" s="37">
        <v>8</v>
      </c>
      <c r="I119" s="37">
        <v>6</v>
      </c>
      <c r="J119" s="90">
        <v>7</v>
      </c>
      <c r="L119" t="str">
        <v>Caring</v>
      </c>
      <c r="M119" s="83">
        <v>2.5793478802084414E-2</v>
      </c>
      <c r="N119" s="37">
        <v>1.8056347172927621E-2</v>
      </c>
      <c r="O119" s="37">
        <v>0.82807395009893447</v>
      </c>
      <c r="P119" s="84">
        <v>-4.8043858632978206E-2</v>
      </c>
      <c r="R119" s="98">
        <f t="shared" si="13"/>
        <v>0.68900601440674103</v>
      </c>
      <c r="S119" s="98">
        <f t="shared" si="14"/>
        <v>0.31099398559325897</v>
      </c>
    </row>
    <row r="120" spans="1:21" x14ac:dyDescent="0.25">
      <c r="A120">
        <f t="shared" si="12"/>
        <v>117</v>
      </c>
      <c r="B120" s="123">
        <v>4</v>
      </c>
      <c r="C120" s="37">
        <v>10</v>
      </c>
      <c r="D120" s="37">
        <v>6</v>
      </c>
      <c r="E120" s="37">
        <v>3</v>
      </c>
      <c r="F120" s="37">
        <v>6</v>
      </c>
      <c r="G120" s="37">
        <v>8</v>
      </c>
      <c r="H120" s="37">
        <v>8</v>
      </c>
      <c r="I120" s="37">
        <v>5</v>
      </c>
      <c r="J120" s="90">
        <v>8</v>
      </c>
      <c r="L120" t="str">
        <v>Charisma</v>
      </c>
      <c r="M120" s="83">
        <v>-0.85514419325934388</v>
      </c>
      <c r="N120" s="37">
        <v>-1.9811067237213646E-2</v>
      </c>
      <c r="O120" s="37">
        <v>0.14882496420674807</v>
      </c>
      <c r="P120" s="84">
        <v>0.19185167182882343</v>
      </c>
      <c r="R120" s="98">
        <f t="shared" si="13"/>
        <v>0.79062000360490581</v>
      </c>
      <c r="S120" s="98">
        <f t="shared" si="14"/>
        <v>0.20937999639509419</v>
      </c>
    </row>
    <row r="121" spans="1:21" x14ac:dyDescent="0.25">
      <c r="A121">
        <f t="shared" si="12"/>
        <v>118</v>
      </c>
      <c r="B121" s="123">
        <v>5</v>
      </c>
      <c r="C121" s="37">
        <v>9</v>
      </c>
      <c r="D121" s="37">
        <v>5</v>
      </c>
      <c r="E121" s="37">
        <v>5</v>
      </c>
      <c r="F121" s="37">
        <v>8</v>
      </c>
      <c r="G121" s="37">
        <v>3</v>
      </c>
      <c r="H121" s="37">
        <v>8</v>
      </c>
      <c r="I121" s="37">
        <v>5</v>
      </c>
      <c r="J121" s="90">
        <v>7</v>
      </c>
      <c r="L121" t="str">
        <v>Passion</v>
      </c>
      <c r="M121" s="83">
        <v>-0.47828862013992957</v>
      </c>
      <c r="N121" s="37">
        <v>-0.15613230069330614</v>
      </c>
      <c r="O121" s="37">
        <v>0.40266502254007863</v>
      </c>
      <c r="P121" s="84">
        <v>0.29405098673683805</v>
      </c>
      <c r="R121" s="98">
        <f t="shared" si="13"/>
        <v>0.50174240265325298</v>
      </c>
      <c r="S121" s="98">
        <f t="shared" si="14"/>
        <v>0.49825759734674702</v>
      </c>
    </row>
    <row r="122" spans="1:21" x14ac:dyDescent="0.25">
      <c r="A122">
        <f t="shared" si="12"/>
        <v>119</v>
      </c>
      <c r="B122" s="123">
        <v>3</v>
      </c>
      <c r="C122" s="37">
        <v>8</v>
      </c>
      <c r="D122" s="37">
        <v>2</v>
      </c>
      <c r="E122" s="37">
        <v>4</v>
      </c>
      <c r="F122" s="37">
        <v>7</v>
      </c>
      <c r="G122" s="37">
        <v>4</v>
      </c>
      <c r="H122" s="37">
        <v>1</v>
      </c>
      <c r="I122" s="37">
        <v>6</v>
      </c>
      <c r="J122" s="90">
        <v>8</v>
      </c>
      <c r="L122" t="str">
        <v>Friendly</v>
      </c>
      <c r="M122" s="85">
        <v>-6.3333904536896662E-2</v>
      </c>
      <c r="N122" s="86">
        <v>-0.83493103442524585</v>
      </c>
      <c r="O122" s="86">
        <v>-0.1840969221434437</v>
      </c>
      <c r="P122" s="87">
        <v>0.27978144917964382</v>
      </c>
      <c r="R122" s="99">
        <f t="shared" si="13"/>
        <v>0.81329035175805053</v>
      </c>
      <c r="S122" s="99">
        <f t="shared" si="14"/>
        <v>0.18670964824194947</v>
      </c>
    </row>
    <row r="123" spans="1:21" x14ac:dyDescent="0.25">
      <c r="A123">
        <f t="shared" si="12"/>
        <v>120</v>
      </c>
      <c r="B123" s="91">
        <v>5</v>
      </c>
      <c r="C123" s="92">
        <v>8</v>
      </c>
      <c r="D123" s="92">
        <v>1</v>
      </c>
      <c r="E123" s="92">
        <v>5</v>
      </c>
      <c r="F123" s="92">
        <v>5</v>
      </c>
      <c r="G123" s="92">
        <v>6</v>
      </c>
      <c r="H123" s="92">
        <v>1</v>
      </c>
      <c r="I123" s="92">
        <v>3</v>
      </c>
      <c r="J123" s="93">
        <v>8</v>
      </c>
      <c r="M123">
        <f>SUMSQ(M114:M122)</f>
        <v>2.27858253395899</v>
      </c>
      <c r="N123">
        <f>SUMSQ(N114:N122)</f>
        <v>1.5537698333342922</v>
      </c>
      <c r="O123">
        <f>SUMSQ(O114:O122)</f>
        <v>1.4526739794831298</v>
      </c>
      <c r="P123">
        <f>SUMSQ(P114:P122)</f>
        <v>1.2224473102374369</v>
      </c>
      <c r="R123">
        <f>SUM(R114:R122)</f>
        <v>6.5074736570138487</v>
      </c>
      <c r="S123">
        <f>SUM(S114:S122)</f>
        <v>2.4925263429861504</v>
      </c>
    </row>
    <row r="124" spans="1:21" x14ac:dyDescent="0.25">
      <c r="B124" s="37"/>
      <c r="C124" s="37"/>
      <c r="D124" s="37"/>
      <c r="E124" s="37"/>
      <c r="F124" s="37"/>
      <c r="G124" s="37"/>
      <c r="H124" s="37"/>
      <c r="I124" s="37"/>
      <c r="J124" s="37"/>
    </row>
    <row r="125" spans="1:21" x14ac:dyDescent="0.25">
      <c r="B125" s="47" t="str">
        <f>B3</f>
        <v>Expect</v>
      </c>
      <c r="C125" s="47" t="str">
        <f t="shared" ref="C125:J125" si="15">C3</f>
        <v>Entertain</v>
      </c>
      <c r="D125" s="47" t="str">
        <f t="shared" si="15"/>
        <v>Comm</v>
      </c>
      <c r="E125" s="47" t="str">
        <f t="shared" si="15"/>
        <v>Expert</v>
      </c>
      <c r="F125" s="47" t="str">
        <f t="shared" si="15"/>
        <v>Motivate</v>
      </c>
      <c r="G125" s="47" t="str">
        <f t="shared" si="15"/>
        <v>Caring</v>
      </c>
      <c r="H125" s="47" t="str">
        <f t="shared" si="15"/>
        <v>Charisma</v>
      </c>
      <c r="I125" s="47" t="str">
        <f t="shared" si="15"/>
        <v>Passion</v>
      </c>
      <c r="J125" s="47" t="str">
        <f t="shared" si="15"/>
        <v>Friendly</v>
      </c>
      <c r="L125" t="s">
        <v>507</v>
      </c>
    </row>
    <row r="126" spans="1:21" x14ac:dyDescent="0.25">
      <c r="A126" t="s">
        <v>48</v>
      </c>
      <c r="B126" s="156">
        <f>AVERAGE(B4:B123)</f>
        <v>3.7083333333333335</v>
      </c>
      <c r="C126" s="157">
        <f t="shared" ref="C126:J126" si="16">AVERAGE(C4:C123)</f>
        <v>8.1666666666666661</v>
      </c>
      <c r="D126" s="157">
        <f t="shared" si="16"/>
        <v>3.45</v>
      </c>
      <c r="E126" s="157">
        <f t="shared" si="16"/>
        <v>3.3833333333333333</v>
      </c>
      <c r="F126" s="157">
        <f t="shared" si="16"/>
        <v>6.708333333333333</v>
      </c>
      <c r="G126" s="157">
        <f t="shared" si="16"/>
        <v>6.0083333333333337</v>
      </c>
      <c r="H126" s="157">
        <f t="shared" si="16"/>
        <v>4.8416666666666668</v>
      </c>
      <c r="I126" s="157">
        <f t="shared" si="16"/>
        <v>4.7249999999999996</v>
      </c>
      <c r="J126" s="158">
        <f t="shared" si="16"/>
        <v>7.3</v>
      </c>
    </row>
    <row r="127" spans="1:21" x14ac:dyDescent="0.25">
      <c r="A127" t="s">
        <v>49</v>
      </c>
      <c r="B127" s="123">
        <f>STDEV(B4:B123)</f>
        <v>1.2662114027786242</v>
      </c>
      <c r="C127" s="37">
        <f t="shared" ref="C127:J127" si="17">STDEV(C4:C123)</f>
        <v>0.57002629061192933</v>
      </c>
      <c r="D127" s="37">
        <f t="shared" si="17"/>
        <v>1.6492932023224043</v>
      </c>
      <c r="E127" s="37">
        <f t="shared" si="17"/>
        <v>1.0140469991704575</v>
      </c>
      <c r="F127" s="37">
        <f t="shared" si="17"/>
        <v>0.95614626824273719</v>
      </c>
      <c r="G127" s="37">
        <f t="shared" si="17"/>
        <v>1.3688972027952755</v>
      </c>
      <c r="H127" s="37">
        <f t="shared" si="17"/>
        <v>2.5895583262266895</v>
      </c>
      <c r="I127" s="37">
        <f t="shared" si="17"/>
        <v>0.95233018071950515</v>
      </c>
      <c r="J127" s="90">
        <f t="shared" si="17"/>
        <v>0.58840333734179207</v>
      </c>
      <c r="M127" t="str">
        <f t="array" ref="M127:U127">B3:J3</f>
        <v>Expect</v>
      </c>
      <c r="N127" t="str">
        <v>Entertain</v>
      </c>
      <c r="O127" t="str">
        <v>Comm</v>
      </c>
      <c r="P127" t="str">
        <v>Expert</v>
      </c>
      <c r="Q127" t="str">
        <v>Motivate</v>
      </c>
      <c r="R127" t="str">
        <v>Caring</v>
      </c>
      <c r="S127" t="str">
        <v>Charisma</v>
      </c>
      <c r="T127" t="str">
        <v>Passion</v>
      </c>
      <c r="U127" t="str">
        <v>Friendly</v>
      </c>
    </row>
    <row r="128" spans="1:21" x14ac:dyDescent="0.25">
      <c r="A128" t="s">
        <v>394</v>
      </c>
      <c r="B128" s="123">
        <f>SKEW(B4:B123)</f>
        <v>0.13857831473517168</v>
      </c>
      <c r="C128" s="37">
        <f t="shared" ref="C128:J128" si="18">SKEW(C4:C123)</f>
        <v>0.55879383518869019</v>
      </c>
      <c r="D128" s="37">
        <f t="shared" si="18"/>
        <v>0.60968237468969244</v>
      </c>
      <c r="E128" s="37">
        <f t="shared" si="18"/>
        <v>0.25011903407769448</v>
      </c>
      <c r="F128" s="37">
        <f t="shared" si="18"/>
        <v>3.0992568092345463E-2</v>
      </c>
      <c r="G128" s="37">
        <f t="shared" si="18"/>
        <v>-0.23512012357640227</v>
      </c>
      <c r="H128" s="37">
        <f t="shared" si="18"/>
        <v>4.7501040439116834E-2</v>
      </c>
      <c r="I128" s="37">
        <f t="shared" si="18"/>
        <v>-7.3874092896665661E-2</v>
      </c>
      <c r="J128" s="90">
        <f t="shared" si="18"/>
        <v>0.32217223907072601</v>
      </c>
      <c r="L128" t="str">
        <f t="array" ref="L128:L136">TRANSPOSE(B3:J3)</f>
        <v>Expect</v>
      </c>
      <c r="M128" s="203">
        <f t="array" ref="M128:U136">MMULT(M100:P108,TRANSPOSE(M100:P108))</f>
        <v>0.71222148520517259</v>
      </c>
      <c r="N128" s="204">
        <v>-0.33789022638542882</v>
      </c>
      <c r="O128" s="204">
        <v>0.14910298670388794</v>
      </c>
      <c r="P128" s="204">
        <v>0.20974900542180086</v>
      </c>
      <c r="Q128" s="204">
        <v>-0.18028177339801135</v>
      </c>
      <c r="R128" s="204">
        <v>-0.23860822478717145</v>
      </c>
      <c r="S128" s="204">
        <v>6.7628998987617858E-2</v>
      </c>
      <c r="T128" s="204">
        <v>-0.11846760601056101</v>
      </c>
      <c r="U128" s="205">
        <v>-0.5013237827088437</v>
      </c>
    </row>
    <row r="129" spans="1:21" x14ac:dyDescent="0.25">
      <c r="A129" s="60" t="s">
        <v>395</v>
      </c>
      <c r="B129" s="91">
        <f>KURT(B4:B123)</f>
        <v>-7.5087531931202989E-2</v>
      </c>
      <c r="C129" s="92">
        <f t="shared" ref="C129:J129" si="19">KURT(C4:C123)</f>
        <v>1.2245729768528379</v>
      </c>
      <c r="D129" s="92">
        <f t="shared" si="19"/>
        <v>-0.37097323594953835</v>
      </c>
      <c r="E129" s="92">
        <f t="shared" si="19"/>
        <v>0.79048099823017459</v>
      </c>
      <c r="F129" s="92">
        <f t="shared" si="19"/>
        <v>-9.1985537444213339E-2</v>
      </c>
      <c r="G129" s="92">
        <f t="shared" si="19"/>
        <v>-0.42617618904263521</v>
      </c>
      <c r="H129" s="92">
        <f t="shared" si="19"/>
        <v>-0.92188768731537785</v>
      </c>
      <c r="I129" s="92">
        <f t="shared" si="19"/>
        <v>-0.24984145123189316</v>
      </c>
      <c r="J129" s="93">
        <f t="shared" si="19"/>
        <v>0.13488543363239947</v>
      </c>
      <c r="L129" t="str">
        <v>Entertain</v>
      </c>
      <c r="M129" s="83">
        <v>-0.33789022638542882</v>
      </c>
      <c r="N129" s="37">
        <v>0.6883668565788702</v>
      </c>
      <c r="O129" s="37">
        <v>0.5413350690540516</v>
      </c>
      <c r="P129" s="37">
        <v>1.979462300310203E-2</v>
      </c>
      <c r="Q129" s="37">
        <v>0.26017220570695559</v>
      </c>
      <c r="R129" s="37">
        <v>3.259417059343106E-2</v>
      </c>
      <c r="S129" s="37">
        <v>0.58019502551470425</v>
      </c>
      <c r="T129" s="37">
        <v>0.4159449724084473</v>
      </c>
      <c r="U129" s="84">
        <v>0.44087124885989604</v>
      </c>
    </row>
    <row r="130" spans="1:21" x14ac:dyDescent="0.25">
      <c r="L130" t="str">
        <v>Comm</v>
      </c>
      <c r="M130" s="83">
        <v>0.14910298670388794</v>
      </c>
      <c r="N130" s="37">
        <v>0.5413350690540516</v>
      </c>
      <c r="O130" s="37">
        <v>0.82459876892845996</v>
      </c>
      <c r="P130" s="37">
        <v>0.11256487924623254</v>
      </c>
      <c r="Q130" s="37">
        <v>0.31160848837909083</v>
      </c>
      <c r="R130" s="37">
        <v>6.1325246493534158E-2</v>
      </c>
      <c r="S130" s="37">
        <v>0.7898956525902906</v>
      </c>
      <c r="T130" s="37">
        <v>0.47162116009601168</v>
      </c>
      <c r="U130" s="84">
        <v>-3.3073021381889917E-2</v>
      </c>
    </row>
    <row r="131" spans="1:21" x14ac:dyDescent="0.25">
      <c r="L131" t="str">
        <v>Expert</v>
      </c>
      <c r="M131" s="83">
        <v>0.20974900542180086</v>
      </c>
      <c r="N131" s="37">
        <v>1.979462300310203E-2</v>
      </c>
      <c r="O131" s="37">
        <v>0.11256487924623254</v>
      </c>
      <c r="P131" s="37">
        <v>0.92151960054295756</v>
      </c>
      <c r="Q131" s="37">
        <v>0.26363140256869227</v>
      </c>
      <c r="R131" s="37">
        <v>1.6686722949156449E-2</v>
      </c>
      <c r="S131" s="37">
        <v>0.23490834780734782</v>
      </c>
      <c r="T131" s="37">
        <v>0.33456297305336835</v>
      </c>
      <c r="U131" s="84">
        <v>0.25664111015448743</v>
      </c>
    </row>
    <row r="132" spans="1:21" x14ac:dyDescent="0.25">
      <c r="L132" t="str">
        <v>Motivate</v>
      </c>
      <c r="M132" s="83">
        <v>-0.18028177339801135</v>
      </c>
      <c r="N132" s="37">
        <v>0.26017220570695559</v>
      </c>
      <c r="O132" s="37">
        <v>0.31160848837909083</v>
      </c>
      <c r="P132" s="37">
        <v>0.26363140256869227</v>
      </c>
      <c r="Q132" s="37">
        <v>0.56610817333543717</v>
      </c>
      <c r="R132" s="37">
        <v>0.53364504279834934</v>
      </c>
      <c r="S132" s="37">
        <v>0.36869033048962946</v>
      </c>
      <c r="T132" s="37">
        <v>0.47037532043693014</v>
      </c>
      <c r="U132" s="84">
        <v>2.270346255375652E-2</v>
      </c>
    </row>
    <row r="133" spans="1:21" x14ac:dyDescent="0.25">
      <c r="L133" t="str">
        <v>Caring</v>
      </c>
      <c r="M133" s="83">
        <v>-0.23860822478717145</v>
      </c>
      <c r="N133" s="37">
        <v>3.259417059343106E-2</v>
      </c>
      <c r="O133" s="37">
        <v>6.1325246493534158E-2</v>
      </c>
      <c r="P133" s="37">
        <v>1.6686722949156449E-2</v>
      </c>
      <c r="Q133" s="37">
        <v>0.53364504279834934</v>
      </c>
      <c r="R133" s="37">
        <v>0.68900601440674147</v>
      </c>
      <c r="S133" s="37">
        <v>9.1605922254708053E-2</v>
      </c>
      <c r="T133" s="37">
        <v>0.30415316533268327</v>
      </c>
      <c r="U133" s="84">
        <v>-0.18259705226005357</v>
      </c>
    </row>
    <row r="134" spans="1:21" x14ac:dyDescent="0.25">
      <c r="L134" t="str">
        <v>Charisma</v>
      </c>
      <c r="M134" s="83">
        <v>6.7628998987617858E-2</v>
      </c>
      <c r="N134" s="37">
        <v>0.58019502551470425</v>
      </c>
      <c r="O134" s="37">
        <v>0.7898956525902906</v>
      </c>
      <c r="P134" s="37">
        <v>0.23490834780734782</v>
      </c>
      <c r="Q134" s="37">
        <v>0.36869033048962946</v>
      </c>
      <c r="R134" s="37">
        <v>9.1605922254708053E-2</v>
      </c>
      <c r="S134" s="37">
        <v>0.79062000360490625</v>
      </c>
      <c r="T134" s="37">
        <v>0.52843966469683501</v>
      </c>
      <c r="U134" s="84">
        <v>9.6978816485838851E-2</v>
      </c>
    </row>
    <row r="135" spans="1:21" x14ac:dyDescent="0.25">
      <c r="L135" t="str">
        <v>Passion</v>
      </c>
      <c r="M135" s="83">
        <v>-0.11846760601056101</v>
      </c>
      <c r="N135" s="37">
        <v>0.4159449724084473</v>
      </c>
      <c r="O135" s="37">
        <v>0.47162116009601168</v>
      </c>
      <c r="P135" s="37">
        <v>0.33456297305336835</v>
      </c>
      <c r="Q135" s="37">
        <v>0.47037532043693014</v>
      </c>
      <c r="R135" s="37">
        <v>0.30415316533268327</v>
      </c>
      <c r="S135" s="37">
        <v>0.52843966469683501</v>
      </c>
      <c r="T135" s="37">
        <v>0.50174240265325287</v>
      </c>
      <c r="U135" s="84">
        <v>0.16879220903156986</v>
      </c>
    </row>
    <row r="136" spans="1:21" x14ac:dyDescent="0.25">
      <c r="L136" t="str">
        <v>Friendly</v>
      </c>
      <c r="M136" s="85">
        <v>-0.5013237827088437</v>
      </c>
      <c r="N136" s="86">
        <v>0.44087124885989604</v>
      </c>
      <c r="O136" s="86">
        <v>-3.3073021381889917E-2</v>
      </c>
      <c r="P136" s="86">
        <v>0.25664111015448743</v>
      </c>
      <c r="Q136" s="86">
        <v>2.270346255375652E-2</v>
      </c>
      <c r="R136" s="86">
        <v>-0.18259705226005357</v>
      </c>
      <c r="S136" s="86">
        <v>9.6978816485838851E-2</v>
      </c>
      <c r="T136" s="86">
        <v>0.16879220903156986</v>
      </c>
      <c r="U136" s="87">
        <v>0.81329035175805031</v>
      </c>
    </row>
    <row r="138" spans="1:21" x14ac:dyDescent="0.25">
      <c r="L138" t="s">
        <v>508</v>
      </c>
    </row>
    <row r="140" spans="1:21" x14ac:dyDescent="0.25">
      <c r="M140" t="str">
        <f t="array" ref="M140:U140">B3:J3</f>
        <v>Expect</v>
      </c>
      <c r="N140" t="str">
        <v>Entertain</v>
      </c>
      <c r="O140" t="str">
        <v>Comm</v>
      </c>
      <c r="P140" t="str">
        <v>Expert</v>
      </c>
      <c r="Q140" t="str">
        <v>Motivate</v>
      </c>
      <c r="R140" t="str">
        <v>Caring</v>
      </c>
      <c r="S140" t="str">
        <v>Charisma</v>
      </c>
      <c r="T140" t="str">
        <v>Passion</v>
      </c>
      <c r="U140" t="str">
        <v>Friendly</v>
      </c>
    </row>
    <row r="141" spans="1:21" x14ac:dyDescent="0.25">
      <c r="L141" t="str">
        <f t="array" ref="L141:L149">TRANSPOSE(B3:J3)</f>
        <v>Expect</v>
      </c>
      <c r="M141" s="203">
        <f t="array" ref="M141:U149">M14:U22-M128:U136</f>
        <v>0.28777851479482575</v>
      </c>
      <c r="N141" s="204">
        <v>0.16130999816908775</v>
      </c>
      <c r="O141" s="204">
        <v>-6.9630637793735572E-2</v>
      </c>
      <c r="P141" s="204">
        <v>-8.9217727310116485E-2</v>
      </c>
      <c r="Q141" s="204">
        <v>3.3074582714387152E-2</v>
      </c>
      <c r="R141" s="204">
        <v>0.13336298451675835</v>
      </c>
      <c r="S141" s="204">
        <v>-8.9519905203613415E-2</v>
      </c>
      <c r="T141" s="204">
        <v>-1.1326673453394956E-2</v>
      </c>
      <c r="U141" s="205">
        <v>0.15731341580654962</v>
      </c>
    </row>
    <row r="142" spans="1:21" x14ac:dyDescent="0.25">
      <c r="L142" t="str">
        <v>Entertain</v>
      </c>
      <c r="M142" s="83">
        <v>0.16130999816908775</v>
      </c>
      <c r="N142" s="37">
        <v>0.31163314342113091</v>
      </c>
      <c r="O142" s="37">
        <v>-9.4414557309836333E-2</v>
      </c>
      <c r="P142" s="37">
        <v>2.8664864088467489E-2</v>
      </c>
      <c r="Q142" s="37">
        <v>-1.6050625443846139E-2</v>
      </c>
      <c r="R142" s="37">
        <v>8.4073203289834919E-2</v>
      </c>
      <c r="S142" s="37">
        <v>-0.12950825085879575</v>
      </c>
      <c r="T142" s="37">
        <v>-3.668528003344379E-2</v>
      </c>
      <c r="U142" s="84">
        <v>-4.0001755316549314E-2</v>
      </c>
    </row>
    <row r="143" spans="1:21" x14ac:dyDescent="0.25">
      <c r="L143" t="str">
        <v>Comm</v>
      </c>
      <c r="M143" s="83">
        <v>-6.9630637793735572E-2</v>
      </c>
      <c r="N143" s="37">
        <v>-9.4414557309836333E-2</v>
      </c>
      <c r="O143" s="37">
        <v>0.17540123107154071</v>
      </c>
      <c r="P143" s="37">
        <v>3.9678955290139428E-2</v>
      </c>
      <c r="Q143" s="37">
        <v>-2.5184555433812483E-2</v>
      </c>
      <c r="R143" s="37">
        <v>4.4939802338469989E-2</v>
      </c>
      <c r="S143" s="37">
        <v>-4.1138130243911886E-2</v>
      </c>
      <c r="T143" s="37">
        <v>-0.10326192182069238</v>
      </c>
      <c r="U143" s="84">
        <v>4.0000417617508666E-2</v>
      </c>
    </row>
    <row r="144" spans="1:21" x14ac:dyDescent="0.25">
      <c r="L144" t="str">
        <v>Expert</v>
      </c>
      <c r="M144" s="83">
        <v>-8.9217727310116485E-2</v>
      </c>
      <c r="N144" s="37">
        <v>2.8664864088467489E-2</v>
      </c>
      <c r="O144" s="37">
        <v>3.9678955290139428E-2</v>
      </c>
      <c r="P144" s="37">
        <v>7.8480399457043326E-2</v>
      </c>
      <c r="Q144" s="37">
        <v>-6.9345336814312514E-2</v>
      </c>
      <c r="R144" s="37">
        <v>2.9422634269992261E-2</v>
      </c>
      <c r="S144" s="37">
        <v>1.2409297280436521E-2</v>
      </c>
      <c r="T144" s="37">
        <v>-7.6555607598769893E-2</v>
      </c>
      <c r="U144" s="84">
        <v>-7.0734959597348879E-2</v>
      </c>
    </row>
    <row r="145" spans="12:21" x14ac:dyDescent="0.25">
      <c r="L145" t="str">
        <v>Motivate</v>
      </c>
      <c r="M145" s="83">
        <v>3.3074582714387152E-2</v>
      </c>
      <c r="N145" s="37">
        <v>-1.6050625443846139E-2</v>
      </c>
      <c r="O145" s="37">
        <v>-2.5184555433812483E-2</v>
      </c>
      <c r="P145" s="37">
        <v>-6.9345336814312514E-2</v>
      </c>
      <c r="Q145" s="37">
        <v>0.43389182666456372</v>
      </c>
      <c r="R145" s="37">
        <v>-0.24927758792961568</v>
      </c>
      <c r="S145" s="37">
        <v>-2.4347749198460888E-2</v>
      </c>
      <c r="T145" s="37">
        <v>-0.14390958601112652</v>
      </c>
      <c r="U145" s="84">
        <v>1.4638194460048021E-2</v>
      </c>
    </row>
    <row r="146" spans="12:21" x14ac:dyDescent="0.25">
      <c r="L146" t="str">
        <v>Caring</v>
      </c>
      <c r="M146" s="83">
        <v>0.13336298451675835</v>
      </c>
      <c r="N146" s="37">
        <v>8.4073203289834919E-2</v>
      </c>
      <c r="O146" s="37">
        <v>4.4939802338469989E-2</v>
      </c>
      <c r="P146" s="37">
        <v>2.9422634269992261E-2</v>
      </c>
      <c r="Q146" s="37">
        <v>-0.24927758792961568</v>
      </c>
      <c r="R146" s="37">
        <v>0.3109939855932603</v>
      </c>
      <c r="S146" s="37">
        <v>1.0704804624128872E-2</v>
      </c>
      <c r="T146" s="37">
        <v>-0.10899855909494222</v>
      </c>
      <c r="U146" s="84">
        <v>0.12730242372740322</v>
      </c>
    </row>
    <row r="147" spans="12:21" x14ac:dyDescent="0.25">
      <c r="L147" t="str">
        <v>Charisma</v>
      </c>
      <c r="M147" s="83">
        <v>-8.9519905203613415E-2</v>
      </c>
      <c r="N147" s="37">
        <v>-0.12950825085879575</v>
      </c>
      <c r="O147" s="37">
        <v>-4.1138130243911886E-2</v>
      </c>
      <c r="P147" s="37">
        <v>1.2409297280436521E-2</v>
      </c>
      <c r="Q147" s="37">
        <v>-2.4347749198460888E-2</v>
      </c>
      <c r="R147" s="37">
        <v>1.0704804624128872E-2</v>
      </c>
      <c r="S147" s="37">
        <v>0.20937999639509464</v>
      </c>
      <c r="T147" s="37">
        <v>-8.9634882627895152E-2</v>
      </c>
      <c r="U147" s="84">
        <v>6.153273880009566E-3</v>
      </c>
    </row>
    <row r="148" spans="12:21" x14ac:dyDescent="0.25">
      <c r="L148" t="str">
        <v>Passion</v>
      </c>
      <c r="M148" s="83">
        <v>-1.1326673453394956E-2</v>
      </c>
      <c r="N148" s="37">
        <v>-3.668528003344379E-2</v>
      </c>
      <c r="O148" s="37">
        <v>-0.10326192182069238</v>
      </c>
      <c r="P148" s="37">
        <v>-7.6555607598769893E-2</v>
      </c>
      <c r="Q148" s="37">
        <v>-0.14390958601112652</v>
      </c>
      <c r="R148" s="37">
        <v>-0.10899855909494222</v>
      </c>
      <c r="S148" s="37">
        <v>-8.9634882627895152E-2</v>
      </c>
      <c r="T148" s="37">
        <v>0.49825759734674679</v>
      </c>
      <c r="U148" s="84">
        <v>-8.0312767053591694E-2</v>
      </c>
    </row>
    <row r="149" spans="12:21" x14ac:dyDescent="0.25">
      <c r="L149" t="str">
        <v>Friendly</v>
      </c>
      <c r="M149" s="85">
        <v>0.15731341580654962</v>
      </c>
      <c r="N149" s="86">
        <v>-4.0001755316549314E-2</v>
      </c>
      <c r="O149" s="86">
        <v>4.0000417617508666E-2</v>
      </c>
      <c r="P149" s="86">
        <v>-7.0734959597348879E-2</v>
      </c>
      <c r="Q149" s="86">
        <v>1.4638194460048021E-2</v>
      </c>
      <c r="R149" s="86">
        <v>0.12730242372740322</v>
      </c>
      <c r="S149" s="86">
        <v>6.153273880009566E-3</v>
      </c>
      <c r="T149" s="86">
        <v>-8.0312767053591694E-2</v>
      </c>
      <c r="U149" s="87">
        <v>0.18670964824195058</v>
      </c>
    </row>
    <row r="151" spans="12:21" x14ac:dyDescent="0.25">
      <c r="L151" t="s">
        <v>509</v>
      </c>
    </row>
    <row r="153" spans="12:21" x14ac:dyDescent="0.25">
      <c r="M153">
        <v>1</v>
      </c>
      <c r="N153">
        <f>M153+1</f>
        <v>2</v>
      </c>
      <c r="O153">
        <f>N153+1</f>
        <v>3</v>
      </c>
      <c r="P153">
        <f>O153+1</f>
        <v>4</v>
      </c>
    </row>
    <row r="154" spans="12:21" x14ac:dyDescent="0.25">
      <c r="L154" t="str">
        <f t="array" ref="L154:L162">TRANSPOSE(B3:J3)</f>
        <v>Expect</v>
      </c>
      <c r="M154" s="203">
        <f t="array" ref="M154:P162">MMULT(M114:P122,MINVERSE(MMULT(TRANSPOSE(M114:P122),M114:P122)))</f>
        <v>-0.11771532770025719</v>
      </c>
      <c r="N154" s="204">
        <v>0.49781468905417414</v>
      </c>
      <c r="O154" s="204">
        <v>-0.21099893098881692</v>
      </c>
      <c r="P154" s="205">
        <v>0.2268441000709622</v>
      </c>
    </row>
    <row r="155" spans="12:21" x14ac:dyDescent="0.25">
      <c r="L155" t="str">
        <v>Entertain</v>
      </c>
      <c r="M155" s="83">
        <v>-0.30298676401442343</v>
      </c>
      <c r="N155" s="37">
        <v>-0.27795503306413122</v>
      </c>
      <c r="O155" s="37">
        <v>-8.9129570439945488E-2</v>
      </c>
      <c r="P155" s="84">
        <v>-0.14605467930972652</v>
      </c>
    </row>
    <row r="156" spans="12:21" x14ac:dyDescent="0.25">
      <c r="L156" t="str">
        <v>Comm</v>
      </c>
      <c r="M156" s="83">
        <v>-0.45570004724218843</v>
      </c>
      <c r="N156" s="37">
        <v>0.14906723366170044</v>
      </c>
      <c r="O156" s="37">
        <v>-7.6053354673703472E-2</v>
      </c>
      <c r="P156" s="84">
        <v>-0.10432048314025147</v>
      </c>
    </row>
    <row r="157" spans="12:21" x14ac:dyDescent="0.25">
      <c r="L157" t="str">
        <v>Expert</v>
      </c>
      <c r="M157" s="83">
        <v>0.15961421781658677</v>
      </c>
      <c r="N157" s="37">
        <v>2.424288988576306E-2</v>
      </c>
      <c r="O157" s="37">
        <v>-1.0092121129239712E-4</v>
      </c>
      <c r="P157" s="84">
        <v>0.84837860332071813</v>
      </c>
    </row>
    <row r="158" spans="12:21" x14ac:dyDescent="0.25">
      <c r="L158" t="str">
        <v>Motivate</v>
      </c>
      <c r="M158" s="83">
        <v>1.9960204381352889E-2</v>
      </c>
      <c r="N158" s="37">
        <v>5.1330518729051488E-3</v>
      </c>
      <c r="O158" s="37">
        <v>0.45296962597398016</v>
      </c>
      <c r="P158" s="84">
        <v>0.10328737625888043</v>
      </c>
    </row>
    <row r="159" spans="12:21" x14ac:dyDescent="0.25">
      <c r="L159" t="str">
        <v>Caring</v>
      </c>
      <c r="M159" s="83">
        <v>0.15052398478183107</v>
      </c>
      <c r="N159" s="37">
        <v>5.4467540423069165E-2</v>
      </c>
      <c r="O159" s="37">
        <v>0.64905255521578098</v>
      </c>
      <c r="P159" s="84">
        <v>-8.2899442807614049E-2</v>
      </c>
    </row>
    <row r="160" spans="12:21" x14ac:dyDescent="0.25">
      <c r="L160" t="str">
        <v>Charisma</v>
      </c>
      <c r="M160" s="83">
        <v>-0.39457688535912966</v>
      </c>
      <c r="N160" s="37">
        <v>6.6197495970995668E-2</v>
      </c>
      <c r="O160" s="37">
        <v>-4.7788595587416764E-2</v>
      </c>
      <c r="P160" s="84">
        <v>1.151506925038176E-2</v>
      </c>
    </row>
    <row r="161" spans="12:16" x14ac:dyDescent="0.25">
      <c r="L161" t="str">
        <v>Passion</v>
      </c>
      <c r="M161" s="83">
        <v>-0.1191439927303754</v>
      </c>
      <c r="N161" s="37">
        <v>-3.9219171917062895E-2</v>
      </c>
      <c r="O161" s="37">
        <v>0.20252010747489416</v>
      </c>
      <c r="P161" s="84">
        <v>0.15494768964519895</v>
      </c>
    </row>
    <row r="162" spans="12:16" x14ac:dyDescent="0.25">
      <c r="L162" t="str">
        <v>Friendly</v>
      </c>
      <c r="M162" s="85">
        <v>4.9925656721842508E-2</v>
      </c>
      <c r="N162" s="86">
        <v>-0.55833038733058993</v>
      </c>
      <c r="O162" s="86">
        <v>-0.21442364726217805</v>
      </c>
      <c r="P162" s="87">
        <v>0.23603283161112104</v>
      </c>
    </row>
    <row r="164" spans="12:16" x14ac:dyDescent="0.25">
      <c r="L164" t="s">
        <v>510</v>
      </c>
    </row>
    <row r="166" spans="12:16" x14ac:dyDescent="0.25">
      <c r="M166">
        <v>1</v>
      </c>
      <c r="N166">
        <f>M166+1</f>
        <v>2</v>
      </c>
      <c r="O166">
        <f>N166+1</f>
        <v>3</v>
      </c>
      <c r="P166">
        <f>O166+1</f>
        <v>4</v>
      </c>
    </row>
    <row r="167" spans="12:16" x14ac:dyDescent="0.25">
      <c r="L167" t="str">
        <f t="array" ref="L167:L175">TRANSPOSE(B3:J3)</f>
        <v>Expect</v>
      </c>
      <c r="M167" s="203">
        <f t="array" ref="M167:P175">TRANSPOSE(MMULT(MINVERSE(MMULT(TRANSPOSE(M114:P122),MMULT(MINVERSE([1]!DIAGONAL(S100:S108)),M114:P122))),MMULT(TRANSPOSE(M114:P122),MINVERSE([1]!DIAGONAL(S100:S108)))))</f>
        <v>-9.7385410547217E-2</v>
      </c>
      <c r="N167" s="204">
        <v>0.40790268778552824</v>
      </c>
      <c r="O167" s="204">
        <v>-0.28027922733711463</v>
      </c>
      <c r="P167" s="205">
        <v>9.3631889982240479E-2</v>
      </c>
    </row>
    <row r="168" spans="12:16" x14ac:dyDescent="0.25">
      <c r="L168" t="str">
        <v>Entertain</v>
      </c>
      <c r="M168" s="83">
        <v>-0.20845801781875059</v>
      </c>
      <c r="N168" s="37">
        <v>-0.22213280701460136</v>
      </c>
      <c r="O168" s="37">
        <v>-3.837546674632724E-2</v>
      </c>
      <c r="P168" s="84">
        <v>-5.0523559999033907E-2</v>
      </c>
    </row>
    <row r="169" spans="12:16" x14ac:dyDescent="0.25">
      <c r="L169" t="str">
        <v>Comm</v>
      </c>
      <c r="M169" s="83">
        <v>-0.54167145933826388</v>
      </c>
      <c r="N169" s="37">
        <v>0.15216445657067104</v>
      </c>
      <c r="O169" s="37">
        <v>-8.3495356363958217E-2</v>
      </c>
      <c r="P169" s="84">
        <v>-5.0438299168861819E-2</v>
      </c>
    </row>
    <row r="170" spans="12:16" x14ac:dyDescent="0.25">
      <c r="L170" t="str">
        <v>Expert</v>
      </c>
      <c r="M170" s="83">
        <v>0.16435011412068268</v>
      </c>
      <c r="N170" s="37">
        <v>8.7366101205696864E-2</v>
      </c>
      <c r="O170" s="37">
        <v>7.0458591124050923E-2</v>
      </c>
      <c r="P170" s="84">
        <v>0.98413629923860069</v>
      </c>
    </row>
    <row r="171" spans="12:16" x14ac:dyDescent="0.25">
      <c r="L171" t="str">
        <v>Motivate</v>
      </c>
      <c r="M171" s="83">
        <v>1.0643576797426996E-2</v>
      </c>
      <c r="N171" s="37">
        <v>-1.8719765036593932E-2</v>
      </c>
      <c r="O171" s="37">
        <v>0.36039153282858782</v>
      </c>
      <c r="P171" s="84">
        <v>9.5896664432776162E-3</v>
      </c>
    </row>
    <row r="172" spans="12:16" x14ac:dyDescent="0.25">
      <c r="L172" t="str">
        <v>Caring</v>
      </c>
      <c r="M172" s="83">
        <v>0.12665354919549801</v>
      </c>
      <c r="N172" s="37">
        <v>8.5059821818476555E-3</v>
      </c>
      <c r="O172" s="37">
        <v>0.6891601636631991</v>
      </c>
      <c r="P172" s="84">
        <v>-4.4904511094835474E-2</v>
      </c>
    </row>
    <row r="173" spans="12:16" x14ac:dyDescent="0.25">
      <c r="L173" t="str">
        <v>Charisma</v>
      </c>
      <c r="M173" s="83">
        <v>-0.40768753975286248</v>
      </c>
      <c r="N173" s="37">
        <v>3.7183888314836697E-2</v>
      </c>
      <c r="O173" s="37">
        <v>-1.3963280949392616E-2</v>
      </c>
      <c r="P173" s="84">
        <v>3.5214098239710473E-3</v>
      </c>
    </row>
    <row r="174" spans="12:16" x14ac:dyDescent="0.25">
      <c r="L174" t="str">
        <v>Passion</v>
      </c>
      <c r="M174" s="83">
        <v>-5.7874346976922127E-2</v>
      </c>
      <c r="N174" s="37">
        <v>-3.2941035210775189E-2</v>
      </c>
      <c r="O174" s="37">
        <v>0.15633323479902722</v>
      </c>
      <c r="P174" s="84">
        <v>2.1701560456499711E-2</v>
      </c>
    </row>
    <row r="175" spans="12:16" x14ac:dyDescent="0.25">
      <c r="L175" t="str">
        <v>Friendly</v>
      </c>
      <c r="M175" s="85">
        <v>-1.0027630471184556E-2</v>
      </c>
      <c r="N175" s="86">
        <v>-0.67130346534445229</v>
      </c>
      <c r="O175" s="86">
        <v>-0.29006879244967698</v>
      </c>
      <c r="P175" s="87">
        <v>0.10123818813107605</v>
      </c>
    </row>
    <row r="177" spans="12:16" x14ac:dyDescent="0.25">
      <c r="L177" t="s">
        <v>511</v>
      </c>
    </row>
    <row r="179" spans="12:16" x14ac:dyDescent="0.25">
      <c r="M179" s="203">
        <f t="array" ref="M179:P182">MMULT(MMULT(TRANSPOSE(M114:P122),MMULT(MINVERSE([1]!DIAGONAL(S100:S108)),M14:U22)),MMULT(MINVERSE([1]!DIAGONAL(S100:S108)),M114:P122))</f>
        <v>113.91466882044006</v>
      </c>
      <c r="N179" s="204">
        <v>16.356018323913286</v>
      </c>
      <c r="O179" s="204">
        <v>-30.527153230586265</v>
      </c>
      <c r="P179" s="205">
        <v>-55.948299620351811</v>
      </c>
    </row>
    <row r="180" spans="12:16" x14ac:dyDescent="0.25">
      <c r="M180" s="83">
        <v>16.356018323913286</v>
      </c>
      <c r="N180" s="37">
        <v>45.684865129947838</v>
      </c>
      <c r="O180" s="37">
        <v>-4.3976813570394704</v>
      </c>
      <c r="P180" s="84">
        <v>-15.433165040529609</v>
      </c>
    </row>
    <row r="181" spans="12:16" x14ac:dyDescent="0.25">
      <c r="M181" s="83">
        <v>-30.527153230586272</v>
      </c>
      <c r="N181" s="37">
        <v>-4.3976813570394704</v>
      </c>
      <c r="O181" s="37">
        <v>23.550653813068749</v>
      </c>
      <c r="P181" s="84">
        <v>23.65356855876038</v>
      </c>
    </row>
    <row r="182" spans="12:16" x14ac:dyDescent="0.25">
      <c r="M182" s="85">
        <v>-55.948299620351804</v>
      </c>
      <c r="N182" s="86">
        <v>-15.433165040529605</v>
      </c>
      <c r="O182" s="86">
        <v>23.653568558760373</v>
      </c>
      <c r="P182" s="87">
        <v>175.63387844630375</v>
      </c>
    </row>
    <row r="184" spans="12:16" x14ac:dyDescent="0.25">
      <c r="M184">
        <v>1</v>
      </c>
      <c r="N184">
        <f>M184+1</f>
        <v>2</v>
      </c>
      <c r="O184">
        <f>N184+1</f>
        <v>3</v>
      </c>
      <c r="P184">
        <f>O184+1</f>
        <v>4</v>
      </c>
    </row>
    <row r="185" spans="12:16" x14ac:dyDescent="0.25">
      <c r="L185" t="str">
        <f t="array" ref="L185:L193">TRANSPOSE(B3:J3)</f>
        <v>Expect</v>
      </c>
      <c r="M185" s="203">
        <f t="array" ref="M185:P193">TRANSPOSE(MMULT(MINVERSE([1]!MSQRT(M179:P182)),MMULT(TRANSPOSE(M114:P122),MINVERSE([1]!DIAGONAL(S100:S108)))))</f>
        <v>-9.7921141305042605E-2</v>
      </c>
      <c r="N185" s="204">
        <v>0.40542750177234899</v>
      </c>
      <c r="O185" s="204">
        <v>-0.28146630426763092</v>
      </c>
      <c r="P185" s="205">
        <v>9.1545352614028769E-2</v>
      </c>
    </row>
    <row r="186" spans="12:16" x14ac:dyDescent="0.25">
      <c r="L186" t="str">
        <v>Entertain</v>
      </c>
      <c r="M186" s="83">
        <v>-0.20649827983668095</v>
      </c>
      <c r="N186" s="37">
        <v>-0.21973897215669894</v>
      </c>
      <c r="O186" s="37">
        <v>-3.655589779553152E-2</v>
      </c>
      <c r="P186" s="84">
        <v>-4.9128073612241904E-2</v>
      </c>
    </row>
    <row r="187" spans="12:16" x14ac:dyDescent="0.25">
      <c r="L187" t="str">
        <v>Comm</v>
      </c>
      <c r="M187" s="83">
        <v>-0.53886719774257585</v>
      </c>
      <c r="N187" s="37">
        <v>0.15288775944305016</v>
      </c>
      <c r="O187" s="37">
        <v>-8.3045716776948469E-2</v>
      </c>
      <c r="P187" s="84">
        <v>-5.1388510209549862E-2</v>
      </c>
    </row>
    <row r="188" spans="12:16" x14ac:dyDescent="0.25">
      <c r="L188" t="str">
        <v>Expert</v>
      </c>
      <c r="M188" s="83">
        <v>0.16258681325905111</v>
      </c>
      <c r="N188" s="37">
        <v>7.7289898508448224E-2</v>
      </c>
      <c r="O188" s="37">
        <v>5.5635855702887038E-2</v>
      </c>
      <c r="P188" s="84">
        <v>0.96563266707610107</v>
      </c>
    </row>
    <row r="189" spans="12:16" x14ac:dyDescent="0.25">
      <c r="L189" t="str">
        <v>Motivate</v>
      </c>
      <c r="M189" s="83">
        <v>1.0392178349340673E-2</v>
      </c>
      <c r="N189" s="37">
        <v>-1.9780834879958072E-2</v>
      </c>
      <c r="O189" s="37">
        <v>0.3579286453215616</v>
      </c>
      <c r="P189" s="84">
        <v>7.4222097094275574E-3</v>
      </c>
    </row>
    <row r="190" spans="12:16" x14ac:dyDescent="0.25">
      <c r="L190" t="str">
        <v>Caring</v>
      </c>
      <c r="M190" s="83">
        <v>0.12544159835558596</v>
      </c>
      <c r="N190" s="37">
        <v>6.5738815932127638E-3</v>
      </c>
      <c r="O190" s="37">
        <v>0.68520933521022898</v>
      </c>
      <c r="P190" s="84">
        <v>-4.7712790533272001E-2</v>
      </c>
    </row>
    <row r="191" spans="12:16" x14ac:dyDescent="0.25">
      <c r="L191" t="str">
        <v>Charisma</v>
      </c>
      <c r="M191" s="83">
        <v>-0.40539261020389489</v>
      </c>
      <c r="N191" s="37">
        <v>3.770252775981605E-2</v>
      </c>
      <c r="O191" s="37">
        <v>-1.4223854315741127E-2</v>
      </c>
      <c r="P191" s="84">
        <v>2.0674823133630255E-3</v>
      </c>
    </row>
    <row r="192" spans="12:16" x14ac:dyDescent="0.25">
      <c r="L192" t="str">
        <v>Passion</v>
      </c>
      <c r="M192" s="83">
        <v>-5.7547715663358506E-2</v>
      </c>
      <c r="N192" s="37">
        <v>-3.3286621399350166E-2</v>
      </c>
      <c r="O192" s="37">
        <v>0.15509407416942564</v>
      </c>
      <c r="P192" s="84">
        <v>2.0335172097150592E-2</v>
      </c>
    </row>
    <row r="193" spans="12:16" x14ac:dyDescent="0.25">
      <c r="L193" t="str">
        <v>Friendly</v>
      </c>
      <c r="M193" s="85">
        <v>-7.763991156249244E-3</v>
      </c>
      <c r="N193" s="86">
        <v>-0.66701150355891381</v>
      </c>
      <c r="O193" s="86">
        <v>-0.28680466778927499</v>
      </c>
      <c r="P193" s="87">
        <v>0.10376098840971852</v>
      </c>
    </row>
  </sheetData>
  <pageMargins left="0.7" right="0.7" top="0.75" bottom="0.75" header="0.3" footer="0.3"/>
  <drawing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/>
  <dimension ref="A1:MT129"/>
  <sheetViews>
    <sheetView zoomScaleNormal="100" workbookViewId="0"/>
  </sheetViews>
  <sheetFormatPr defaultRowHeight="15" x14ac:dyDescent="0.25"/>
  <cols>
    <col min="21" max="21" width="9.140625" customWidth="1"/>
    <col min="24" max="24" width="11.42578125" customWidth="1"/>
  </cols>
  <sheetData>
    <row r="1" spans="1:357" ht="14.45" x14ac:dyDescent="0.35">
      <c r="A1" s="42" t="s">
        <v>544</v>
      </c>
      <c r="L1" t="s">
        <v>547</v>
      </c>
      <c r="M1">
        <v>0</v>
      </c>
      <c r="X1" t="s">
        <v>546</v>
      </c>
      <c r="Y1">
        <f>M1+1</f>
        <v>1</v>
      </c>
      <c r="AJ1" t="s">
        <v>546</v>
      </c>
      <c r="AK1">
        <f>Y1+1</f>
        <v>2</v>
      </c>
      <c r="AV1" t="s">
        <v>546</v>
      </c>
      <c r="AW1">
        <f>AK1+1</f>
        <v>3</v>
      </c>
      <c r="BH1" t="s">
        <v>546</v>
      </c>
      <c r="BI1">
        <f>AW1+1</f>
        <v>4</v>
      </c>
      <c r="BT1" t="s">
        <v>546</v>
      </c>
      <c r="BU1">
        <f>BI1+1</f>
        <v>5</v>
      </c>
      <c r="CF1" t="s">
        <v>546</v>
      </c>
      <c r="CG1">
        <f>BU1+1</f>
        <v>6</v>
      </c>
      <c r="CR1" t="s">
        <v>546</v>
      </c>
      <c r="CS1">
        <f>CG1+1</f>
        <v>7</v>
      </c>
      <c r="DD1" t="s">
        <v>546</v>
      </c>
      <c r="DE1">
        <f>CS1+1</f>
        <v>8</v>
      </c>
      <c r="DP1" t="s">
        <v>546</v>
      </c>
      <c r="DQ1">
        <f>DE1+1</f>
        <v>9</v>
      </c>
      <c r="EB1" t="s">
        <v>546</v>
      </c>
      <c r="EC1">
        <f>DQ1+1</f>
        <v>10</v>
      </c>
      <c r="EN1" t="s">
        <v>546</v>
      </c>
      <c r="EO1">
        <f>EC1+1</f>
        <v>11</v>
      </c>
      <c r="EZ1" t="s">
        <v>546</v>
      </c>
      <c r="FA1">
        <f>EO1+1</f>
        <v>12</v>
      </c>
      <c r="FL1" t="s">
        <v>546</v>
      </c>
      <c r="FM1">
        <f>FA1+1</f>
        <v>13</v>
      </c>
      <c r="FX1" t="s">
        <v>546</v>
      </c>
      <c r="FY1">
        <f>FM1+1</f>
        <v>14</v>
      </c>
      <c r="GJ1" t="s">
        <v>546</v>
      </c>
      <c r="GK1">
        <f>FY1+1</f>
        <v>15</v>
      </c>
      <c r="GV1" t="s">
        <v>546</v>
      </c>
      <c r="GW1">
        <f>GK1+1</f>
        <v>16</v>
      </c>
      <c r="HH1" t="s">
        <v>546</v>
      </c>
      <c r="HI1">
        <f>GW1+1</f>
        <v>17</v>
      </c>
      <c r="HT1" t="s">
        <v>546</v>
      </c>
      <c r="HU1">
        <f>HI1+1</f>
        <v>18</v>
      </c>
      <c r="IF1" t="s">
        <v>546</v>
      </c>
      <c r="IG1">
        <f>HU1+1</f>
        <v>19</v>
      </c>
      <c r="IR1" t="s">
        <v>546</v>
      </c>
      <c r="IS1">
        <f>IG1+1</f>
        <v>20</v>
      </c>
      <c r="JD1" t="s">
        <v>546</v>
      </c>
      <c r="JE1">
        <f>IS1+1</f>
        <v>21</v>
      </c>
      <c r="JP1" t="s">
        <v>546</v>
      </c>
      <c r="JQ1">
        <f>JE1+1</f>
        <v>22</v>
      </c>
      <c r="KB1" t="s">
        <v>546</v>
      </c>
      <c r="KC1">
        <f>JQ1+1</f>
        <v>23</v>
      </c>
      <c r="KN1" t="s">
        <v>546</v>
      </c>
      <c r="KO1">
        <f>KC1+1</f>
        <v>24</v>
      </c>
      <c r="KZ1" t="s">
        <v>546</v>
      </c>
      <c r="LA1">
        <f>KO1+1</f>
        <v>25</v>
      </c>
      <c r="LL1" t="s">
        <v>546</v>
      </c>
      <c r="LM1">
        <f>LA1+1</f>
        <v>26</v>
      </c>
      <c r="LX1" t="s">
        <v>546</v>
      </c>
      <c r="LY1">
        <f>LM1+1</f>
        <v>27</v>
      </c>
      <c r="MJ1" t="s">
        <v>546</v>
      </c>
      <c r="MK1">
        <f>LY1+1</f>
        <v>28</v>
      </c>
    </row>
    <row r="3" spans="1:357" ht="14.45" x14ac:dyDescent="0.35">
      <c r="A3" s="47"/>
      <c r="B3" s="47" t="s">
        <v>371</v>
      </c>
      <c r="C3" s="47" t="s">
        <v>372</v>
      </c>
      <c r="D3" s="47" t="s">
        <v>373</v>
      </c>
      <c r="E3" s="47" t="s">
        <v>374</v>
      </c>
      <c r="F3" s="47" t="s">
        <v>375</v>
      </c>
      <c r="G3" s="47" t="s">
        <v>376</v>
      </c>
      <c r="H3" s="47" t="s">
        <v>377</v>
      </c>
      <c r="I3" s="47" t="s">
        <v>378</v>
      </c>
      <c r="J3" s="47" t="s">
        <v>379</v>
      </c>
      <c r="L3" t="s">
        <v>39</v>
      </c>
      <c r="X3" t="s">
        <v>39</v>
      </c>
      <c r="AJ3" t="s">
        <v>39</v>
      </c>
      <c r="AV3" t="s">
        <v>39</v>
      </c>
      <c r="BH3" t="s">
        <v>39</v>
      </c>
      <c r="BT3" t="s">
        <v>39</v>
      </c>
      <c r="CF3" t="s">
        <v>39</v>
      </c>
      <c r="CR3" t="s">
        <v>39</v>
      </c>
      <c r="DD3" t="s">
        <v>39</v>
      </c>
      <c r="DP3" t="s">
        <v>39</v>
      </c>
      <c r="EB3" t="s">
        <v>39</v>
      </c>
      <c r="EN3" t="s">
        <v>39</v>
      </c>
      <c r="EZ3" t="s">
        <v>39</v>
      </c>
      <c r="FL3" t="s">
        <v>39</v>
      </c>
      <c r="FX3" t="s">
        <v>39</v>
      </c>
      <c r="GJ3" t="s">
        <v>39</v>
      </c>
      <c r="GV3" t="s">
        <v>39</v>
      </c>
      <c r="HH3" t="s">
        <v>39</v>
      </c>
      <c r="HT3" t="s">
        <v>39</v>
      </c>
      <c r="IF3" t="s">
        <v>39</v>
      </c>
      <c r="IR3" t="s">
        <v>39</v>
      </c>
      <c r="JD3" t="s">
        <v>39</v>
      </c>
      <c r="JP3" t="s">
        <v>39</v>
      </c>
      <c r="KB3" t="s">
        <v>39</v>
      </c>
      <c r="KN3" t="s">
        <v>39</v>
      </c>
      <c r="KZ3" t="s">
        <v>39</v>
      </c>
      <c r="LL3" t="s">
        <v>39</v>
      </c>
      <c r="LX3" t="s">
        <v>39</v>
      </c>
      <c r="MJ3" t="s">
        <v>39</v>
      </c>
    </row>
    <row r="4" spans="1:357" ht="14.45" x14ac:dyDescent="0.35">
      <c r="A4">
        <v>1</v>
      </c>
      <c r="B4" s="156">
        <v>2</v>
      </c>
      <c r="C4" s="157">
        <v>8</v>
      </c>
      <c r="D4" s="157">
        <v>1</v>
      </c>
      <c r="E4" s="157">
        <v>4</v>
      </c>
      <c r="F4" s="157">
        <v>7</v>
      </c>
      <c r="G4" s="157">
        <v>5</v>
      </c>
      <c r="H4" s="157">
        <v>4</v>
      </c>
      <c r="I4" s="157">
        <v>4</v>
      </c>
      <c r="J4" s="158">
        <v>8</v>
      </c>
    </row>
    <row r="5" spans="1:357" ht="14.45" x14ac:dyDescent="0.35">
      <c r="A5">
        <v>2</v>
      </c>
      <c r="B5" s="123">
        <v>4</v>
      </c>
      <c r="C5" s="37">
        <v>8</v>
      </c>
      <c r="D5" s="37">
        <v>5</v>
      </c>
      <c r="E5" s="37">
        <v>3</v>
      </c>
      <c r="F5" s="37">
        <v>7</v>
      </c>
      <c r="G5" s="37">
        <v>7</v>
      </c>
      <c r="H5" s="37">
        <v>7</v>
      </c>
      <c r="I5" s="37">
        <v>6</v>
      </c>
      <c r="J5" s="90">
        <v>6</v>
      </c>
      <c r="M5" t="str">
        <f t="array" ref="M5:U5">B3:J3</f>
        <v>Expect</v>
      </c>
      <c r="N5" t="str">
        <v>Entertain</v>
      </c>
      <c r="O5" t="str">
        <v>Comm</v>
      </c>
      <c r="P5" t="str">
        <v>Expert</v>
      </c>
      <c r="Q5" t="str">
        <v>Motivate</v>
      </c>
      <c r="R5" t="str">
        <v>Caring</v>
      </c>
      <c r="S5" t="str">
        <v>Charisma</v>
      </c>
      <c r="T5" t="str">
        <v>Passion</v>
      </c>
      <c r="U5" t="str">
        <v>Friendly</v>
      </c>
      <c r="Y5" t="str">
        <f t="array" ref="Y5:AG5">M5:U6</f>
        <v>Expect</v>
      </c>
      <c r="Z5" t="str">
        <v>Entertain</v>
      </c>
      <c r="AA5" t="str">
        <v>Comm</v>
      </c>
      <c r="AB5" t="str">
        <v>Expert</v>
      </c>
      <c r="AC5" t="str">
        <v>Motivate</v>
      </c>
      <c r="AD5" t="str">
        <v>Caring</v>
      </c>
      <c r="AE5" t="str">
        <v>Charisma</v>
      </c>
      <c r="AF5" t="str">
        <v>Passion</v>
      </c>
      <c r="AG5" t="str">
        <v>Friendly</v>
      </c>
      <c r="AK5" t="str">
        <f t="array" ref="AK5:AS5">Y5:AG6</f>
        <v>Expect</v>
      </c>
      <c r="AL5" t="str">
        <v>Entertain</v>
      </c>
      <c r="AM5" t="str">
        <v>Comm</v>
      </c>
      <c r="AN5" t="str">
        <v>Expert</v>
      </c>
      <c r="AO5" t="str">
        <v>Motivate</v>
      </c>
      <c r="AP5" t="str">
        <v>Caring</v>
      </c>
      <c r="AQ5" t="str">
        <v>Charisma</v>
      </c>
      <c r="AR5" t="str">
        <v>Passion</v>
      </c>
      <c r="AS5" t="str">
        <v>Friendly</v>
      </c>
      <c r="AW5" t="str">
        <f t="array" ref="AW5:BE5">AK5:AS6</f>
        <v>Expect</v>
      </c>
      <c r="AX5" t="str">
        <v>Entertain</v>
      </c>
      <c r="AY5" t="str">
        <v>Comm</v>
      </c>
      <c r="AZ5" t="str">
        <v>Expert</v>
      </c>
      <c r="BA5" t="str">
        <v>Motivate</v>
      </c>
      <c r="BB5" t="str">
        <v>Caring</v>
      </c>
      <c r="BC5" t="str">
        <v>Charisma</v>
      </c>
      <c r="BD5" t="str">
        <v>Passion</v>
      </c>
      <c r="BE5" t="str">
        <v>Friendly</v>
      </c>
      <c r="BI5" t="str">
        <f t="array" ref="BI5:BQ5">AW5:BE6</f>
        <v>Expect</v>
      </c>
      <c r="BJ5" t="str">
        <v>Entertain</v>
      </c>
      <c r="BK5" t="str">
        <v>Comm</v>
      </c>
      <c r="BL5" t="str">
        <v>Expert</v>
      </c>
      <c r="BM5" t="str">
        <v>Motivate</v>
      </c>
      <c r="BN5" t="str">
        <v>Caring</v>
      </c>
      <c r="BO5" t="str">
        <v>Charisma</v>
      </c>
      <c r="BP5" t="str">
        <v>Passion</v>
      </c>
      <c r="BQ5" t="str">
        <v>Friendly</v>
      </c>
      <c r="BU5" t="str">
        <f t="array" ref="BU5:CC5">BI5:BQ6</f>
        <v>Expect</v>
      </c>
      <c r="BV5" t="str">
        <v>Entertain</v>
      </c>
      <c r="BW5" t="str">
        <v>Comm</v>
      </c>
      <c r="BX5" t="str">
        <v>Expert</v>
      </c>
      <c r="BY5" t="str">
        <v>Motivate</v>
      </c>
      <c r="BZ5" t="str">
        <v>Caring</v>
      </c>
      <c r="CA5" t="str">
        <v>Charisma</v>
      </c>
      <c r="CB5" t="str">
        <v>Passion</v>
      </c>
      <c r="CC5" t="str">
        <v>Friendly</v>
      </c>
      <c r="CG5" t="str">
        <f t="array" ref="CG5:CO5">BU5:CC6</f>
        <v>Expect</v>
      </c>
      <c r="CH5" t="str">
        <v>Entertain</v>
      </c>
      <c r="CI5" t="str">
        <v>Comm</v>
      </c>
      <c r="CJ5" t="str">
        <v>Expert</v>
      </c>
      <c r="CK5" t="str">
        <v>Motivate</v>
      </c>
      <c r="CL5" t="str">
        <v>Caring</v>
      </c>
      <c r="CM5" t="str">
        <v>Charisma</v>
      </c>
      <c r="CN5" t="str">
        <v>Passion</v>
      </c>
      <c r="CO5" t="str">
        <v>Friendly</v>
      </c>
      <c r="CS5" t="str">
        <f t="array" ref="CS5:DA5">CG5:CO6</f>
        <v>Expect</v>
      </c>
      <c r="CT5" t="str">
        <v>Entertain</v>
      </c>
      <c r="CU5" t="str">
        <v>Comm</v>
      </c>
      <c r="CV5" t="str">
        <v>Expert</v>
      </c>
      <c r="CW5" t="str">
        <v>Motivate</v>
      </c>
      <c r="CX5" t="str">
        <v>Caring</v>
      </c>
      <c r="CY5" t="str">
        <v>Charisma</v>
      </c>
      <c r="CZ5" t="str">
        <v>Passion</v>
      </c>
      <c r="DA5" t="str">
        <v>Friendly</v>
      </c>
      <c r="DE5" t="str">
        <f t="array" ref="DE5:DM5">CS5:DA6</f>
        <v>Expect</v>
      </c>
      <c r="DF5" t="str">
        <v>Entertain</v>
      </c>
      <c r="DG5" t="str">
        <v>Comm</v>
      </c>
      <c r="DH5" t="str">
        <v>Expert</v>
      </c>
      <c r="DI5" t="str">
        <v>Motivate</v>
      </c>
      <c r="DJ5" t="str">
        <v>Caring</v>
      </c>
      <c r="DK5" t="str">
        <v>Charisma</v>
      </c>
      <c r="DL5" t="str">
        <v>Passion</v>
      </c>
      <c r="DM5" t="str">
        <v>Friendly</v>
      </c>
      <c r="DQ5" t="str">
        <f t="array" ref="DQ5:DY5">DE5:DM6</f>
        <v>Expect</v>
      </c>
      <c r="DR5" t="str">
        <v>Entertain</v>
      </c>
      <c r="DS5" t="str">
        <v>Comm</v>
      </c>
      <c r="DT5" t="str">
        <v>Expert</v>
      </c>
      <c r="DU5" t="str">
        <v>Motivate</v>
      </c>
      <c r="DV5" t="str">
        <v>Caring</v>
      </c>
      <c r="DW5" t="str">
        <v>Charisma</v>
      </c>
      <c r="DX5" t="str">
        <v>Passion</v>
      </c>
      <c r="DY5" t="str">
        <v>Friendly</v>
      </c>
      <c r="EC5" t="str">
        <f t="array" ref="EC5:EK5">DQ5:DY6</f>
        <v>Expect</v>
      </c>
      <c r="ED5" t="str">
        <v>Entertain</v>
      </c>
      <c r="EE5" t="str">
        <v>Comm</v>
      </c>
      <c r="EF5" t="str">
        <v>Expert</v>
      </c>
      <c r="EG5" t="str">
        <v>Motivate</v>
      </c>
      <c r="EH5" t="str">
        <v>Caring</v>
      </c>
      <c r="EI5" t="str">
        <v>Charisma</v>
      </c>
      <c r="EJ5" t="str">
        <v>Passion</v>
      </c>
      <c r="EK5" t="str">
        <v>Friendly</v>
      </c>
      <c r="EO5" t="str">
        <f t="array" ref="EO5:EW5">EC5:EK6</f>
        <v>Expect</v>
      </c>
      <c r="EP5" t="str">
        <v>Entertain</v>
      </c>
      <c r="EQ5" t="str">
        <v>Comm</v>
      </c>
      <c r="ER5" t="str">
        <v>Expert</v>
      </c>
      <c r="ES5" t="str">
        <v>Motivate</v>
      </c>
      <c r="ET5" t="str">
        <v>Caring</v>
      </c>
      <c r="EU5" t="str">
        <v>Charisma</v>
      </c>
      <c r="EV5" t="str">
        <v>Passion</v>
      </c>
      <c r="EW5" t="str">
        <v>Friendly</v>
      </c>
      <c r="FA5" t="str">
        <f t="array" ref="FA5:FI5">EO5:EW6</f>
        <v>Expect</v>
      </c>
      <c r="FB5" t="str">
        <v>Entertain</v>
      </c>
      <c r="FC5" t="str">
        <v>Comm</v>
      </c>
      <c r="FD5" t="str">
        <v>Expert</v>
      </c>
      <c r="FE5" t="str">
        <v>Motivate</v>
      </c>
      <c r="FF5" t="str">
        <v>Caring</v>
      </c>
      <c r="FG5" t="str">
        <v>Charisma</v>
      </c>
      <c r="FH5" t="str">
        <v>Passion</v>
      </c>
      <c r="FI5" t="str">
        <v>Friendly</v>
      </c>
      <c r="FM5" t="str">
        <f t="array" ref="FM5:FU5">FA5:FI6</f>
        <v>Expect</v>
      </c>
      <c r="FN5" t="str">
        <v>Entertain</v>
      </c>
      <c r="FO5" t="str">
        <v>Comm</v>
      </c>
      <c r="FP5" t="str">
        <v>Expert</v>
      </c>
      <c r="FQ5" t="str">
        <v>Motivate</v>
      </c>
      <c r="FR5" t="str">
        <v>Caring</v>
      </c>
      <c r="FS5" t="str">
        <v>Charisma</v>
      </c>
      <c r="FT5" t="str">
        <v>Passion</v>
      </c>
      <c r="FU5" t="str">
        <v>Friendly</v>
      </c>
      <c r="FY5" t="str">
        <f t="array" ref="FY5:GG5">FM5:FU6</f>
        <v>Expect</v>
      </c>
      <c r="FZ5" t="str">
        <v>Entertain</v>
      </c>
      <c r="GA5" t="str">
        <v>Comm</v>
      </c>
      <c r="GB5" t="str">
        <v>Expert</v>
      </c>
      <c r="GC5" t="str">
        <v>Motivate</v>
      </c>
      <c r="GD5" t="str">
        <v>Caring</v>
      </c>
      <c r="GE5" t="str">
        <v>Charisma</v>
      </c>
      <c r="GF5" t="str">
        <v>Passion</v>
      </c>
      <c r="GG5" t="str">
        <v>Friendly</v>
      </c>
      <c r="GK5" t="str">
        <f t="array" ref="GK5:GS5">FY5:GG6</f>
        <v>Expect</v>
      </c>
      <c r="GL5" t="str">
        <v>Entertain</v>
      </c>
      <c r="GM5" t="str">
        <v>Comm</v>
      </c>
      <c r="GN5" t="str">
        <v>Expert</v>
      </c>
      <c r="GO5" t="str">
        <v>Motivate</v>
      </c>
      <c r="GP5" t="str">
        <v>Caring</v>
      </c>
      <c r="GQ5" t="str">
        <v>Charisma</v>
      </c>
      <c r="GR5" t="str">
        <v>Passion</v>
      </c>
      <c r="GS5" t="str">
        <v>Friendly</v>
      </c>
      <c r="GW5" t="str">
        <f t="array" ref="GW5:HE5">GK5:GS6</f>
        <v>Expect</v>
      </c>
      <c r="GX5" t="str">
        <v>Entertain</v>
      </c>
      <c r="GY5" t="str">
        <v>Comm</v>
      </c>
      <c r="GZ5" t="str">
        <v>Expert</v>
      </c>
      <c r="HA5" t="str">
        <v>Motivate</v>
      </c>
      <c r="HB5" t="str">
        <v>Caring</v>
      </c>
      <c r="HC5" t="str">
        <v>Charisma</v>
      </c>
      <c r="HD5" t="str">
        <v>Passion</v>
      </c>
      <c r="HE5" t="str">
        <v>Friendly</v>
      </c>
      <c r="HI5" t="str">
        <f t="array" ref="HI5:HQ5">GW5:HE6</f>
        <v>Expect</v>
      </c>
      <c r="HJ5" t="str">
        <v>Entertain</v>
      </c>
      <c r="HK5" t="str">
        <v>Comm</v>
      </c>
      <c r="HL5" t="str">
        <v>Expert</v>
      </c>
      <c r="HM5" t="str">
        <v>Motivate</v>
      </c>
      <c r="HN5" t="str">
        <v>Caring</v>
      </c>
      <c r="HO5" t="str">
        <v>Charisma</v>
      </c>
      <c r="HP5" t="str">
        <v>Passion</v>
      </c>
      <c r="HQ5" t="str">
        <v>Friendly</v>
      </c>
      <c r="HU5" t="str">
        <f t="array" ref="HU5:IC5">HI5:HQ6</f>
        <v>Expect</v>
      </c>
      <c r="HV5" t="str">
        <v>Entertain</v>
      </c>
      <c r="HW5" t="str">
        <v>Comm</v>
      </c>
      <c r="HX5" t="str">
        <v>Expert</v>
      </c>
      <c r="HY5" t="str">
        <v>Motivate</v>
      </c>
      <c r="HZ5" t="str">
        <v>Caring</v>
      </c>
      <c r="IA5" t="str">
        <v>Charisma</v>
      </c>
      <c r="IB5" t="str">
        <v>Passion</v>
      </c>
      <c r="IC5" t="str">
        <v>Friendly</v>
      </c>
      <c r="IG5" t="str">
        <f t="array" ref="IG5:IO5">HU5:IC6</f>
        <v>Expect</v>
      </c>
      <c r="IH5" t="str">
        <v>Entertain</v>
      </c>
      <c r="II5" t="str">
        <v>Comm</v>
      </c>
      <c r="IJ5" t="str">
        <v>Expert</v>
      </c>
      <c r="IK5" t="str">
        <v>Motivate</v>
      </c>
      <c r="IL5" t="str">
        <v>Caring</v>
      </c>
      <c r="IM5" t="str">
        <v>Charisma</v>
      </c>
      <c r="IN5" t="str">
        <v>Passion</v>
      </c>
      <c r="IO5" t="str">
        <v>Friendly</v>
      </c>
      <c r="IS5" t="str">
        <f t="array" ref="IS5:JA5">IG5:IO6</f>
        <v>Expect</v>
      </c>
      <c r="IT5" t="str">
        <v>Entertain</v>
      </c>
      <c r="IU5" t="str">
        <v>Comm</v>
      </c>
      <c r="IV5" t="str">
        <v>Expert</v>
      </c>
      <c r="IW5" t="str">
        <v>Motivate</v>
      </c>
      <c r="IX5" t="str">
        <v>Caring</v>
      </c>
      <c r="IY5" t="str">
        <v>Charisma</v>
      </c>
      <c r="IZ5" t="str">
        <v>Passion</v>
      </c>
      <c r="JA5" t="str">
        <v>Friendly</v>
      </c>
      <c r="JE5" t="str">
        <f t="array" ref="JE5:JM5">IS5:JA6</f>
        <v>Expect</v>
      </c>
      <c r="JF5" t="str">
        <v>Entertain</v>
      </c>
      <c r="JG5" t="str">
        <v>Comm</v>
      </c>
      <c r="JH5" t="str">
        <v>Expert</v>
      </c>
      <c r="JI5" t="str">
        <v>Motivate</v>
      </c>
      <c r="JJ5" t="str">
        <v>Caring</v>
      </c>
      <c r="JK5" t="str">
        <v>Charisma</v>
      </c>
      <c r="JL5" t="str">
        <v>Passion</v>
      </c>
      <c r="JM5" t="str">
        <v>Friendly</v>
      </c>
      <c r="JQ5" t="str">
        <f t="array" ref="JQ5:JY5">JE5:JM6</f>
        <v>Expect</v>
      </c>
      <c r="JR5" t="str">
        <v>Entertain</v>
      </c>
      <c r="JS5" t="str">
        <v>Comm</v>
      </c>
      <c r="JT5" t="str">
        <v>Expert</v>
      </c>
      <c r="JU5" t="str">
        <v>Motivate</v>
      </c>
      <c r="JV5" t="str">
        <v>Caring</v>
      </c>
      <c r="JW5" t="str">
        <v>Charisma</v>
      </c>
      <c r="JX5" t="str">
        <v>Passion</v>
      </c>
      <c r="JY5" t="str">
        <v>Friendly</v>
      </c>
      <c r="KC5" t="str">
        <f t="array" ref="KC5:KK5">JQ5:JY6</f>
        <v>Expect</v>
      </c>
      <c r="KD5" t="str">
        <v>Entertain</v>
      </c>
      <c r="KE5" t="str">
        <v>Comm</v>
      </c>
      <c r="KF5" t="str">
        <v>Expert</v>
      </c>
      <c r="KG5" t="str">
        <v>Motivate</v>
      </c>
      <c r="KH5" t="str">
        <v>Caring</v>
      </c>
      <c r="KI5" t="str">
        <v>Charisma</v>
      </c>
      <c r="KJ5" t="str">
        <v>Passion</v>
      </c>
      <c r="KK5" t="str">
        <v>Friendly</v>
      </c>
      <c r="KO5" t="str">
        <f t="array" ref="KO5:KW5">KC5:KK6</f>
        <v>Expect</v>
      </c>
      <c r="KP5" t="str">
        <v>Entertain</v>
      </c>
      <c r="KQ5" t="str">
        <v>Comm</v>
      </c>
      <c r="KR5" t="str">
        <v>Expert</v>
      </c>
      <c r="KS5" t="str">
        <v>Motivate</v>
      </c>
      <c r="KT5" t="str">
        <v>Caring</v>
      </c>
      <c r="KU5" t="str">
        <v>Charisma</v>
      </c>
      <c r="KV5" t="str">
        <v>Passion</v>
      </c>
      <c r="KW5" t="str">
        <v>Friendly</v>
      </c>
      <c r="LA5" t="str">
        <f t="array" ref="LA5:LI5">KO5:KW6</f>
        <v>Expect</v>
      </c>
      <c r="LB5" t="str">
        <v>Entertain</v>
      </c>
      <c r="LC5" t="str">
        <v>Comm</v>
      </c>
      <c r="LD5" t="str">
        <v>Expert</v>
      </c>
      <c r="LE5" t="str">
        <v>Motivate</v>
      </c>
      <c r="LF5" t="str">
        <v>Caring</v>
      </c>
      <c r="LG5" t="str">
        <v>Charisma</v>
      </c>
      <c r="LH5" t="str">
        <v>Passion</v>
      </c>
      <c r="LI5" t="str">
        <v>Friendly</v>
      </c>
      <c r="LM5" t="str">
        <f t="array" ref="LM5:LU5">LA5:LI6</f>
        <v>Expect</v>
      </c>
      <c r="LN5" t="str">
        <v>Entertain</v>
      </c>
      <c r="LO5" t="str">
        <v>Comm</v>
      </c>
      <c r="LP5" t="str">
        <v>Expert</v>
      </c>
      <c r="LQ5" t="str">
        <v>Motivate</v>
      </c>
      <c r="LR5" t="str">
        <v>Caring</v>
      </c>
      <c r="LS5" t="str">
        <v>Charisma</v>
      </c>
      <c r="LT5" t="str">
        <v>Passion</v>
      </c>
      <c r="LU5" t="str">
        <v>Friendly</v>
      </c>
      <c r="LY5" t="str">
        <f t="array" ref="LY5:MG5">LM5:LU6</f>
        <v>Expect</v>
      </c>
      <c r="LZ5" t="str">
        <v>Entertain</v>
      </c>
      <c r="MA5" t="str">
        <v>Comm</v>
      </c>
      <c r="MB5" t="str">
        <v>Expert</v>
      </c>
      <c r="MC5" t="str">
        <v>Motivate</v>
      </c>
      <c r="MD5" t="str">
        <v>Caring</v>
      </c>
      <c r="ME5" t="str">
        <v>Charisma</v>
      </c>
      <c r="MF5" t="str">
        <v>Passion</v>
      </c>
      <c r="MG5" t="str">
        <v>Friendly</v>
      </c>
      <c r="MK5" t="str">
        <f t="array" ref="MK5:MS5">LY5:MG6</f>
        <v>Expect</v>
      </c>
      <c r="ML5" t="str">
        <v>Entertain</v>
      </c>
      <c r="MM5" t="str">
        <v>Comm</v>
      </c>
      <c r="MN5" t="str">
        <v>Expert</v>
      </c>
      <c r="MO5" t="str">
        <v>Motivate</v>
      </c>
      <c r="MP5" t="str">
        <v>Caring</v>
      </c>
      <c r="MQ5" t="str">
        <v>Charisma</v>
      </c>
      <c r="MR5" t="str">
        <v>Passion</v>
      </c>
      <c r="MS5" t="str">
        <v>Friendly</v>
      </c>
    </row>
    <row r="6" spans="1:357" ht="14.45" x14ac:dyDescent="0.35">
      <c r="A6">
        <v>3</v>
      </c>
      <c r="B6" s="123">
        <v>2</v>
      </c>
      <c r="C6" s="37">
        <v>8</v>
      </c>
      <c r="D6" s="37">
        <v>2</v>
      </c>
      <c r="E6" s="37">
        <v>3</v>
      </c>
      <c r="F6" s="37">
        <v>6</v>
      </c>
      <c r="G6" s="37">
        <v>7</v>
      </c>
      <c r="H6" s="37">
        <v>1</v>
      </c>
      <c r="I6" s="37">
        <v>3</v>
      </c>
      <c r="J6" s="90">
        <v>7</v>
      </c>
      <c r="L6" t="str">
        <f t="array" ref="L6:L14">TRANSPOSE(B3:J3)</f>
        <v>Expect</v>
      </c>
      <c r="M6" s="203">
        <f t="array" ref="M6:U14">[1]!CORR(B4:J123)</f>
        <v>0.99999999999999833</v>
      </c>
      <c r="N6" s="204">
        <v>-0.17658022821634106</v>
      </c>
      <c r="O6" s="204">
        <v>7.9472348910152368E-2</v>
      </c>
      <c r="P6" s="204">
        <v>0.12053127811168438</v>
      </c>
      <c r="Q6" s="204">
        <v>-0.1472071906836242</v>
      </c>
      <c r="R6" s="204">
        <v>-0.1052452402704131</v>
      </c>
      <c r="S6" s="204">
        <v>-2.189090621599556E-2</v>
      </c>
      <c r="T6" s="204">
        <v>-0.12979427946395597</v>
      </c>
      <c r="U6" s="205">
        <v>-0.34401036690229408</v>
      </c>
      <c r="X6" t="str">
        <f t="array" ref="X6:X14">TRANSPOSE(Y5:AG5)</f>
        <v>Expect</v>
      </c>
      <c r="Y6" s="217">
        <f t="array" ref="Y6:AG14">$M$6:$U$14-[1]!IDENTITY()+[1]!DIAGONAL(V33:V41)</f>
        <v>0.22255509403824303</v>
      </c>
      <c r="Z6" s="218">
        <v>-0.17658022821634106</v>
      </c>
      <c r="AA6" s="218">
        <v>7.9472348910152368E-2</v>
      </c>
      <c r="AB6" s="218">
        <v>0.12053127811168438</v>
      </c>
      <c r="AC6" s="218">
        <v>-0.1472071906836242</v>
      </c>
      <c r="AD6" s="218">
        <v>-0.1052452402704131</v>
      </c>
      <c r="AE6" s="218">
        <v>-2.189090621599556E-2</v>
      </c>
      <c r="AF6" s="218">
        <v>-0.12979427946395597</v>
      </c>
      <c r="AG6" s="219">
        <v>-0.34401036690229408</v>
      </c>
      <c r="AJ6" t="str">
        <f t="array" ref="AJ6:AJ14">TRANSPOSE(AK5:AS5)</f>
        <v>Expect</v>
      </c>
      <c r="AK6" s="217">
        <f t="array" ref="AK6:AS14">$M$6:$U$14-[1]!IDENTITY()+[1]!DIAGONAL(AH33:AH41)</f>
        <v>0.30158654874356539</v>
      </c>
      <c r="AL6" s="218">
        <v>-0.17658022821634106</v>
      </c>
      <c r="AM6" s="218">
        <v>7.9472348910152368E-2</v>
      </c>
      <c r="AN6" s="218">
        <v>0.12053127811168438</v>
      </c>
      <c r="AO6" s="218">
        <v>-0.1472071906836242</v>
      </c>
      <c r="AP6" s="218">
        <v>-0.1052452402704131</v>
      </c>
      <c r="AQ6" s="218">
        <v>-2.189090621599556E-2</v>
      </c>
      <c r="AR6" s="218">
        <v>-0.12979427946395597</v>
      </c>
      <c r="AS6" s="219">
        <v>-0.34401036690229408</v>
      </c>
      <c r="AV6" t="str">
        <f t="array" ref="AV6:AV14">TRANSPOSE(AW5:BE5)</f>
        <v>Expect</v>
      </c>
      <c r="AW6" s="217">
        <f t="array" ref="AW6:BE14">$M$6:$U$14-[1]!IDENTITY()+[1]!DIAGONAL(AT33:AT41)</f>
        <v>0.35448723874830085</v>
      </c>
      <c r="AX6" s="218">
        <v>-0.17658022821634106</v>
      </c>
      <c r="AY6" s="218">
        <v>7.9472348910152368E-2</v>
      </c>
      <c r="AZ6" s="218">
        <v>0.12053127811168438</v>
      </c>
      <c r="BA6" s="218">
        <v>-0.1472071906836242</v>
      </c>
      <c r="BB6" s="218">
        <v>-0.1052452402704131</v>
      </c>
      <c r="BC6" s="218">
        <v>-2.189090621599556E-2</v>
      </c>
      <c r="BD6" s="218">
        <v>-0.12979427946395597</v>
      </c>
      <c r="BE6" s="219">
        <v>-0.34401036690229408</v>
      </c>
      <c r="BH6" t="str">
        <f t="array" ref="BH6:BH14">TRANSPOSE(BI5:BQ5)</f>
        <v>Expect</v>
      </c>
      <c r="BI6" s="217">
        <f t="array" ref="BI6:BQ14">$M$6:$U$14-[1]!IDENTITY()+[1]!DIAGONAL(BF33:BF41)</f>
        <v>0.39352529474466386</v>
      </c>
      <c r="BJ6" s="218">
        <v>-0.17658022821634106</v>
      </c>
      <c r="BK6" s="218">
        <v>7.9472348910152368E-2</v>
      </c>
      <c r="BL6" s="218">
        <v>0.12053127811168438</v>
      </c>
      <c r="BM6" s="218">
        <v>-0.1472071906836242</v>
      </c>
      <c r="BN6" s="218">
        <v>-0.1052452402704131</v>
      </c>
      <c r="BO6" s="218">
        <v>-2.189090621599556E-2</v>
      </c>
      <c r="BP6" s="218">
        <v>-0.12979427946395597</v>
      </c>
      <c r="BQ6" s="219">
        <v>-0.34401036690229408</v>
      </c>
      <c r="BT6" t="str">
        <f t="array" ref="BT6:BT14">TRANSPOSE(BU5:CC5)</f>
        <v>Expect</v>
      </c>
      <c r="BU6" s="217">
        <f t="array" ref="BU6:CC14">$M$6:$U$14-[1]!IDENTITY()+[1]!DIAGONAL(BR33:BR41)</f>
        <v>0.42310185363529818</v>
      </c>
      <c r="BV6" s="218">
        <v>-0.17658022821634106</v>
      </c>
      <c r="BW6" s="218">
        <v>7.9472348910152368E-2</v>
      </c>
      <c r="BX6" s="218">
        <v>0.12053127811168438</v>
      </c>
      <c r="BY6" s="218">
        <v>-0.1472071906836242</v>
      </c>
      <c r="BZ6" s="218">
        <v>-0.1052452402704131</v>
      </c>
      <c r="CA6" s="218">
        <v>-2.189090621599556E-2</v>
      </c>
      <c r="CB6" s="218">
        <v>-0.12979427946395597</v>
      </c>
      <c r="CC6" s="219">
        <v>-0.34401036690229408</v>
      </c>
      <c r="CF6" t="str">
        <f t="array" ref="CF6:CF14">TRANSPOSE(CG5:CO5)</f>
        <v>Expect</v>
      </c>
      <c r="CG6" s="217">
        <f t="array" ref="CG6:CO14">$M$6:$U$14-[1]!IDENTITY()+[1]!DIAGONAL(CD33:CD41)</f>
        <v>0.4461326950237367</v>
      </c>
      <c r="CH6" s="218">
        <v>-0.17658022821634106</v>
      </c>
      <c r="CI6" s="218">
        <v>7.9472348910152368E-2</v>
      </c>
      <c r="CJ6" s="218">
        <v>0.12053127811168438</v>
      </c>
      <c r="CK6" s="218">
        <v>-0.1472071906836242</v>
      </c>
      <c r="CL6" s="218">
        <v>-0.1052452402704131</v>
      </c>
      <c r="CM6" s="218">
        <v>-2.189090621599556E-2</v>
      </c>
      <c r="CN6" s="218">
        <v>-0.12979427946395597</v>
      </c>
      <c r="CO6" s="219">
        <v>-0.34401036690229408</v>
      </c>
      <c r="CR6" t="str">
        <f t="array" ref="CR6:CR14">TRANSPOSE(CS5:DA5)</f>
        <v>Expect</v>
      </c>
      <c r="CS6" s="217">
        <f t="array" ref="CS6:DA14">$M$6:$U$14-[1]!IDENTITY()+[1]!DIAGONAL(CP33:CP41)</f>
        <v>0.46450459636926306</v>
      </c>
      <c r="CT6" s="218">
        <v>-0.17658022821634106</v>
      </c>
      <c r="CU6" s="218">
        <v>7.9472348910152368E-2</v>
      </c>
      <c r="CV6" s="218">
        <v>0.12053127811168438</v>
      </c>
      <c r="CW6" s="218">
        <v>-0.1472071906836242</v>
      </c>
      <c r="CX6" s="218">
        <v>-0.1052452402704131</v>
      </c>
      <c r="CY6" s="218">
        <v>-2.189090621599556E-2</v>
      </c>
      <c r="CZ6" s="218">
        <v>-0.12979427946395597</v>
      </c>
      <c r="DA6" s="219">
        <v>-0.34401036690229408</v>
      </c>
      <c r="DD6" t="str">
        <f t="array" ref="DD6:DD14">TRANSPOSE(DE5:DM5)</f>
        <v>Expect</v>
      </c>
      <c r="DE6" s="217">
        <f t="array" ref="DE6:DM14">$M$6:$U$14-[1]!IDENTITY()+[1]!DIAGONAL(DB33:DB41)</f>
        <v>0.47925782042611131</v>
      </c>
      <c r="DF6" s="218">
        <v>-0.17658022821634106</v>
      </c>
      <c r="DG6" s="218">
        <v>7.9472348910152368E-2</v>
      </c>
      <c r="DH6" s="218">
        <v>0.12053127811168438</v>
      </c>
      <c r="DI6" s="218">
        <v>-0.1472071906836242</v>
      </c>
      <c r="DJ6" s="218">
        <v>-0.1052452402704131</v>
      </c>
      <c r="DK6" s="218">
        <v>-2.189090621599556E-2</v>
      </c>
      <c r="DL6" s="218">
        <v>-0.12979427946395597</v>
      </c>
      <c r="DM6" s="219">
        <v>-0.34401036690229408</v>
      </c>
      <c r="DP6" t="str">
        <f t="array" ref="DP6:DP14">TRANSPOSE(DQ5:DY5)</f>
        <v>Expect</v>
      </c>
      <c r="DQ6" s="217">
        <f t="array" ref="DQ6:DY14">$M$6:$U$14-[1]!IDENTITY()+[1]!DIAGONAL(DN33:DN41)</f>
        <v>0.49115420439090218</v>
      </c>
      <c r="DR6" s="218">
        <v>-0.17658022821634106</v>
      </c>
      <c r="DS6" s="218">
        <v>7.9472348910152368E-2</v>
      </c>
      <c r="DT6" s="218">
        <v>0.12053127811168438</v>
      </c>
      <c r="DU6" s="218">
        <v>-0.1472071906836242</v>
      </c>
      <c r="DV6" s="218">
        <v>-0.1052452402704131</v>
      </c>
      <c r="DW6" s="218">
        <v>-2.189090621599556E-2</v>
      </c>
      <c r="DX6" s="218">
        <v>-0.12979427946395597</v>
      </c>
      <c r="DY6" s="219">
        <v>-0.34401036690229408</v>
      </c>
      <c r="EB6" t="str">
        <f t="array" ref="EB6:EB14">TRANSPOSE(EC5:EK5)</f>
        <v>Expect</v>
      </c>
      <c r="EC6" s="217">
        <f t="array" ref="EC6:EK14">$M$6:$U$14-[1]!IDENTITY()+[1]!DIAGONAL(DZ33:DZ41)</f>
        <v>0.50075711194087635</v>
      </c>
      <c r="ED6" s="218">
        <v>-0.17658022821634106</v>
      </c>
      <c r="EE6" s="218">
        <v>7.9472348910152368E-2</v>
      </c>
      <c r="EF6" s="218">
        <v>0.12053127811168438</v>
      </c>
      <c r="EG6" s="218">
        <v>-0.1472071906836242</v>
      </c>
      <c r="EH6" s="218">
        <v>-0.1052452402704131</v>
      </c>
      <c r="EI6" s="218">
        <v>-2.189090621599556E-2</v>
      </c>
      <c r="EJ6" s="218">
        <v>-0.12979427946395597</v>
      </c>
      <c r="EK6" s="219">
        <v>-0.34401036690229408</v>
      </c>
      <c r="EN6" t="str">
        <f t="array" ref="EN6:EN14">TRANSPOSE(EO5:EW5)</f>
        <v>Expect</v>
      </c>
      <c r="EO6" s="217">
        <f t="array" ref="EO6:EW14">$M$6:$U$14-[1]!IDENTITY()+[1]!DIAGONAL(EL33:EL41)</f>
        <v>0.5084862643904654</v>
      </c>
      <c r="EP6" s="218">
        <v>-0.17658022821634106</v>
      </c>
      <c r="EQ6" s="218">
        <v>7.9472348910152368E-2</v>
      </c>
      <c r="ER6" s="218">
        <v>0.12053127811168438</v>
      </c>
      <c r="ES6" s="218">
        <v>-0.1472071906836242</v>
      </c>
      <c r="ET6" s="218">
        <v>-0.1052452402704131</v>
      </c>
      <c r="EU6" s="218">
        <v>-2.189090621599556E-2</v>
      </c>
      <c r="EV6" s="218">
        <v>-0.12979427946395597</v>
      </c>
      <c r="EW6" s="219">
        <v>-0.34401036690229408</v>
      </c>
      <c r="EZ6" t="str">
        <f t="array" ref="EZ6:EZ14">TRANSPOSE(FA5:FI5)</f>
        <v>Expect</v>
      </c>
      <c r="FA6" s="217">
        <f t="array" ref="FA6:FI14">$M$6:$U$14-[1]!IDENTITY()+[1]!DIAGONAL(EX33:EX41)</f>
        <v>0.51472218766526523</v>
      </c>
      <c r="FB6" s="218">
        <v>-0.17658022821634106</v>
      </c>
      <c r="FC6" s="218">
        <v>7.9472348910152368E-2</v>
      </c>
      <c r="FD6" s="218">
        <v>0.12053127811168438</v>
      </c>
      <c r="FE6" s="218">
        <v>-0.1472071906836242</v>
      </c>
      <c r="FF6" s="218">
        <v>-0.1052452402704131</v>
      </c>
      <c r="FG6" s="218">
        <v>-2.189090621599556E-2</v>
      </c>
      <c r="FH6" s="218">
        <v>-0.12979427946395597</v>
      </c>
      <c r="FI6" s="219">
        <v>-0.34401036690229408</v>
      </c>
      <c r="FL6" t="str">
        <f t="array" ref="FL6:FL14">TRANSPOSE(FM5:FU5)</f>
        <v>Expect</v>
      </c>
      <c r="FM6" s="217">
        <f t="array" ref="FM6:FU14">$M$6:$U$14-[1]!IDENTITY()+[1]!DIAGONAL(FJ33:FJ41)</f>
        <v>0.51980513493153102</v>
      </c>
      <c r="FN6" s="218">
        <v>-0.17658022821634106</v>
      </c>
      <c r="FO6" s="218">
        <v>7.9472348910152368E-2</v>
      </c>
      <c r="FP6" s="218">
        <v>0.12053127811168438</v>
      </c>
      <c r="FQ6" s="218">
        <v>-0.1472071906836242</v>
      </c>
      <c r="FR6" s="218">
        <v>-0.1052452402704131</v>
      </c>
      <c r="FS6" s="218">
        <v>-2.189090621599556E-2</v>
      </c>
      <c r="FT6" s="218">
        <v>-0.12979427946395597</v>
      </c>
      <c r="FU6" s="219">
        <v>-0.34401036690229408</v>
      </c>
      <c r="FX6" t="str">
        <f t="array" ref="FX6:FX14">TRANSPOSE(FY5:GG5)</f>
        <v>Expect</v>
      </c>
      <c r="FY6" s="217">
        <f t="array" ref="FY6:GG14">$M$6:$U$14-[1]!IDENTITY()+[1]!DIAGONAL(FV33:FV41)</f>
        <v>0.52393813831211056</v>
      </c>
      <c r="FZ6" s="218">
        <v>-0.17658022821634106</v>
      </c>
      <c r="GA6" s="218">
        <v>7.9472348910152368E-2</v>
      </c>
      <c r="GB6" s="218">
        <v>0.12053127811168438</v>
      </c>
      <c r="GC6" s="218">
        <v>-0.1472071906836242</v>
      </c>
      <c r="GD6" s="218">
        <v>-0.1052452402704131</v>
      </c>
      <c r="GE6" s="218">
        <v>-2.189090621599556E-2</v>
      </c>
      <c r="GF6" s="218">
        <v>-0.12979427946395597</v>
      </c>
      <c r="GG6" s="219">
        <v>-0.34401036690229408</v>
      </c>
      <c r="GJ6" t="str">
        <f t="array" ref="GJ6:GJ14">TRANSPOSE(GK5:GS5)</f>
        <v>Expect</v>
      </c>
      <c r="GK6" s="217">
        <f t="array" ref="GK6:GS14">$M$6:$U$14-[1]!IDENTITY()+[1]!DIAGONAL(GH33:GH41)</f>
        <v>0.52740471856351168</v>
      </c>
      <c r="GL6" s="218">
        <v>-0.17658022821634106</v>
      </c>
      <c r="GM6" s="218">
        <v>7.9472348910152368E-2</v>
      </c>
      <c r="GN6" s="218">
        <v>0.12053127811168438</v>
      </c>
      <c r="GO6" s="218">
        <v>-0.1472071906836242</v>
      </c>
      <c r="GP6" s="218">
        <v>-0.1052452402704131</v>
      </c>
      <c r="GQ6" s="218">
        <v>-2.189090621599556E-2</v>
      </c>
      <c r="GR6" s="218">
        <v>-0.12979427946395597</v>
      </c>
      <c r="GS6" s="219">
        <v>-0.34401036690229408</v>
      </c>
      <c r="GV6" t="str">
        <f t="array" ref="GV6:GV14">TRANSPOSE(GW5:HE5)</f>
        <v>Expect</v>
      </c>
      <c r="GW6" s="217">
        <f t="array" ref="GW6:HE14">$M$6:$U$14-[1]!IDENTITY()+[1]!DIAGONAL(GT33:GT41)</f>
        <v>0.53029529931854191</v>
      </c>
      <c r="GX6" s="218">
        <v>-0.17658022821634106</v>
      </c>
      <c r="GY6" s="218">
        <v>7.9472348910152368E-2</v>
      </c>
      <c r="GZ6" s="218">
        <v>0.12053127811168438</v>
      </c>
      <c r="HA6" s="218">
        <v>-0.1472071906836242</v>
      </c>
      <c r="HB6" s="218">
        <v>-0.1052452402704131</v>
      </c>
      <c r="HC6" s="218">
        <v>-2.189090621599556E-2</v>
      </c>
      <c r="HD6" s="218">
        <v>-0.12979427946395597</v>
      </c>
      <c r="HE6" s="219">
        <v>-0.34401036690229408</v>
      </c>
      <c r="HH6" t="str">
        <f t="array" ref="HH6:HH14">TRANSPOSE(HI5:HQ5)</f>
        <v>Expect</v>
      </c>
      <c r="HI6" s="217">
        <f t="array" ref="HI6:HQ14">$M$6:$U$14-[1]!IDENTITY()+[1]!DIAGONAL(HF33:HF41)</f>
        <v>0.53271174312077207</v>
      </c>
      <c r="HJ6" s="218">
        <v>-0.17658022821634106</v>
      </c>
      <c r="HK6" s="218">
        <v>7.9472348910152368E-2</v>
      </c>
      <c r="HL6" s="218">
        <v>0.12053127811168438</v>
      </c>
      <c r="HM6" s="218">
        <v>-0.1472071906836242</v>
      </c>
      <c r="HN6" s="218">
        <v>-0.1052452402704131</v>
      </c>
      <c r="HO6" s="218">
        <v>-2.189090621599556E-2</v>
      </c>
      <c r="HP6" s="218">
        <v>-0.12979427946395597</v>
      </c>
      <c r="HQ6" s="219">
        <v>-0.34401036690229408</v>
      </c>
      <c r="HT6" t="str">
        <f t="array" ref="HT6:HT14">TRANSPOSE(HU5:IC5)</f>
        <v>Expect</v>
      </c>
      <c r="HU6" s="217">
        <f t="array" ref="HU6:IC14">$M$6:$U$14-[1]!IDENTITY()+[1]!DIAGONAL(HR33:HR41)</f>
        <v>0.53459773516525178</v>
      </c>
      <c r="HV6" s="218">
        <v>-0.17658022821634106</v>
      </c>
      <c r="HW6" s="218">
        <v>7.9472348910152368E-2</v>
      </c>
      <c r="HX6" s="218">
        <v>0.12053127811168438</v>
      </c>
      <c r="HY6" s="218">
        <v>-0.1472071906836242</v>
      </c>
      <c r="HZ6" s="218">
        <v>-0.1052452402704131</v>
      </c>
      <c r="IA6" s="218">
        <v>-2.189090621599556E-2</v>
      </c>
      <c r="IB6" s="218">
        <v>-0.12979427946395597</v>
      </c>
      <c r="IC6" s="219">
        <v>-0.34401036690229408</v>
      </c>
      <c r="IF6" t="str">
        <f t="array" ref="IF6:IF14">TRANSPOSE(IG5:IO5)</f>
        <v>Expect</v>
      </c>
      <c r="IG6" s="217">
        <f t="array" ref="IG6:IO14">$M$6:$U$14-[1]!IDENTITY()+[1]!DIAGONAL(ID33:ID41)</f>
        <v>0.53613664416422679</v>
      </c>
      <c r="IH6" s="218">
        <v>-0.17658022821634106</v>
      </c>
      <c r="II6" s="218">
        <v>7.9472348910152368E-2</v>
      </c>
      <c r="IJ6" s="218">
        <v>0.12053127811168438</v>
      </c>
      <c r="IK6" s="218">
        <v>-0.1472071906836242</v>
      </c>
      <c r="IL6" s="218">
        <v>-0.1052452402704131</v>
      </c>
      <c r="IM6" s="218">
        <v>-2.189090621599556E-2</v>
      </c>
      <c r="IN6" s="218">
        <v>-0.12979427946395597</v>
      </c>
      <c r="IO6" s="219">
        <v>-0.34401036690229408</v>
      </c>
      <c r="IR6" t="str">
        <f t="array" ref="IR6:IR14">TRANSPOSE(IS5:JA5)</f>
        <v>Expect</v>
      </c>
      <c r="IS6" s="217">
        <f t="array" ref="IS6:JA14">$M$6:$U$14-[1]!IDENTITY()+[1]!DIAGONAL(IP33:IP41)</f>
        <v>0.53739348923255148</v>
      </c>
      <c r="IT6" s="218">
        <v>-0.17658022821634106</v>
      </c>
      <c r="IU6" s="218">
        <v>7.9472348910152368E-2</v>
      </c>
      <c r="IV6" s="218">
        <v>0.12053127811168438</v>
      </c>
      <c r="IW6" s="218">
        <v>-0.1472071906836242</v>
      </c>
      <c r="IX6" s="218">
        <v>-0.1052452402704131</v>
      </c>
      <c r="IY6" s="218">
        <v>-2.189090621599556E-2</v>
      </c>
      <c r="IZ6" s="218">
        <v>-0.12979427946395597</v>
      </c>
      <c r="JA6" s="219">
        <v>-0.34401036690229408</v>
      </c>
      <c r="JD6" t="str">
        <f t="array" ref="JD6:JD14">TRANSPOSE(JE5:JM5)</f>
        <v>Expect</v>
      </c>
      <c r="JE6" s="217">
        <f t="array" ref="JE6:JM14">$M$6:$U$14-[1]!IDENTITY()+[1]!DIAGONAL(JB33:JB41)</f>
        <v>0.53858438145283161</v>
      </c>
      <c r="JF6" s="218">
        <v>-0.17658022821634106</v>
      </c>
      <c r="JG6" s="218">
        <v>7.9472348910152368E-2</v>
      </c>
      <c r="JH6" s="218">
        <v>0.12053127811168438</v>
      </c>
      <c r="JI6" s="218">
        <v>-0.1472071906836242</v>
      </c>
      <c r="JJ6" s="218">
        <v>-0.1052452402704131</v>
      </c>
      <c r="JK6" s="218">
        <v>-2.189090621599556E-2</v>
      </c>
      <c r="JL6" s="218">
        <v>-0.12979427946395597</v>
      </c>
      <c r="JM6" s="219">
        <v>-0.34401036690229408</v>
      </c>
      <c r="JP6" t="str">
        <f t="array" ref="JP6:JP14">TRANSPOSE(JQ5:JY5)</f>
        <v>Expect</v>
      </c>
      <c r="JQ6" s="217">
        <f t="array" ref="JQ6:JY14">$M$6:$U$14-[1]!IDENTITY()+[1]!DIAGONAL(JN33:JN41)</f>
        <v>0.53960388396670211</v>
      </c>
      <c r="JR6" s="218">
        <v>-0.17658022821634106</v>
      </c>
      <c r="JS6" s="218">
        <v>7.9472348910152368E-2</v>
      </c>
      <c r="JT6" s="218">
        <v>0.12053127811168438</v>
      </c>
      <c r="JU6" s="218">
        <v>-0.1472071906836242</v>
      </c>
      <c r="JV6" s="218">
        <v>-0.1052452402704131</v>
      </c>
      <c r="JW6" s="218">
        <v>-2.189090621599556E-2</v>
      </c>
      <c r="JX6" s="218">
        <v>-0.12979427946395597</v>
      </c>
      <c r="JY6" s="219">
        <v>-0.34401036690229408</v>
      </c>
      <c r="KB6" t="str">
        <f t="array" ref="KB6:KB14">TRANSPOSE(KC5:KK5)</f>
        <v>Expect</v>
      </c>
      <c r="KC6" s="217">
        <f t="array" ref="KC6:KK14">$M$6:$U$14-[1]!IDENTITY()+[1]!DIAGONAL(JZ33:JZ41)</f>
        <v>0.54033537076170279</v>
      </c>
      <c r="KD6" s="218">
        <v>-0.17658022821634106</v>
      </c>
      <c r="KE6" s="218">
        <v>7.9472348910152368E-2</v>
      </c>
      <c r="KF6" s="218">
        <v>0.12053127811168438</v>
      </c>
      <c r="KG6" s="218">
        <v>-0.1472071906836242</v>
      </c>
      <c r="KH6" s="218">
        <v>-0.1052452402704131</v>
      </c>
      <c r="KI6" s="218">
        <v>-2.189090621599556E-2</v>
      </c>
      <c r="KJ6" s="218">
        <v>-0.12979427946395597</v>
      </c>
      <c r="KK6" s="219">
        <v>-0.34401036690229408</v>
      </c>
      <c r="KN6" t="str">
        <f t="array" ref="KN6:KN14">TRANSPOSE(KO5:KW5)</f>
        <v>Expect</v>
      </c>
      <c r="KO6" s="217">
        <f t="array" ref="KO6:KW14">$M$6:$U$14-[1]!IDENTITY()+[1]!DIAGONAL(KL33:KL41)</f>
        <v>0.54093681881774591</v>
      </c>
      <c r="KP6" s="218">
        <v>-0.17658022821634106</v>
      </c>
      <c r="KQ6" s="218">
        <v>7.9472348910152368E-2</v>
      </c>
      <c r="KR6" s="218">
        <v>0.12053127811168438</v>
      </c>
      <c r="KS6" s="218">
        <v>-0.1472071906836242</v>
      </c>
      <c r="KT6" s="218">
        <v>-0.1052452402704131</v>
      </c>
      <c r="KU6" s="218">
        <v>-2.189090621599556E-2</v>
      </c>
      <c r="KV6" s="218">
        <v>-0.12979427946395597</v>
      </c>
      <c r="KW6" s="219">
        <v>-0.34401036690229408</v>
      </c>
      <c r="KZ6" t="str">
        <f t="array" ref="KZ6:KZ14">TRANSPOSE(LA5:LI5)</f>
        <v>Expect</v>
      </c>
      <c r="LA6" s="217">
        <f t="array" ref="LA6:LI14">$M$6:$U$14-[1]!IDENTITY()+[1]!DIAGONAL(KX33:KX41)</f>
        <v>0.54143753195897748</v>
      </c>
      <c r="LB6" s="218">
        <v>-0.17658022821634106</v>
      </c>
      <c r="LC6" s="218">
        <v>7.9472348910152368E-2</v>
      </c>
      <c r="LD6" s="218">
        <v>0.12053127811168438</v>
      </c>
      <c r="LE6" s="218">
        <v>-0.1472071906836242</v>
      </c>
      <c r="LF6" s="218">
        <v>-0.1052452402704131</v>
      </c>
      <c r="LG6" s="218">
        <v>-2.189090621599556E-2</v>
      </c>
      <c r="LH6" s="218">
        <v>-0.12979427946395597</v>
      </c>
      <c r="LI6" s="219">
        <v>-0.34401036690229408</v>
      </c>
      <c r="LL6" t="str">
        <f t="array" ref="LL6:LL14">TRANSPOSE(LM5:LU5)</f>
        <v>Expect</v>
      </c>
      <c r="LM6" s="217">
        <f t="array" ref="LM6:LU14">LA6:LI14-[1]!DIAGONAL([1]!DIAG(LA6:LI14))+[1]!DIAGONAL(LJ33:LJ41)</f>
        <v>0.54198464878450525</v>
      </c>
      <c r="LN6" s="218">
        <v>-0.17658022821634106</v>
      </c>
      <c r="LO6" s="218">
        <v>7.9472348910152368E-2</v>
      </c>
      <c r="LP6" s="218">
        <v>0.12053127811168438</v>
      </c>
      <c r="LQ6" s="218">
        <v>-0.1472071906836242</v>
      </c>
      <c r="LR6" s="218">
        <v>-0.1052452402704131</v>
      </c>
      <c r="LS6" s="218">
        <v>-2.189090621599556E-2</v>
      </c>
      <c r="LT6" s="218">
        <v>-0.12979427946395597</v>
      </c>
      <c r="LU6" s="219">
        <v>-0.34401036690229408</v>
      </c>
      <c r="LX6" t="str">
        <f t="array" ref="LX6:LX14">TRANSPOSE(LY5:MG5)</f>
        <v>Expect</v>
      </c>
      <c r="LY6" s="217">
        <f t="array" ref="LY6:MG14">LM6:LU14-[1]!DIAGONAL([1]!DIAG(LM6:LU14))+[1]!DIAGONAL(LV33:LV41)</f>
        <v>0.54247268516166347</v>
      </c>
      <c r="LZ6" s="218">
        <v>-0.17658022821634106</v>
      </c>
      <c r="MA6" s="218">
        <v>7.9472348910152368E-2</v>
      </c>
      <c r="MB6" s="218">
        <v>0.12053127811168438</v>
      </c>
      <c r="MC6" s="218">
        <v>-0.1472071906836242</v>
      </c>
      <c r="MD6" s="218">
        <v>-0.1052452402704131</v>
      </c>
      <c r="ME6" s="218">
        <v>-2.189090621599556E-2</v>
      </c>
      <c r="MF6" s="218">
        <v>-0.12979427946395597</v>
      </c>
      <c r="MG6" s="219">
        <v>-0.34401036690229408</v>
      </c>
      <c r="MJ6" t="str">
        <f t="array" ref="MJ6:MJ14">TRANSPOSE(MK5:MS5)</f>
        <v>Expect</v>
      </c>
      <c r="MK6" s="217">
        <f t="array" ref="MK6:MS14">LY6:MG14-[1]!DIAGONAL([1]!DIAG(LY6:MG14))+[1]!DIAGONAL(MH33:MH41)</f>
        <v>0.54279024145068955</v>
      </c>
      <c r="ML6" s="218">
        <v>-0.17658022821634106</v>
      </c>
      <c r="MM6" s="218">
        <v>7.9472348910152368E-2</v>
      </c>
      <c r="MN6" s="218">
        <v>0.12053127811168438</v>
      </c>
      <c r="MO6" s="218">
        <v>-0.1472071906836242</v>
      </c>
      <c r="MP6" s="218">
        <v>-0.1052452402704131</v>
      </c>
      <c r="MQ6" s="218">
        <v>-2.189090621599556E-2</v>
      </c>
      <c r="MR6" s="218">
        <v>-0.12979427946395597</v>
      </c>
      <c r="MS6" s="219">
        <v>-0.34401036690229408</v>
      </c>
    </row>
    <row r="7" spans="1:357" ht="14.45" x14ac:dyDescent="0.35">
      <c r="A7">
        <v>4</v>
      </c>
      <c r="B7" s="123">
        <v>4</v>
      </c>
      <c r="C7" s="37">
        <v>8</v>
      </c>
      <c r="D7" s="37">
        <v>4</v>
      </c>
      <c r="E7" s="37">
        <v>2</v>
      </c>
      <c r="F7" s="37">
        <v>8</v>
      </c>
      <c r="G7" s="37">
        <v>7</v>
      </c>
      <c r="H7" s="37">
        <v>7</v>
      </c>
      <c r="I7" s="37">
        <v>5</v>
      </c>
      <c r="J7" s="90">
        <v>7</v>
      </c>
      <c r="L7" t="str">
        <v>Entertain</v>
      </c>
      <c r="M7" s="83">
        <v>-0.17658022821634106</v>
      </c>
      <c r="N7" s="37">
        <v>1.0000000000000011</v>
      </c>
      <c r="O7" s="37">
        <v>0.44692051174421527</v>
      </c>
      <c r="P7" s="37">
        <v>4.8459487091569518E-2</v>
      </c>
      <c r="Q7" s="37">
        <v>0.24412158026310946</v>
      </c>
      <c r="R7" s="37">
        <v>0.11666737388326598</v>
      </c>
      <c r="S7" s="37">
        <v>0.45068677465590851</v>
      </c>
      <c r="T7" s="37">
        <v>0.37925969237500351</v>
      </c>
      <c r="U7" s="84">
        <v>0.40086949354334672</v>
      </c>
      <c r="X7" t="str">
        <v>Entertain</v>
      </c>
      <c r="Y7" s="123">
        <v>-0.17658022821634106</v>
      </c>
      <c r="Z7" s="37">
        <v>0.42973736986464683</v>
      </c>
      <c r="AA7" s="37">
        <v>0.44692051174421527</v>
      </c>
      <c r="AB7" s="37">
        <v>4.8459487091569518E-2</v>
      </c>
      <c r="AC7" s="37">
        <v>0.24412158026310946</v>
      </c>
      <c r="AD7" s="37">
        <v>0.11666737388326598</v>
      </c>
      <c r="AE7" s="37">
        <v>0.45068677465590851</v>
      </c>
      <c r="AF7" s="37">
        <v>0.37925969237500351</v>
      </c>
      <c r="AG7" s="90">
        <v>0.40086949354334672</v>
      </c>
      <c r="AJ7" t="str">
        <v>Entertain</v>
      </c>
      <c r="AK7" s="123">
        <v>-0.17658022821634106</v>
      </c>
      <c r="AL7" s="37">
        <v>0.50151620980844624</v>
      </c>
      <c r="AM7" s="37">
        <v>0.44692051174421527</v>
      </c>
      <c r="AN7" s="37">
        <v>4.8459487091569518E-2</v>
      </c>
      <c r="AO7" s="37">
        <v>0.24412158026310946</v>
      </c>
      <c r="AP7" s="37">
        <v>0.11666737388326598</v>
      </c>
      <c r="AQ7" s="37">
        <v>0.45068677465590851</v>
      </c>
      <c r="AR7" s="37">
        <v>0.37925969237500351</v>
      </c>
      <c r="AS7" s="90">
        <v>0.40086949354334672</v>
      </c>
      <c r="AV7" t="str">
        <v>Entertain</v>
      </c>
      <c r="AW7" s="123">
        <v>-0.17658022821634106</v>
      </c>
      <c r="AX7" s="37">
        <v>0.55070538495678112</v>
      </c>
      <c r="AY7" s="37">
        <v>0.44692051174421527</v>
      </c>
      <c r="AZ7" s="37">
        <v>4.8459487091569518E-2</v>
      </c>
      <c r="BA7" s="37">
        <v>0.24412158026310946</v>
      </c>
      <c r="BB7" s="37">
        <v>0.11666737388326598</v>
      </c>
      <c r="BC7" s="37">
        <v>0.45068677465590851</v>
      </c>
      <c r="BD7" s="37">
        <v>0.37925969237500351</v>
      </c>
      <c r="BE7" s="90">
        <v>0.40086949354334672</v>
      </c>
      <c r="BH7" t="str">
        <v>Entertain</v>
      </c>
      <c r="BI7" s="123">
        <v>-0.17658022821634106</v>
      </c>
      <c r="BJ7" s="37">
        <v>0.58683083290668536</v>
      </c>
      <c r="BK7" s="37">
        <v>0.44692051174421527</v>
      </c>
      <c r="BL7" s="37">
        <v>4.8459487091569518E-2</v>
      </c>
      <c r="BM7" s="37">
        <v>0.24412158026310946</v>
      </c>
      <c r="BN7" s="37">
        <v>0.11666737388326598</v>
      </c>
      <c r="BO7" s="37">
        <v>0.45068677465590851</v>
      </c>
      <c r="BP7" s="37">
        <v>0.37925969237500351</v>
      </c>
      <c r="BQ7" s="90">
        <v>0.40086949354334672</v>
      </c>
      <c r="BT7" t="str">
        <v>Entertain</v>
      </c>
      <c r="BU7" s="123">
        <v>-0.17658022821634106</v>
      </c>
      <c r="BV7" s="37">
        <v>0.61411485187686254</v>
      </c>
      <c r="BW7" s="37">
        <v>0.44692051174421527</v>
      </c>
      <c r="BX7" s="37">
        <v>4.8459487091569518E-2</v>
      </c>
      <c r="BY7" s="37">
        <v>0.24412158026310946</v>
      </c>
      <c r="BZ7" s="37">
        <v>0.11666737388326598</v>
      </c>
      <c r="CA7" s="37">
        <v>0.45068677465590851</v>
      </c>
      <c r="CB7" s="37">
        <v>0.37925969237500351</v>
      </c>
      <c r="CC7" s="90">
        <v>0.40086949354334672</v>
      </c>
      <c r="CF7" t="str">
        <v>Entertain</v>
      </c>
      <c r="CG7" s="123">
        <v>-0.17658022821634106</v>
      </c>
      <c r="CH7" s="37">
        <v>0.63533561109674597</v>
      </c>
      <c r="CI7" s="37">
        <v>0.44692051174421527</v>
      </c>
      <c r="CJ7" s="37">
        <v>4.8459487091569518E-2</v>
      </c>
      <c r="CK7" s="37">
        <v>0.24412158026310946</v>
      </c>
      <c r="CL7" s="37">
        <v>0.11666737388326598</v>
      </c>
      <c r="CM7" s="37">
        <v>0.45068677465590851</v>
      </c>
      <c r="CN7" s="37">
        <v>0.37925969237500351</v>
      </c>
      <c r="CO7" s="90">
        <v>0.40086949354334672</v>
      </c>
      <c r="CR7" t="str">
        <v>Entertain</v>
      </c>
      <c r="CS7" s="123">
        <v>-0.17658022821634106</v>
      </c>
      <c r="CT7" s="37">
        <v>0.652375467811393</v>
      </c>
      <c r="CU7" s="37">
        <v>0.44692051174421527</v>
      </c>
      <c r="CV7" s="37">
        <v>4.8459487091569518E-2</v>
      </c>
      <c r="CW7" s="37">
        <v>0.24412158026310946</v>
      </c>
      <c r="CX7" s="37">
        <v>0.11666737388326598</v>
      </c>
      <c r="CY7" s="37">
        <v>0.45068677465590851</v>
      </c>
      <c r="CZ7" s="37">
        <v>0.37925969237500351</v>
      </c>
      <c r="DA7" s="90">
        <v>0.40086949354334672</v>
      </c>
      <c r="DD7" t="str">
        <v>Entertain</v>
      </c>
      <c r="DE7" s="123">
        <v>-0.17658022821634106</v>
      </c>
      <c r="DF7" s="37">
        <v>0.66607851220863712</v>
      </c>
      <c r="DG7" s="37">
        <v>0.44692051174421527</v>
      </c>
      <c r="DH7" s="37">
        <v>4.8459487091569518E-2</v>
      </c>
      <c r="DI7" s="37">
        <v>0.24412158026310946</v>
      </c>
      <c r="DJ7" s="37">
        <v>0.11666737388326598</v>
      </c>
      <c r="DK7" s="37">
        <v>0.45068677465590851</v>
      </c>
      <c r="DL7" s="37">
        <v>0.37925969237500351</v>
      </c>
      <c r="DM7" s="90">
        <v>0.40086949354334672</v>
      </c>
      <c r="DP7" t="str">
        <v>Entertain</v>
      </c>
      <c r="DQ7" s="123">
        <v>-0.17658022821634106</v>
      </c>
      <c r="DR7" s="37">
        <v>0.67710130571222604</v>
      </c>
      <c r="DS7" s="37">
        <v>0.44692051174421527</v>
      </c>
      <c r="DT7" s="37">
        <v>4.8459487091569518E-2</v>
      </c>
      <c r="DU7" s="37">
        <v>0.24412158026310946</v>
      </c>
      <c r="DV7" s="37">
        <v>0.11666737388326598</v>
      </c>
      <c r="DW7" s="37">
        <v>0.45068677465590851</v>
      </c>
      <c r="DX7" s="37">
        <v>0.37925969237500351</v>
      </c>
      <c r="DY7" s="90">
        <v>0.40086949354334672</v>
      </c>
      <c r="EB7" t="str">
        <v>Entertain</v>
      </c>
      <c r="EC7" s="123">
        <v>-0.17658022821634106</v>
      </c>
      <c r="ED7" s="37">
        <v>0.68598086572563277</v>
      </c>
      <c r="EE7" s="37">
        <v>0.44692051174421527</v>
      </c>
      <c r="EF7" s="37">
        <v>4.8459487091569518E-2</v>
      </c>
      <c r="EG7" s="37">
        <v>0.24412158026310946</v>
      </c>
      <c r="EH7" s="37">
        <v>0.11666737388326598</v>
      </c>
      <c r="EI7" s="37">
        <v>0.45068677465590851</v>
      </c>
      <c r="EJ7" s="37">
        <v>0.37925969237500351</v>
      </c>
      <c r="EK7" s="90">
        <v>0.40086949354334672</v>
      </c>
      <c r="EN7" t="str">
        <v>Entertain</v>
      </c>
      <c r="EO7" s="123">
        <v>-0.17658022821634106</v>
      </c>
      <c r="EP7" s="37">
        <v>0.69316156969458931</v>
      </c>
      <c r="EQ7" s="37">
        <v>0.44692051174421527</v>
      </c>
      <c r="ER7" s="37">
        <v>4.8459487091569518E-2</v>
      </c>
      <c r="ES7" s="37">
        <v>0.24412158026310946</v>
      </c>
      <c r="ET7" s="37">
        <v>0.11666737388326598</v>
      </c>
      <c r="EU7" s="37">
        <v>0.45068677465590851</v>
      </c>
      <c r="EV7" s="37">
        <v>0.37925969237500351</v>
      </c>
      <c r="EW7" s="90">
        <v>0.40086949354334672</v>
      </c>
      <c r="EZ7" t="str">
        <v>Entertain</v>
      </c>
      <c r="FA7" s="123">
        <v>-0.17658022821634106</v>
      </c>
      <c r="FB7" s="37">
        <v>0.69897920296828031</v>
      </c>
      <c r="FC7" s="37">
        <v>0.44692051174421527</v>
      </c>
      <c r="FD7" s="37">
        <v>4.8459487091569518E-2</v>
      </c>
      <c r="FE7" s="37">
        <v>0.24412158026310946</v>
      </c>
      <c r="FF7" s="37">
        <v>0.11666737388326598</v>
      </c>
      <c r="FG7" s="37">
        <v>0.45068677465590851</v>
      </c>
      <c r="FH7" s="37">
        <v>0.37925969237500351</v>
      </c>
      <c r="FI7" s="90">
        <v>0.40086949354334672</v>
      </c>
      <c r="FL7" t="str">
        <v>Entertain</v>
      </c>
      <c r="FM7" s="123">
        <v>-0.17658022821634106</v>
      </c>
      <c r="FN7" s="37">
        <v>0.70366982997839067</v>
      </c>
      <c r="FO7" s="37">
        <v>0.44692051174421527</v>
      </c>
      <c r="FP7" s="37">
        <v>4.8459487091569518E-2</v>
      </c>
      <c r="FQ7" s="37">
        <v>0.24412158026310946</v>
      </c>
      <c r="FR7" s="37">
        <v>0.11666737388326598</v>
      </c>
      <c r="FS7" s="37">
        <v>0.45068677465590851</v>
      </c>
      <c r="FT7" s="37">
        <v>0.37925969237500351</v>
      </c>
      <c r="FU7" s="90">
        <v>0.40086949354334672</v>
      </c>
      <c r="FX7" t="str">
        <v>Entertain</v>
      </c>
      <c r="FY7" s="123">
        <v>-0.17658022821634106</v>
      </c>
      <c r="FZ7" s="37">
        <v>0.70749116464457629</v>
      </c>
      <c r="GA7" s="37">
        <v>0.44692051174421527</v>
      </c>
      <c r="GB7" s="37">
        <v>4.8459487091569518E-2</v>
      </c>
      <c r="GC7" s="37">
        <v>0.24412158026310946</v>
      </c>
      <c r="GD7" s="37">
        <v>0.11666737388326598</v>
      </c>
      <c r="GE7" s="37">
        <v>0.45068677465590851</v>
      </c>
      <c r="GF7" s="37">
        <v>0.37925969237500351</v>
      </c>
      <c r="GG7" s="90">
        <v>0.40086949354334672</v>
      </c>
      <c r="GJ7" t="str">
        <v>Entertain</v>
      </c>
      <c r="GK7" s="123">
        <v>-0.17658022821634106</v>
      </c>
      <c r="GL7" s="37">
        <v>0.71055255925001493</v>
      </c>
      <c r="GM7" s="37">
        <v>0.44692051174421527</v>
      </c>
      <c r="GN7" s="37">
        <v>4.8459487091569518E-2</v>
      </c>
      <c r="GO7" s="37">
        <v>0.24412158026310946</v>
      </c>
      <c r="GP7" s="37">
        <v>0.11666737388326598</v>
      </c>
      <c r="GQ7" s="37">
        <v>0.45068677465590851</v>
      </c>
      <c r="GR7" s="37">
        <v>0.37925969237500351</v>
      </c>
      <c r="GS7" s="90">
        <v>0.40086949354334672</v>
      </c>
      <c r="GV7" t="str">
        <v>Entertain</v>
      </c>
      <c r="GW7" s="123">
        <v>-0.17658022821634106</v>
      </c>
      <c r="GX7" s="37">
        <v>0.71305269097307455</v>
      </c>
      <c r="GY7" s="37">
        <v>0.44692051174421527</v>
      </c>
      <c r="GZ7" s="37">
        <v>4.8459487091569518E-2</v>
      </c>
      <c r="HA7" s="37">
        <v>0.24412158026310946</v>
      </c>
      <c r="HB7" s="37">
        <v>0.11666737388326598</v>
      </c>
      <c r="HC7" s="37">
        <v>0.45068677465590851</v>
      </c>
      <c r="HD7" s="37">
        <v>0.37925969237500351</v>
      </c>
      <c r="HE7" s="90">
        <v>0.40086949354334672</v>
      </c>
      <c r="HH7" t="str">
        <v>Entertain</v>
      </c>
      <c r="HI7" s="123">
        <v>-0.17658022821634106</v>
      </c>
      <c r="HJ7" s="37">
        <v>0.71510256172369613</v>
      </c>
      <c r="HK7" s="37">
        <v>0.44692051174421527</v>
      </c>
      <c r="HL7" s="37">
        <v>4.8459487091569518E-2</v>
      </c>
      <c r="HM7" s="37">
        <v>0.24412158026310946</v>
      </c>
      <c r="HN7" s="37">
        <v>0.11666737388326598</v>
      </c>
      <c r="HO7" s="37">
        <v>0.45068677465590851</v>
      </c>
      <c r="HP7" s="37">
        <v>0.37925969237500351</v>
      </c>
      <c r="HQ7" s="90">
        <v>0.40086949354334672</v>
      </c>
      <c r="HT7" t="str">
        <v>Entertain</v>
      </c>
      <c r="HU7" s="123">
        <v>-0.17658022821634106</v>
      </c>
      <c r="HV7" s="37">
        <v>0.71685924427417702</v>
      </c>
      <c r="HW7" s="37">
        <v>0.44692051174421527</v>
      </c>
      <c r="HX7" s="37">
        <v>4.8459487091569518E-2</v>
      </c>
      <c r="HY7" s="37">
        <v>0.24412158026310946</v>
      </c>
      <c r="HZ7" s="37">
        <v>0.11666737388326598</v>
      </c>
      <c r="IA7" s="37">
        <v>0.45068677465590851</v>
      </c>
      <c r="IB7" s="37">
        <v>0.37925969237500351</v>
      </c>
      <c r="IC7" s="90">
        <v>0.40086949354334672</v>
      </c>
      <c r="IF7" t="str">
        <v>Entertain</v>
      </c>
      <c r="IG7" s="123">
        <v>-0.17658022821634106</v>
      </c>
      <c r="IH7" s="37">
        <v>0.7183019104517443</v>
      </c>
      <c r="II7" s="37">
        <v>0.44692051174421527</v>
      </c>
      <c r="IJ7" s="37">
        <v>4.8459487091569518E-2</v>
      </c>
      <c r="IK7" s="37">
        <v>0.24412158026310946</v>
      </c>
      <c r="IL7" s="37">
        <v>0.11666737388326598</v>
      </c>
      <c r="IM7" s="37">
        <v>0.45068677465590851</v>
      </c>
      <c r="IN7" s="37">
        <v>0.37925969237500351</v>
      </c>
      <c r="IO7" s="90">
        <v>0.40086949354334672</v>
      </c>
      <c r="IR7" t="str">
        <v>Entertain</v>
      </c>
      <c r="IS7" s="123">
        <v>-0.17658022821634106</v>
      </c>
      <c r="IT7" s="37">
        <v>0.7194893335110395</v>
      </c>
      <c r="IU7" s="37">
        <v>0.44692051174421527</v>
      </c>
      <c r="IV7" s="37">
        <v>4.8459487091569518E-2</v>
      </c>
      <c r="IW7" s="37">
        <v>0.24412158026310946</v>
      </c>
      <c r="IX7" s="37">
        <v>0.11666737388326598</v>
      </c>
      <c r="IY7" s="37">
        <v>0.45068677465590851</v>
      </c>
      <c r="IZ7" s="37">
        <v>0.37925969237500351</v>
      </c>
      <c r="JA7" s="90">
        <v>0.40086949354334672</v>
      </c>
      <c r="JD7" t="str">
        <v>Entertain</v>
      </c>
      <c r="JE7" s="123">
        <v>-0.17658022821634106</v>
      </c>
      <c r="JF7" s="37">
        <v>0.72038118802442019</v>
      </c>
      <c r="JG7" s="37">
        <v>0.44692051174421527</v>
      </c>
      <c r="JH7" s="37">
        <v>4.8459487091569518E-2</v>
      </c>
      <c r="JI7" s="37">
        <v>0.24412158026310946</v>
      </c>
      <c r="JJ7" s="37">
        <v>0.11666737388326598</v>
      </c>
      <c r="JK7" s="37">
        <v>0.45068677465590851</v>
      </c>
      <c r="JL7" s="37">
        <v>0.37925969237500351</v>
      </c>
      <c r="JM7" s="90">
        <v>0.40086949354334672</v>
      </c>
      <c r="JP7" t="str">
        <v>Entertain</v>
      </c>
      <c r="JQ7" s="123">
        <v>-0.17658022821634106</v>
      </c>
      <c r="JR7" s="37">
        <v>0.72112410948350381</v>
      </c>
      <c r="JS7" s="37">
        <v>0.44692051174421527</v>
      </c>
      <c r="JT7" s="37">
        <v>4.8459487091569518E-2</v>
      </c>
      <c r="JU7" s="37">
        <v>0.24412158026310946</v>
      </c>
      <c r="JV7" s="37">
        <v>0.11666737388326598</v>
      </c>
      <c r="JW7" s="37">
        <v>0.45068677465590851</v>
      </c>
      <c r="JX7" s="37">
        <v>0.37925969237500351</v>
      </c>
      <c r="JY7" s="90">
        <v>0.40086949354334672</v>
      </c>
      <c r="KB7" t="str">
        <v>Entertain</v>
      </c>
      <c r="KC7" s="123">
        <v>-0.17658022821634106</v>
      </c>
      <c r="KD7" s="37">
        <v>0.72182687094254916</v>
      </c>
      <c r="KE7" s="37">
        <v>0.44692051174421527</v>
      </c>
      <c r="KF7" s="37">
        <v>4.8459487091569518E-2</v>
      </c>
      <c r="KG7" s="37">
        <v>0.24412158026310946</v>
      </c>
      <c r="KH7" s="37">
        <v>0.11666737388326598</v>
      </c>
      <c r="KI7" s="37">
        <v>0.45068677465590851</v>
      </c>
      <c r="KJ7" s="37">
        <v>0.37925969237500351</v>
      </c>
      <c r="KK7" s="90">
        <v>0.40086949354334672</v>
      </c>
      <c r="KN7" t="str">
        <v>Entertain</v>
      </c>
      <c r="KO7" s="123">
        <v>-0.17658022821634106</v>
      </c>
      <c r="KP7" s="37">
        <v>0.72240917474807853</v>
      </c>
      <c r="KQ7" s="37">
        <v>0.44692051174421527</v>
      </c>
      <c r="KR7" s="37">
        <v>4.8459487091569518E-2</v>
      </c>
      <c r="KS7" s="37">
        <v>0.24412158026310946</v>
      </c>
      <c r="KT7" s="37">
        <v>0.11666737388326598</v>
      </c>
      <c r="KU7" s="37">
        <v>0.45068677465590851</v>
      </c>
      <c r="KV7" s="37">
        <v>0.37925969237500351</v>
      </c>
      <c r="KW7" s="90">
        <v>0.40086949354334672</v>
      </c>
      <c r="KZ7" t="str">
        <v>Entertain</v>
      </c>
      <c r="LA7" s="123">
        <v>-0.17658022821634106</v>
      </c>
      <c r="LB7" s="37">
        <v>0.72289341521512163</v>
      </c>
      <c r="LC7" s="37">
        <v>0.44692051174421527</v>
      </c>
      <c r="LD7" s="37">
        <v>4.8459487091569518E-2</v>
      </c>
      <c r="LE7" s="37">
        <v>0.24412158026310946</v>
      </c>
      <c r="LF7" s="37">
        <v>0.11666737388326598</v>
      </c>
      <c r="LG7" s="37">
        <v>0.45068677465590851</v>
      </c>
      <c r="LH7" s="37">
        <v>0.37925969237500351</v>
      </c>
      <c r="LI7" s="90">
        <v>0.40086949354334672</v>
      </c>
      <c r="LL7" t="str">
        <v>Entertain</v>
      </c>
      <c r="LM7" s="123">
        <v>-0.17658022821634106</v>
      </c>
      <c r="LN7" s="37">
        <v>0.72320685416509001</v>
      </c>
      <c r="LO7" s="37">
        <v>0.44692051174421527</v>
      </c>
      <c r="LP7" s="37">
        <v>4.8459487091569518E-2</v>
      </c>
      <c r="LQ7" s="37">
        <v>0.24412158026310946</v>
      </c>
      <c r="LR7" s="37">
        <v>0.11666737388326598</v>
      </c>
      <c r="LS7" s="37">
        <v>0.45068677465590851</v>
      </c>
      <c r="LT7" s="37">
        <v>0.37925969237500351</v>
      </c>
      <c r="LU7" s="90">
        <v>0.40086949354334672</v>
      </c>
      <c r="LX7" t="str">
        <v>Entertain</v>
      </c>
      <c r="LY7" s="123">
        <v>-0.17658022821634106</v>
      </c>
      <c r="LZ7" s="37">
        <v>0.72347382760150458</v>
      </c>
      <c r="MA7" s="37">
        <v>0.44692051174421527</v>
      </c>
      <c r="MB7" s="37">
        <v>4.8459487091569518E-2</v>
      </c>
      <c r="MC7" s="37">
        <v>0.24412158026310946</v>
      </c>
      <c r="MD7" s="37">
        <v>0.11666737388326598</v>
      </c>
      <c r="ME7" s="37">
        <v>0.45068677465590851</v>
      </c>
      <c r="MF7" s="37">
        <v>0.37925969237500351</v>
      </c>
      <c r="MG7" s="90">
        <v>0.40086949354334672</v>
      </c>
      <c r="MJ7" t="str">
        <v>Entertain</v>
      </c>
      <c r="MK7" s="123">
        <v>-0.17658022821634106</v>
      </c>
      <c r="ML7" s="37">
        <v>0.72378282679032935</v>
      </c>
      <c r="MM7" s="37">
        <v>0.44692051174421527</v>
      </c>
      <c r="MN7" s="37">
        <v>4.8459487091569518E-2</v>
      </c>
      <c r="MO7" s="37">
        <v>0.24412158026310946</v>
      </c>
      <c r="MP7" s="37">
        <v>0.11666737388326598</v>
      </c>
      <c r="MQ7" s="37">
        <v>0.45068677465590851</v>
      </c>
      <c r="MR7" s="37">
        <v>0.37925969237500351</v>
      </c>
      <c r="MS7" s="90">
        <v>0.40086949354334672</v>
      </c>
    </row>
    <row r="8" spans="1:357" ht="14.45" x14ac:dyDescent="0.35">
      <c r="A8">
        <v>5</v>
      </c>
      <c r="B8" s="123">
        <v>3</v>
      </c>
      <c r="C8" s="37">
        <v>8</v>
      </c>
      <c r="D8" s="37">
        <v>5</v>
      </c>
      <c r="E8" s="37">
        <v>4</v>
      </c>
      <c r="F8" s="37">
        <v>8</v>
      </c>
      <c r="G8" s="37">
        <v>8</v>
      </c>
      <c r="H8" s="37">
        <v>7</v>
      </c>
      <c r="I8" s="37">
        <v>6</v>
      </c>
      <c r="J8" s="90">
        <v>7</v>
      </c>
      <c r="L8" t="str">
        <v>Comm</v>
      </c>
      <c r="M8" s="83">
        <v>7.9472348910152368E-2</v>
      </c>
      <c r="N8" s="37">
        <v>0.44692051174421527</v>
      </c>
      <c r="O8" s="37">
        <v>1.0000000000000007</v>
      </c>
      <c r="P8" s="37">
        <v>0.15224383453637197</v>
      </c>
      <c r="Q8" s="37">
        <v>0.28642393294527835</v>
      </c>
      <c r="R8" s="37">
        <v>0.10626504883200415</v>
      </c>
      <c r="S8" s="37">
        <v>0.74875752234637871</v>
      </c>
      <c r="T8" s="37">
        <v>0.3683592382753193</v>
      </c>
      <c r="U8" s="84">
        <v>6.9273962356187456E-3</v>
      </c>
      <c r="X8" t="str">
        <v>Comm</v>
      </c>
      <c r="Y8" s="123">
        <v>7.9472348910152368E-2</v>
      </c>
      <c r="Z8" s="37">
        <v>0.44692051174421527</v>
      </c>
      <c r="AA8" s="37">
        <v>0.60162449153938313</v>
      </c>
      <c r="AB8" s="37">
        <v>0.15224383453637197</v>
      </c>
      <c r="AC8" s="37">
        <v>0.28642393294527835</v>
      </c>
      <c r="AD8" s="37">
        <v>0.10626504883200415</v>
      </c>
      <c r="AE8" s="37">
        <v>0.74875752234637871</v>
      </c>
      <c r="AF8" s="37">
        <v>0.3683592382753193</v>
      </c>
      <c r="AG8" s="90">
        <v>6.9273962356187456E-3</v>
      </c>
      <c r="AJ8" t="str">
        <v>Comm</v>
      </c>
      <c r="AK8" s="123">
        <v>7.9472348910152368E-2</v>
      </c>
      <c r="AL8" s="37">
        <v>0.44692051174421527</v>
      </c>
      <c r="AM8" s="37">
        <v>0.68683711427277427</v>
      </c>
      <c r="AN8" s="37">
        <v>0.15224383453637197</v>
      </c>
      <c r="AO8" s="37">
        <v>0.28642393294527835</v>
      </c>
      <c r="AP8" s="37">
        <v>0.10626504883200415</v>
      </c>
      <c r="AQ8" s="37">
        <v>0.74875752234637871</v>
      </c>
      <c r="AR8" s="37">
        <v>0.3683592382753193</v>
      </c>
      <c r="AS8" s="90">
        <v>6.9273962356187456E-3</v>
      </c>
      <c r="AV8" t="str">
        <v>Comm</v>
      </c>
      <c r="AW8" s="123">
        <v>7.9472348910152368E-2</v>
      </c>
      <c r="AX8" s="37">
        <v>0.44692051174421527</v>
      </c>
      <c r="AY8" s="37">
        <v>0.73081826507990877</v>
      </c>
      <c r="AZ8" s="37">
        <v>0.15224383453637197</v>
      </c>
      <c r="BA8" s="37">
        <v>0.28642393294527835</v>
      </c>
      <c r="BB8" s="37">
        <v>0.10626504883200415</v>
      </c>
      <c r="BC8" s="37">
        <v>0.74875752234637871</v>
      </c>
      <c r="BD8" s="37">
        <v>0.3683592382753193</v>
      </c>
      <c r="BE8" s="90">
        <v>6.9273962356187456E-3</v>
      </c>
      <c r="BH8" t="str">
        <v>Comm</v>
      </c>
      <c r="BI8" s="123">
        <v>7.9472348910152368E-2</v>
      </c>
      <c r="BJ8" s="37">
        <v>0.44692051174421527</v>
      </c>
      <c r="BK8" s="37">
        <v>0.75409153316077815</v>
      </c>
      <c r="BL8" s="37">
        <v>0.15224383453637197</v>
      </c>
      <c r="BM8" s="37">
        <v>0.28642393294527835</v>
      </c>
      <c r="BN8" s="37">
        <v>0.10626504883200415</v>
      </c>
      <c r="BO8" s="37">
        <v>0.74875752234637871</v>
      </c>
      <c r="BP8" s="37">
        <v>0.3683592382753193</v>
      </c>
      <c r="BQ8" s="90">
        <v>6.9273962356187456E-3</v>
      </c>
      <c r="BT8" t="str">
        <v>Comm</v>
      </c>
      <c r="BU8" s="123">
        <v>7.9472348910152368E-2</v>
      </c>
      <c r="BV8" s="37">
        <v>0.44692051174421527</v>
      </c>
      <c r="BW8" s="37">
        <v>0.76573952004287682</v>
      </c>
      <c r="BX8" s="37">
        <v>0.15224383453637197</v>
      </c>
      <c r="BY8" s="37">
        <v>0.28642393294527835</v>
      </c>
      <c r="BZ8" s="37">
        <v>0.10626504883200415</v>
      </c>
      <c r="CA8" s="37">
        <v>0.74875752234637871</v>
      </c>
      <c r="CB8" s="37">
        <v>0.3683592382753193</v>
      </c>
      <c r="CC8" s="90">
        <v>6.9273962356187456E-3</v>
      </c>
      <c r="CF8" t="str">
        <v>Comm</v>
      </c>
      <c r="CG8" s="123">
        <v>7.9472348910152368E-2</v>
      </c>
      <c r="CH8" s="37">
        <v>0.44692051174421527</v>
      </c>
      <c r="CI8" s="37">
        <v>0.7711412056990109</v>
      </c>
      <c r="CJ8" s="37">
        <v>0.15224383453637197</v>
      </c>
      <c r="CK8" s="37">
        <v>0.28642393294527835</v>
      </c>
      <c r="CL8" s="37">
        <v>0.10626504883200415</v>
      </c>
      <c r="CM8" s="37">
        <v>0.74875752234637871</v>
      </c>
      <c r="CN8" s="37">
        <v>0.3683592382753193</v>
      </c>
      <c r="CO8" s="90">
        <v>6.9273962356187456E-3</v>
      </c>
      <c r="CR8" t="str">
        <v>Comm</v>
      </c>
      <c r="CS8" s="123">
        <v>7.9472348910152368E-2</v>
      </c>
      <c r="CT8" s="37">
        <v>0.44692051174421527</v>
      </c>
      <c r="CU8" s="37">
        <v>0.77436443093841145</v>
      </c>
      <c r="CV8" s="37">
        <v>0.15224383453637197</v>
      </c>
      <c r="CW8" s="37">
        <v>0.28642393294527835</v>
      </c>
      <c r="CX8" s="37">
        <v>0.10626504883200415</v>
      </c>
      <c r="CY8" s="37">
        <v>0.74875752234637871</v>
      </c>
      <c r="CZ8" s="37">
        <v>0.3683592382753193</v>
      </c>
      <c r="DA8" s="90">
        <v>6.9273962356187456E-3</v>
      </c>
      <c r="DD8" t="str">
        <v>Comm</v>
      </c>
      <c r="DE8" s="123">
        <v>7.9472348910152368E-2</v>
      </c>
      <c r="DF8" s="37">
        <v>0.44692051174421527</v>
      </c>
      <c r="DG8" s="37">
        <v>0.77638798010139887</v>
      </c>
      <c r="DH8" s="37">
        <v>0.15224383453637197</v>
      </c>
      <c r="DI8" s="37">
        <v>0.28642393294527835</v>
      </c>
      <c r="DJ8" s="37">
        <v>0.10626504883200415</v>
      </c>
      <c r="DK8" s="37">
        <v>0.74875752234637871</v>
      </c>
      <c r="DL8" s="37">
        <v>0.3683592382753193</v>
      </c>
      <c r="DM8" s="90">
        <v>6.9273962356187456E-3</v>
      </c>
      <c r="DP8" t="str">
        <v>Comm</v>
      </c>
      <c r="DQ8" s="123">
        <v>7.9472348910152368E-2</v>
      </c>
      <c r="DR8" s="37">
        <v>0.44692051174421527</v>
      </c>
      <c r="DS8" s="37">
        <v>0.77764362185391633</v>
      </c>
      <c r="DT8" s="37">
        <v>0.15224383453637197</v>
      </c>
      <c r="DU8" s="37">
        <v>0.28642393294527835</v>
      </c>
      <c r="DV8" s="37">
        <v>0.10626504883200415</v>
      </c>
      <c r="DW8" s="37">
        <v>0.74875752234637871</v>
      </c>
      <c r="DX8" s="37">
        <v>0.3683592382753193</v>
      </c>
      <c r="DY8" s="90">
        <v>6.9273962356187456E-3</v>
      </c>
      <c r="EB8" t="str">
        <v>Comm</v>
      </c>
      <c r="EC8" s="123">
        <v>7.9472348910152368E-2</v>
      </c>
      <c r="ED8" s="37">
        <v>0.44692051174421527</v>
      </c>
      <c r="EE8" s="37">
        <v>0.77838960765960963</v>
      </c>
      <c r="EF8" s="37">
        <v>0.15224383453637197</v>
      </c>
      <c r="EG8" s="37">
        <v>0.28642393294527835</v>
      </c>
      <c r="EH8" s="37">
        <v>0.10626504883200415</v>
      </c>
      <c r="EI8" s="37">
        <v>0.74875752234637871</v>
      </c>
      <c r="EJ8" s="37">
        <v>0.3683592382753193</v>
      </c>
      <c r="EK8" s="90">
        <v>6.9273962356187456E-3</v>
      </c>
      <c r="EN8" t="str">
        <v>Comm</v>
      </c>
      <c r="EO8" s="123">
        <v>7.9472348910152368E-2</v>
      </c>
      <c r="EP8" s="37">
        <v>0.44692051174421527</v>
      </c>
      <c r="EQ8" s="37">
        <v>0.77881838227172773</v>
      </c>
      <c r="ER8" s="37">
        <v>0.15224383453637197</v>
      </c>
      <c r="ES8" s="37">
        <v>0.28642393294527835</v>
      </c>
      <c r="ET8" s="37">
        <v>0.10626504883200415</v>
      </c>
      <c r="EU8" s="37">
        <v>0.74875752234637871</v>
      </c>
      <c r="EV8" s="37">
        <v>0.3683592382753193</v>
      </c>
      <c r="EW8" s="90">
        <v>6.9273962356187456E-3</v>
      </c>
      <c r="EZ8" t="str">
        <v>Comm</v>
      </c>
      <c r="FA8" s="123">
        <v>7.9472348910152368E-2</v>
      </c>
      <c r="FB8" s="37">
        <v>0.44692051174421527</v>
      </c>
      <c r="FC8" s="37">
        <v>0.77903916238271609</v>
      </c>
      <c r="FD8" s="37">
        <v>0.15224383453637197</v>
      </c>
      <c r="FE8" s="37">
        <v>0.28642393294527835</v>
      </c>
      <c r="FF8" s="37">
        <v>0.10626504883200415</v>
      </c>
      <c r="FG8" s="37">
        <v>0.74875752234637871</v>
      </c>
      <c r="FH8" s="37">
        <v>0.3683592382753193</v>
      </c>
      <c r="FI8" s="90">
        <v>6.9273962356187456E-3</v>
      </c>
      <c r="FL8" t="str">
        <v>Comm</v>
      </c>
      <c r="FM8" s="123">
        <v>7.9472348910152368E-2</v>
      </c>
      <c r="FN8" s="37">
        <v>0.44692051174421527</v>
      </c>
      <c r="FO8" s="37">
        <v>0.77905447616709123</v>
      </c>
      <c r="FP8" s="37">
        <v>0.15224383453637197</v>
      </c>
      <c r="FQ8" s="37">
        <v>0.28642393294527835</v>
      </c>
      <c r="FR8" s="37">
        <v>0.10626504883200415</v>
      </c>
      <c r="FS8" s="37">
        <v>0.74875752234637871</v>
      </c>
      <c r="FT8" s="37">
        <v>0.3683592382753193</v>
      </c>
      <c r="FU8" s="90">
        <v>6.9273962356187456E-3</v>
      </c>
      <c r="FX8" t="str">
        <v>Comm</v>
      </c>
      <c r="FY8" s="123">
        <v>7.9472348910152368E-2</v>
      </c>
      <c r="FZ8" s="37">
        <v>0.44692051174421527</v>
      </c>
      <c r="GA8" s="37">
        <v>0.77905976411711708</v>
      </c>
      <c r="GB8" s="37">
        <v>0.15224383453637197</v>
      </c>
      <c r="GC8" s="37">
        <v>0.28642393294527835</v>
      </c>
      <c r="GD8" s="37">
        <v>0.10626504883200415</v>
      </c>
      <c r="GE8" s="37">
        <v>0.74875752234637871</v>
      </c>
      <c r="GF8" s="37">
        <v>0.3683592382753193</v>
      </c>
      <c r="GG8" s="90">
        <v>6.9273962356187456E-3</v>
      </c>
      <c r="GJ8" t="str">
        <v>Comm</v>
      </c>
      <c r="GK8" s="123">
        <v>7.9472348910152368E-2</v>
      </c>
      <c r="GL8" s="37">
        <v>0.44692051174421527</v>
      </c>
      <c r="GM8" s="37">
        <v>0.77908030968125763</v>
      </c>
      <c r="GN8" s="37">
        <v>0.15224383453637197</v>
      </c>
      <c r="GO8" s="37">
        <v>0.28642393294527835</v>
      </c>
      <c r="GP8" s="37">
        <v>0.10626504883200415</v>
      </c>
      <c r="GQ8" s="37">
        <v>0.74875752234637871</v>
      </c>
      <c r="GR8" s="37">
        <v>0.3683592382753193</v>
      </c>
      <c r="GS8" s="90">
        <v>6.9273962356187456E-3</v>
      </c>
      <c r="GV8" t="str">
        <v>Comm</v>
      </c>
      <c r="GW8" s="123">
        <v>7.9472348910152368E-2</v>
      </c>
      <c r="GX8" s="37">
        <v>0.44692051174421527</v>
      </c>
      <c r="GY8" s="37">
        <v>0.77908748879972078</v>
      </c>
      <c r="GZ8" s="37">
        <v>0.15224383453637197</v>
      </c>
      <c r="HA8" s="37">
        <v>0.28642393294527835</v>
      </c>
      <c r="HB8" s="37">
        <v>0.10626504883200415</v>
      </c>
      <c r="HC8" s="37">
        <v>0.74875752234637871</v>
      </c>
      <c r="HD8" s="37">
        <v>0.3683592382753193</v>
      </c>
      <c r="HE8" s="90">
        <v>6.9273962356187456E-3</v>
      </c>
      <c r="HH8" t="str">
        <v>Comm</v>
      </c>
      <c r="HI8" s="123">
        <v>7.9472348910152368E-2</v>
      </c>
      <c r="HJ8" s="37">
        <v>0.44692051174421527</v>
      </c>
      <c r="HK8" s="37">
        <v>0.77908619840384508</v>
      </c>
      <c r="HL8" s="37">
        <v>0.15224383453637197</v>
      </c>
      <c r="HM8" s="37">
        <v>0.28642393294527835</v>
      </c>
      <c r="HN8" s="37">
        <v>0.10626504883200415</v>
      </c>
      <c r="HO8" s="37">
        <v>0.74875752234637871</v>
      </c>
      <c r="HP8" s="37">
        <v>0.3683592382753193</v>
      </c>
      <c r="HQ8" s="90">
        <v>6.9273962356187456E-3</v>
      </c>
      <c r="HT8" t="str">
        <v>Comm</v>
      </c>
      <c r="HU8" s="123">
        <v>7.9472348910152368E-2</v>
      </c>
      <c r="HV8" s="37">
        <v>0.44692051174421527</v>
      </c>
      <c r="HW8" s="37">
        <v>0.77908441056593658</v>
      </c>
      <c r="HX8" s="37">
        <v>0.15224383453637197</v>
      </c>
      <c r="HY8" s="37">
        <v>0.28642393294527835</v>
      </c>
      <c r="HZ8" s="37">
        <v>0.10626504883200415</v>
      </c>
      <c r="IA8" s="37">
        <v>0.74875752234637871</v>
      </c>
      <c r="IB8" s="37">
        <v>0.3683592382753193</v>
      </c>
      <c r="IC8" s="90">
        <v>6.9273962356187456E-3</v>
      </c>
      <c r="IF8" t="str">
        <v>Comm</v>
      </c>
      <c r="IG8" s="123">
        <v>7.9472348910152368E-2</v>
      </c>
      <c r="IH8" s="37">
        <v>0.44692051174421527</v>
      </c>
      <c r="II8" s="37">
        <v>0.7790827477867347</v>
      </c>
      <c r="IJ8" s="37">
        <v>0.15224383453637197</v>
      </c>
      <c r="IK8" s="37">
        <v>0.28642393294527835</v>
      </c>
      <c r="IL8" s="37">
        <v>0.10626504883200415</v>
      </c>
      <c r="IM8" s="37">
        <v>0.74875752234637871</v>
      </c>
      <c r="IN8" s="37">
        <v>0.3683592382753193</v>
      </c>
      <c r="IO8" s="90">
        <v>6.9273962356187456E-3</v>
      </c>
      <c r="IR8" t="str">
        <v>Comm</v>
      </c>
      <c r="IS8" s="123">
        <v>7.9472348910152368E-2</v>
      </c>
      <c r="IT8" s="37">
        <v>0.44692051174421527</v>
      </c>
      <c r="IU8" s="37">
        <v>0.77908198282624941</v>
      </c>
      <c r="IV8" s="37">
        <v>0.15224383453637197</v>
      </c>
      <c r="IW8" s="37">
        <v>0.28642393294527835</v>
      </c>
      <c r="IX8" s="37">
        <v>0.10626504883200415</v>
      </c>
      <c r="IY8" s="37">
        <v>0.74875752234637871</v>
      </c>
      <c r="IZ8" s="37">
        <v>0.3683592382753193</v>
      </c>
      <c r="JA8" s="90">
        <v>6.9273962356187456E-3</v>
      </c>
      <c r="JD8" t="str">
        <v>Comm</v>
      </c>
      <c r="JE8" s="123">
        <v>7.9472348910152368E-2</v>
      </c>
      <c r="JF8" s="37">
        <v>0.44692051174421527</v>
      </c>
      <c r="JG8" s="37">
        <v>0.77905692044386876</v>
      </c>
      <c r="JH8" s="37">
        <v>0.15224383453637197</v>
      </c>
      <c r="JI8" s="37">
        <v>0.28642393294527835</v>
      </c>
      <c r="JJ8" s="37">
        <v>0.10626504883200415</v>
      </c>
      <c r="JK8" s="37">
        <v>0.74875752234637871</v>
      </c>
      <c r="JL8" s="37">
        <v>0.3683592382753193</v>
      </c>
      <c r="JM8" s="90">
        <v>6.9273962356187456E-3</v>
      </c>
      <c r="JP8" t="str">
        <v>Comm</v>
      </c>
      <c r="JQ8" s="123">
        <v>7.9472348910152368E-2</v>
      </c>
      <c r="JR8" s="37">
        <v>0.44692051174421527</v>
      </c>
      <c r="JS8" s="37">
        <v>0.77903486100815822</v>
      </c>
      <c r="JT8" s="37">
        <v>0.15224383453637197</v>
      </c>
      <c r="JU8" s="37">
        <v>0.28642393294527835</v>
      </c>
      <c r="JV8" s="37">
        <v>0.10626504883200415</v>
      </c>
      <c r="JW8" s="37">
        <v>0.74875752234637871</v>
      </c>
      <c r="JX8" s="37">
        <v>0.3683592382753193</v>
      </c>
      <c r="JY8" s="90">
        <v>6.9273962356187456E-3</v>
      </c>
      <c r="KB8" t="str">
        <v>Comm</v>
      </c>
      <c r="KC8" s="123">
        <v>7.9472348910152368E-2</v>
      </c>
      <c r="KD8" s="37">
        <v>0.44692051174421527</v>
      </c>
      <c r="KE8" s="37">
        <v>0.77903645796208443</v>
      </c>
      <c r="KF8" s="37">
        <v>0.15224383453637197</v>
      </c>
      <c r="KG8" s="37">
        <v>0.28642393294527835</v>
      </c>
      <c r="KH8" s="37">
        <v>0.10626504883200415</v>
      </c>
      <c r="KI8" s="37">
        <v>0.74875752234637871</v>
      </c>
      <c r="KJ8" s="37">
        <v>0.3683592382753193</v>
      </c>
      <c r="KK8" s="90">
        <v>6.9273962356187456E-3</v>
      </c>
      <c r="KN8" t="str">
        <v>Comm</v>
      </c>
      <c r="KO8" s="123">
        <v>7.9472348910152368E-2</v>
      </c>
      <c r="KP8" s="37">
        <v>0.44692051174421527</v>
      </c>
      <c r="KQ8" s="37">
        <v>0.77903917290362978</v>
      </c>
      <c r="KR8" s="37">
        <v>0.15224383453637197</v>
      </c>
      <c r="KS8" s="37">
        <v>0.28642393294527835</v>
      </c>
      <c r="KT8" s="37">
        <v>0.10626504883200415</v>
      </c>
      <c r="KU8" s="37">
        <v>0.74875752234637871</v>
      </c>
      <c r="KV8" s="37">
        <v>0.3683592382753193</v>
      </c>
      <c r="KW8" s="90">
        <v>6.9273962356187456E-3</v>
      </c>
      <c r="KZ8" t="str">
        <v>Comm</v>
      </c>
      <c r="LA8" s="123">
        <v>7.9472348910152368E-2</v>
      </c>
      <c r="LB8" s="37">
        <v>0.44692051174421527</v>
      </c>
      <c r="LC8" s="37">
        <v>0.77904113356734395</v>
      </c>
      <c r="LD8" s="37">
        <v>0.15224383453637197</v>
      </c>
      <c r="LE8" s="37">
        <v>0.28642393294527835</v>
      </c>
      <c r="LF8" s="37">
        <v>0.10626504883200415</v>
      </c>
      <c r="LG8" s="37">
        <v>0.74875752234637871</v>
      </c>
      <c r="LH8" s="37">
        <v>0.3683592382753193</v>
      </c>
      <c r="LI8" s="90">
        <v>6.9273962356187456E-3</v>
      </c>
      <c r="LL8" t="str">
        <v>Comm</v>
      </c>
      <c r="LM8" s="123">
        <v>7.9472348910152368E-2</v>
      </c>
      <c r="LN8" s="37">
        <v>0.44692051174421527</v>
      </c>
      <c r="LO8" s="37">
        <v>0.77901987094541436</v>
      </c>
      <c r="LP8" s="37">
        <v>0.15224383453637197</v>
      </c>
      <c r="LQ8" s="37">
        <v>0.28642393294527835</v>
      </c>
      <c r="LR8" s="37">
        <v>0.10626504883200415</v>
      </c>
      <c r="LS8" s="37">
        <v>0.74875752234637871</v>
      </c>
      <c r="LT8" s="37">
        <v>0.3683592382753193</v>
      </c>
      <c r="LU8" s="90">
        <v>6.9273962356187456E-3</v>
      </c>
      <c r="LX8" t="str">
        <v>Comm</v>
      </c>
      <c r="LY8" s="123">
        <v>7.9472348910152368E-2</v>
      </c>
      <c r="LZ8" s="37">
        <v>0.44692051174421527</v>
      </c>
      <c r="MA8" s="37">
        <v>0.77900196464613081</v>
      </c>
      <c r="MB8" s="37">
        <v>0.15224383453637197</v>
      </c>
      <c r="MC8" s="37">
        <v>0.28642393294527835</v>
      </c>
      <c r="MD8" s="37">
        <v>0.10626504883200415</v>
      </c>
      <c r="ME8" s="37">
        <v>0.74875752234637871</v>
      </c>
      <c r="MF8" s="37">
        <v>0.3683592382753193</v>
      </c>
      <c r="MG8" s="90">
        <v>6.9273962356187456E-3</v>
      </c>
      <c r="MJ8" t="str">
        <v>Comm</v>
      </c>
      <c r="MK8" s="123">
        <v>7.9472348910152368E-2</v>
      </c>
      <c r="ML8" s="37">
        <v>0.44692051174421527</v>
      </c>
      <c r="MM8" s="37">
        <v>0.77900466689858294</v>
      </c>
      <c r="MN8" s="37">
        <v>0.15224383453637197</v>
      </c>
      <c r="MO8" s="37">
        <v>0.28642393294527835</v>
      </c>
      <c r="MP8" s="37">
        <v>0.10626504883200415</v>
      </c>
      <c r="MQ8" s="37">
        <v>0.74875752234637871</v>
      </c>
      <c r="MR8" s="37">
        <v>0.3683592382753193</v>
      </c>
      <c r="MS8" s="90">
        <v>6.9273962356187456E-3</v>
      </c>
    </row>
    <row r="9" spans="1:357" ht="14.45" x14ac:dyDescent="0.35">
      <c r="A9">
        <v>6</v>
      </c>
      <c r="B9" s="123">
        <v>4</v>
      </c>
      <c r="C9" s="37">
        <v>7</v>
      </c>
      <c r="D9" s="37">
        <v>3</v>
      </c>
      <c r="E9" s="37">
        <v>3</v>
      </c>
      <c r="F9" s="37">
        <v>6</v>
      </c>
      <c r="G9" s="37">
        <v>6</v>
      </c>
      <c r="H9" s="37">
        <v>1</v>
      </c>
      <c r="I9" s="37">
        <v>4</v>
      </c>
      <c r="J9" s="90">
        <v>7</v>
      </c>
      <c r="L9" t="str">
        <v>Expert</v>
      </c>
      <c r="M9" s="83">
        <v>0.12053127811168438</v>
      </c>
      <c r="N9" s="37">
        <v>4.8459487091569518E-2</v>
      </c>
      <c r="O9" s="37">
        <v>0.15224383453637197</v>
      </c>
      <c r="P9" s="37">
        <v>1.0000000000000009</v>
      </c>
      <c r="Q9" s="37">
        <v>0.19428606575437976</v>
      </c>
      <c r="R9" s="37">
        <v>4.610935721914871E-2</v>
      </c>
      <c r="S9" s="37">
        <v>0.24731764508778434</v>
      </c>
      <c r="T9" s="37">
        <v>0.25800736545459846</v>
      </c>
      <c r="U9" s="84">
        <v>0.18590615055713855</v>
      </c>
      <c r="X9" t="str">
        <v>Expert</v>
      </c>
      <c r="Y9" s="123">
        <v>0.12053127811168438</v>
      </c>
      <c r="Z9" s="37">
        <v>4.8459487091569518E-2</v>
      </c>
      <c r="AA9" s="37">
        <v>0.15224383453637197</v>
      </c>
      <c r="AB9" s="37">
        <v>0.20896763928603457</v>
      </c>
      <c r="AC9" s="37">
        <v>0.19428606575437976</v>
      </c>
      <c r="AD9" s="37">
        <v>4.610935721914871E-2</v>
      </c>
      <c r="AE9" s="37">
        <v>0.24731764508778434</v>
      </c>
      <c r="AF9" s="37">
        <v>0.25800736545459846</v>
      </c>
      <c r="AG9" s="90">
        <v>0.18590615055713855</v>
      </c>
      <c r="AJ9" t="str">
        <v>Expert</v>
      </c>
      <c r="AK9" s="123">
        <v>0.12053127811168438</v>
      </c>
      <c r="AL9" s="37">
        <v>4.8459487091569518E-2</v>
      </c>
      <c r="AM9" s="37">
        <v>0.15224383453637197</v>
      </c>
      <c r="AN9" s="37">
        <v>0.29034681854049266</v>
      </c>
      <c r="AO9" s="37">
        <v>0.19428606575437976</v>
      </c>
      <c r="AP9" s="37">
        <v>4.610935721914871E-2</v>
      </c>
      <c r="AQ9" s="37">
        <v>0.24731764508778434</v>
      </c>
      <c r="AR9" s="37">
        <v>0.25800736545459846</v>
      </c>
      <c r="AS9" s="90">
        <v>0.18590615055713855</v>
      </c>
      <c r="AV9" t="str">
        <v>Expert</v>
      </c>
      <c r="AW9" s="123">
        <v>0.12053127811168438</v>
      </c>
      <c r="AX9" s="37">
        <v>4.8459487091569518E-2</v>
      </c>
      <c r="AY9" s="37">
        <v>0.15224383453637197</v>
      </c>
      <c r="AZ9" s="37">
        <v>0.35078064111778468</v>
      </c>
      <c r="BA9" s="37">
        <v>0.19428606575437976</v>
      </c>
      <c r="BB9" s="37">
        <v>4.610935721914871E-2</v>
      </c>
      <c r="BC9" s="37">
        <v>0.24731764508778434</v>
      </c>
      <c r="BD9" s="37">
        <v>0.25800736545459846</v>
      </c>
      <c r="BE9" s="90">
        <v>0.18590615055713855</v>
      </c>
      <c r="BH9" t="str">
        <v>Expert</v>
      </c>
      <c r="BI9" s="123">
        <v>0.12053127811168438</v>
      </c>
      <c r="BJ9" s="37">
        <v>4.8459487091569518E-2</v>
      </c>
      <c r="BK9" s="37">
        <v>0.15224383453637197</v>
      </c>
      <c r="BL9" s="37">
        <v>0.39686310320151652</v>
      </c>
      <c r="BM9" s="37">
        <v>0.19428606575437976</v>
      </c>
      <c r="BN9" s="37">
        <v>4.610935721914871E-2</v>
      </c>
      <c r="BO9" s="37">
        <v>0.24731764508778434</v>
      </c>
      <c r="BP9" s="37">
        <v>0.25800736545459846</v>
      </c>
      <c r="BQ9" s="90">
        <v>0.18590615055713855</v>
      </c>
      <c r="BT9" t="str">
        <v>Expert</v>
      </c>
      <c r="BU9" s="123">
        <v>0.12053127811168438</v>
      </c>
      <c r="BV9" s="37">
        <v>4.8459487091569518E-2</v>
      </c>
      <c r="BW9" s="37">
        <v>0.15224383453637197</v>
      </c>
      <c r="BX9" s="37">
        <v>0.43253421229785632</v>
      </c>
      <c r="BY9" s="37">
        <v>0.19428606575437976</v>
      </c>
      <c r="BZ9" s="37">
        <v>4.610935721914871E-2</v>
      </c>
      <c r="CA9" s="37">
        <v>0.24731764508778434</v>
      </c>
      <c r="CB9" s="37">
        <v>0.25800736545459846</v>
      </c>
      <c r="CC9" s="90">
        <v>0.18590615055713855</v>
      </c>
      <c r="CF9" t="str">
        <v>Expert</v>
      </c>
      <c r="CG9" s="123">
        <v>0.12053127811168438</v>
      </c>
      <c r="CH9" s="37">
        <v>4.8459487091569518E-2</v>
      </c>
      <c r="CI9" s="37">
        <v>0.15224383453637197</v>
      </c>
      <c r="CJ9" s="37">
        <v>0.46059190366125091</v>
      </c>
      <c r="CK9" s="37">
        <v>0.19428606575437976</v>
      </c>
      <c r="CL9" s="37">
        <v>4.610935721914871E-2</v>
      </c>
      <c r="CM9" s="37">
        <v>0.24731764508778434</v>
      </c>
      <c r="CN9" s="37">
        <v>0.25800736545459846</v>
      </c>
      <c r="CO9" s="90">
        <v>0.18590615055713855</v>
      </c>
      <c r="CR9" t="str">
        <v>Expert</v>
      </c>
      <c r="CS9" s="123">
        <v>0.12053127811168438</v>
      </c>
      <c r="CT9" s="37">
        <v>4.8459487091569518E-2</v>
      </c>
      <c r="CU9" s="37">
        <v>0.15224383453637197</v>
      </c>
      <c r="CV9" s="37">
        <v>0.48297530745315176</v>
      </c>
      <c r="CW9" s="37">
        <v>0.19428606575437976</v>
      </c>
      <c r="CX9" s="37">
        <v>4.610935721914871E-2</v>
      </c>
      <c r="CY9" s="37">
        <v>0.24731764508778434</v>
      </c>
      <c r="CZ9" s="37">
        <v>0.25800736545459846</v>
      </c>
      <c r="DA9" s="90">
        <v>0.18590615055713855</v>
      </c>
      <c r="DD9" t="str">
        <v>Expert</v>
      </c>
      <c r="DE9" s="123">
        <v>0.12053127811168438</v>
      </c>
      <c r="DF9" s="37">
        <v>4.8459487091569518E-2</v>
      </c>
      <c r="DG9" s="37">
        <v>0.15224383453637197</v>
      </c>
      <c r="DH9" s="37">
        <v>0.50092100204652279</v>
      </c>
      <c r="DI9" s="37">
        <v>0.19428606575437976</v>
      </c>
      <c r="DJ9" s="37">
        <v>4.610935721914871E-2</v>
      </c>
      <c r="DK9" s="37">
        <v>0.24731764508778434</v>
      </c>
      <c r="DL9" s="37">
        <v>0.25800736545459846</v>
      </c>
      <c r="DM9" s="90">
        <v>0.18590615055713855</v>
      </c>
      <c r="DP9" t="str">
        <v>Expert</v>
      </c>
      <c r="DQ9" s="123">
        <v>0.12053127811168438</v>
      </c>
      <c r="DR9" s="37">
        <v>4.8459487091569518E-2</v>
      </c>
      <c r="DS9" s="37">
        <v>0.15224383453637197</v>
      </c>
      <c r="DT9" s="37">
        <v>0.51538273514451782</v>
      </c>
      <c r="DU9" s="37">
        <v>0.19428606575437976</v>
      </c>
      <c r="DV9" s="37">
        <v>4.610935721914871E-2</v>
      </c>
      <c r="DW9" s="37">
        <v>0.24731764508778434</v>
      </c>
      <c r="DX9" s="37">
        <v>0.25800736545459846</v>
      </c>
      <c r="DY9" s="90">
        <v>0.18590615055713855</v>
      </c>
      <c r="EB9" t="str">
        <v>Expert</v>
      </c>
      <c r="EC9" s="123">
        <v>0.12053127811168438</v>
      </c>
      <c r="ED9" s="37">
        <v>4.8459487091569518E-2</v>
      </c>
      <c r="EE9" s="37">
        <v>0.15224383453637197</v>
      </c>
      <c r="EF9" s="37">
        <v>0.52709375021118843</v>
      </c>
      <c r="EG9" s="37">
        <v>0.19428606575437976</v>
      </c>
      <c r="EH9" s="37">
        <v>4.610935721914871E-2</v>
      </c>
      <c r="EI9" s="37">
        <v>0.24731764508778434</v>
      </c>
      <c r="EJ9" s="37">
        <v>0.25800736545459846</v>
      </c>
      <c r="EK9" s="90">
        <v>0.18590615055713855</v>
      </c>
      <c r="EN9" t="str">
        <v>Expert</v>
      </c>
      <c r="EO9" s="123">
        <v>0.12053127811168438</v>
      </c>
      <c r="EP9" s="37">
        <v>4.8459487091569518E-2</v>
      </c>
      <c r="EQ9" s="37">
        <v>0.15224383453637197</v>
      </c>
      <c r="ER9" s="37">
        <v>0.53650420349603312</v>
      </c>
      <c r="ES9" s="37">
        <v>0.19428606575437976</v>
      </c>
      <c r="ET9" s="37">
        <v>4.610935721914871E-2</v>
      </c>
      <c r="EU9" s="37">
        <v>0.24731764508778434</v>
      </c>
      <c r="EV9" s="37">
        <v>0.25800736545459846</v>
      </c>
      <c r="EW9" s="90">
        <v>0.18590615055713855</v>
      </c>
      <c r="EZ9" t="str">
        <v>Expert</v>
      </c>
      <c r="FA9" s="123">
        <v>0.12053127811168438</v>
      </c>
      <c r="FB9" s="37">
        <v>4.8459487091569518E-2</v>
      </c>
      <c r="FC9" s="37">
        <v>0.15224383453637197</v>
      </c>
      <c r="FD9" s="37">
        <v>0.54389336420087364</v>
      </c>
      <c r="FE9" s="37">
        <v>0.19428606575437976</v>
      </c>
      <c r="FF9" s="37">
        <v>4.610935721914871E-2</v>
      </c>
      <c r="FG9" s="37">
        <v>0.24731764508778434</v>
      </c>
      <c r="FH9" s="37">
        <v>0.25800736545459846</v>
      </c>
      <c r="FI9" s="90">
        <v>0.18590615055713855</v>
      </c>
      <c r="FL9" t="str">
        <v>Expert</v>
      </c>
      <c r="FM9" s="123">
        <v>0.12053127811168438</v>
      </c>
      <c r="FN9" s="37">
        <v>4.8459487091569518E-2</v>
      </c>
      <c r="FO9" s="37">
        <v>0.15224383453637197</v>
      </c>
      <c r="FP9" s="37">
        <v>0.55003700637253261</v>
      </c>
      <c r="FQ9" s="37">
        <v>0.19428606575437976</v>
      </c>
      <c r="FR9" s="37">
        <v>4.610935721914871E-2</v>
      </c>
      <c r="FS9" s="37">
        <v>0.24731764508778434</v>
      </c>
      <c r="FT9" s="37">
        <v>0.25800736545459846</v>
      </c>
      <c r="FU9" s="90">
        <v>0.18590615055713855</v>
      </c>
      <c r="FX9" t="str">
        <v>Expert</v>
      </c>
      <c r="FY9" s="123">
        <v>0.12053127811168438</v>
      </c>
      <c r="FZ9" s="37">
        <v>4.8459487091569518E-2</v>
      </c>
      <c r="GA9" s="37">
        <v>0.15224383453637197</v>
      </c>
      <c r="GB9" s="37">
        <v>0.55500786457881679</v>
      </c>
      <c r="GC9" s="37">
        <v>0.19428606575437976</v>
      </c>
      <c r="GD9" s="37">
        <v>4.610935721914871E-2</v>
      </c>
      <c r="GE9" s="37">
        <v>0.24731764508778434</v>
      </c>
      <c r="GF9" s="37">
        <v>0.25800736545459846</v>
      </c>
      <c r="GG9" s="90">
        <v>0.18590615055713855</v>
      </c>
      <c r="GJ9" t="str">
        <v>Expert</v>
      </c>
      <c r="GK9" s="123">
        <v>0.12053127811168438</v>
      </c>
      <c r="GL9" s="37">
        <v>4.8459487091569518E-2</v>
      </c>
      <c r="GM9" s="37">
        <v>0.15224383453637197</v>
      </c>
      <c r="GN9" s="37">
        <v>0.55816764713797629</v>
      </c>
      <c r="GO9" s="37">
        <v>0.19428606575437976</v>
      </c>
      <c r="GP9" s="37">
        <v>4.610935721914871E-2</v>
      </c>
      <c r="GQ9" s="37">
        <v>0.24731764508778434</v>
      </c>
      <c r="GR9" s="37">
        <v>0.25800736545459846</v>
      </c>
      <c r="GS9" s="90">
        <v>0.18590615055713855</v>
      </c>
      <c r="GV9" t="str">
        <v>Expert</v>
      </c>
      <c r="GW9" s="123">
        <v>0.12053127811168438</v>
      </c>
      <c r="GX9" s="37">
        <v>4.8459487091569518E-2</v>
      </c>
      <c r="GY9" s="37">
        <v>0.15224383453637197</v>
      </c>
      <c r="GZ9" s="37">
        <v>0.56060899044667611</v>
      </c>
      <c r="HA9" s="37">
        <v>0.19428606575437976</v>
      </c>
      <c r="HB9" s="37">
        <v>4.610935721914871E-2</v>
      </c>
      <c r="HC9" s="37">
        <v>0.24731764508778434</v>
      </c>
      <c r="HD9" s="37">
        <v>0.25800736545459846</v>
      </c>
      <c r="HE9" s="90">
        <v>0.18590615055713855</v>
      </c>
      <c r="HH9" t="str">
        <v>Expert</v>
      </c>
      <c r="HI9" s="123">
        <v>0.12053127811168438</v>
      </c>
      <c r="HJ9" s="37">
        <v>4.8459487091569518E-2</v>
      </c>
      <c r="HK9" s="37">
        <v>0.15224383453637197</v>
      </c>
      <c r="HL9" s="37">
        <v>0.56248653622297295</v>
      </c>
      <c r="HM9" s="37">
        <v>0.19428606575437976</v>
      </c>
      <c r="HN9" s="37">
        <v>4.610935721914871E-2</v>
      </c>
      <c r="HO9" s="37">
        <v>0.24731764508778434</v>
      </c>
      <c r="HP9" s="37">
        <v>0.25800736545459846</v>
      </c>
      <c r="HQ9" s="90">
        <v>0.18590615055713855</v>
      </c>
      <c r="HT9" t="str">
        <v>Expert</v>
      </c>
      <c r="HU9" s="123">
        <v>0.12053127811168438</v>
      </c>
      <c r="HV9" s="37">
        <v>4.8459487091569518E-2</v>
      </c>
      <c r="HW9" s="37">
        <v>0.15224383453637197</v>
      </c>
      <c r="HX9" s="37">
        <v>0.56478940753318774</v>
      </c>
      <c r="HY9" s="37">
        <v>0.19428606575437976</v>
      </c>
      <c r="HZ9" s="37">
        <v>4.610935721914871E-2</v>
      </c>
      <c r="IA9" s="37">
        <v>0.24731764508778434</v>
      </c>
      <c r="IB9" s="37">
        <v>0.25800736545459846</v>
      </c>
      <c r="IC9" s="90">
        <v>0.18590615055713855</v>
      </c>
      <c r="IF9" t="str">
        <v>Expert</v>
      </c>
      <c r="IG9" s="123">
        <v>0.12053127811168438</v>
      </c>
      <c r="IH9" s="37">
        <v>4.8459487091569518E-2</v>
      </c>
      <c r="II9" s="37">
        <v>0.15224383453637197</v>
      </c>
      <c r="IJ9" s="37">
        <v>0.56667434138740447</v>
      </c>
      <c r="IK9" s="37">
        <v>0.19428606575437976</v>
      </c>
      <c r="IL9" s="37">
        <v>4.610935721914871E-2</v>
      </c>
      <c r="IM9" s="37">
        <v>0.24731764508778434</v>
      </c>
      <c r="IN9" s="37">
        <v>0.25800736545459846</v>
      </c>
      <c r="IO9" s="90">
        <v>0.18590615055713855</v>
      </c>
      <c r="IR9" t="str">
        <v>Expert</v>
      </c>
      <c r="IS9" s="123">
        <v>0.12053127811168438</v>
      </c>
      <c r="IT9" s="37">
        <v>4.8459487091569518E-2</v>
      </c>
      <c r="IU9" s="37">
        <v>0.15224383453637197</v>
      </c>
      <c r="IV9" s="37">
        <v>0.56821842130772526</v>
      </c>
      <c r="IW9" s="37">
        <v>0.19428606575437976</v>
      </c>
      <c r="IX9" s="37">
        <v>4.610935721914871E-2</v>
      </c>
      <c r="IY9" s="37">
        <v>0.24731764508778434</v>
      </c>
      <c r="IZ9" s="37">
        <v>0.25800736545459846</v>
      </c>
      <c r="JA9" s="90">
        <v>0.18590615055713855</v>
      </c>
      <c r="JD9" t="str">
        <v>Expert</v>
      </c>
      <c r="JE9" s="123">
        <v>0.12053127811168438</v>
      </c>
      <c r="JF9" s="37">
        <v>4.8459487091569518E-2</v>
      </c>
      <c r="JG9" s="37">
        <v>0.15224383453637197</v>
      </c>
      <c r="JH9" s="37">
        <v>0.56864317879832793</v>
      </c>
      <c r="JI9" s="37">
        <v>0.19428606575437976</v>
      </c>
      <c r="JJ9" s="37">
        <v>4.610935721914871E-2</v>
      </c>
      <c r="JK9" s="37">
        <v>0.24731764508778434</v>
      </c>
      <c r="JL9" s="37">
        <v>0.25800736545459846</v>
      </c>
      <c r="JM9" s="90">
        <v>0.18590615055713855</v>
      </c>
      <c r="JP9" t="str">
        <v>Expert</v>
      </c>
      <c r="JQ9" s="123">
        <v>0.12053127811168438</v>
      </c>
      <c r="JR9" s="37">
        <v>4.8459487091569518E-2</v>
      </c>
      <c r="JS9" s="37">
        <v>0.15224383453637197</v>
      </c>
      <c r="JT9" s="37">
        <v>0.56887960259813142</v>
      </c>
      <c r="JU9" s="37">
        <v>0.19428606575437976</v>
      </c>
      <c r="JV9" s="37">
        <v>4.610935721914871E-2</v>
      </c>
      <c r="JW9" s="37">
        <v>0.24731764508778434</v>
      </c>
      <c r="JX9" s="37">
        <v>0.25800736545459846</v>
      </c>
      <c r="JY9" s="90">
        <v>0.18590615055713855</v>
      </c>
      <c r="KB9" t="str">
        <v>Expert</v>
      </c>
      <c r="KC9" s="123">
        <v>0.12053127811168438</v>
      </c>
      <c r="KD9" s="37">
        <v>4.8459487091569518E-2</v>
      </c>
      <c r="KE9" s="37">
        <v>0.15224383453637197</v>
      </c>
      <c r="KF9" s="37">
        <v>0.56978056062157023</v>
      </c>
      <c r="KG9" s="37">
        <v>0.19428606575437976</v>
      </c>
      <c r="KH9" s="37">
        <v>4.610935721914871E-2</v>
      </c>
      <c r="KI9" s="37">
        <v>0.24731764508778434</v>
      </c>
      <c r="KJ9" s="37">
        <v>0.25800736545459846</v>
      </c>
      <c r="KK9" s="90">
        <v>0.18590615055713855</v>
      </c>
      <c r="KN9" t="str">
        <v>Expert</v>
      </c>
      <c r="KO9" s="123">
        <v>0.12053127811168438</v>
      </c>
      <c r="KP9" s="37">
        <v>4.8459487091569518E-2</v>
      </c>
      <c r="KQ9" s="37">
        <v>0.15224383453637197</v>
      </c>
      <c r="KR9" s="37">
        <v>0.57052032818941467</v>
      </c>
      <c r="KS9" s="37">
        <v>0.19428606575437976</v>
      </c>
      <c r="KT9" s="37">
        <v>4.610935721914871E-2</v>
      </c>
      <c r="KU9" s="37">
        <v>0.24731764508778434</v>
      </c>
      <c r="KV9" s="37">
        <v>0.25800736545459846</v>
      </c>
      <c r="KW9" s="90">
        <v>0.18590615055713855</v>
      </c>
      <c r="KZ9" t="str">
        <v>Expert</v>
      </c>
      <c r="LA9" s="123">
        <v>0.12053127811168438</v>
      </c>
      <c r="LB9" s="37">
        <v>4.8459487091569518E-2</v>
      </c>
      <c r="LC9" s="37">
        <v>0.15224383453637197</v>
      </c>
      <c r="LD9" s="37">
        <v>0.5711324087880767</v>
      </c>
      <c r="LE9" s="37">
        <v>0.19428606575437976</v>
      </c>
      <c r="LF9" s="37">
        <v>4.610935721914871E-2</v>
      </c>
      <c r="LG9" s="37">
        <v>0.24731764508778434</v>
      </c>
      <c r="LH9" s="37">
        <v>0.25800736545459846</v>
      </c>
      <c r="LI9" s="90">
        <v>0.18590615055713855</v>
      </c>
      <c r="LL9" t="str">
        <v>Expert</v>
      </c>
      <c r="LM9" s="123">
        <v>0.12053127811168438</v>
      </c>
      <c r="LN9" s="37">
        <v>4.8459487091569518E-2</v>
      </c>
      <c r="LO9" s="37">
        <v>0.15224383453637197</v>
      </c>
      <c r="LP9" s="37">
        <v>0.57082446300968226</v>
      </c>
      <c r="LQ9" s="37">
        <v>0.19428606575437976</v>
      </c>
      <c r="LR9" s="37">
        <v>4.610935721914871E-2</v>
      </c>
      <c r="LS9" s="37">
        <v>0.24731764508778434</v>
      </c>
      <c r="LT9" s="37">
        <v>0.25800736545459846</v>
      </c>
      <c r="LU9" s="90">
        <v>0.18590615055713855</v>
      </c>
      <c r="LX9" t="str">
        <v>Expert</v>
      </c>
      <c r="LY9" s="123">
        <v>0.12053127811168438</v>
      </c>
      <c r="LZ9" s="37">
        <v>4.8459487091569518E-2</v>
      </c>
      <c r="MA9" s="37">
        <v>0.15224383453637197</v>
      </c>
      <c r="MB9" s="37">
        <v>0.57045259035224016</v>
      </c>
      <c r="MC9" s="37">
        <v>0.19428606575437976</v>
      </c>
      <c r="MD9" s="37">
        <v>4.610935721914871E-2</v>
      </c>
      <c r="ME9" s="37">
        <v>0.24731764508778434</v>
      </c>
      <c r="MF9" s="37">
        <v>0.25800736545459846</v>
      </c>
      <c r="MG9" s="90">
        <v>0.18590615055713855</v>
      </c>
      <c r="MJ9" t="str">
        <v>Expert</v>
      </c>
      <c r="MK9" s="123">
        <v>0.12053127811168438</v>
      </c>
      <c r="ML9" s="37">
        <v>4.8459487091569518E-2</v>
      </c>
      <c r="MM9" s="37">
        <v>0.15224383453637197</v>
      </c>
      <c r="MN9" s="37">
        <v>0.57083215768343731</v>
      </c>
      <c r="MO9" s="37">
        <v>0.19428606575437976</v>
      </c>
      <c r="MP9" s="37">
        <v>4.610935721914871E-2</v>
      </c>
      <c r="MQ9" s="37">
        <v>0.24731764508778434</v>
      </c>
      <c r="MR9" s="37">
        <v>0.25800736545459846</v>
      </c>
      <c r="MS9" s="90">
        <v>0.18590615055713855</v>
      </c>
    </row>
    <row r="10" spans="1:357" ht="14.45" x14ac:dyDescent="0.35">
      <c r="A10">
        <v>7</v>
      </c>
      <c r="B10" s="123">
        <v>4</v>
      </c>
      <c r="C10" s="37">
        <v>8</v>
      </c>
      <c r="D10" s="37">
        <v>4</v>
      </c>
      <c r="E10" s="37">
        <v>2</v>
      </c>
      <c r="F10" s="37">
        <v>6</v>
      </c>
      <c r="G10" s="37">
        <v>4</v>
      </c>
      <c r="H10" s="37">
        <v>5</v>
      </c>
      <c r="I10" s="37">
        <v>4</v>
      </c>
      <c r="J10" s="90">
        <v>7</v>
      </c>
      <c r="L10" t="str">
        <v>Motivate</v>
      </c>
      <c r="M10" s="83">
        <v>-0.1472071906836242</v>
      </c>
      <c r="N10" s="37">
        <v>0.24412158026310946</v>
      </c>
      <c r="O10" s="37">
        <v>0.28642393294527835</v>
      </c>
      <c r="P10" s="37">
        <v>0.19428606575437976</v>
      </c>
      <c r="Q10" s="37">
        <v>1.0000000000000009</v>
      </c>
      <c r="R10" s="37">
        <v>0.28436745486873366</v>
      </c>
      <c r="S10" s="37">
        <v>0.34434258129116857</v>
      </c>
      <c r="T10" s="37">
        <v>0.32646573442580362</v>
      </c>
      <c r="U10" s="84">
        <v>3.7341657013804541E-2</v>
      </c>
      <c r="X10" t="str">
        <v>Motivate</v>
      </c>
      <c r="Y10" s="123">
        <v>-0.1472071906836242</v>
      </c>
      <c r="Z10" s="37">
        <v>0.24412158026310946</v>
      </c>
      <c r="AA10" s="37">
        <v>0.28642393294527835</v>
      </c>
      <c r="AB10" s="37">
        <v>0.19428606575437976</v>
      </c>
      <c r="AC10" s="37">
        <v>0.23261043587168595</v>
      </c>
      <c r="AD10" s="37">
        <v>0.28436745486873366</v>
      </c>
      <c r="AE10" s="37">
        <v>0.34434258129116857</v>
      </c>
      <c r="AF10" s="37">
        <v>0.32646573442580362</v>
      </c>
      <c r="AG10" s="90">
        <v>3.7341657013804541E-2</v>
      </c>
      <c r="AJ10" t="str">
        <v>Motivate</v>
      </c>
      <c r="AK10" s="123">
        <v>-0.1472071906836242</v>
      </c>
      <c r="AL10" s="37">
        <v>0.24412158026310946</v>
      </c>
      <c r="AM10" s="37">
        <v>0.28642393294527835</v>
      </c>
      <c r="AN10" s="37">
        <v>0.19428606575437976</v>
      </c>
      <c r="AO10" s="37">
        <v>0.32417260491209915</v>
      </c>
      <c r="AP10" s="37">
        <v>0.28436745486873366</v>
      </c>
      <c r="AQ10" s="37">
        <v>0.34434258129116857</v>
      </c>
      <c r="AR10" s="37">
        <v>0.32646573442580362</v>
      </c>
      <c r="AS10" s="90">
        <v>3.7341657013804541E-2</v>
      </c>
      <c r="AV10" t="str">
        <v>Motivate</v>
      </c>
      <c r="AW10" s="123">
        <v>-0.1472071906836242</v>
      </c>
      <c r="AX10" s="37">
        <v>0.24412158026310946</v>
      </c>
      <c r="AY10" s="37">
        <v>0.28642393294527835</v>
      </c>
      <c r="AZ10" s="37">
        <v>0.19428606575437976</v>
      </c>
      <c r="BA10" s="37">
        <v>0.36511100423823195</v>
      </c>
      <c r="BB10" s="37">
        <v>0.28436745486873366</v>
      </c>
      <c r="BC10" s="37">
        <v>0.34434258129116857</v>
      </c>
      <c r="BD10" s="37">
        <v>0.32646573442580362</v>
      </c>
      <c r="BE10" s="90">
        <v>3.7341657013804541E-2</v>
      </c>
      <c r="BH10" t="str">
        <v>Motivate</v>
      </c>
      <c r="BI10" s="123">
        <v>-0.1472071906836242</v>
      </c>
      <c r="BJ10" s="37">
        <v>0.24412158026310946</v>
      </c>
      <c r="BK10" s="37">
        <v>0.28642393294527835</v>
      </c>
      <c r="BL10" s="37">
        <v>0.19428606575437976</v>
      </c>
      <c r="BM10" s="37">
        <v>0.38628077079781364</v>
      </c>
      <c r="BN10" s="37">
        <v>0.28436745486873366</v>
      </c>
      <c r="BO10" s="37">
        <v>0.34434258129116857</v>
      </c>
      <c r="BP10" s="37">
        <v>0.32646573442580362</v>
      </c>
      <c r="BQ10" s="90">
        <v>3.7341657013804541E-2</v>
      </c>
      <c r="BT10" t="str">
        <v>Motivate</v>
      </c>
      <c r="BU10" s="123">
        <v>-0.1472071906836242</v>
      </c>
      <c r="BV10" s="37">
        <v>0.24412158026310946</v>
      </c>
      <c r="BW10" s="37">
        <v>0.28642393294527835</v>
      </c>
      <c r="BX10" s="37">
        <v>0.19428606575437976</v>
      </c>
      <c r="BY10" s="37">
        <v>0.39690440976690522</v>
      </c>
      <c r="BZ10" s="37">
        <v>0.28436745486873366</v>
      </c>
      <c r="CA10" s="37">
        <v>0.34434258129116857</v>
      </c>
      <c r="CB10" s="37">
        <v>0.32646573442580362</v>
      </c>
      <c r="CC10" s="90">
        <v>3.7341657013804541E-2</v>
      </c>
      <c r="CF10" t="str">
        <v>Motivate</v>
      </c>
      <c r="CG10" s="123">
        <v>-0.1472071906836242</v>
      </c>
      <c r="CH10" s="37">
        <v>0.24412158026310946</v>
      </c>
      <c r="CI10" s="37">
        <v>0.28642393294527835</v>
      </c>
      <c r="CJ10" s="37">
        <v>0.19428606575437976</v>
      </c>
      <c r="CK10" s="37">
        <v>0.40284925395491106</v>
      </c>
      <c r="CL10" s="37">
        <v>0.28436745486873366</v>
      </c>
      <c r="CM10" s="37">
        <v>0.34434258129116857</v>
      </c>
      <c r="CN10" s="37">
        <v>0.32646573442580362</v>
      </c>
      <c r="CO10" s="90">
        <v>3.7341657013804541E-2</v>
      </c>
      <c r="CR10" t="str">
        <v>Motivate</v>
      </c>
      <c r="CS10" s="123">
        <v>-0.1472071906836242</v>
      </c>
      <c r="CT10" s="37">
        <v>0.24412158026310946</v>
      </c>
      <c r="CU10" s="37">
        <v>0.28642393294527835</v>
      </c>
      <c r="CV10" s="37">
        <v>0.19428606575437976</v>
      </c>
      <c r="CW10" s="37">
        <v>0.40804471193937997</v>
      </c>
      <c r="CX10" s="37">
        <v>0.28436745486873366</v>
      </c>
      <c r="CY10" s="37">
        <v>0.34434258129116857</v>
      </c>
      <c r="CZ10" s="37">
        <v>0.32646573442580362</v>
      </c>
      <c r="DA10" s="90">
        <v>3.7341657013804541E-2</v>
      </c>
      <c r="DD10" t="str">
        <v>Motivate</v>
      </c>
      <c r="DE10" s="123">
        <v>-0.1472071906836242</v>
      </c>
      <c r="DF10" s="37">
        <v>0.24412158026310946</v>
      </c>
      <c r="DG10" s="37">
        <v>0.28642393294527835</v>
      </c>
      <c r="DH10" s="37">
        <v>0.19428606575437976</v>
      </c>
      <c r="DI10" s="37">
        <v>0.41237657406632872</v>
      </c>
      <c r="DJ10" s="37">
        <v>0.28436745486873366</v>
      </c>
      <c r="DK10" s="37">
        <v>0.34434258129116857</v>
      </c>
      <c r="DL10" s="37">
        <v>0.32646573442580362</v>
      </c>
      <c r="DM10" s="90">
        <v>3.7341657013804541E-2</v>
      </c>
      <c r="DP10" t="str">
        <v>Motivate</v>
      </c>
      <c r="DQ10" s="123">
        <v>-0.1472071906836242</v>
      </c>
      <c r="DR10" s="37">
        <v>0.24412158026310946</v>
      </c>
      <c r="DS10" s="37">
        <v>0.28642393294527835</v>
      </c>
      <c r="DT10" s="37">
        <v>0.19428606575437976</v>
      </c>
      <c r="DU10" s="37">
        <v>0.41595136404785804</v>
      </c>
      <c r="DV10" s="37">
        <v>0.28436745486873366</v>
      </c>
      <c r="DW10" s="37">
        <v>0.34434258129116857</v>
      </c>
      <c r="DX10" s="37">
        <v>0.32646573442580362</v>
      </c>
      <c r="DY10" s="90">
        <v>3.7341657013804541E-2</v>
      </c>
      <c r="EB10" t="str">
        <v>Motivate</v>
      </c>
      <c r="EC10" s="123">
        <v>-0.1472071906836242</v>
      </c>
      <c r="ED10" s="37">
        <v>0.24412158026310946</v>
      </c>
      <c r="EE10" s="37">
        <v>0.28642393294527835</v>
      </c>
      <c r="EF10" s="37">
        <v>0.19428606575437976</v>
      </c>
      <c r="EG10" s="37">
        <v>0.41891366346923425</v>
      </c>
      <c r="EH10" s="37">
        <v>0.28436745486873366</v>
      </c>
      <c r="EI10" s="37">
        <v>0.34434258129116857</v>
      </c>
      <c r="EJ10" s="37">
        <v>0.32646573442580362</v>
      </c>
      <c r="EK10" s="90">
        <v>3.7341657013804541E-2</v>
      </c>
      <c r="EN10" t="str">
        <v>Motivate</v>
      </c>
      <c r="EO10" s="123">
        <v>-0.1472071906836242</v>
      </c>
      <c r="EP10" s="37">
        <v>0.24412158026310946</v>
      </c>
      <c r="EQ10" s="37">
        <v>0.28642393294527835</v>
      </c>
      <c r="ER10" s="37">
        <v>0.19428606575437976</v>
      </c>
      <c r="ES10" s="37">
        <v>0.42144263498759293</v>
      </c>
      <c r="ET10" s="37">
        <v>0.28436745486873366</v>
      </c>
      <c r="EU10" s="37">
        <v>0.34434258129116857</v>
      </c>
      <c r="EV10" s="37">
        <v>0.32646573442580362</v>
      </c>
      <c r="EW10" s="90">
        <v>3.7341657013804541E-2</v>
      </c>
      <c r="EZ10" t="str">
        <v>Motivate</v>
      </c>
      <c r="FA10" s="123">
        <v>-0.1472071906836242</v>
      </c>
      <c r="FB10" s="37">
        <v>0.24412158026310946</v>
      </c>
      <c r="FC10" s="37">
        <v>0.28642393294527835</v>
      </c>
      <c r="FD10" s="37">
        <v>0.19428606575437976</v>
      </c>
      <c r="FE10" s="37">
        <v>0.42368688130100807</v>
      </c>
      <c r="FF10" s="37">
        <v>0.28436745486873366</v>
      </c>
      <c r="FG10" s="37">
        <v>0.34434258129116857</v>
      </c>
      <c r="FH10" s="37">
        <v>0.32646573442580362</v>
      </c>
      <c r="FI10" s="90">
        <v>3.7341657013804541E-2</v>
      </c>
      <c r="FL10" t="str">
        <v>Motivate</v>
      </c>
      <c r="FM10" s="123">
        <v>-0.1472071906836242</v>
      </c>
      <c r="FN10" s="37">
        <v>0.24412158026310946</v>
      </c>
      <c r="FO10" s="37">
        <v>0.28642393294527835</v>
      </c>
      <c r="FP10" s="37">
        <v>0.19428606575437976</v>
      </c>
      <c r="FQ10" s="37">
        <v>0.42556789059574385</v>
      </c>
      <c r="FR10" s="37">
        <v>0.28436745486873366</v>
      </c>
      <c r="FS10" s="37">
        <v>0.34434258129116857</v>
      </c>
      <c r="FT10" s="37">
        <v>0.32646573442580362</v>
      </c>
      <c r="FU10" s="90">
        <v>3.7341657013804541E-2</v>
      </c>
      <c r="FX10" t="str">
        <v>Motivate</v>
      </c>
      <c r="FY10" s="123">
        <v>-0.1472071906836242</v>
      </c>
      <c r="FZ10" s="37">
        <v>0.24412158026310946</v>
      </c>
      <c r="GA10" s="37">
        <v>0.28642393294527835</v>
      </c>
      <c r="GB10" s="37">
        <v>0.19428606575437976</v>
      </c>
      <c r="GC10" s="37">
        <v>0.42722131942462704</v>
      </c>
      <c r="GD10" s="37">
        <v>0.28436745486873366</v>
      </c>
      <c r="GE10" s="37">
        <v>0.34434258129116857</v>
      </c>
      <c r="GF10" s="37">
        <v>0.32646573442580362</v>
      </c>
      <c r="GG10" s="90">
        <v>3.7341657013804541E-2</v>
      </c>
      <c r="GJ10" t="str">
        <v>Motivate</v>
      </c>
      <c r="GK10" s="123">
        <v>-0.1472071906836242</v>
      </c>
      <c r="GL10" s="37">
        <v>0.24412158026310946</v>
      </c>
      <c r="GM10" s="37">
        <v>0.28642393294527835</v>
      </c>
      <c r="GN10" s="37">
        <v>0.19428606575437976</v>
      </c>
      <c r="GO10" s="37">
        <v>0.42897738848647488</v>
      </c>
      <c r="GP10" s="37">
        <v>0.28436745486873366</v>
      </c>
      <c r="GQ10" s="37">
        <v>0.34434258129116857</v>
      </c>
      <c r="GR10" s="37">
        <v>0.32646573442580362</v>
      </c>
      <c r="GS10" s="90">
        <v>3.7341657013804541E-2</v>
      </c>
      <c r="GV10" t="str">
        <v>Motivate</v>
      </c>
      <c r="GW10" s="123">
        <v>-0.1472071906836242</v>
      </c>
      <c r="GX10" s="37">
        <v>0.24412158026310946</v>
      </c>
      <c r="GY10" s="37">
        <v>0.28642393294527835</v>
      </c>
      <c r="GZ10" s="37">
        <v>0.19428606575437976</v>
      </c>
      <c r="HA10" s="37">
        <v>0.43055020765543384</v>
      </c>
      <c r="HB10" s="37">
        <v>0.28436745486873366</v>
      </c>
      <c r="HC10" s="37">
        <v>0.34434258129116857</v>
      </c>
      <c r="HD10" s="37">
        <v>0.32646573442580362</v>
      </c>
      <c r="HE10" s="90">
        <v>3.7341657013804541E-2</v>
      </c>
      <c r="HH10" t="str">
        <v>Motivate</v>
      </c>
      <c r="HI10" s="123">
        <v>-0.1472071906836242</v>
      </c>
      <c r="HJ10" s="37">
        <v>0.24412158026310946</v>
      </c>
      <c r="HK10" s="37">
        <v>0.28642393294527835</v>
      </c>
      <c r="HL10" s="37">
        <v>0.19428606575437976</v>
      </c>
      <c r="HM10" s="37">
        <v>0.4319521299361776</v>
      </c>
      <c r="HN10" s="37">
        <v>0.28436745486873366</v>
      </c>
      <c r="HO10" s="37">
        <v>0.34434258129116857</v>
      </c>
      <c r="HP10" s="37">
        <v>0.32646573442580362</v>
      </c>
      <c r="HQ10" s="90">
        <v>3.7341657013804541E-2</v>
      </c>
      <c r="HT10" t="str">
        <v>Motivate</v>
      </c>
      <c r="HU10" s="123">
        <v>-0.1472071906836242</v>
      </c>
      <c r="HV10" s="37">
        <v>0.24412158026310946</v>
      </c>
      <c r="HW10" s="37">
        <v>0.28642393294527835</v>
      </c>
      <c r="HX10" s="37">
        <v>0.19428606575437976</v>
      </c>
      <c r="HY10" s="37">
        <v>0.43292263564848382</v>
      </c>
      <c r="HZ10" s="37">
        <v>0.28436745486873366</v>
      </c>
      <c r="IA10" s="37">
        <v>0.34434258129116857</v>
      </c>
      <c r="IB10" s="37">
        <v>0.32646573442580362</v>
      </c>
      <c r="IC10" s="90">
        <v>3.7341657013804541E-2</v>
      </c>
      <c r="IF10" t="str">
        <v>Motivate</v>
      </c>
      <c r="IG10" s="123">
        <v>-0.1472071906836242</v>
      </c>
      <c r="IH10" s="37">
        <v>0.24412158026310946</v>
      </c>
      <c r="II10" s="37">
        <v>0.28642393294527835</v>
      </c>
      <c r="IJ10" s="37">
        <v>0.19428606575437976</v>
      </c>
      <c r="IK10" s="37">
        <v>0.43376578863375809</v>
      </c>
      <c r="IL10" s="37">
        <v>0.28436745486873366</v>
      </c>
      <c r="IM10" s="37">
        <v>0.34434258129116857</v>
      </c>
      <c r="IN10" s="37">
        <v>0.32646573442580362</v>
      </c>
      <c r="IO10" s="90">
        <v>3.7341657013804541E-2</v>
      </c>
      <c r="IR10" t="str">
        <v>Motivate</v>
      </c>
      <c r="IS10" s="123">
        <v>-0.1472071906836242</v>
      </c>
      <c r="IT10" s="37">
        <v>0.24412158026310946</v>
      </c>
      <c r="IU10" s="37">
        <v>0.28642393294527835</v>
      </c>
      <c r="IV10" s="37">
        <v>0.19428606575437976</v>
      </c>
      <c r="IW10" s="37">
        <v>0.43449683721276255</v>
      </c>
      <c r="IX10" s="37">
        <v>0.28436745486873366</v>
      </c>
      <c r="IY10" s="37">
        <v>0.34434258129116857</v>
      </c>
      <c r="IZ10" s="37">
        <v>0.32646573442580362</v>
      </c>
      <c r="JA10" s="90">
        <v>3.7341657013804541E-2</v>
      </c>
      <c r="JD10" t="str">
        <v>Motivate</v>
      </c>
      <c r="JE10" s="123">
        <v>-0.1472071906836242</v>
      </c>
      <c r="JF10" s="37">
        <v>0.24412158026310946</v>
      </c>
      <c r="JG10" s="37">
        <v>0.28642393294527835</v>
      </c>
      <c r="JH10" s="37">
        <v>0.19428606575437976</v>
      </c>
      <c r="JI10" s="37">
        <v>0.43538881000261054</v>
      </c>
      <c r="JJ10" s="37">
        <v>0.28436745486873366</v>
      </c>
      <c r="JK10" s="37">
        <v>0.34434258129116857</v>
      </c>
      <c r="JL10" s="37">
        <v>0.32646573442580362</v>
      </c>
      <c r="JM10" s="90">
        <v>3.7341657013804541E-2</v>
      </c>
      <c r="JP10" t="str">
        <v>Motivate</v>
      </c>
      <c r="JQ10" s="123">
        <v>-0.1472071906836242</v>
      </c>
      <c r="JR10" s="37">
        <v>0.24412158026310946</v>
      </c>
      <c r="JS10" s="37">
        <v>0.28642393294527835</v>
      </c>
      <c r="JT10" s="37">
        <v>0.19428606575437976</v>
      </c>
      <c r="JU10" s="37">
        <v>0.43619495318672336</v>
      </c>
      <c r="JV10" s="37">
        <v>0.28436745486873366</v>
      </c>
      <c r="JW10" s="37">
        <v>0.34434258129116857</v>
      </c>
      <c r="JX10" s="37">
        <v>0.32646573442580362</v>
      </c>
      <c r="JY10" s="90">
        <v>3.7341657013804541E-2</v>
      </c>
      <c r="KB10" t="str">
        <v>Motivate</v>
      </c>
      <c r="KC10" s="123">
        <v>-0.1472071906836242</v>
      </c>
      <c r="KD10" s="37">
        <v>0.24412158026310946</v>
      </c>
      <c r="KE10" s="37">
        <v>0.28642393294527835</v>
      </c>
      <c r="KF10" s="37">
        <v>0.19428606575437976</v>
      </c>
      <c r="KG10" s="37">
        <v>0.43666736644366333</v>
      </c>
      <c r="KH10" s="37">
        <v>0.28436745486873366</v>
      </c>
      <c r="KI10" s="37">
        <v>0.34434258129116857</v>
      </c>
      <c r="KJ10" s="37">
        <v>0.32646573442580362</v>
      </c>
      <c r="KK10" s="90">
        <v>3.7341657013804541E-2</v>
      </c>
      <c r="KN10" t="str">
        <v>Motivate</v>
      </c>
      <c r="KO10" s="123">
        <v>-0.1472071906836242</v>
      </c>
      <c r="KP10" s="37">
        <v>0.24412158026310946</v>
      </c>
      <c r="KQ10" s="37">
        <v>0.28642393294527835</v>
      </c>
      <c r="KR10" s="37">
        <v>0.19428606575437976</v>
      </c>
      <c r="KS10" s="37">
        <v>0.43707363466477317</v>
      </c>
      <c r="KT10" s="37">
        <v>0.28436745486873366</v>
      </c>
      <c r="KU10" s="37">
        <v>0.34434258129116857</v>
      </c>
      <c r="KV10" s="37">
        <v>0.32646573442580362</v>
      </c>
      <c r="KW10" s="90">
        <v>3.7341657013804541E-2</v>
      </c>
      <c r="KZ10" t="str">
        <v>Motivate</v>
      </c>
      <c r="LA10" s="123">
        <v>-0.1472071906836242</v>
      </c>
      <c r="LB10" s="37">
        <v>0.24412158026310946</v>
      </c>
      <c r="LC10" s="37">
        <v>0.28642393294527835</v>
      </c>
      <c r="LD10" s="37">
        <v>0.19428606575437976</v>
      </c>
      <c r="LE10" s="37">
        <v>0.437417291273548</v>
      </c>
      <c r="LF10" s="37">
        <v>0.28436745486873366</v>
      </c>
      <c r="LG10" s="37">
        <v>0.34434258129116857</v>
      </c>
      <c r="LH10" s="37">
        <v>0.32646573442580362</v>
      </c>
      <c r="LI10" s="90">
        <v>3.7341657013804541E-2</v>
      </c>
      <c r="LL10" t="str">
        <v>Motivate</v>
      </c>
      <c r="LM10" s="123">
        <v>-0.1472071906836242</v>
      </c>
      <c r="LN10" s="37">
        <v>0.24412158026310946</v>
      </c>
      <c r="LO10" s="37">
        <v>0.28642393294527835</v>
      </c>
      <c r="LP10" s="37">
        <v>0.19428606575437976</v>
      </c>
      <c r="LQ10" s="37">
        <v>0.43798047031638565</v>
      </c>
      <c r="LR10" s="37">
        <v>0.28436745486873366</v>
      </c>
      <c r="LS10" s="37">
        <v>0.34434258129116857</v>
      </c>
      <c r="LT10" s="37">
        <v>0.32646573442580362</v>
      </c>
      <c r="LU10" s="90">
        <v>3.7341657013804541E-2</v>
      </c>
      <c r="LX10" t="str">
        <v>Motivate</v>
      </c>
      <c r="LY10" s="123">
        <v>-0.1472071906836242</v>
      </c>
      <c r="LZ10" s="37">
        <v>0.24412158026310946</v>
      </c>
      <c r="MA10" s="37">
        <v>0.28642393294527835</v>
      </c>
      <c r="MB10" s="37">
        <v>0.19428606575437976</v>
      </c>
      <c r="MC10" s="37">
        <v>0.43850902265547598</v>
      </c>
      <c r="MD10" s="37">
        <v>0.28436745486873366</v>
      </c>
      <c r="ME10" s="37">
        <v>0.34434258129116857</v>
      </c>
      <c r="MF10" s="37">
        <v>0.32646573442580362</v>
      </c>
      <c r="MG10" s="90">
        <v>3.7341657013804541E-2</v>
      </c>
      <c r="MJ10" t="str">
        <v>Motivate</v>
      </c>
      <c r="MK10" s="123">
        <v>-0.1472071906836242</v>
      </c>
      <c r="ML10" s="37">
        <v>0.24412158026310946</v>
      </c>
      <c r="MM10" s="37">
        <v>0.28642393294527835</v>
      </c>
      <c r="MN10" s="37">
        <v>0.19428606575437976</v>
      </c>
      <c r="MO10" s="37">
        <v>0.43873817001478055</v>
      </c>
      <c r="MP10" s="37">
        <v>0.28436745486873366</v>
      </c>
      <c r="MQ10" s="37">
        <v>0.34434258129116857</v>
      </c>
      <c r="MR10" s="37">
        <v>0.32646573442580362</v>
      </c>
      <c r="MS10" s="90">
        <v>3.7341657013804541E-2</v>
      </c>
    </row>
    <row r="11" spans="1:357" ht="14.45" x14ac:dyDescent="0.35">
      <c r="A11">
        <v>8</v>
      </c>
      <c r="B11" s="123">
        <v>4</v>
      </c>
      <c r="C11" s="37">
        <v>8</v>
      </c>
      <c r="D11" s="37">
        <v>3</v>
      </c>
      <c r="E11" s="37">
        <v>3</v>
      </c>
      <c r="F11" s="37">
        <v>7</v>
      </c>
      <c r="G11" s="37">
        <v>5</v>
      </c>
      <c r="H11" s="37">
        <v>4</v>
      </c>
      <c r="I11" s="37">
        <v>4</v>
      </c>
      <c r="J11" s="90">
        <v>7</v>
      </c>
      <c r="L11" t="str">
        <v>Caring</v>
      </c>
      <c r="M11" s="83">
        <v>-0.1052452402704131</v>
      </c>
      <c r="N11" s="37">
        <v>0.11666737388326598</v>
      </c>
      <c r="O11" s="37">
        <v>0.10626504883200415</v>
      </c>
      <c r="P11" s="37">
        <v>4.610935721914871E-2</v>
      </c>
      <c r="Q11" s="37">
        <v>0.28436745486873366</v>
      </c>
      <c r="R11" s="37">
        <v>1.0000000000000018</v>
      </c>
      <c r="S11" s="37">
        <v>0.10231072687883692</v>
      </c>
      <c r="T11" s="37">
        <v>0.19515460623774106</v>
      </c>
      <c r="U11" s="84">
        <v>-5.5294628532650346E-2</v>
      </c>
      <c r="X11" t="str">
        <v>Caring</v>
      </c>
      <c r="Y11" s="123">
        <v>-0.1052452402704131</v>
      </c>
      <c r="Z11" s="37">
        <v>0.11666737388326598</v>
      </c>
      <c r="AA11" s="37">
        <v>0.10626504883200415</v>
      </c>
      <c r="AB11" s="37">
        <v>4.610935721914871E-2</v>
      </c>
      <c r="AC11" s="37">
        <v>0.28436745486873366</v>
      </c>
      <c r="AD11" s="37">
        <v>0.11017437918575956</v>
      </c>
      <c r="AE11" s="37">
        <v>0.10231072687883692</v>
      </c>
      <c r="AF11" s="37">
        <v>0.19515460623774106</v>
      </c>
      <c r="AG11" s="90">
        <v>-5.5294628532650346E-2</v>
      </c>
      <c r="AJ11" t="str">
        <v>Caring</v>
      </c>
      <c r="AK11" s="123">
        <v>-0.1052452402704131</v>
      </c>
      <c r="AL11" s="37">
        <v>0.11666737388326598</v>
      </c>
      <c r="AM11" s="37">
        <v>0.10626504883200415</v>
      </c>
      <c r="AN11" s="37">
        <v>4.610935721914871E-2</v>
      </c>
      <c r="AO11" s="37">
        <v>0.28436745486873366</v>
      </c>
      <c r="AP11" s="37">
        <v>0.19098913656289054</v>
      </c>
      <c r="AQ11" s="37">
        <v>0.10231072687883692</v>
      </c>
      <c r="AR11" s="37">
        <v>0.19515460623774106</v>
      </c>
      <c r="AS11" s="90">
        <v>-5.5294628532650346E-2</v>
      </c>
      <c r="AV11" t="str">
        <v>Caring</v>
      </c>
      <c r="AW11" s="123">
        <v>-0.1052452402704131</v>
      </c>
      <c r="AX11" s="37">
        <v>0.11666737388326598</v>
      </c>
      <c r="AY11" s="37">
        <v>0.10626504883200415</v>
      </c>
      <c r="AZ11" s="37">
        <v>4.610935721914871E-2</v>
      </c>
      <c r="BA11" s="37">
        <v>0.28436745486873366</v>
      </c>
      <c r="BB11" s="37">
        <v>0.2268668460737151</v>
      </c>
      <c r="BC11" s="37">
        <v>0.10231072687883692</v>
      </c>
      <c r="BD11" s="37">
        <v>0.19515460623774106</v>
      </c>
      <c r="BE11" s="90">
        <v>-5.5294628532650346E-2</v>
      </c>
      <c r="BH11" t="str">
        <v>Caring</v>
      </c>
      <c r="BI11" s="123">
        <v>-0.1052452402704131</v>
      </c>
      <c r="BJ11" s="37">
        <v>0.11666737388326598</v>
      </c>
      <c r="BK11" s="37">
        <v>0.10626504883200415</v>
      </c>
      <c r="BL11" s="37">
        <v>4.610935721914871E-2</v>
      </c>
      <c r="BM11" s="37">
        <v>0.28436745486873366</v>
      </c>
      <c r="BN11" s="37">
        <v>0.24509010690546429</v>
      </c>
      <c r="BO11" s="37">
        <v>0.10231072687883692</v>
      </c>
      <c r="BP11" s="37">
        <v>0.19515460623774106</v>
      </c>
      <c r="BQ11" s="90">
        <v>-5.5294628532650346E-2</v>
      </c>
      <c r="BT11" t="str">
        <v>Caring</v>
      </c>
      <c r="BU11" s="123">
        <v>-0.1052452402704131</v>
      </c>
      <c r="BV11" s="37">
        <v>0.11666737388326598</v>
      </c>
      <c r="BW11" s="37">
        <v>0.10626504883200415</v>
      </c>
      <c r="BX11" s="37">
        <v>4.610935721914871E-2</v>
      </c>
      <c r="BY11" s="37">
        <v>0.28436745486873366</v>
      </c>
      <c r="BZ11" s="37">
        <v>0.25356936999467827</v>
      </c>
      <c r="CA11" s="37">
        <v>0.10231072687883692</v>
      </c>
      <c r="CB11" s="37">
        <v>0.19515460623774106</v>
      </c>
      <c r="CC11" s="90">
        <v>-5.5294628532650346E-2</v>
      </c>
      <c r="CF11" t="str">
        <v>Caring</v>
      </c>
      <c r="CG11" s="123">
        <v>-0.1052452402704131</v>
      </c>
      <c r="CH11" s="37">
        <v>0.11666737388326598</v>
      </c>
      <c r="CI11" s="37">
        <v>0.10626504883200415</v>
      </c>
      <c r="CJ11" s="37">
        <v>4.610935721914871E-2</v>
      </c>
      <c r="CK11" s="37">
        <v>0.28436745486873366</v>
      </c>
      <c r="CL11" s="37">
        <v>0.25753471273258838</v>
      </c>
      <c r="CM11" s="37">
        <v>0.10231072687883692</v>
      </c>
      <c r="CN11" s="37">
        <v>0.19515460623774106</v>
      </c>
      <c r="CO11" s="90">
        <v>-5.5294628532650346E-2</v>
      </c>
      <c r="CR11" t="str">
        <v>Caring</v>
      </c>
      <c r="CS11" s="123">
        <v>-0.1052452402704131</v>
      </c>
      <c r="CT11" s="37">
        <v>0.11666737388326598</v>
      </c>
      <c r="CU11" s="37">
        <v>0.10626504883200415</v>
      </c>
      <c r="CV11" s="37">
        <v>4.610935721914871E-2</v>
      </c>
      <c r="CW11" s="37">
        <v>0.28436745486873366</v>
      </c>
      <c r="CX11" s="37">
        <v>0.26047977182591292</v>
      </c>
      <c r="CY11" s="37">
        <v>0.10231072687883692</v>
      </c>
      <c r="CZ11" s="37">
        <v>0.19515460623774106</v>
      </c>
      <c r="DA11" s="90">
        <v>-5.5294628532650346E-2</v>
      </c>
      <c r="DD11" t="str">
        <v>Caring</v>
      </c>
      <c r="DE11" s="123">
        <v>-0.1052452402704131</v>
      </c>
      <c r="DF11" s="37">
        <v>0.11666737388326598</v>
      </c>
      <c r="DG11" s="37">
        <v>0.10626504883200415</v>
      </c>
      <c r="DH11" s="37">
        <v>4.610935721914871E-2</v>
      </c>
      <c r="DI11" s="37">
        <v>0.28436745486873366</v>
      </c>
      <c r="DJ11" s="37">
        <v>0.2624565043392259</v>
      </c>
      <c r="DK11" s="37">
        <v>0.10231072687883692</v>
      </c>
      <c r="DL11" s="37">
        <v>0.19515460623774106</v>
      </c>
      <c r="DM11" s="90">
        <v>-5.5294628532650346E-2</v>
      </c>
      <c r="DP11" t="str">
        <v>Caring</v>
      </c>
      <c r="DQ11" s="123">
        <v>-0.1052452402704131</v>
      </c>
      <c r="DR11" s="37">
        <v>0.11666737388326598</v>
      </c>
      <c r="DS11" s="37">
        <v>0.10626504883200415</v>
      </c>
      <c r="DT11" s="37">
        <v>4.610935721914871E-2</v>
      </c>
      <c r="DU11" s="37">
        <v>0.28436745486873366</v>
      </c>
      <c r="DV11" s="37">
        <v>0.26369493411964273</v>
      </c>
      <c r="DW11" s="37">
        <v>0.10231072687883692</v>
      </c>
      <c r="DX11" s="37">
        <v>0.19515460623774106</v>
      </c>
      <c r="DY11" s="90">
        <v>-5.5294628532650346E-2</v>
      </c>
      <c r="EB11" t="str">
        <v>Caring</v>
      </c>
      <c r="EC11" s="123">
        <v>-0.1052452402704131</v>
      </c>
      <c r="ED11" s="37">
        <v>0.11666737388326598</v>
      </c>
      <c r="EE11" s="37">
        <v>0.10626504883200415</v>
      </c>
      <c r="EF11" s="37">
        <v>4.610935721914871E-2</v>
      </c>
      <c r="EG11" s="37">
        <v>0.28436745486873366</v>
      </c>
      <c r="EH11" s="37">
        <v>0.26440613015007869</v>
      </c>
      <c r="EI11" s="37">
        <v>0.10231072687883692</v>
      </c>
      <c r="EJ11" s="37">
        <v>0.19515460623774106</v>
      </c>
      <c r="EK11" s="90">
        <v>-5.5294628532650346E-2</v>
      </c>
      <c r="EN11" t="str">
        <v>Caring</v>
      </c>
      <c r="EO11" s="123">
        <v>-0.1052452402704131</v>
      </c>
      <c r="EP11" s="37">
        <v>0.11666737388326598</v>
      </c>
      <c r="EQ11" s="37">
        <v>0.10626504883200415</v>
      </c>
      <c r="ER11" s="37">
        <v>4.610935721914871E-2</v>
      </c>
      <c r="ES11" s="37">
        <v>0.28436745486873366</v>
      </c>
      <c r="ET11" s="37">
        <v>0.26479359901317606</v>
      </c>
      <c r="EU11" s="37">
        <v>0.10231072687883692</v>
      </c>
      <c r="EV11" s="37">
        <v>0.19515460623774106</v>
      </c>
      <c r="EW11" s="90">
        <v>-5.5294628532650346E-2</v>
      </c>
      <c r="EZ11" t="str">
        <v>Caring</v>
      </c>
      <c r="FA11" s="123">
        <v>-0.1052452402704131</v>
      </c>
      <c r="FB11" s="37">
        <v>0.11666737388326598</v>
      </c>
      <c r="FC11" s="37">
        <v>0.10626504883200415</v>
      </c>
      <c r="FD11" s="37">
        <v>4.610935721914871E-2</v>
      </c>
      <c r="FE11" s="37">
        <v>0.28436745486873366</v>
      </c>
      <c r="FF11" s="37">
        <v>0.26504184450936397</v>
      </c>
      <c r="FG11" s="37">
        <v>0.10231072687883692</v>
      </c>
      <c r="FH11" s="37">
        <v>0.19515460623774106</v>
      </c>
      <c r="FI11" s="90">
        <v>-5.5294628532650346E-2</v>
      </c>
      <c r="FL11" t="str">
        <v>Caring</v>
      </c>
      <c r="FM11" s="123">
        <v>-0.1052452402704131</v>
      </c>
      <c r="FN11" s="37">
        <v>0.11666737388326598</v>
      </c>
      <c r="FO11" s="37">
        <v>0.10626504883200415</v>
      </c>
      <c r="FP11" s="37">
        <v>4.610935721914871E-2</v>
      </c>
      <c r="FQ11" s="37">
        <v>0.28436745486873366</v>
      </c>
      <c r="FR11" s="37">
        <v>0.26509624724414871</v>
      </c>
      <c r="FS11" s="37">
        <v>0.10231072687883692</v>
      </c>
      <c r="FT11" s="37">
        <v>0.19515460623774106</v>
      </c>
      <c r="FU11" s="90">
        <v>-5.5294628532650346E-2</v>
      </c>
      <c r="FX11" t="str">
        <v>Caring</v>
      </c>
      <c r="FY11" s="123">
        <v>-0.1052452402704131</v>
      </c>
      <c r="FZ11" s="37">
        <v>0.11666737388326598</v>
      </c>
      <c r="GA11" s="37">
        <v>0.10626504883200415</v>
      </c>
      <c r="GB11" s="37">
        <v>4.610935721914871E-2</v>
      </c>
      <c r="GC11" s="37">
        <v>0.28436745486873366</v>
      </c>
      <c r="GD11" s="37">
        <v>0.26516666374968489</v>
      </c>
      <c r="GE11" s="37">
        <v>0.10231072687883692</v>
      </c>
      <c r="GF11" s="37">
        <v>0.19515460623774106</v>
      </c>
      <c r="GG11" s="90">
        <v>-5.5294628532650346E-2</v>
      </c>
      <c r="GJ11" t="str">
        <v>Caring</v>
      </c>
      <c r="GK11" s="123">
        <v>-0.1052452402704131</v>
      </c>
      <c r="GL11" s="37">
        <v>0.11666737388326598</v>
      </c>
      <c r="GM11" s="37">
        <v>0.10626504883200415</v>
      </c>
      <c r="GN11" s="37">
        <v>4.610935721914871E-2</v>
      </c>
      <c r="GO11" s="37">
        <v>0.28436745486873366</v>
      </c>
      <c r="GP11" s="37">
        <v>0.26558507618514587</v>
      </c>
      <c r="GQ11" s="37">
        <v>0.10231072687883692</v>
      </c>
      <c r="GR11" s="37">
        <v>0.19515460623774106</v>
      </c>
      <c r="GS11" s="90">
        <v>-5.5294628532650346E-2</v>
      </c>
      <c r="GV11" t="str">
        <v>Caring</v>
      </c>
      <c r="GW11" s="123">
        <v>-0.1052452402704131</v>
      </c>
      <c r="GX11" s="37">
        <v>0.11666737388326598</v>
      </c>
      <c r="GY11" s="37">
        <v>0.10626504883200415</v>
      </c>
      <c r="GZ11" s="37">
        <v>4.610935721914871E-2</v>
      </c>
      <c r="HA11" s="37">
        <v>0.28436745486873366</v>
      </c>
      <c r="HB11" s="37">
        <v>0.26601569741502518</v>
      </c>
      <c r="HC11" s="37">
        <v>0.10231072687883692</v>
      </c>
      <c r="HD11" s="37">
        <v>0.19515460623774106</v>
      </c>
      <c r="HE11" s="90">
        <v>-5.5294628532650346E-2</v>
      </c>
      <c r="HH11" t="str">
        <v>Caring</v>
      </c>
      <c r="HI11" s="123">
        <v>-0.1052452402704131</v>
      </c>
      <c r="HJ11" s="37">
        <v>0.11666737388326598</v>
      </c>
      <c r="HK11" s="37">
        <v>0.10626504883200415</v>
      </c>
      <c r="HL11" s="37">
        <v>4.610935721914871E-2</v>
      </c>
      <c r="HM11" s="37">
        <v>0.28436745486873366</v>
      </c>
      <c r="HN11" s="37">
        <v>0.26644529192589139</v>
      </c>
      <c r="HO11" s="37">
        <v>0.10231072687883692</v>
      </c>
      <c r="HP11" s="37">
        <v>0.19515460623774106</v>
      </c>
      <c r="HQ11" s="90">
        <v>-5.5294628532650346E-2</v>
      </c>
      <c r="HT11" t="str">
        <v>Caring</v>
      </c>
      <c r="HU11" s="123">
        <v>-0.1052452402704131</v>
      </c>
      <c r="HV11" s="37">
        <v>0.11666737388326598</v>
      </c>
      <c r="HW11" s="37">
        <v>0.10626504883200415</v>
      </c>
      <c r="HX11" s="37">
        <v>4.610935721914871E-2</v>
      </c>
      <c r="HY11" s="37">
        <v>0.28436745486873366</v>
      </c>
      <c r="HZ11" s="37">
        <v>0.26653074127392251</v>
      </c>
      <c r="IA11" s="37">
        <v>0.10231072687883692</v>
      </c>
      <c r="IB11" s="37">
        <v>0.19515460623774106</v>
      </c>
      <c r="IC11" s="90">
        <v>-5.5294628532650346E-2</v>
      </c>
      <c r="IF11" t="str">
        <v>Caring</v>
      </c>
      <c r="IG11" s="123">
        <v>-0.1052452402704131</v>
      </c>
      <c r="IH11" s="37">
        <v>0.11666737388326598</v>
      </c>
      <c r="II11" s="37">
        <v>0.10626504883200415</v>
      </c>
      <c r="IJ11" s="37">
        <v>4.610935721914871E-2</v>
      </c>
      <c r="IK11" s="37">
        <v>0.28436745486873366</v>
      </c>
      <c r="IL11" s="37">
        <v>0.26661696495668891</v>
      </c>
      <c r="IM11" s="37">
        <v>0.10231072687883692</v>
      </c>
      <c r="IN11" s="37">
        <v>0.19515460623774106</v>
      </c>
      <c r="IO11" s="90">
        <v>-5.5294628532650346E-2</v>
      </c>
      <c r="IR11" t="str">
        <v>Caring</v>
      </c>
      <c r="IS11" s="123">
        <v>-0.1052452402704131</v>
      </c>
      <c r="IT11" s="37">
        <v>0.11666737388326598</v>
      </c>
      <c r="IU11" s="37">
        <v>0.10626504883200415</v>
      </c>
      <c r="IV11" s="37">
        <v>4.610935721914871E-2</v>
      </c>
      <c r="IW11" s="37">
        <v>0.28436745486873366</v>
      </c>
      <c r="IX11" s="37">
        <v>0.26670247177087719</v>
      </c>
      <c r="IY11" s="37">
        <v>0.10231072687883692</v>
      </c>
      <c r="IZ11" s="37">
        <v>0.19515460623774106</v>
      </c>
      <c r="JA11" s="90">
        <v>-5.5294628532650346E-2</v>
      </c>
      <c r="JD11" t="str">
        <v>Caring</v>
      </c>
      <c r="JE11" s="123">
        <v>-0.1052452402704131</v>
      </c>
      <c r="JF11" s="37">
        <v>0.11666737388326598</v>
      </c>
      <c r="JG11" s="37">
        <v>0.10626504883200415</v>
      </c>
      <c r="JH11" s="37">
        <v>4.610935721914871E-2</v>
      </c>
      <c r="JI11" s="37">
        <v>0.28436745486873366</v>
      </c>
      <c r="JJ11" s="37">
        <v>0.26711550692232455</v>
      </c>
      <c r="JK11" s="37">
        <v>0.10231072687883692</v>
      </c>
      <c r="JL11" s="37">
        <v>0.19515460623774106</v>
      </c>
      <c r="JM11" s="90">
        <v>-5.5294628532650346E-2</v>
      </c>
      <c r="JP11" t="str">
        <v>Caring</v>
      </c>
      <c r="JQ11" s="123">
        <v>-0.1052452402704131</v>
      </c>
      <c r="JR11" s="37">
        <v>0.11666737388326598</v>
      </c>
      <c r="JS11" s="37">
        <v>0.10626504883200415</v>
      </c>
      <c r="JT11" s="37">
        <v>4.610935721914871E-2</v>
      </c>
      <c r="JU11" s="37">
        <v>0.28436745486873366</v>
      </c>
      <c r="JV11" s="37">
        <v>0.26751696164341521</v>
      </c>
      <c r="JW11" s="37">
        <v>0.10231072687883692</v>
      </c>
      <c r="JX11" s="37">
        <v>0.19515460623774106</v>
      </c>
      <c r="JY11" s="90">
        <v>-5.5294628532650346E-2</v>
      </c>
      <c r="KB11" t="str">
        <v>Caring</v>
      </c>
      <c r="KC11" s="123">
        <v>-0.1052452402704131</v>
      </c>
      <c r="KD11" s="37">
        <v>0.11666737388326598</v>
      </c>
      <c r="KE11" s="37">
        <v>0.10626504883200415</v>
      </c>
      <c r="KF11" s="37">
        <v>4.610935721914871E-2</v>
      </c>
      <c r="KG11" s="37">
        <v>0.28436745486873366</v>
      </c>
      <c r="KH11" s="37">
        <v>0.26758745347179802</v>
      </c>
      <c r="KI11" s="37">
        <v>0.10231072687883692</v>
      </c>
      <c r="KJ11" s="37">
        <v>0.19515460623774106</v>
      </c>
      <c r="KK11" s="90">
        <v>-5.5294628532650346E-2</v>
      </c>
      <c r="KN11" t="str">
        <v>Caring</v>
      </c>
      <c r="KO11" s="123">
        <v>-0.1052452402704131</v>
      </c>
      <c r="KP11" s="37">
        <v>0.11666737388326598</v>
      </c>
      <c r="KQ11" s="37">
        <v>0.10626504883200415</v>
      </c>
      <c r="KR11" s="37">
        <v>4.610935721914871E-2</v>
      </c>
      <c r="KS11" s="37">
        <v>0.28436745486873366</v>
      </c>
      <c r="KT11" s="37">
        <v>0.26765382198759852</v>
      </c>
      <c r="KU11" s="37">
        <v>0.10231072687883692</v>
      </c>
      <c r="KV11" s="37">
        <v>0.19515460623774106</v>
      </c>
      <c r="KW11" s="90">
        <v>-5.5294628532650346E-2</v>
      </c>
      <c r="KZ11" t="str">
        <v>Caring</v>
      </c>
      <c r="LA11" s="123">
        <v>-0.1052452402704131</v>
      </c>
      <c r="LB11" s="37">
        <v>0.11666737388326598</v>
      </c>
      <c r="LC11" s="37">
        <v>0.10626504883200415</v>
      </c>
      <c r="LD11" s="37">
        <v>4.610935721914871E-2</v>
      </c>
      <c r="LE11" s="37">
        <v>0.28436745486873366</v>
      </c>
      <c r="LF11" s="37">
        <v>0.26771234573649488</v>
      </c>
      <c r="LG11" s="37">
        <v>0.10231072687883692</v>
      </c>
      <c r="LH11" s="37">
        <v>0.19515460623774106</v>
      </c>
      <c r="LI11" s="90">
        <v>-5.5294628532650346E-2</v>
      </c>
      <c r="LL11" t="str">
        <v>Caring</v>
      </c>
      <c r="LM11" s="123">
        <v>-0.1052452402704131</v>
      </c>
      <c r="LN11" s="37">
        <v>0.11666737388326598</v>
      </c>
      <c r="LO11" s="37">
        <v>0.10626504883200415</v>
      </c>
      <c r="LP11" s="37">
        <v>4.610935721914871E-2</v>
      </c>
      <c r="LQ11" s="37">
        <v>0.28436745486873366</v>
      </c>
      <c r="LR11" s="37">
        <v>0.26808924028338649</v>
      </c>
      <c r="LS11" s="37">
        <v>0.10231072687883692</v>
      </c>
      <c r="LT11" s="37">
        <v>0.19515460623774106</v>
      </c>
      <c r="LU11" s="90">
        <v>-5.5294628532650346E-2</v>
      </c>
      <c r="LX11" t="str">
        <v>Caring</v>
      </c>
      <c r="LY11" s="123">
        <v>-0.1052452402704131</v>
      </c>
      <c r="LZ11" s="37">
        <v>0.11666737388326598</v>
      </c>
      <c r="MA11" s="37">
        <v>0.10626504883200415</v>
      </c>
      <c r="MB11" s="37">
        <v>4.610935721914871E-2</v>
      </c>
      <c r="MC11" s="37">
        <v>0.28436745486873366</v>
      </c>
      <c r="MD11" s="37">
        <v>0.26845789320311358</v>
      </c>
      <c r="ME11" s="37">
        <v>0.10231072687883692</v>
      </c>
      <c r="MF11" s="37">
        <v>0.19515460623774106</v>
      </c>
      <c r="MG11" s="90">
        <v>-5.5294628532650346E-2</v>
      </c>
      <c r="MJ11" t="str">
        <v>Caring</v>
      </c>
      <c r="MK11" s="123">
        <v>-0.1052452402704131</v>
      </c>
      <c r="ML11" s="37">
        <v>0.11666737388326598</v>
      </c>
      <c r="MM11" s="37">
        <v>0.10626504883200415</v>
      </c>
      <c r="MN11" s="37">
        <v>4.610935721914871E-2</v>
      </c>
      <c r="MO11" s="37">
        <v>0.28436745486873366</v>
      </c>
      <c r="MP11" s="37">
        <v>0.26850318357703717</v>
      </c>
      <c r="MQ11" s="37">
        <v>0.10231072687883692</v>
      </c>
      <c r="MR11" s="37">
        <v>0.19515460623774106</v>
      </c>
      <c r="MS11" s="90">
        <v>-5.5294628532650346E-2</v>
      </c>
    </row>
    <row r="12" spans="1:357" ht="14.45" x14ac:dyDescent="0.35">
      <c r="A12">
        <v>9</v>
      </c>
      <c r="B12" s="123">
        <v>2</v>
      </c>
      <c r="C12" s="37">
        <v>8</v>
      </c>
      <c r="D12" s="37">
        <v>2</v>
      </c>
      <c r="E12" s="37">
        <v>2</v>
      </c>
      <c r="F12" s="37">
        <v>7</v>
      </c>
      <c r="G12" s="37">
        <v>6</v>
      </c>
      <c r="H12" s="37">
        <v>1</v>
      </c>
      <c r="I12" s="37">
        <v>4</v>
      </c>
      <c r="J12" s="90">
        <v>7</v>
      </c>
      <c r="L12" t="str">
        <v>Charisma</v>
      </c>
      <c r="M12" s="83">
        <v>-2.189090621599556E-2</v>
      </c>
      <c r="N12" s="37">
        <v>0.45068677465590851</v>
      </c>
      <c r="O12" s="37">
        <v>0.74875752234637871</v>
      </c>
      <c r="P12" s="37">
        <v>0.24731764508778434</v>
      </c>
      <c r="Q12" s="37">
        <v>0.34434258129116857</v>
      </c>
      <c r="R12" s="37">
        <v>0.10231072687883692</v>
      </c>
      <c r="S12" s="37">
        <v>1.0000000000000009</v>
      </c>
      <c r="T12" s="37">
        <v>0.43880478206893986</v>
      </c>
      <c r="U12" s="84">
        <v>0.10313209036584842</v>
      </c>
      <c r="X12" t="str">
        <v>Charisma</v>
      </c>
      <c r="Y12" s="123">
        <v>-2.189090621599556E-2</v>
      </c>
      <c r="Z12" s="37">
        <v>0.45068677465590851</v>
      </c>
      <c r="AA12" s="37">
        <v>0.74875752234637871</v>
      </c>
      <c r="AB12" s="37">
        <v>0.24731764508778434</v>
      </c>
      <c r="AC12" s="37">
        <v>0.34434258129116857</v>
      </c>
      <c r="AD12" s="37">
        <v>0.10231072687883692</v>
      </c>
      <c r="AE12" s="37">
        <v>0.61889605945747883</v>
      </c>
      <c r="AF12" s="37">
        <v>0.43880478206893986</v>
      </c>
      <c r="AG12" s="90">
        <v>0.10313209036584842</v>
      </c>
      <c r="AJ12" t="str">
        <v>Charisma</v>
      </c>
      <c r="AK12" s="123">
        <v>-2.189090621599556E-2</v>
      </c>
      <c r="AL12" s="37">
        <v>0.45068677465590851</v>
      </c>
      <c r="AM12" s="37">
        <v>0.74875752234637871</v>
      </c>
      <c r="AN12" s="37">
        <v>0.24731764508778434</v>
      </c>
      <c r="AO12" s="37">
        <v>0.34434258129116857</v>
      </c>
      <c r="AP12" s="37">
        <v>0.10231072687883692</v>
      </c>
      <c r="AQ12" s="37">
        <v>0.69423006784820174</v>
      </c>
      <c r="AR12" s="37">
        <v>0.43880478206893986</v>
      </c>
      <c r="AS12" s="90">
        <v>0.10313209036584842</v>
      </c>
      <c r="AV12" t="str">
        <v>Charisma</v>
      </c>
      <c r="AW12" s="123">
        <v>-2.189090621599556E-2</v>
      </c>
      <c r="AX12" s="37">
        <v>0.45068677465590851</v>
      </c>
      <c r="AY12" s="37">
        <v>0.74875752234637871</v>
      </c>
      <c r="AZ12" s="37">
        <v>0.24731764508778434</v>
      </c>
      <c r="BA12" s="37">
        <v>0.34434258129116857</v>
      </c>
      <c r="BB12" s="37">
        <v>0.10231072687883692</v>
      </c>
      <c r="BC12" s="37">
        <v>0.7353964707987537</v>
      </c>
      <c r="BD12" s="37">
        <v>0.43880478206893986</v>
      </c>
      <c r="BE12" s="90">
        <v>0.10313209036584842</v>
      </c>
      <c r="BH12" t="str">
        <v>Charisma</v>
      </c>
      <c r="BI12" s="123">
        <v>-2.189090621599556E-2</v>
      </c>
      <c r="BJ12" s="37">
        <v>0.45068677465590851</v>
      </c>
      <c r="BK12" s="37">
        <v>0.74875752234637871</v>
      </c>
      <c r="BL12" s="37">
        <v>0.24731764508778434</v>
      </c>
      <c r="BM12" s="37">
        <v>0.34434258129116857</v>
      </c>
      <c r="BN12" s="37">
        <v>0.10231072687883692</v>
      </c>
      <c r="BO12" s="37">
        <v>0.75920454552080019</v>
      </c>
      <c r="BP12" s="37">
        <v>0.43880478206893986</v>
      </c>
      <c r="BQ12" s="90">
        <v>0.10313209036584842</v>
      </c>
      <c r="BT12" t="str">
        <v>Charisma</v>
      </c>
      <c r="BU12" s="123">
        <v>-2.189090621599556E-2</v>
      </c>
      <c r="BV12" s="37">
        <v>0.45068677465590851</v>
      </c>
      <c r="BW12" s="37">
        <v>0.74875752234637871</v>
      </c>
      <c r="BX12" s="37">
        <v>0.24731764508778434</v>
      </c>
      <c r="BY12" s="37">
        <v>0.34434258129116857</v>
      </c>
      <c r="BZ12" s="37">
        <v>0.10231072687883692</v>
      </c>
      <c r="CA12" s="37">
        <v>0.77288465802992257</v>
      </c>
      <c r="CB12" s="37">
        <v>0.43880478206893986</v>
      </c>
      <c r="CC12" s="90">
        <v>0.10313209036584842</v>
      </c>
      <c r="CF12" t="str">
        <v>Charisma</v>
      </c>
      <c r="CG12" s="123">
        <v>-2.189090621599556E-2</v>
      </c>
      <c r="CH12" s="37">
        <v>0.45068677465590851</v>
      </c>
      <c r="CI12" s="37">
        <v>0.74875752234637871</v>
      </c>
      <c r="CJ12" s="37">
        <v>0.24731764508778434</v>
      </c>
      <c r="CK12" s="37">
        <v>0.34434258129116857</v>
      </c>
      <c r="CL12" s="37">
        <v>0.10231072687883692</v>
      </c>
      <c r="CM12" s="37">
        <v>0.78075488056354869</v>
      </c>
      <c r="CN12" s="37">
        <v>0.43880478206893986</v>
      </c>
      <c r="CO12" s="90">
        <v>0.10313209036584842</v>
      </c>
      <c r="CR12" t="str">
        <v>Charisma</v>
      </c>
      <c r="CS12" s="123">
        <v>-2.189090621599556E-2</v>
      </c>
      <c r="CT12" s="37">
        <v>0.45068677465590851</v>
      </c>
      <c r="CU12" s="37">
        <v>0.74875752234637871</v>
      </c>
      <c r="CV12" s="37">
        <v>0.24731764508778434</v>
      </c>
      <c r="CW12" s="37">
        <v>0.34434258129116857</v>
      </c>
      <c r="CX12" s="37">
        <v>0.10231072687883692</v>
      </c>
      <c r="CY12" s="37">
        <v>0.78574149468156329</v>
      </c>
      <c r="CZ12" s="37">
        <v>0.43880478206893986</v>
      </c>
      <c r="DA12" s="90">
        <v>0.10313209036584842</v>
      </c>
      <c r="DD12" t="str">
        <v>Charisma</v>
      </c>
      <c r="DE12" s="123">
        <v>-2.189090621599556E-2</v>
      </c>
      <c r="DF12" s="37">
        <v>0.45068677465590851</v>
      </c>
      <c r="DG12" s="37">
        <v>0.74875752234637871</v>
      </c>
      <c r="DH12" s="37">
        <v>0.24731764508778434</v>
      </c>
      <c r="DI12" s="37">
        <v>0.34434258129116857</v>
      </c>
      <c r="DJ12" s="37">
        <v>0.10231072687883692</v>
      </c>
      <c r="DK12" s="37">
        <v>0.78895487306338774</v>
      </c>
      <c r="DL12" s="37">
        <v>0.43880478206893986</v>
      </c>
      <c r="DM12" s="90">
        <v>0.10313209036584842</v>
      </c>
      <c r="DP12" t="str">
        <v>Charisma</v>
      </c>
      <c r="DQ12" s="123">
        <v>-2.189090621599556E-2</v>
      </c>
      <c r="DR12" s="37">
        <v>0.45068677465590851</v>
      </c>
      <c r="DS12" s="37">
        <v>0.74875752234637871</v>
      </c>
      <c r="DT12" s="37">
        <v>0.24731764508778434</v>
      </c>
      <c r="DU12" s="37">
        <v>0.34434258129116857</v>
      </c>
      <c r="DV12" s="37">
        <v>0.10231072687883692</v>
      </c>
      <c r="DW12" s="37">
        <v>0.79098677014212326</v>
      </c>
      <c r="DX12" s="37">
        <v>0.43880478206893986</v>
      </c>
      <c r="DY12" s="90">
        <v>0.10313209036584842</v>
      </c>
      <c r="EB12" t="str">
        <v>Charisma</v>
      </c>
      <c r="EC12" s="123">
        <v>-2.189090621599556E-2</v>
      </c>
      <c r="ED12" s="37">
        <v>0.45068677465590851</v>
      </c>
      <c r="EE12" s="37">
        <v>0.74875752234637871</v>
      </c>
      <c r="EF12" s="37">
        <v>0.24731764508778434</v>
      </c>
      <c r="EG12" s="37">
        <v>0.34434258129116857</v>
      </c>
      <c r="EH12" s="37">
        <v>0.10231072687883692</v>
      </c>
      <c r="EI12" s="37">
        <v>0.79221169802138336</v>
      </c>
      <c r="EJ12" s="37">
        <v>0.43880478206893986</v>
      </c>
      <c r="EK12" s="90">
        <v>0.10313209036584842</v>
      </c>
      <c r="EN12" t="str">
        <v>Charisma</v>
      </c>
      <c r="EO12" s="123">
        <v>-2.189090621599556E-2</v>
      </c>
      <c r="EP12" s="37">
        <v>0.45068677465590851</v>
      </c>
      <c r="EQ12" s="37">
        <v>0.74875752234637871</v>
      </c>
      <c r="ER12" s="37">
        <v>0.24731764508778434</v>
      </c>
      <c r="ES12" s="37">
        <v>0.34434258129116857</v>
      </c>
      <c r="ET12" s="37">
        <v>0.10231072687883692</v>
      </c>
      <c r="EU12" s="37">
        <v>0.79289241851736747</v>
      </c>
      <c r="EV12" s="37">
        <v>0.43880478206893986</v>
      </c>
      <c r="EW12" s="90">
        <v>0.10313209036584842</v>
      </c>
      <c r="EZ12" t="str">
        <v>Charisma</v>
      </c>
      <c r="FA12" s="123">
        <v>-2.189090621599556E-2</v>
      </c>
      <c r="FB12" s="37">
        <v>0.45068677465590851</v>
      </c>
      <c r="FC12" s="37">
        <v>0.74875752234637871</v>
      </c>
      <c r="FD12" s="37">
        <v>0.24731764508778434</v>
      </c>
      <c r="FE12" s="37">
        <v>0.34434258129116857</v>
      </c>
      <c r="FF12" s="37">
        <v>0.10231072687883692</v>
      </c>
      <c r="FG12" s="37">
        <v>0.79320482368829515</v>
      </c>
      <c r="FH12" s="37">
        <v>0.43880478206893986</v>
      </c>
      <c r="FI12" s="90">
        <v>0.10313209036584842</v>
      </c>
      <c r="FL12" t="str">
        <v>Charisma</v>
      </c>
      <c r="FM12" s="123">
        <v>-2.189090621599556E-2</v>
      </c>
      <c r="FN12" s="37">
        <v>0.45068677465590851</v>
      </c>
      <c r="FO12" s="37">
        <v>0.74875752234637871</v>
      </c>
      <c r="FP12" s="37">
        <v>0.24731764508778434</v>
      </c>
      <c r="FQ12" s="37">
        <v>0.34434258129116857</v>
      </c>
      <c r="FR12" s="37">
        <v>0.10231072687883692</v>
      </c>
      <c r="FS12" s="37">
        <v>0.7932315988767813</v>
      </c>
      <c r="FT12" s="37">
        <v>0.43880478206893986</v>
      </c>
      <c r="FU12" s="90">
        <v>0.10313209036584842</v>
      </c>
      <c r="FX12" t="str">
        <v>Charisma</v>
      </c>
      <c r="FY12" s="123">
        <v>-2.189090621599556E-2</v>
      </c>
      <c r="FZ12" s="37">
        <v>0.45068677465590851</v>
      </c>
      <c r="GA12" s="37">
        <v>0.74875752234637871</v>
      </c>
      <c r="GB12" s="37">
        <v>0.24731764508778434</v>
      </c>
      <c r="GC12" s="37">
        <v>0.34434258129116857</v>
      </c>
      <c r="GD12" s="37">
        <v>0.10231072687883692</v>
      </c>
      <c r="GE12" s="37">
        <v>0.793242950053204</v>
      </c>
      <c r="GF12" s="37">
        <v>0.43880478206893986</v>
      </c>
      <c r="GG12" s="90">
        <v>0.10313209036584842</v>
      </c>
      <c r="GJ12" t="str">
        <v>Charisma</v>
      </c>
      <c r="GK12" s="123">
        <v>-2.189090621599556E-2</v>
      </c>
      <c r="GL12" s="37">
        <v>0.45068677465590851</v>
      </c>
      <c r="GM12" s="37">
        <v>0.74875752234637871</v>
      </c>
      <c r="GN12" s="37">
        <v>0.24731764508778434</v>
      </c>
      <c r="GO12" s="37">
        <v>0.34434258129116857</v>
      </c>
      <c r="GP12" s="37">
        <v>0.10231072687883692</v>
      </c>
      <c r="GQ12" s="37">
        <v>0.79328364047704814</v>
      </c>
      <c r="GR12" s="37">
        <v>0.43880478206893986</v>
      </c>
      <c r="GS12" s="90">
        <v>0.10313209036584842</v>
      </c>
      <c r="GV12" t="str">
        <v>Charisma</v>
      </c>
      <c r="GW12" s="123">
        <v>-2.189090621599556E-2</v>
      </c>
      <c r="GX12" s="37">
        <v>0.45068677465590851</v>
      </c>
      <c r="GY12" s="37">
        <v>0.74875752234637871</v>
      </c>
      <c r="GZ12" s="37">
        <v>0.24731764508778434</v>
      </c>
      <c r="HA12" s="37">
        <v>0.34434258129116857</v>
      </c>
      <c r="HB12" s="37">
        <v>0.10231072687883692</v>
      </c>
      <c r="HC12" s="37">
        <v>0.79331955488694361</v>
      </c>
      <c r="HD12" s="37">
        <v>0.43880478206893986</v>
      </c>
      <c r="HE12" s="90">
        <v>0.10313209036584842</v>
      </c>
      <c r="HH12" t="str">
        <v>Charisma</v>
      </c>
      <c r="HI12" s="123">
        <v>-2.189090621599556E-2</v>
      </c>
      <c r="HJ12" s="37">
        <v>0.45068677465590851</v>
      </c>
      <c r="HK12" s="37">
        <v>0.74875752234637871</v>
      </c>
      <c r="HL12" s="37">
        <v>0.24731764508778434</v>
      </c>
      <c r="HM12" s="37">
        <v>0.34434258129116857</v>
      </c>
      <c r="HN12" s="37">
        <v>0.10231072687883692</v>
      </c>
      <c r="HO12" s="37">
        <v>0.7933522211980446</v>
      </c>
      <c r="HP12" s="37">
        <v>0.43880478206893986</v>
      </c>
      <c r="HQ12" s="90">
        <v>0.10313209036584842</v>
      </c>
      <c r="HT12" t="str">
        <v>Charisma</v>
      </c>
      <c r="HU12" s="123">
        <v>-2.189090621599556E-2</v>
      </c>
      <c r="HV12" s="37">
        <v>0.45068677465590851</v>
      </c>
      <c r="HW12" s="37">
        <v>0.74875752234637871</v>
      </c>
      <c r="HX12" s="37">
        <v>0.24731764508778434</v>
      </c>
      <c r="HY12" s="37">
        <v>0.34434258129116857</v>
      </c>
      <c r="HZ12" s="37">
        <v>0.10231072687883692</v>
      </c>
      <c r="IA12" s="37">
        <v>0.79335365205916686</v>
      </c>
      <c r="IB12" s="37">
        <v>0.43880478206893986</v>
      </c>
      <c r="IC12" s="90">
        <v>0.10313209036584842</v>
      </c>
      <c r="IF12" t="str">
        <v>Charisma</v>
      </c>
      <c r="IG12" s="123">
        <v>-2.189090621599556E-2</v>
      </c>
      <c r="IH12" s="37">
        <v>0.45068677465590851</v>
      </c>
      <c r="II12" s="37">
        <v>0.74875752234637871</v>
      </c>
      <c r="IJ12" s="37">
        <v>0.24731764508778434</v>
      </c>
      <c r="IK12" s="37">
        <v>0.34434258129116857</v>
      </c>
      <c r="IL12" s="37">
        <v>0.10231072687883692</v>
      </c>
      <c r="IM12" s="37">
        <v>0.79335618605413993</v>
      </c>
      <c r="IN12" s="37">
        <v>0.43880478206893986</v>
      </c>
      <c r="IO12" s="90">
        <v>0.10313209036584842</v>
      </c>
      <c r="IR12" t="str">
        <v>Charisma</v>
      </c>
      <c r="IS12" s="123">
        <v>-2.189090621599556E-2</v>
      </c>
      <c r="IT12" s="37">
        <v>0.45068677465590851</v>
      </c>
      <c r="IU12" s="37">
        <v>0.74875752234637871</v>
      </c>
      <c r="IV12" s="37">
        <v>0.24731764508778434</v>
      </c>
      <c r="IW12" s="37">
        <v>0.34434258129116857</v>
      </c>
      <c r="IX12" s="37">
        <v>0.10231072687883692</v>
      </c>
      <c r="IY12" s="37">
        <v>0.79336085156723368</v>
      </c>
      <c r="IZ12" s="37">
        <v>0.43880478206893986</v>
      </c>
      <c r="JA12" s="90">
        <v>0.10313209036584842</v>
      </c>
      <c r="JD12" t="str">
        <v>Charisma</v>
      </c>
      <c r="JE12" s="123">
        <v>-2.189090621599556E-2</v>
      </c>
      <c r="JF12" s="37">
        <v>0.45068677465590851</v>
      </c>
      <c r="JG12" s="37">
        <v>0.74875752234637871</v>
      </c>
      <c r="JH12" s="37">
        <v>0.24731764508778434</v>
      </c>
      <c r="JI12" s="37">
        <v>0.34434258129116857</v>
      </c>
      <c r="JJ12" s="37">
        <v>0.10231072687883692</v>
      </c>
      <c r="JK12" s="37">
        <v>0.79339139061265729</v>
      </c>
      <c r="JL12" s="37">
        <v>0.43880478206893986</v>
      </c>
      <c r="JM12" s="90">
        <v>0.10313209036584842</v>
      </c>
      <c r="JP12" t="str">
        <v>Charisma</v>
      </c>
      <c r="JQ12" s="123">
        <v>-2.189090621599556E-2</v>
      </c>
      <c r="JR12" s="37">
        <v>0.45068677465590851</v>
      </c>
      <c r="JS12" s="37">
        <v>0.74875752234637871</v>
      </c>
      <c r="JT12" s="37">
        <v>0.24731764508778434</v>
      </c>
      <c r="JU12" s="37">
        <v>0.34434258129116857</v>
      </c>
      <c r="JV12" s="37">
        <v>0.10231072687883692</v>
      </c>
      <c r="JW12" s="37">
        <v>0.79342274472721697</v>
      </c>
      <c r="JX12" s="37">
        <v>0.43880478206893986</v>
      </c>
      <c r="JY12" s="90">
        <v>0.10313209036584842</v>
      </c>
      <c r="KB12" t="str">
        <v>Charisma</v>
      </c>
      <c r="KC12" s="123">
        <v>-2.189090621599556E-2</v>
      </c>
      <c r="KD12" s="37">
        <v>0.45068677465590851</v>
      </c>
      <c r="KE12" s="37">
        <v>0.74875752234637871</v>
      </c>
      <c r="KF12" s="37">
        <v>0.24731764508778434</v>
      </c>
      <c r="KG12" s="37">
        <v>0.34434258129116857</v>
      </c>
      <c r="KH12" s="37">
        <v>0.10231072687883692</v>
      </c>
      <c r="KI12" s="37">
        <v>0.79343089801211675</v>
      </c>
      <c r="KJ12" s="37">
        <v>0.43880478206893986</v>
      </c>
      <c r="KK12" s="90">
        <v>0.10313209036584842</v>
      </c>
      <c r="KN12" t="str">
        <v>Charisma</v>
      </c>
      <c r="KO12" s="123">
        <v>-2.189090621599556E-2</v>
      </c>
      <c r="KP12" s="37">
        <v>0.45068677465590851</v>
      </c>
      <c r="KQ12" s="37">
        <v>0.74875752234637871</v>
      </c>
      <c r="KR12" s="37">
        <v>0.24731764508778434</v>
      </c>
      <c r="KS12" s="37">
        <v>0.34434258129116857</v>
      </c>
      <c r="KT12" s="37">
        <v>0.10231072687883692</v>
      </c>
      <c r="KU12" s="37">
        <v>0.79344081912167419</v>
      </c>
      <c r="KV12" s="37">
        <v>0.43880478206893986</v>
      </c>
      <c r="KW12" s="90">
        <v>0.10313209036584842</v>
      </c>
      <c r="KZ12" t="str">
        <v>Charisma</v>
      </c>
      <c r="LA12" s="123">
        <v>-2.189090621599556E-2</v>
      </c>
      <c r="LB12" s="37">
        <v>0.45068677465590851</v>
      </c>
      <c r="LC12" s="37">
        <v>0.74875752234637871</v>
      </c>
      <c r="LD12" s="37">
        <v>0.24731764508778434</v>
      </c>
      <c r="LE12" s="37">
        <v>0.34434258129116857</v>
      </c>
      <c r="LF12" s="37">
        <v>0.10231072687883692</v>
      </c>
      <c r="LG12" s="37">
        <v>0.79344934700987402</v>
      </c>
      <c r="LH12" s="37">
        <v>0.43880478206893986</v>
      </c>
      <c r="LI12" s="90">
        <v>0.10313209036584842</v>
      </c>
      <c r="LL12" t="str">
        <v>Charisma</v>
      </c>
      <c r="LM12" s="123">
        <v>-2.189090621599556E-2</v>
      </c>
      <c r="LN12" s="37">
        <v>0.45068677465590851</v>
      </c>
      <c r="LO12" s="37">
        <v>0.74875752234637871</v>
      </c>
      <c r="LP12" s="37">
        <v>0.24731764508778434</v>
      </c>
      <c r="LQ12" s="37">
        <v>0.34434258129116857</v>
      </c>
      <c r="LR12" s="37">
        <v>0.10231072687883692</v>
      </c>
      <c r="LS12" s="37">
        <v>0.79348564743560224</v>
      </c>
      <c r="LT12" s="37">
        <v>0.43880478206893986</v>
      </c>
      <c r="LU12" s="90">
        <v>0.10313209036584842</v>
      </c>
      <c r="LX12" t="str">
        <v>Charisma</v>
      </c>
      <c r="LY12" s="123">
        <v>-2.189090621599556E-2</v>
      </c>
      <c r="LZ12" s="37">
        <v>0.45068677465590851</v>
      </c>
      <c r="MA12" s="37">
        <v>0.74875752234637871</v>
      </c>
      <c r="MB12" s="37">
        <v>0.24731764508778434</v>
      </c>
      <c r="MC12" s="37">
        <v>0.34434258129116857</v>
      </c>
      <c r="MD12" s="37">
        <v>0.10231072687883692</v>
      </c>
      <c r="ME12" s="37">
        <v>0.79352095587217619</v>
      </c>
      <c r="MF12" s="37">
        <v>0.43880478206893986</v>
      </c>
      <c r="MG12" s="90">
        <v>0.10313209036584842</v>
      </c>
      <c r="MJ12" t="str">
        <v>Charisma</v>
      </c>
      <c r="MK12" s="123">
        <v>-2.189090621599556E-2</v>
      </c>
      <c r="ML12" s="37">
        <v>0.45068677465590851</v>
      </c>
      <c r="MM12" s="37">
        <v>0.74875752234637871</v>
      </c>
      <c r="MN12" s="37">
        <v>0.24731764508778434</v>
      </c>
      <c r="MO12" s="37">
        <v>0.34434258129116857</v>
      </c>
      <c r="MP12" s="37">
        <v>0.10231072687883692</v>
      </c>
      <c r="MQ12" s="37">
        <v>0.79352952814219246</v>
      </c>
      <c r="MR12" s="37">
        <v>0.43880478206893986</v>
      </c>
      <c r="MS12" s="90">
        <v>0.10313209036584842</v>
      </c>
    </row>
    <row r="13" spans="1:357" ht="14.45" x14ac:dyDescent="0.35">
      <c r="A13">
        <v>10</v>
      </c>
      <c r="B13" s="123">
        <v>4</v>
      </c>
      <c r="C13" s="37">
        <v>8</v>
      </c>
      <c r="D13" s="37">
        <v>3</v>
      </c>
      <c r="E13" s="37">
        <v>4</v>
      </c>
      <c r="F13" s="37">
        <v>8</v>
      </c>
      <c r="G13" s="37">
        <v>7</v>
      </c>
      <c r="H13" s="37">
        <v>4</v>
      </c>
      <c r="I13" s="37">
        <v>4</v>
      </c>
      <c r="J13" s="90">
        <v>8</v>
      </c>
      <c r="L13" t="str">
        <v>Passion</v>
      </c>
      <c r="M13" s="83">
        <v>-0.12979427946395597</v>
      </c>
      <c r="N13" s="37">
        <v>0.37925969237500351</v>
      </c>
      <c r="O13" s="37">
        <v>0.3683592382753193</v>
      </c>
      <c r="P13" s="37">
        <v>0.25800736545459846</v>
      </c>
      <c r="Q13" s="37">
        <v>0.32646573442580362</v>
      </c>
      <c r="R13" s="37">
        <v>0.19515460623774106</v>
      </c>
      <c r="S13" s="37">
        <v>0.43880478206893986</v>
      </c>
      <c r="T13" s="37">
        <v>0.99999999999999967</v>
      </c>
      <c r="U13" s="84">
        <v>8.8479441977978163E-2</v>
      </c>
      <c r="X13" t="str">
        <v>Passion</v>
      </c>
      <c r="Y13" s="123">
        <v>-0.12979427946395597</v>
      </c>
      <c r="Z13" s="37">
        <v>0.37925969237500351</v>
      </c>
      <c r="AA13" s="37">
        <v>0.3683592382753193</v>
      </c>
      <c r="AB13" s="37">
        <v>0.25800736545459846</v>
      </c>
      <c r="AC13" s="37">
        <v>0.32646573442580362</v>
      </c>
      <c r="AD13" s="37">
        <v>0.19515460623774106</v>
      </c>
      <c r="AE13" s="37">
        <v>0.43880478206893986</v>
      </c>
      <c r="AF13" s="37">
        <v>0.3086502703236641</v>
      </c>
      <c r="AG13" s="90">
        <v>8.8479441977978163E-2</v>
      </c>
      <c r="AJ13" t="str">
        <v>Passion</v>
      </c>
      <c r="AK13" s="123">
        <v>-0.12979427946395597</v>
      </c>
      <c r="AL13" s="37">
        <v>0.37925969237500351</v>
      </c>
      <c r="AM13" s="37">
        <v>0.3683592382753193</v>
      </c>
      <c r="AN13" s="37">
        <v>0.25800736545459846</v>
      </c>
      <c r="AO13" s="37">
        <v>0.32646573442580362</v>
      </c>
      <c r="AP13" s="37">
        <v>0.19515460623774106</v>
      </c>
      <c r="AQ13" s="37">
        <v>0.43880478206893986</v>
      </c>
      <c r="AR13" s="37">
        <v>0.37099719752173543</v>
      </c>
      <c r="AS13" s="90">
        <v>8.8479441977978163E-2</v>
      </c>
      <c r="AV13" t="str">
        <v>Passion</v>
      </c>
      <c r="AW13" s="123">
        <v>-0.12979427946395597</v>
      </c>
      <c r="AX13" s="37">
        <v>0.37925969237500351</v>
      </c>
      <c r="AY13" s="37">
        <v>0.3683592382753193</v>
      </c>
      <c r="AZ13" s="37">
        <v>0.25800736545459846</v>
      </c>
      <c r="BA13" s="37">
        <v>0.32646573442580362</v>
      </c>
      <c r="BB13" s="37">
        <v>0.19515460623774106</v>
      </c>
      <c r="BC13" s="37">
        <v>0.43880478206893986</v>
      </c>
      <c r="BD13" s="37">
        <v>0.3982263052565197</v>
      </c>
      <c r="BE13" s="90">
        <v>8.8479441977978163E-2</v>
      </c>
      <c r="BH13" t="str">
        <v>Passion</v>
      </c>
      <c r="BI13" s="123">
        <v>-0.12979427946395597</v>
      </c>
      <c r="BJ13" s="37">
        <v>0.37925969237500351</v>
      </c>
      <c r="BK13" s="37">
        <v>0.3683592382753193</v>
      </c>
      <c r="BL13" s="37">
        <v>0.25800736545459846</v>
      </c>
      <c r="BM13" s="37">
        <v>0.32646573442580362</v>
      </c>
      <c r="BN13" s="37">
        <v>0.19515460623774106</v>
      </c>
      <c r="BO13" s="37">
        <v>0.43880478206893986</v>
      </c>
      <c r="BP13" s="37">
        <v>0.42271143190441296</v>
      </c>
      <c r="BQ13" s="90">
        <v>8.8479441977978163E-2</v>
      </c>
      <c r="BT13" t="str">
        <v>Passion</v>
      </c>
      <c r="BU13" s="123">
        <v>-0.12979427946395597</v>
      </c>
      <c r="BV13" s="37">
        <v>0.37925969237500351</v>
      </c>
      <c r="BW13" s="37">
        <v>0.3683592382753193</v>
      </c>
      <c r="BX13" s="37">
        <v>0.25800736545459846</v>
      </c>
      <c r="BY13" s="37">
        <v>0.32646573442580362</v>
      </c>
      <c r="BZ13" s="37">
        <v>0.19515460623774106</v>
      </c>
      <c r="CA13" s="37">
        <v>0.43880478206893986</v>
      </c>
      <c r="CB13" s="37">
        <v>0.44329516221643406</v>
      </c>
      <c r="CC13" s="90">
        <v>8.8479441977978163E-2</v>
      </c>
      <c r="CF13" t="str">
        <v>Passion</v>
      </c>
      <c r="CG13" s="123">
        <v>-0.12979427946395597</v>
      </c>
      <c r="CH13" s="37">
        <v>0.37925969237500351</v>
      </c>
      <c r="CI13" s="37">
        <v>0.3683592382753193</v>
      </c>
      <c r="CJ13" s="37">
        <v>0.25800736545459846</v>
      </c>
      <c r="CK13" s="37">
        <v>0.32646573442580362</v>
      </c>
      <c r="CL13" s="37">
        <v>0.19515460623774106</v>
      </c>
      <c r="CM13" s="37">
        <v>0.43880478206893986</v>
      </c>
      <c r="CN13" s="37">
        <v>0.46020939420889295</v>
      </c>
      <c r="CO13" s="90">
        <v>8.8479441977978163E-2</v>
      </c>
      <c r="CR13" t="str">
        <v>Passion</v>
      </c>
      <c r="CS13" s="123">
        <v>-0.12979427946395597</v>
      </c>
      <c r="CT13" s="37">
        <v>0.37925969237500351</v>
      </c>
      <c r="CU13" s="37">
        <v>0.3683592382753193</v>
      </c>
      <c r="CV13" s="37">
        <v>0.25800736545459846</v>
      </c>
      <c r="CW13" s="37">
        <v>0.32646573442580362</v>
      </c>
      <c r="CX13" s="37">
        <v>0.19515460623774106</v>
      </c>
      <c r="CY13" s="37">
        <v>0.43880478206893986</v>
      </c>
      <c r="CZ13" s="37">
        <v>0.47409553388923992</v>
      </c>
      <c r="DA13" s="90">
        <v>8.8479441977978163E-2</v>
      </c>
      <c r="DD13" t="str">
        <v>Passion</v>
      </c>
      <c r="DE13" s="123">
        <v>-0.12979427946395597</v>
      </c>
      <c r="DF13" s="37">
        <v>0.37925969237500351</v>
      </c>
      <c r="DG13" s="37">
        <v>0.3683592382753193</v>
      </c>
      <c r="DH13" s="37">
        <v>0.25800736545459846</v>
      </c>
      <c r="DI13" s="37">
        <v>0.32646573442580362</v>
      </c>
      <c r="DJ13" s="37">
        <v>0.19515460623774106</v>
      </c>
      <c r="DK13" s="37">
        <v>0.43880478206893986</v>
      </c>
      <c r="DL13" s="37">
        <v>0.48545805122477603</v>
      </c>
      <c r="DM13" s="90">
        <v>8.8479441977978163E-2</v>
      </c>
      <c r="DP13" t="str">
        <v>Passion</v>
      </c>
      <c r="DQ13" s="123">
        <v>-0.12979427946395597</v>
      </c>
      <c r="DR13" s="37">
        <v>0.37925969237500351</v>
      </c>
      <c r="DS13" s="37">
        <v>0.3683592382753193</v>
      </c>
      <c r="DT13" s="37">
        <v>0.25800736545459846</v>
      </c>
      <c r="DU13" s="37">
        <v>0.32646573442580362</v>
      </c>
      <c r="DV13" s="37">
        <v>0.19515460623774106</v>
      </c>
      <c r="DW13" s="37">
        <v>0.43880478206893986</v>
      </c>
      <c r="DX13" s="37">
        <v>0.49472541681864268</v>
      </c>
      <c r="DY13" s="90">
        <v>8.8479441977978163E-2</v>
      </c>
      <c r="EB13" t="str">
        <v>Passion</v>
      </c>
      <c r="EC13" s="123">
        <v>-0.12979427946395597</v>
      </c>
      <c r="ED13" s="37">
        <v>0.37925969237500351</v>
      </c>
      <c r="EE13" s="37">
        <v>0.3683592382753193</v>
      </c>
      <c r="EF13" s="37">
        <v>0.25800736545459846</v>
      </c>
      <c r="EG13" s="37">
        <v>0.32646573442580362</v>
      </c>
      <c r="EH13" s="37">
        <v>0.19515460623774106</v>
      </c>
      <c r="EI13" s="37">
        <v>0.43880478206893986</v>
      </c>
      <c r="EJ13" s="37">
        <v>0.50227444473132365</v>
      </c>
      <c r="EK13" s="90">
        <v>8.8479441977978163E-2</v>
      </c>
      <c r="EN13" t="str">
        <v>Passion</v>
      </c>
      <c r="EO13" s="123">
        <v>-0.12979427946395597</v>
      </c>
      <c r="EP13" s="37">
        <v>0.37925969237500351</v>
      </c>
      <c r="EQ13" s="37">
        <v>0.3683592382753193</v>
      </c>
      <c r="ER13" s="37">
        <v>0.25800736545459846</v>
      </c>
      <c r="ES13" s="37">
        <v>0.32646573442580362</v>
      </c>
      <c r="ET13" s="37">
        <v>0.19515460623774106</v>
      </c>
      <c r="EU13" s="37">
        <v>0.43880478206893986</v>
      </c>
      <c r="EV13" s="37">
        <v>0.50844612340391493</v>
      </c>
      <c r="EW13" s="90">
        <v>8.8479441977978163E-2</v>
      </c>
      <c r="EZ13" t="str">
        <v>Passion</v>
      </c>
      <c r="FA13" s="123">
        <v>-0.12979427946395597</v>
      </c>
      <c r="FB13" s="37">
        <v>0.37925969237500351</v>
      </c>
      <c r="FC13" s="37">
        <v>0.3683592382753193</v>
      </c>
      <c r="FD13" s="37">
        <v>0.25800736545459846</v>
      </c>
      <c r="FE13" s="37">
        <v>0.32646573442580362</v>
      </c>
      <c r="FF13" s="37">
        <v>0.19515460623774106</v>
      </c>
      <c r="FG13" s="37">
        <v>0.43880478206893986</v>
      </c>
      <c r="FH13" s="37">
        <v>0.5135197801579201</v>
      </c>
      <c r="FI13" s="90">
        <v>8.8479441977978163E-2</v>
      </c>
      <c r="FL13" t="str">
        <v>Passion</v>
      </c>
      <c r="FM13" s="123">
        <v>-0.12979427946395597</v>
      </c>
      <c r="FN13" s="37">
        <v>0.37925969237500351</v>
      </c>
      <c r="FO13" s="37">
        <v>0.3683592382753193</v>
      </c>
      <c r="FP13" s="37">
        <v>0.25800736545459846</v>
      </c>
      <c r="FQ13" s="37">
        <v>0.32646573442580362</v>
      </c>
      <c r="FR13" s="37">
        <v>0.19515460623774106</v>
      </c>
      <c r="FS13" s="37">
        <v>0.43880478206893986</v>
      </c>
      <c r="FT13" s="37">
        <v>0.51764038656273548</v>
      </c>
      <c r="FU13" s="90">
        <v>8.8479441977978163E-2</v>
      </c>
      <c r="FX13" t="str">
        <v>Passion</v>
      </c>
      <c r="FY13" s="123">
        <v>-0.12979427946395597</v>
      </c>
      <c r="FZ13" s="37">
        <v>0.37925969237500351</v>
      </c>
      <c r="GA13" s="37">
        <v>0.3683592382753193</v>
      </c>
      <c r="GB13" s="37">
        <v>0.25800736545459846</v>
      </c>
      <c r="GC13" s="37">
        <v>0.32646573442580362</v>
      </c>
      <c r="GD13" s="37">
        <v>0.19515460623774106</v>
      </c>
      <c r="GE13" s="37">
        <v>0.43880478206893986</v>
      </c>
      <c r="GF13" s="37">
        <v>0.5210276147714743</v>
      </c>
      <c r="GG13" s="90">
        <v>8.8479441977978163E-2</v>
      </c>
      <c r="GJ13" t="str">
        <v>Passion</v>
      </c>
      <c r="GK13" s="123">
        <v>-0.12979427946395597</v>
      </c>
      <c r="GL13" s="37">
        <v>0.37925969237500351</v>
      </c>
      <c r="GM13" s="37">
        <v>0.3683592382753193</v>
      </c>
      <c r="GN13" s="37">
        <v>0.25800736545459846</v>
      </c>
      <c r="GO13" s="37">
        <v>0.32646573442580362</v>
      </c>
      <c r="GP13" s="37">
        <v>0.19515460623774106</v>
      </c>
      <c r="GQ13" s="37">
        <v>0.43880478206893986</v>
      </c>
      <c r="GR13" s="37">
        <v>0.52388959807425151</v>
      </c>
      <c r="GS13" s="90">
        <v>8.8479441977978163E-2</v>
      </c>
      <c r="GV13" t="str">
        <v>Passion</v>
      </c>
      <c r="GW13" s="123">
        <v>-0.12979427946395597</v>
      </c>
      <c r="GX13" s="37">
        <v>0.37925969237500351</v>
      </c>
      <c r="GY13" s="37">
        <v>0.3683592382753193</v>
      </c>
      <c r="GZ13" s="37">
        <v>0.25800736545459846</v>
      </c>
      <c r="HA13" s="37">
        <v>0.32646573442580362</v>
      </c>
      <c r="HB13" s="37">
        <v>0.19515460623774106</v>
      </c>
      <c r="HC13" s="37">
        <v>0.43880478206893986</v>
      </c>
      <c r="HD13" s="37">
        <v>0.52627295585583178</v>
      </c>
      <c r="HE13" s="90">
        <v>8.8479441977978163E-2</v>
      </c>
      <c r="HH13" t="str">
        <v>Passion</v>
      </c>
      <c r="HI13" s="123">
        <v>-0.12979427946395597</v>
      </c>
      <c r="HJ13" s="37">
        <v>0.37925969237500351</v>
      </c>
      <c r="HK13" s="37">
        <v>0.3683592382753193</v>
      </c>
      <c r="HL13" s="37">
        <v>0.25800736545459846</v>
      </c>
      <c r="HM13" s="37">
        <v>0.32646573442580362</v>
      </c>
      <c r="HN13" s="37">
        <v>0.19515460623774106</v>
      </c>
      <c r="HO13" s="37">
        <v>0.43880478206893986</v>
      </c>
      <c r="HP13" s="37">
        <v>0.52826500343596661</v>
      </c>
      <c r="HQ13" s="90">
        <v>8.8479441977978163E-2</v>
      </c>
      <c r="HT13" t="str">
        <v>Passion</v>
      </c>
      <c r="HU13" s="123">
        <v>-0.12979427946395597</v>
      </c>
      <c r="HV13" s="37">
        <v>0.37925969237500351</v>
      </c>
      <c r="HW13" s="37">
        <v>0.3683592382753193</v>
      </c>
      <c r="HX13" s="37">
        <v>0.25800736545459846</v>
      </c>
      <c r="HY13" s="37">
        <v>0.32646573442580362</v>
      </c>
      <c r="HZ13" s="37">
        <v>0.19515460623774106</v>
      </c>
      <c r="IA13" s="37">
        <v>0.43880478206893986</v>
      </c>
      <c r="IB13" s="37">
        <v>0.52987036897773399</v>
      </c>
      <c r="IC13" s="90">
        <v>8.8479441977978163E-2</v>
      </c>
      <c r="IF13" t="str">
        <v>Passion</v>
      </c>
      <c r="IG13" s="123">
        <v>-0.12979427946395597</v>
      </c>
      <c r="IH13" s="37">
        <v>0.37925969237500351</v>
      </c>
      <c r="II13" s="37">
        <v>0.3683592382753193</v>
      </c>
      <c r="IJ13" s="37">
        <v>0.25800736545459846</v>
      </c>
      <c r="IK13" s="37">
        <v>0.32646573442580362</v>
      </c>
      <c r="IL13" s="37">
        <v>0.19515460623774106</v>
      </c>
      <c r="IM13" s="37">
        <v>0.43880478206893986</v>
      </c>
      <c r="IN13" s="37">
        <v>0.53119850429265691</v>
      </c>
      <c r="IO13" s="90">
        <v>8.8479441977978163E-2</v>
      </c>
      <c r="IR13" t="str">
        <v>Passion</v>
      </c>
      <c r="IS13" s="123">
        <v>-0.12979427946395597</v>
      </c>
      <c r="IT13" s="37">
        <v>0.37925969237500351</v>
      </c>
      <c r="IU13" s="37">
        <v>0.3683592382753193</v>
      </c>
      <c r="IV13" s="37">
        <v>0.25800736545459846</v>
      </c>
      <c r="IW13" s="37">
        <v>0.32646573442580362</v>
      </c>
      <c r="IX13" s="37">
        <v>0.19515460623774106</v>
      </c>
      <c r="IY13" s="37">
        <v>0.43880478206893986</v>
      </c>
      <c r="IZ13" s="37">
        <v>0.5322994637137527</v>
      </c>
      <c r="JA13" s="90">
        <v>8.8479441977978163E-2</v>
      </c>
      <c r="JD13" t="str">
        <v>Passion</v>
      </c>
      <c r="JE13" s="123">
        <v>-0.12979427946395597</v>
      </c>
      <c r="JF13" s="37">
        <v>0.37925969237500351</v>
      </c>
      <c r="JG13" s="37">
        <v>0.3683592382753193</v>
      </c>
      <c r="JH13" s="37">
        <v>0.25800736545459846</v>
      </c>
      <c r="JI13" s="37">
        <v>0.32646573442580362</v>
      </c>
      <c r="JJ13" s="37">
        <v>0.19515460623774106</v>
      </c>
      <c r="JK13" s="37">
        <v>0.43880478206893986</v>
      </c>
      <c r="JL13" s="37">
        <v>0.5332667078978407</v>
      </c>
      <c r="JM13" s="90">
        <v>8.8479441977978163E-2</v>
      </c>
      <c r="JP13" t="str">
        <v>Passion</v>
      </c>
      <c r="JQ13" s="123">
        <v>-0.12979427946395597</v>
      </c>
      <c r="JR13" s="37">
        <v>0.37925969237500351</v>
      </c>
      <c r="JS13" s="37">
        <v>0.3683592382753193</v>
      </c>
      <c r="JT13" s="37">
        <v>0.25800736545459846</v>
      </c>
      <c r="JU13" s="37">
        <v>0.32646573442580362</v>
      </c>
      <c r="JV13" s="37">
        <v>0.19515460623774106</v>
      </c>
      <c r="JW13" s="37">
        <v>0.43880478206893986</v>
      </c>
      <c r="JX13" s="37">
        <v>0.53409619654758445</v>
      </c>
      <c r="JY13" s="90">
        <v>8.8479441977978163E-2</v>
      </c>
      <c r="KB13" t="str">
        <v>Passion</v>
      </c>
      <c r="KC13" s="123">
        <v>-0.12979427946395597</v>
      </c>
      <c r="KD13" s="37">
        <v>0.37925969237500351</v>
      </c>
      <c r="KE13" s="37">
        <v>0.3683592382753193</v>
      </c>
      <c r="KF13" s="37">
        <v>0.25800736545459846</v>
      </c>
      <c r="KG13" s="37">
        <v>0.32646573442580362</v>
      </c>
      <c r="KH13" s="37">
        <v>0.19515460623774106</v>
      </c>
      <c r="KI13" s="37">
        <v>0.43880478206893986</v>
      </c>
      <c r="KJ13" s="37">
        <v>0.53475750886379569</v>
      </c>
      <c r="KK13" s="90">
        <v>8.8479441977978163E-2</v>
      </c>
      <c r="KN13" t="str">
        <v>Passion</v>
      </c>
      <c r="KO13" s="123">
        <v>-0.12979427946395597</v>
      </c>
      <c r="KP13" s="37">
        <v>0.37925969237500351</v>
      </c>
      <c r="KQ13" s="37">
        <v>0.3683592382753193</v>
      </c>
      <c r="KR13" s="37">
        <v>0.25800736545459846</v>
      </c>
      <c r="KS13" s="37">
        <v>0.32646573442580362</v>
      </c>
      <c r="KT13" s="37">
        <v>0.19515460623774106</v>
      </c>
      <c r="KU13" s="37">
        <v>0.43880478206893986</v>
      </c>
      <c r="KV13" s="37">
        <v>0.5353087678580275</v>
      </c>
      <c r="KW13" s="90">
        <v>8.8479441977978163E-2</v>
      </c>
      <c r="KZ13" t="str">
        <v>Passion</v>
      </c>
      <c r="LA13" s="123">
        <v>-0.12979427946395597</v>
      </c>
      <c r="LB13" s="37">
        <v>0.37925969237500351</v>
      </c>
      <c r="LC13" s="37">
        <v>0.3683592382753193</v>
      </c>
      <c r="LD13" s="37">
        <v>0.25800736545459846</v>
      </c>
      <c r="LE13" s="37">
        <v>0.32646573442580362</v>
      </c>
      <c r="LF13" s="37">
        <v>0.19515460623774106</v>
      </c>
      <c r="LG13" s="37">
        <v>0.43880478206893986</v>
      </c>
      <c r="LH13" s="37">
        <v>0.53576874264620367</v>
      </c>
      <c r="LI13" s="90">
        <v>8.8479441977978163E-2</v>
      </c>
      <c r="LL13" t="str">
        <v>Passion</v>
      </c>
      <c r="LM13" s="123">
        <v>-0.12979427946395597</v>
      </c>
      <c r="LN13" s="37">
        <v>0.37925969237500351</v>
      </c>
      <c r="LO13" s="37">
        <v>0.3683592382753193</v>
      </c>
      <c r="LP13" s="37">
        <v>0.25800736545459846</v>
      </c>
      <c r="LQ13" s="37">
        <v>0.32646573442580362</v>
      </c>
      <c r="LR13" s="37">
        <v>0.19515460623774106</v>
      </c>
      <c r="LS13" s="37">
        <v>0.43880478206893986</v>
      </c>
      <c r="LT13" s="37">
        <v>0.53620365542234372</v>
      </c>
      <c r="LU13" s="90">
        <v>8.8479441977978163E-2</v>
      </c>
      <c r="LX13" t="str">
        <v>Passion</v>
      </c>
      <c r="LY13" s="123">
        <v>-0.12979427946395597</v>
      </c>
      <c r="LZ13" s="37">
        <v>0.37925969237500351</v>
      </c>
      <c r="MA13" s="37">
        <v>0.3683592382753193</v>
      </c>
      <c r="MB13" s="37">
        <v>0.25800736545459846</v>
      </c>
      <c r="MC13" s="37">
        <v>0.32646573442580362</v>
      </c>
      <c r="MD13" s="37">
        <v>0.19515460623774106</v>
      </c>
      <c r="ME13" s="37">
        <v>0.43880478206893986</v>
      </c>
      <c r="MF13" s="37">
        <v>0.53659311903058238</v>
      </c>
      <c r="MG13" s="90">
        <v>8.8479441977978163E-2</v>
      </c>
      <c r="MJ13" t="str">
        <v>Passion</v>
      </c>
      <c r="MK13" s="123">
        <v>-0.12979427946395597</v>
      </c>
      <c r="ML13" s="37">
        <v>0.37925969237500351</v>
      </c>
      <c r="MM13" s="37">
        <v>0.3683592382753193</v>
      </c>
      <c r="MN13" s="37">
        <v>0.25800736545459846</v>
      </c>
      <c r="MO13" s="37">
        <v>0.32646573442580362</v>
      </c>
      <c r="MP13" s="37">
        <v>0.19515460623774106</v>
      </c>
      <c r="MQ13" s="37">
        <v>0.43880478206893986</v>
      </c>
      <c r="MR13" s="37">
        <v>0.53688990242939227</v>
      </c>
      <c r="MS13" s="90">
        <v>8.8479441977978163E-2</v>
      </c>
    </row>
    <row r="14" spans="1:357" ht="14.45" x14ac:dyDescent="0.35">
      <c r="A14">
        <v>11</v>
      </c>
      <c r="B14" s="123">
        <v>3</v>
      </c>
      <c r="C14" s="37">
        <v>10</v>
      </c>
      <c r="D14" s="37">
        <v>5</v>
      </c>
      <c r="E14" s="37">
        <v>4</v>
      </c>
      <c r="F14" s="37">
        <v>7</v>
      </c>
      <c r="G14" s="37">
        <v>8</v>
      </c>
      <c r="H14" s="37">
        <v>7</v>
      </c>
      <c r="I14" s="37">
        <v>6</v>
      </c>
      <c r="J14" s="90">
        <v>8</v>
      </c>
      <c r="L14" t="str">
        <v>Friendly</v>
      </c>
      <c r="M14" s="85">
        <v>-0.34401036690229408</v>
      </c>
      <c r="N14" s="86">
        <v>0.40086949354334672</v>
      </c>
      <c r="O14" s="86">
        <v>6.9273962356187456E-3</v>
      </c>
      <c r="P14" s="86">
        <v>0.18590615055713855</v>
      </c>
      <c r="Q14" s="86">
        <v>3.7341657013804541E-2</v>
      </c>
      <c r="R14" s="86">
        <v>-5.5294628532650346E-2</v>
      </c>
      <c r="S14" s="86">
        <v>0.10313209036584842</v>
      </c>
      <c r="T14" s="86">
        <v>8.8479441977978163E-2</v>
      </c>
      <c r="U14" s="87">
        <v>1.0000000000000009</v>
      </c>
      <c r="X14" t="str">
        <v>Friendly</v>
      </c>
      <c r="Y14" s="91">
        <v>-0.34401036690229408</v>
      </c>
      <c r="Z14" s="92">
        <v>0.40086949354334672</v>
      </c>
      <c r="AA14" s="92">
        <v>6.9273962356187456E-3</v>
      </c>
      <c r="AB14" s="92">
        <v>0.18590615055713855</v>
      </c>
      <c r="AC14" s="92">
        <v>3.7341657013804541E-2</v>
      </c>
      <c r="AD14" s="92">
        <v>-5.5294628532650346E-2</v>
      </c>
      <c r="AE14" s="92">
        <v>0.10313209036584842</v>
      </c>
      <c r="AF14" s="92">
        <v>8.8479441977978163E-2</v>
      </c>
      <c r="AG14" s="93">
        <v>0.33866076183733795</v>
      </c>
      <c r="AJ14" t="str">
        <v>Friendly</v>
      </c>
      <c r="AK14" s="91">
        <v>-0.34401036690229408</v>
      </c>
      <c r="AL14" s="92">
        <v>0.40086949354334672</v>
      </c>
      <c r="AM14" s="92">
        <v>6.9273962356187456E-3</v>
      </c>
      <c r="AN14" s="92">
        <v>0.18590615055713855</v>
      </c>
      <c r="AO14" s="92">
        <v>3.7341657013804541E-2</v>
      </c>
      <c r="AP14" s="92">
        <v>-5.5294628532650346E-2</v>
      </c>
      <c r="AQ14" s="92">
        <v>0.10313209036584842</v>
      </c>
      <c r="AR14" s="92">
        <v>8.8479441977978163E-2</v>
      </c>
      <c r="AS14" s="93">
        <v>0.44522738314652505</v>
      </c>
      <c r="AV14" t="str">
        <v>Friendly</v>
      </c>
      <c r="AW14" s="91">
        <v>-0.34401036690229408</v>
      </c>
      <c r="AX14" s="92">
        <v>0.40086949354334672</v>
      </c>
      <c r="AY14" s="92">
        <v>6.9273962356187456E-3</v>
      </c>
      <c r="AZ14" s="92">
        <v>0.18590615055713855</v>
      </c>
      <c r="BA14" s="92">
        <v>3.7341657013804541E-2</v>
      </c>
      <c r="BB14" s="92">
        <v>-5.5294628532650346E-2</v>
      </c>
      <c r="BC14" s="92">
        <v>0.10313209036584842</v>
      </c>
      <c r="BD14" s="92">
        <v>8.8479441977978163E-2</v>
      </c>
      <c r="BE14" s="93">
        <v>0.51660791270390138</v>
      </c>
      <c r="BH14" t="str">
        <v>Friendly</v>
      </c>
      <c r="BI14" s="91">
        <v>-0.34401036690229408</v>
      </c>
      <c r="BJ14" s="92">
        <v>0.40086949354334672</v>
      </c>
      <c r="BK14" s="92">
        <v>6.9273962356187456E-3</v>
      </c>
      <c r="BL14" s="92">
        <v>0.18590615055713855</v>
      </c>
      <c r="BM14" s="92">
        <v>3.7341657013804541E-2</v>
      </c>
      <c r="BN14" s="92">
        <v>-5.5294628532650346E-2</v>
      </c>
      <c r="BO14" s="92">
        <v>0.10313209036584842</v>
      </c>
      <c r="BP14" s="92">
        <v>8.8479441977978163E-2</v>
      </c>
      <c r="BQ14" s="93">
        <v>0.56847278997706063</v>
      </c>
      <c r="BT14" t="str">
        <v>Friendly</v>
      </c>
      <c r="BU14" s="91">
        <v>-0.34401036690229408</v>
      </c>
      <c r="BV14" s="92">
        <v>0.40086949354334672</v>
      </c>
      <c r="BW14" s="92">
        <v>6.9273962356187456E-3</v>
      </c>
      <c r="BX14" s="92">
        <v>0.18590615055713855</v>
      </c>
      <c r="BY14" s="92">
        <v>3.7341657013804541E-2</v>
      </c>
      <c r="BZ14" s="92">
        <v>-5.5294628532650346E-2</v>
      </c>
      <c r="CA14" s="92">
        <v>0.10313209036584842</v>
      </c>
      <c r="CB14" s="92">
        <v>8.8479441977978163E-2</v>
      </c>
      <c r="CC14" s="93">
        <v>0.60751891480618336</v>
      </c>
      <c r="CF14" t="str">
        <v>Friendly</v>
      </c>
      <c r="CG14" s="91">
        <v>-0.34401036690229408</v>
      </c>
      <c r="CH14" s="92">
        <v>0.40086949354334672</v>
      </c>
      <c r="CI14" s="92">
        <v>6.9273962356187456E-3</v>
      </c>
      <c r="CJ14" s="92">
        <v>0.18590615055713855</v>
      </c>
      <c r="CK14" s="92">
        <v>3.7341657013804541E-2</v>
      </c>
      <c r="CL14" s="92">
        <v>-5.5294628532650346E-2</v>
      </c>
      <c r="CM14" s="92">
        <v>0.10313209036584842</v>
      </c>
      <c r="CN14" s="92">
        <v>8.8479441977978163E-2</v>
      </c>
      <c r="CO14" s="93">
        <v>0.63761729016329494</v>
      </c>
      <c r="CR14" t="str">
        <v>Friendly</v>
      </c>
      <c r="CS14" s="91">
        <v>-0.34401036690229408</v>
      </c>
      <c r="CT14" s="92">
        <v>0.40086949354334672</v>
      </c>
      <c r="CU14" s="92">
        <v>6.9273962356187456E-3</v>
      </c>
      <c r="CV14" s="92">
        <v>0.18590615055713855</v>
      </c>
      <c r="CW14" s="92">
        <v>3.7341657013804541E-2</v>
      </c>
      <c r="CX14" s="92">
        <v>-5.5294628532650346E-2</v>
      </c>
      <c r="CY14" s="92">
        <v>0.10313209036584842</v>
      </c>
      <c r="CZ14" s="92">
        <v>8.8479441977978163E-2</v>
      </c>
      <c r="DA14" s="93">
        <v>0.66124052948318268</v>
      </c>
      <c r="DD14" t="str">
        <v>Friendly</v>
      </c>
      <c r="DE14" s="91">
        <v>-0.34401036690229408</v>
      </c>
      <c r="DF14" s="92">
        <v>0.40086949354334672</v>
      </c>
      <c r="DG14" s="92">
        <v>6.9273962356187456E-3</v>
      </c>
      <c r="DH14" s="92">
        <v>0.18590615055713855</v>
      </c>
      <c r="DI14" s="92">
        <v>3.7341657013804541E-2</v>
      </c>
      <c r="DJ14" s="92">
        <v>-5.5294628532650346E-2</v>
      </c>
      <c r="DK14" s="92">
        <v>0.10313209036584842</v>
      </c>
      <c r="DL14" s="92">
        <v>8.8479441977978163E-2</v>
      </c>
      <c r="DM14" s="93">
        <v>0.67991455449395577</v>
      </c>
      <c r="DP14" t="str">
        <v>Friendly</v>
      </c>
      <c r="DQ14" s="91">
        <v>-0.34401036690229408</v>
      </c>
      <c r="DR14" s="92">
        <v>0.40086949354334672</v>
      </c>
      <c r="DS14" s="92">
        <v>6.9273962356187456E-3</v>
      </c>
      <c r="DT14" s="92">
        <v>0.18590615055713855</v>
      </c>
      <c r="DU14" s="92">
        <v>3.7341657013804541E-2</v>
      </c>
      <c r="DV14" s="92">
        <v>-5.5294628532650346E-2</v>
      </c>
      <c r="DW14" s="92">
        <v>0.10313209036584842</v>
      </c>
      <c r="DX14" s="92">
        <v>8.8479441977978163E-2</v>
      </c>
      <c r="DY14" s="93">
        <v>0.69475906729734871</v>
      </c>
      <c r="EB14" t="str">
        <v>Friendly</v>
      </c>
      <c r="EC14" s="91">
        <v>-0.34401036690229408</v>
      </c>
      <c r="ED14" s="92">
        <v>0.40086949354334672</v>
      </c>
      <c r="EE14" s="92">
        <v>6.9273962356187456E-3</v>
      </c>
      <c r="EF14" s="92">
        <v>0.18590615055713855</v>
      </c>
      <c r="EG14" s="92">
        <v>3.7341657013804541E-2</v>
      </c>
      <c r="EH14" s="92">
        <v>-5.5294628532650346E-2</v>
      </c>
      <c r="EI14" s="92">
        <v>0.10313209036584842</v>
      </c>
      <c r="EJ14" s="92">
        <v>8.8479441977978163E-2</v>
      </c>
      <c r="EK14" s="93">
        <v>0.7065962577810021</v>
      </c>
      <c r="EN14" t="str">
        <v>Friendly</v>
      </c>
      <c r="EO14" s="91">
        <v>-0.34401036690229408</v>
      </c>
      <c r="EP14" s="92">
        <v>0.40086949354334672</v>
      </c>
      <c r="EQ14" s="92">
        <v>6.9273962356187456E-3</v>
      </c>
      <c r="ER14" s="92">
        <v>0.18590615055713855</v>
      </c>
      <c r="ES14" s="92">
        <v>3.7341657013804541E-2</v>
      </c>
      <c r="ET14" s="92">
        <v>-5.5294628532650346E-2</v>
      </c>
      <c r="EU14" s="92">
        <v>0.10313209036584842</v>
      </c>
      <c r="EV14" s="92">
        <v>8.8479441977978163E-2</v>
      </c>
      <c r="EW14" s="93">
        <v>0.71603288348851357</v>
      </c>
      <c r="EZ14" t="str">
        <v>Friendly</v>
      </c>
      <c r="FA14" s="91">
        <v>-0.34401036690229408</v>
      </c>
      <c r="FB14" s="92">
        <v>0.40086949354334672</v>
      </c>
      <c r="FC14" s="92">
        <v>6.9273962356187456E-3</v>
      </c>
      <c r="FD14" s="92">
        <v>0.18590615055713855</v>
      </c>
      <c r="FE14" s="92">
        <v>3.7341657013804541E-2</v>
      </c>
      <c r="FF14" s="92">
        <v>-5.5294628532650346E-2</v>
      </c>
      <c r="FG14" s="92">
        <v>0.10313209036584842</v>
      </c>
      <c r="FH14" s="92">
        <v>8.8479441977978163E-2</v>
      </c>
      <c r="FI14" s="93">
        <v>0.72358193563030682</v>
      </c>
      <c r="FL14" t="str">
        <v>Friendly</v>
      </c>
      <c r="FM14" s="91">
        <v>-0.34401036690229408</v>
      </c>
      <c r="FN14" s="92">
        <v>0.40086949354334672</v>
      </c>
      <c r="FO14" s="92">
        <v>6.9273962356187456E-3</v>
      </c>
      <c r="FP14" s="92">
        <v>0.18590615055713855</v>
      </c>
      <c r="FQ14" s="92">
        <v>3.7341657013804541E-2</v>
      </c>
      <c r="FR14" s="92">
        <v>-5.5294628532650346E-2</v>
      </c>
      <c r="FS14" s="92">
        <v>0.10313209036584842</v>
      </c>
      <c r="FT14" s="92">
        <v>8.8479441977978163E-2</v>
      </c>
      <c r="FU14" s="93">
        <v>0.72967099527409141</v>
      </c>
      <c r="FX14" t="str">
        <v>Friendly</v>
      </c>
      <c r="FY14" s="91">
        <v>-0.34401036690229408</v>
      </c>
      <c r="FZ14" s="92">
        <v>0.40086949354334672</v>
      </c>
      <c r="GA14" s="92">
        <v>6.9273962356187456E-3</v>
      </c>
      <c r="GB14" s="92">
        <v>0.18590615055713855</v>
      </c>
      <c r="GC14" s="92">
        <v>3.7341657013804541E-2</v>
      </c>
      <c r="GD14" s="92">
        <v>-5.5294628532650346E-2</v>
      </c>
      <c r="GE14" s="92">
        <v>0.10313209036584842</v>
      </c>
      <c r="GF14" s="92">
        <v>8.8479441977978163E-2</v>
      </c>
      <c r="GG14" s="93">
        <v>0.73460675036234335</v>
      </c>
      <c r="GJ14" t="str">
        <v>Friendly</v>
      </c>
      <c r="GK14" s="91">
        <v>-0.34401036690229408</v>
      </c>
      <c r="GL14" s="92">
        <v>0.40086949354334672</v>
      </c>
      <c r="GM14" s="92">
        <v>6.9273962356187456E-3</v>
      </c>
      <c r="GN14" s="92">
        <v>0.18590615055713855</v>
      </c>
      <c r="GO14" s="92">
        <v>3.7341657013804541E-2</v>
      </c>
      <c r="GP14" s="92">
        <v>-5.5294628532650346E-2</v>
      </c>
      <c r="GQ14" s="92">
        <v>0.10313209036584842</v>
      </c>
      <c r="GR14" s="92">
        <v>8.8479441977978163E-2</v>
      </c>
      <c r="GS14" s="93">
        <v>0.73867547586915094</v>
      </c>
      <c r="GV14" t="str">
        <v>Friendly</v>
      </c>
      <c r="GW14" s="91">
        <v>-0.34401036690229408</v>
      </c>
      <c r="GX14" s="92">
        <v>0.40086949354334672</v>
      </c>
      <c r="GY14" s="92">
        <v>6.9273962356187456E-3</v>
      </c>
      <c r="GZ14" s="92">
        <v>0.18590615055713855</v>
      </c>
      <c r="HA14" s="92">
        <v>3.7341657013804541E-2</v>
      </c>
      <c r="HB14" s="92">
        <v>-5.5294628532650346E-2</v>
      </c>
      <c r="HC14" s="92">
        <v>0.10313209036584842</v>
      </c>
      <c r="HD14" s="92">
        <v>8.8479441977978163E-2</v>
      </c>
      <c r="HE14" s="93">
        <v>0.74204166129626359</v>
      </c>
      <c r="HH14" t="str">
        <v>Friendly</v>
      </c>
      <c r="HI14" s="91">
        <v>-0.34401036690229408</v>
      </c>
      <c r="HJ14" s="92">
        <v>0.40086949354334672</v>
      </c>
      <c r="HK14" s="92">
        <v>6.9273962356187456E-3</v>
      </c>
      <c r="HL14" s="92">
        <v>0.18590615055713855</v>
      </c>
      <c r="HM14" s="92">
        <v>3.7341657013804541E-2</v>
      </c>
      <c r="HN14" s="92">
        <v>-5.5294628532650346E-2</v>
      </c>
      <c r="HO14" s="92">
        <v>0.10313209036584842</v>
      </c>
      <c r="HP14" s="92">
        <v>8.8479441977978163E-2</v>
      </c>
      <c r="HQ14" s="93">
        <v>0.74483759707605846</v>
      </c>
      <c r="HT14" t="str">
        <v>Friendly</v>
      </c>
      <c r="HU14" s="91">
        <v>-0.34401036690229408</v>
      </c>
      <c r="HV14" s="92">
        <v>0.40086949354334672</v>
      </c>
      <c r="HW14" s="92">
        <v>6.9273962356187456E-3</v>
      </c>
      <c r="HX14" s="92">
        <v>0.18590615055713855</v>
      </c>
      <c r="HY14" s="92">
        <v>3.7341657013804541E-2</v>
      </c>
      <c r="HZ14" s="92">
        <v>-5.5294628532650346E-2</v>
      </c>
      <c r="IA14" s="92">
        <v>0.10313209036584842</v>
      </c>
      <c r="IB14" s="92">
        <v>8.8479441977978163E-2</v>
      </c>
      <c r="IC14" s="93">
        <v>0.74706944900401973</v>
      </c>
      <c r="IF14" t="str">
        <v>Friendly</v>
      </c>
      <c r="IG14" s="91">
        <v>-0.34401036690229408</v>
      </c>
      <c r="IH14" s="92">
        <v>0.40086949354334672</v>
      </c>
      <c r="II14" s="92">
        <v>6.9273962356187456E-3</v>
      </c>
      <c r="IJ14" s="92">
        <v>0.18590615055713855</v>
      </c>
      <c r="IK14" s="92">
        <v>3.7341657013804541E-2</v>
      </c>
      <c r="IL14" s="92">
        <v>-5.5294628532650346E-2</v>
      </c>
      <c r="IM14" s="92">
        <v>0.10313209036584842</v>
      </c>
      <c r="IN14" s="92">
        <v>8.8479441977978163E-2</v>
      </c>
      <c r="IO14" s="93">
        <v>0.74889410657585331</v>
      </c>
      <c r="IR14" t="str">
        <v>Friendly</v>
      </c>
      <c r="IS14" s="91">
        <v>-0.34401036690229408</v>
      </c>
      <c r="IT14" s="92">
        <v>0.40086949354334672</v>
      </c>
      <c r="IU14" s="92">
        <v>6.9273962356187456E-3</v>
      </c>
      <c r="IV14" s="92">
        <v>0.18590615055713855</v>
      </c>
      <c r="IW14" s="92">
        <v>3.7341657013804541E-2</v>
      </c>
      <c r="IX14" s="92">
        <v>-5.5294628532650346E-2</v>
      </c>
      <c r="IY14" s="92">
        <v>0.10313209036584842</v>
      </c>
      <c r="IZ14" s="92">
        <v>8.8479441977978163E-2</v>
      </c>
      <c r="JA14" s="93">
        <v>0.75038914528551925</v>
      </c>
      <c r="JD14" t="str">
        <v>Friendly</v>
      </c>
      <c r="JE14" s="91">
        <v>-0.34401036690229408</v>
      </c>
      <c r="JF14" s="92">
        <v>0.40086949354334672</v>
      </c>
      <c r="JG14" s="92">
        <v>6.9273962356187456E-3</v>
      </c>
      <c r="JH14" s="92">
        <v>0.18590615055713855</v>
      </c>
      <c r="JI14" s="92">
        <v>3.7341657013804541E-2</v>
      </c>
      <c r="JJ14" s="92">
        <v>-5.5294628532650346E-2</v>
      </c>
      <c r="JK14" s="92">
        <v>0.10313209036584842</v>
      </c>
      <c r="JL14" s="92">
        <v>8.8479441977978163E-2</v>
      </c>
      <c r="JM14" s="93">
        <v>0.75173876212778346</v>
      </c>
      <c r="JP14" t="str">
        <v>Friendly</v>
      </c>
      <c r="JQ14" s="91">
        <v>-0.34401036690229408</v>
      </c>
      <c r="JR14" s="92">
        <v>0.40086949354334672</v>
      </c>
      <c r="JS14" s="92">
        <v>6.9273962356187456E-3</v>
      </c>
      <c r="JT14" s="92">
        <v>0.18590615055713855</v>
      </c>
      <c r="JU14" s="92">
        <v>3.7341657013804541E-2</v>
      </c>
      <c r="JV14" s="92">
        <v>-5.5294628532650346E-2</v>
      </c>
      <c r="JW14" s="92">
        <v>0.10313209036584842</v>
      </c>
      <c r="JX14" s="92">
        <v>8.8479441977978163E-2</v>
      </c>
      <c r="JY14" s="93">
        <v>0.75288908095888241</v>
      </c>
      <c r="KB14" t="str">
        <v>Friendly</v>
      </c>
      <c r="KC14" s="91">
        <v>-0.34401036690229408</v>
      </c>
      <c r="KD14" s="92">
        <v>0.40086949354334672</v>
      </c>
      <c r="KE14" s="92">
        <v>6.9273962356187456E-3</v>
      </c>
      <c r="KF14" s="92">
        <v>0.18590615055713855</v>
      </c>
      <c r="KG14" s="92">
        <v>3.7341657013804541E-2</v>
      </c>
      <c r="KH14" s="92">
        <v>-5.5294628532650346E-2</v>
      </c>
      <c r="KI14" s="92">
        <v>0.10313209036584842</v>
      </c>
      <c r="KJ14" s="92">
        <v>8.8479441977978163E-2</v>
      </c>
      <c r="KK14" s="93">
        <v>0.75376637137839797</v>
      </c>
      <c r="KN14" t="str">
        <v>Friendly</v>
      </c>
      <c r="KO14" s="91">
        <v>-0.34401036690229408</v>
      </c>
      <c r="KP14" s="92">
        <v>0.40086949354334672</v>
      </c>
      <c r="KQ14" s="92">
        <v>6.9273962356187456E-3</v>
      </c>
      <c r="KR14" s="92">
        <v>0.18590615055713855</v>
      </c>
      <c r="KS14" s="92">
        <v>3.7341657013804541E-2</v>
      </c>
      <c r="KT14" s="92">
        <v>-5.5294628532650346E-2</v>
      </c>
      <c r="KU14" s="92">
        <v>0.10313209036584842</v>
      </c>
      <c r="KV14" s="92">
        <v>8.8479441977978163E-2</v>
      </c>
      <c r="KW14" s="93">
        <v>0.75449120113936652</v>
      </c>
      <c r="KZ14" t="str">
        <v>Friendly</v>
      </c>
      <c r="LA14" s="91">
        <v>-0.34401036690229408</v>
      </c>
      <c r="LB14" s="92">
        <v>0.40086949354334672</v>
      </c>
      <c r="LC14" s="92">
        <v>6.9273962356187456E-3</v>
      </c>
      <c r="LD14" s="92">
        <v>0.18590615055713855</v>
      </c>
      <c r="LE14" s="92">
        <v>3.7341657013804541E-2</v>
      </c>
      <c r="LF14" s="92">
        <v>-5.5294628532650346E-2</v>
      </c>
      <c r="LG14" s="92">
        <v>0.10313209036584842</v>
      </c>
      <c r="LH14" s="92">
        <v>8.8479441977978163E-2</v>
      </c>
      <c r="LI14" s="93">
        <v>0.75509448544495017</v>
      </c>
      <c r="LL14" t="str">
        <v>Friendly</v>
      </c>
      <c r="LM14" s="91">
        <v>-0.34401036690229408</v>
      </c>
      <c r="LN14" s="92">
        <v>0.40086949354334672</v>
      </c>
      <c r="LO14" s="92">
        <v>6.9273962356187456E-3</v>
      </c>
      <c r="LP14" s="92">
        <v>0.18590615055713855</v>
      </c>
      <c r="LQ14" s="92">
        <v>3.7341657013804541E-2</v>
      </c>
      <c r="LR14" s="92">
        <v>-5.5294628532650346E-2</v>
      </c>
      <c r="LS14" s="92">
        <v>0.10313209036584842</v>
      </c>
      <c r="LT14" s="92">
        <v>8.8479441977978163E-2</v>
      </c>
      <c r="LU14" s="93">
        <v>0.75569813884305692</v>
      </c>
      <c r="LX14" t="str">
        <v>Friendly</v>
      </c>
      <c r="LY14" s="91">
        <v>-0.34401036690229408</v>
      </c>
      <c r="LZ14" s="92">
        <v>0.40086949354334672</v>
      </c>
      <c r="MA14" s="92">
        <v>6.9273962356187456E-3</v>
      </c>
      <c r="MB14" s="92">
        <v>0.18590615055713855</v>
      </c>
      <c r="MC14" s="92">
        <v>3.7341657013804541E-2</v>
      </c>
      <c r="MD14" s="92">
        <v>-5.5294628532650346E-2</v>
      </c>
      <c r="ME14" s="92">
        <v>0.10313209036584842</v>
      </c>
      <c r="MF14" s="92">
        <v>8.8479441977978163E-2</v>
      </c>
      <c r="MG14" s="93">
        <v>0.75623275792745837</v>
      </c>
      <c r="MJ14" t="str">
        <v>Friendly</v>
      </c>
      <c r="MK14" s="91">
        <v>-0.34401036690229408</v>
      </c>
      <c r="ML14" s="92">
        <v>0.40086949354334672</v>
      </c>
      <c r="MM14" s="92">
        <v>6.9273962356187456E-3</v>
      </c>
      <c r="MN14" s="92">
        <v>0.18590615055713855</v>
      </c>
      <c r="MO14" s="92">
        <v>3.7341657013804541E-2</v>
      </c>
      <c r="MP14" s="92">
        <v>-5.5294628532650346E-2</v>
      </c>
      <c r="MQ14" s="92">
        <v>0.10313209036584842</v>
      </c>
      <c r="MR14" s="92">
        <v>8.8479441977978163E-2</v>
      </c>
      <c r="MS14" s="93">
        <v>0.75661780347457197</v>
      </c>
    </row>
    <row r="15" spans="1:357" ht="14.45" x14ac:dyDescent="0.35">
      <c r="A15">
        <v>12</v>
      </c>
      <c r="B15" s="123">
        <v>1</v>
      </c>
      <c r="C15" s="37">
        <v>9</v>
      </c>
      <c r="D15" s="37">
        <v>2</v>
      </c>
      <c r="E15" s="37">
        <v>5</v>
      </c>
      <c r="F15" s="37">
        <v>9</v>
      </c>
      <c r="G15" s="37">
        <v>7</v>
      </c>
      <c r="H15" s="37">
        <v>5</v>
      </c>
      <c r="I15" s="37">
        <v>6</v>
      </c>
      <c r="J15" s="90">
        <v>9</v>
      </c>
    </row>
    <row r="16" spans="1:357" ht="14.45" x14ac:dyDescent="0.35">
      <c r="A16">
        <v>13</v>
      </c>
      <c r="B16" s="123">
        <v>5</v>
      </c>
      <c r="C16" s="37">
        <v>7</v>
      </c>
      <c r="D16" s="37">
        <v>2</v>
      </c>
      <c r="E16" s="37">
        <v>3</v>
      </c>
      <c r="F16" s="37">
        <v>6</v>
      </c>
      <c r="G16" s="37">
        <v>4</v>
      </c>
      <c r="H16" s="37">
        <v>2</v>
      </c>
      <c r="I16" s="37">
        <v>3</v>
      </c>
      <c r="J16" s="90">
        <v>6</v>
      </c>
    </row>
    <row r="17" spans="1:358" ht="14.45" x14ac:dyDescent="0.35">
      <c r="A17">
        <v>14</v>
      </c>
      <c r="B17" s="123">
        <v>3</v>
      </c>
      <c r="C17" s="37">
        <v>7</v>
      </c>
      <c r="D17" s="37">
        <v>3</v>
      </c>
      <c r="E17" s="37">
        <v>4</v>
      </c>
      <c r="F17" s="37">
        <v>6</v>
      </c>
      <c r="G17" s="37">
        <v>7</v>
      </c>
      <c r="H17" s="37">
        <v>1</v>
      </c>
      <c r="I17" s="37">
        <v>3</v>
      </c>
      <c r="J17" s="90">
        <v>7</v>
      </c>
      <c r="X17" t="s">
        <v>417</v>
      </c>
      <c r="AJ17" t="s">
        <v>417</v>
      </c>
      <c r="AV17" t="s">
        <v>417</v>
      </c>
      <c r="BH17" t="s">
        <v>417</v>
      </c>
      <c r="BT17" t="s">
        <v>417</v>
      </c>
      <c r="CF17" t="s">
        <v>417</v>
      </c>
      <c r="CR17" t="s">
        <v>417</v>
      </c>
      <c r="DD17" t="s">
        <v>417</v>
      </c>
      <c r="DP17" t="s">
        <v>417</v>
      </c>
      <c r="EB17" t="s">
        <v>417</v>
      </c>
      <c r="EN17" t="s">
        <v>417</v>
      </c>
      <c r="EZ17" t="s">
        <v>417</v>
      </c>
      <c r="FL17" t="s">
        <v>417</v>
      </c>
      <c r="FX17" t="s">
        <v>417</v>
      </c>
      <c r="GJ17" t="s">
        <v>417</v>
      </c>
      <c r="GV17" t="s">
        <v>417</v>
      </c>
      <c r="HH17" t="s">
        <v>417</v>
      </c>
      <c r="HT17" t="s">
        <v>417</v>
      </c>
      <c r="IF17" t="s">
        <v>417</v>
      </c>
      <c r="IR17" t="s">
        <v>417</v>
      </c>
      <c r="JD17" t="s">
        <v>417</v>
      </c>
      <c r="JP17" t="s">
        <v>417</v>
      </c>
      <c r="KB17" t="s">
        <v>417</v>
      </c>
      <c r="KN17" t="s">
        <v>417</v>
      </c>
      <c r="KZ17" t="s">
        <v>417</v>
      </c>
      <c r="LL17" t="s">
        <v>417</v>
      </c>
      <c r="LX17" t="s">
        <v>417</v>
      </c>
      <c r="MJ17" t="s">
        <v>417</v>
      </c>
    </row>
    <row r="18" spans="1:358" ht="14.45" x14ac:dyDescent="0.35">
      <c r="A18">
        <v>15</v>
      </c>
      <c r="B18" s="123">
        <v>2</v>
      </c>
      <c r="C18" s="37">
        <v>9</v>
      </c>
      <c r="D18" s="37">
        <v>6</v>
      </c>
      <c r="E18" s="37">
        <v>4</v>
      </c>
      <c r="F18" s="37">
        <v>6</v>
      </c>
      <c r="G18" s="37">
        <v>3</v>
      </c>
      <c r="H18" s="37">
        <v>8</v>
      </c>
      <c r="I18" s="37">
        <v>5</v>
      </c>
      <c r="J18" s="90">
        <v>7</v>
      </c>
    </row>
    <row r="19" spans="1:358" ht="14.45" x14ac:dyDescent="0.35">
      <c r="A19">
        <v>16</v>
      </c>
      <c r="B19" s="123">
        <v>7</v>
      </c>
      <c r="C19" s="37">
        <v>7</v>
      </c>
      <c r="D19" s="37">
        <v>2</v>
      </c>
      <c r="E19" s="37">
        <v>7</v>
      </c>
      <c r="F19" s="37">
        <v>6</v>
      </c>
      <c r="G19" s="37">
        <v>5</v>
      </c>
      <c r="H19" s="37">
        <v>1</v>
      </c>
      <c r="I19" s="37">
        <v>4</v>
      </c>
      <c r="J19" s="90">
        <v>7</v>
      </c>
      <c r="Y19" s="207">
        <f t="array" ref="Y19:AG28">[1]!eVECTORS(Y6:AG14,200,FALSE)</f>
        <v>2.3340578090690647</v>
      </c>
      <c r="Z19" s="208">
        <v>0.78151911231731308</v>
      </c>
      <c r="AA19" s="208">
        <v>0.40021168171753163</v>
      </c>
      <c r="AB19" s="208">
        <v>0.29011447825281222</v>
      </c>
      <c r="AC19" s="208">
        <v>-6.2335734352780836E-3</v>
      </c>
      <c r="AD19" s="208">
        <v>-5.3893551026070075E-2</v>
      </c>
      <c r="AE19" s="208">
        <v>-0.1598928309834563</v>
      </c>
      <c r="AF19" s="208">
        <v>-0.178073464365752</v>
      </c>
      <c r="AG19" s="209">
        <v>-0.3359331601419423</v>
      </c>
      <c r="AK19" s="207">
        <f t="array" ref="AK19:AS28">[1]!eVECTORS(AK6:AS14,200,FALSE)</f>
        <v>2.4119851136624408</v>
      </c>
      <c r="AL19" s="208">
        <v>0.87202288892481494</v>
      </c>
      <c r="AM19" s="208">
        <v>0.48450386462428052</v>
      </c>
      <c r="AN19" s="208">
        <v>0.37271405757035048</v>
      </c>
      <c r="AO19" s="208">
        <v>6.8524384115092762E-2</v>
      </c>
      <c r="AP19" s="208">
        <v>1.9249760076918032E-2</v>
      </c>
      <c r="AQ19" s="208">
        <v>-7.415607364532284E-2</v>
      </c>
      <c r="AR19" s="208">
        <v>-9.8148491468119214E-2</v>
      </c>
      <c r="AS19" s="209">
        <v>-0.25079242250376527</v>
      </c>
      <c r="AW19" s="207">
        <f t="array" ref="AW19:BE28">[1]!eVECTORS(AW6:BE14,200,FALSE)</f>
        <v>2.4546954191187336</v>
      </c>
      <c r="AX19" s="208">
        <v>0.93104121545433682</v>
      </c>
      <c r="AY19" s="208">
        <v>0.52693847691248319</v>
      </c>
      <c r="AZ19" s="208">
        <v>0.43084669291252053</v>
      </c>
      <c r="BA19" s="208">
        <v>0.11483558152496731</v>
      </c>
      <c r="BB19" s="208">
        <v>5.4713023196151567E-2</v>
      </c>
      <c r="BC19" s="208">
        <v>-3.3169727017518413E-2</v>
      </c>
      <c r="BD19" s="208">
        <v>-5.5956326857050431E-2</v>
      </c>
      <c r="BE19" s="209">
        <v>-0.19494428627074611</v>
      </c>
      <c r="BI19" s="207">
        <f t="array" ref="BI19:BQ28">[1]!eVECTORS(BI6:BQ14,200,FALSE)</f>
        <v>2.4819219190719828</v>
      </c>
      <c r="BJ19" s="208">
        <v>0.97303022959379748</v>
      </c>
      <c r="BK19" s="208">
        <v>0.55239249997651985</v>
      </c>
      <c r="BL19" s="208">
        <v>0.4742665877723834</v>
      </c>
      <c r="BM19" s="208">
        <v>0.14743922406619214</v>
      </c>
      <c r="BN19" s="208">
        <v>8.0612492186136753E-2</v>
      </c>
      <c r="BO19" s="208">
        <v>-1.034629445195534E-2</v>
      </c>
      <c r="BP19" s="208">
        <v>-3.2403038636797943E-2</v>
      </c>
      <c r="BQ19" s="209">
        <v>-0.15384321045908278</v>
      </c>
      <c r="BU19" s="207">
        <f t="array" ref="BU19:CC28">[1]!eVECTORS(BU6:CC14,200,FALSE)</f>
        <v>2.4997023548470643</v>
      </c>
      <c r="BV19" s="208">
        <v>1.0039607447086834</v>
      </c>
      <c r="BW19" s="208">
        <v>0.56814760781599605</v>
      </c>
      <c r="BX19" s="208">
        <v>0.50738728643779674</v>
      </c>
      <c r="BY19" s="208">
        <v>0.17105964052937173</v>
      </c>
      <c r="BZ19" s="208">
        <v>9.9532331977708055E-2</v>
      </c>
      <c r="CA19" s="208">
        <v>2.3769807873519344E-3</v>
      </c>
      <c r="CB19" s="208">
        <v>-1.9767475281430524E-2</v>
      </c>
      <c r="CC19" s="209">
        <v>-0.12273651915552408</v>
      </c>
      <c r="CG19" s="207">
        <f t="array" ref="CG19:CO28">[1]!eVECTORS(CG6:CO14,200,FALSE)</f>
        <v>2.5118549362634828</v>
      </c>
      <c r="CH19" s="208">
        <v>1.0274463010904875</v>
      </c>
      <c r="CI19" s="208">
        <v>0.57885438833652536</v>
      </c>
      <c r="CJ19" s="208">
        <v>0.53315361991248045</v>
      </c>
      <c r="CK19" s="208">
        <v>0.1888113966614382</v>
      </c>
      <c r="CL19" s="208">
        <v>0.11375800761360155</v>
      </c>
      <c r="CM19" s="208">
        <v>9.9431945134963451E-3</v>
      </c>
      <c r="CN19" s="208">
        <v>-1.3027380997279625E-2</v>
      </c>
      <c r="CO19" s="209">
        <v>-9.8627516290306305E-2</v>
      </c>
      <c r="CS19" s="207">
        <f t="array" ref="CS19:DA28">[1]!eVECTORS(CS6:DA14,200,FALSE)</f>
        <v>2.5211000460275397</v>
      </c>
      <c r="CT19" s="208">
        <v>1.0458846141673712</v>
      </c>
      <c r="CU19" s="208">
        <v>0.5875884270583962</v>
      </c>
      <c r="CV19" s="208">
        <v>0.55356870728163599</v>
      </c>
      <c r="CW19" s="208">
        <v>0.2027893559269528</v>
      </c>
      <c r="CX19" s="208">
        <v>0.12520013658010487</v>
      </c>
      <c r="CY19" s="208">
        <v>1.5674584928350721E-2</v>
      </c>
      <c r="CZ19" s="208">
        <v>-8.4888509208234098E-3</v>
      </c>
      <c r="DA19" s="209">
        <v>-7.9495176658061051E-2</v>
      </c>
      <c r="DE19" s="207">
        <f t="array" ref="DE19:DM28">[1]!eVECTORS(DE6:DM14,200,FALSE)</f>
        <v>2.5282483700222458</v>
      </c>
      <c r="DF19" s="208">
        <v>1.0604876418629612</v>
      </c>
      <c r="DG19" s="208">
        <v>0.59473663384752529</v>
      </c>
      <c r="DH19" s="208">
        <v>0.56973819383397406</v>
      </c>
      <c r="DI19" s="208">
        <v>0.21385897275914267</v>
      </c>
      <c r="DJ19" s="208">
        <v>0.13438406608999898</v>
      </c>
      <c r="DK19" s="208">
        <v>1.994554111132385E-2</v>
      </c>
      <c r="DL19" s="208">
        <v>-5.3558064588828946E-3</v>
      </c>
      <c r="DM19" s="209">
        <v>-6.4237741097952328E-2</v>
      </c>
      <c r="DQ19" s="207">
        <f t="array" ref="DQ19:DY28">[1]!eVECTORS(DQ6:DY14,200,FALSE)</f>
        <v>2.5338066917076727</v>
      </c>
      <c r="DR19" s="208">
        <v>1.0721128080471516</v>
      </c>
      <c r="DS19" s="208">
        <v>0.60073783429896788</v>
      </c>
      <c r="DT19" s="208">
        <v>0.58244465135578671</v>
      </c>
      <c r="DU19" s="208">
        <v>0.22264671881909426</v>
      </c>
      <c r="DV19" s="208">
        <v>0.14175189835244184</v>
      </c>
      <c r="DW19" s="208">
        <v>2.3122927109212155E-2</v>
      </c>
      <c r="DX19" s="208">
        <v>-3.1982000919055231E-3</v>
      </c>
      <c r="DY19" s="209">
        <v>-5.202591007126578E-2</v>
      </c>
      <c r="EC19" s="207">
        <f t="array" ref="EC19:EK28">[1]!eVECTORS(EC6:EK14,200,FALSE)</f>
        <v>2.5381450476847611</v>
      </c>
      <c r="ED19" s="208">
        <v>1.0813904707596946</v>
      </c>
      <c r="EE19" s="208">
        <v>0.60604295843089484</v>
      </c>
      <c r="EF19" s="208">
        <v>0.59219864463599559</v>
      </c>
      <c r="EG19" s="208">
        <v>0.22963373585357588</v>
      </c>
      <c r="EH19" s="208">
        <v>0.14767082422799013</v>
      </c>
      <c r="EI19" s="208">
        <v>2.5496397670472602E-2</v>
      </c>
      <c r="EJ19" s="208">
        <v>-1.7285071370339443E-3</v>
      </c>
      <c r="EK19" s="209">
        <v>-4.2226042436028635E-2</v>
      </c>
      <c r="EO19" s="207">
        <f t="array" ref="EO19:EW28">[1]!eVECTORS(EO6:EW14,200,FALSE)</f>
        <v>2.5415552599304023</v>
      </c>
      <c r="EP19" s="208">
        <v>1.0887922751096455</v>
      </c>
      <c r="EQ19" s="208">
        <v>0.61102216914154839</v>
      </c>
      <c r="ER19" s="208">
        <v>0.59932230827819899</v>
      </c>
      <c r="ES19" s="208">
        <v>0.23520125986509399</v>
      </c>
      <c r="ET19" s="208">
        <v>0.15246279209273939</v>
      </c>
      <c r="EU19" s="208">
        <v>2.7313118086393362E-2</v>
      </c>
      <c r="EV19" s="208">
        <v>-7.2100954523834915E-4</v>
      </c>
      <c r="EW19" s="209">
        <v>-3.4370093695398785E-2</v>
      </c>
      <c r="FA19" s="207">
        <f t="array" ref="FA19:FI28">[1]!eVECTORS(FA6:FI14,200,FALSE)</f>
        <v>2.5442491515818801</v>
      </c>
      <c r="FB19" s="208">
        <v>1.0947149400601937</v>
      </c>
      <c r="FC19" s="208">
        <v>0.61578286071232435</v>
      </c>
      <c r="FD19" s="208">
        <v>0.60421964697066144</v>
      </c>
      <c r="FE19" s="208">
        <v>0.23965316336809564</v>
      </c>
      <c r="FF19" s="208">
        <v>0.15639283689429459</v>
      </c>
      <c r="FG19" s="208">
        <v>2.8760966415589864E-2</v>
      </c>
      <c r="FH19" s="208">
        <v>-1.5380072923504656E-5</v>
      </c>
      <c r="FI19" s="209">
        <v>-2.8089003426085567E-2</v>
      </c>
      <c r="FM19" s="207">
        <f t="array" ref="FM19:FU28">[1]!eVECTORS(FM6:FU14,200,FALSE)</f>
        <v>2.5463475031229046</v>
      </c>
      <c r="FN19" s="208">
        <v>1.0994832453680208</v>
      </c>
      <c r="FO19" s="208">
        <v>0.62017841867455392</v>
      </c>
      <c r="FP19" s="208">
        <v>0.60772837221880249</v>
      </c>
      <c r="FQ19" s="208">
        <v>0.24320272787530942</v>
      </c>
      <c r="FR19" s="208">
        <v>0.15956442031441878</v>
      </c>
      <c r="FS19" s="208">
        <v>2.9850204468991316E-2</v>
      </c>
      <c r="FT19" s="208">
        <v>4.0733797095891691E-4</v>
      </c>
      <c r="FU19" s="209">
        <v>-2.2988664010925749E-2</v>
      </c>
      <c r="FY19" s="207">
        <f t="array" ref="FY19:GG28">[1]!eVECTORS(FY6:GG14,200,FALSE)</f>
        <v>2.548070344811173</v>
      </c>
      <c r="FZ19" s="208">
        <v>1.1033545305094075</v>
      </c>
      <c r="GA19" s="208">
        <v>0.62391760846657551</v>
      </c>
      <c r="GB19" s="208">
        <v>0.61045206181471745</v>
      </c>
      <c r="GC19" s="208">
        <v>0.24609044195581886</v>
      </c>
      <c r="GD19" s="208">
        <v>0.16218692649867184</v>
      </c>
      <c r="GE19" s="208">
        <v>3.0777756094628739E-2</v>
      </c>
      <c r="GF19" s="208">
        <v>7.6674357383332836E-4</v>
      </c>
      <c r="GG19" s="209">
        <v>-1.8854183710884431E-2</v>
      </c>
      <c r="GK19" s="207">
        <f t="array" ref="GK19:GS28">[1]!eVECTORS(GK6:GS14,200,FALSE)</f>
        <v>2.5495040732402106</v>
      </c>
      <c r="GL19" s="208">
        <v>1.1065569146860903</v>
      </c>
      <c r="GM19" s="208">
        <v>0.62686071949580724</v>
      </c>
      <c r="GN19" s="208">
        <v>0.61237633844819606</v>
      </c>
      <c r="GO19" s="208">
        <v>0.24847405390931254</v>
      </c>
      <c r="GP19" s="208">
        <v>0.16451303911786619</v>
      </c>
      <c r="GQ19" s="208">
        <v>3.176927357855841E-2</v>
      </c>
      <c r="GR19" s="208">
        <v>1.190134171466295E-3</v>
      </c>
      <c r="GS19" s="209">
        <v>-1.5628132922690718E-2</v>
      </c>
      <c r="GW19" s="207">
        <f t="array" ref="GW19:HE28">[1]!eVECTORS(GW6:HE14,200,FALSE)</f>
        <v>2.5506924663695463</v>
      </c>
      <c r="GX19" s="208">
        <v>1.1092096702896714</v>
      </c>
      <c r="GY19" s="208">
        <v>0.62925587586383314</v>
      </c>
      <c r="GZ19" s="208">
        <v>0.61394260659681277</v>
      </c>
      <c r="HA19" s="208">
        <v>0.25044183290669797</v>
      </c>
      <c r="HB19" s="208">
        <v>0.16648164562477896</v>
      </c>
      <c r="HC19" s="208">
        <v>3.2653143673388563E-2</v>
      </c>
      <c r="HD19" s="208">
        <v>1.5620417186875679E-3</v>
      </c>
      <c r="HE19" s="209">
        <v>-1.299473639589821E-2</v>
      </c>
      <c r="HI19" s="207">
        <f t="array" ref="HI19:HQ28">[1]!eVECTORS(HI6:HQ14,200,FALSE)</f>
        <v>2.5516809308175454</v>
      </c>
      <c r="HJ19" s="208">
        <v>1.1114149088425187</v>
      </c>
      <c r="HK19" s="208">
        <v>0.63130048503977454</v>
      </c>
      <c r="HL19" s="208">
        <v>0.61512709757793915</v>
      </c>
      <c r="HM19" s="208">
        <v>0.2520724038319071</v>
      </c>
      <c r="HN19" s="208">
        <v>0.16815282599481879</v>
      </c>
      <c r="HO19" s="208">
        <v>3.3440747275747251E-2</v>
      </c>
      <c r="HP19" s="208">
        <v>1.888245121625028E-3</v>
      </c>
      <c r="HQ19" s="209">
        <v>-1.0838361458458816E-2</v>
      </c>
      <c r="HU19" s="207">
        <f t="array" ref="HU19:IC28">[1]!eVECTORS(HU6:IC14,200,FALSE)</f>
        <v>2.552502056339272</v>
      </c>
      <c r="HV19" s="208">
        <v>1.1131747562110488</v>
      </c>
      <c r="HW19" s="208">
        <v>0.63322021277207219</v>
      </c>
      <c r="HX19" s="208">
        <v>0.61626837309598892</v>
      </c>
      <c r="HY19" s="208">
        <v>0.25339668027526269</v>
      </c>
      <c r="HZ19" s="208">
        <v>0.16942953300534391</v>
      </c>
      <c r="IA19" s="208">
        <v>3.3951628288509297E-2</v>
      </c>
      <c r="IB19" s="208">
        <v>2.0839543157126022E-3</v>
      </c>
      <c r="IC19" s="209">
        <v>-8.9495498013348052E-3</v>
      </c>
      <c r="IG19" s="207">
        <f t="array" ref="IG19:IO28">[1]!eVECTORS(IG6:IO14,200,FALSE)</f>
        <v>2.5531825820153613</v>
      </c>
      <c r="IH19" s="208">
        <v>1.114613593042624</v>
      </c>
      <c r="II19" s="208">
        <v>0.63481043724403652</v>
      </c>
      <c r="IJ19" s="208">
        <v>0.6172029699761018</v>
      </c>
      <c r="IK19" s="208">
        <v>0.25448258747994806</v>
      </c>
      <c r="IL19" s="208">
        <v>0.1704937375183789</v>
      </c>
      <c r="IM19" s="208">
        <v>3.4390724368241019E-2</v>
      </c>
      <c r="IN19" s="208">
        <v>2.2553647830109934E-3</v>
      </c>
      <c r="IO19" s="209">
        <v>-7.4048021244946475E-3</v>
      </c>
      <c r="IS19" s="207">
        <f t="array" ref="IS19:JA28">[1]!eVECTORS(IS6:JA14,200,FALSE)</f>
        <v>2.5537480627212013</v>
      </c>
      <c r="IT19" s="208">
        <v>1.1157922113019816</v>
      </c>
      <c r="IU19" s="208">
        <v>0.63603367862671445</v>
      </c>
      <c r="IV19" s="208">
        <v>0.61806492008189884</v>
      </c>
      <c r="IW19" s="208">
        <v>0.25537499917417961</v>
      </c>
      <c r="IX19" s="208">
        <v>0.17138250689439471</v>
      </c>
      <c r="IY19" s="208">
        <v>3.4768578979678222E-2</v>
      </c>
      <c r="IZ19" s="208">
        <v>2.401888502610583E-3</v>
      </c>
      <c r="JA19" s="209">
        <v>-6.1348498549533836E-3</v>
      </c>
      <c r="JE19" s="207">
        <f t="array" ref="JE19:JM28">[1]!eVECTORS(JE6:JM14,200,FALSE)</f>
        <v>2.5542123768850953</v>
      </c>
      <c r="JF19" s="208">
        <v>1.116853369618533</v>
      </c>
      <c r="JG19" s="208">
        <v>0.6367466624766478</v>
      </c>
      <c r="JH19" s="208">
        <v>0.61866713414083185</v>
      </c>
      <c r="JI19" s="208">
        <v>0.25613803953610859</v>
      </c>
      <c r="JJ19" s="208">
        <v>0.17226394292339087</v>
      </c>
      <c r="JK19" s="208">
        <v>3.5276701658681575E-2</v>
      </c>
      <c r="JL19" s="208">
        <v>2.6041668810193874E-3</v>
      </c>
      <c r="JM19" s="209">
        <v>-5.1955478376275455E-3</v>
      </c>
      <c r="JQ19" s="207">
        <f t="array" ref="JQ19:JY28">[1]!eVECTORS(JQ6:JY14,200,FALSE)</f>
        <v>2.5546071797209966</v>
      </c>
      <c r="JR19" s="208">
        <v>1.1177576147922261</v>
      </c>
      <c r="JS19" s="208">
        <v>0.63737965602540414</v>
      </c>
      <c r="JT19" s="208">
        <v>0.61908903735499077</v>
      </c>
      <c r="JU19" s="208">
        <v>0.25678565104425199</v>
      </c>
      <c r="JV19" s="208">
        <v>0.17303420393751073</v>
      </c>
      <c r="JW19" s="208">
        <v>3.5741759215450496E-2</v>
      </c>
      <c r="JX19" s="208">
        <v>2.7937563668246502E-3</v>
      </c>
      <c r="JY19" s="209">
        <v>-4.4264643373204873E-3</v>
      </c>
      <c r="KC19" s="207">
        <f t="array" ref="KC19:KK28">[1]!eVECTORS(KC6:KK14,200,FALSE)</f>
        <v>2.5549486727894606</v>
      </c>
      <c r="KD19" s="208">
        <v>1.1184487547503639</v>
      </c>
      <c r="KE19" s="208">
        <v>0.63814924414968854</v>
      </c>
      <c r="KF19" s="208">
        <v>0.61955837851920958</v>
      </c>
      <c r="KG19" s="208">
        <v>0.25731252535731175</v>
      </c>
      <c r="KH19" s="208">
        <v>0.17357558502304848</v>
      </c>
      <c r="KI19" s="208">
        <v>3.5986548202648343E-2</v>
      </c>
      <c r="KJ19" s="208">
        <v>2.8940306385738315E-3</v>
      </c>
      <c r="KK19" s="209">
        <v>-3.6848809726241116E-3</v>
      </c>
      <c r="KO19" s="207">
        <f t="array" ref="KO19:KW28">[1]!eVECTORS(KO6:KW14,200,FALSE)</f>
        <v>2.5552344425864177</v>
      </c>
      <c r="KP19" s="208">
        <v>1.1190194365356596</v>
      </c>
      <c r="KQ19" s="208">
        <v>0.63878526901524235</v>
      </c>
      <c r="KR19" s="208">
        <v>0.61994952724760943</v>
      </c>
      <c r="KS19" s="208">
        <v>0.25774894020824918</v>
      </c>
      <c r="KT19" s="208">
        <v>0.17402976678326881</v>
      </c>
      <c r="KU19" s="208">
        <v>3.6197047089965718E-2</v>
      </c>
      <c r="KV19" s="208">
        <v>2.9822721741796223E-3</v>
      </c>
      <c r="KW19" s="209">
        <v>-3.0729622102913536E-3</v>
      </c>
      <c r="LA19" s="207">
        <f t="array" ref="LA19:LI28">[1]!eVECTORS(LA6:LI14,200,FALSE)</f>
        <v>2.5554728702991891</v>
      </c>
      <c r="LB19" s="208">
        <v>1.1194944307593366</v>
      </c>
      <c r="LC19" s="208">
        <v>0.63923724099149748</v>
      </c>
      <c r="LD19" s="208">
        <v>0.62035236507095948</v>
      </c>
      <c r="LE19" s="208">
        <v>0.25811222893592611</v>
      </c>
      <c r="LF19" s="208">
        <v>0.17441001455934013</v>
      </c>
      <c r="LG19" s="208">
        <v>3.6375136095595395E-2</v>
      </c>
      <c r="LH19" s="208">
        <v>3.0387024936294749E-3</v>
      </c>
      <c r="LI19" s="209">
        <v>-2.5462875648888383E-3</v>
      </c>
      <c r="LM19" s="207">
        <f t="array" ref="LM19:LU28">[1]!eVECTORS(LM6:LU14,200,FALSE)</f>
        <v>2.5556678054870972</v>
      </c>
      <c r="LN19" s="208">
        <v>1.119965013537092</v>
      </c>
      <c r="LO19" s="208">
        <v>0.63931216383185419</v>
      </c>
      <c r="LP19" s="208">
        <v>0.6205916029475762</v>
      </c>
      <c r="LQ19" s="208">
        <v>0.25843398673495455</v>
      </c>
      <c r="LR19" s="208">
        <v>0.17486507632246617</v>
      </c>
      <c r="LS19" s="208">
        <v>3.671492388480857E-2</v>
      </c>
      <c r="LT19" s="208">
        <v>3.1642437045135141E-3</v>
      </c>
      <c r="LU19" s="209">
        <v>-2.2218272449172627E-3</v>
      </c>
      <c r="LY19" s="207">
        <f t="array" ref="LY19:MG28">[1]!eVECTORS(LY6:MG14,200,FALSE)</f>
        <v>2.5558395603095825</v>
      </c>
      <c r="LZ19" s="208">
        <v>1.120381859217972</v>
      </c>
      <c r="MA19" s="208">
        <v>0.63941253031503209</v>
      </c>
      <c r="MB19" s="208">
        <v>0.62071495148591882</v>
      </c>
      <c r="MC19" s="208">
        <v>0.25871782477759758</v>
      </c>
      <c r="MD19" s="208">
        <v>0.17528131536001026</v>
      </c>
      <c r="ME19" s="208">
        <v>3.7038032359495557E-2</v>
      </c>
      <c r="MF19" s="208">
        <v>3.3024066354101437E-3</v>
      </c>
      <c r="MG19" s="209">
        <v>-1.9736640106792231E-3</v>
      </c>
      <c r="MK19" s="207">
        <f t="array" ref="MK19:MS28">[1]!eVECTORS(MK6:MS14,200,FALSE)</f>
        <v>2.5559939681701827</v>
      </c>
      <c r="ML19" s="208">
        <v>1.1206847649270992</v>
      </c>
      <c r="MM19" s="208">
        <v>0.63974216658647176</v>
      </c>
      <c r="MN19" s="208">
        <v>0.62092776665717331</v>
      </c>
      <c r="MO19" s="208">
        <v>0.25895018636865591</v>
      </c>
      <c r="MP19" s="208">
        <v>0.17552887020685853</v>
      </c>
      <c r="MQ19" s="208">
        <v>3.7158612735884972E-2</v>
      </c>
      <c r="MR19" s="208">
        <v>3.3539239048576666E-3</v>
      </c>
      <c r="MS19" s="209">
        <v>-1.6517790961668307E-3</v>
      </c>
    </row>
    <row r="20" spans="1:358" ht="14.45" x14ac:dyDescent="0.35">
      <c r="A20">
        <v>17</v>
      </c>
      <c r="B20" s="123">
        <v>2</v>
      </c>
      <c r="C20" s="37">
        <v>8</v>
      </c>
      <c r="D20" s="37">
        <v>3</v>
      </c>
      <c r="E20" s="37">
        <v>2</v>
      </c>
      <c r="F20" s="37">
        <v>6</v>
      </c>
      <c r="G20" s="37">
        <v>7</v>
      </c>
      <c r="H20" s="37">
        <v>4</v>
      </c>
      <c r="I20" s="37">
        <v>5</v>
      </c>
      <c r="J20" s="90">
        <v>7</v>
      </c>
      <c r="Y20" s="83">
        <v>8.8402636328783854E-2</v>
      </c>
      <c r="Z20" s="37">
        <v>0.55855823321387521</v>
      </c>
      <c r="AA20" s="37">
        <v>-0.20090354391153228</v>
      </c>
      <c r="AB20" s="37">
        <v>0.28381106969754355</v>
      </c>
      <c r="AC20" s="37">
        <v>0.50322414099475943</v>
      </c>
      <c r="AD20" s="37">
        <v>-0.24002116938666576</v>
      </c>
      <c r="AE20" s="37">
        <v>0.14529496165793848</v>
      </c>
      <c r="AF20" s="37">
        <v>-0.18488331898562152</v>
      </c>
      <c r="AG20" s="84">
        <v>0.43948782850501977</v>
      </c>
      <c r="AK20" s="83">
        <v>8.8612283121228097E-2</v>
      </c>
      <c r="AL20" s="37">
        <v>0.54949665961287586</v>
      </c>
      <c r="AM20" s="37">
        <v>-0.21499532634571242</v>
      </c>
      <c r="AN20" s="37">
        <v>0.28882993613100238</v>
      </c>
      <c r="AO20" s="37">
        <v>0.50865344667295587</v>
      </c>
      <c r="AP20" s="37">
        <v>-0.23091515539166368</v>
      </c>
      <c r="AQ20" s="37">
        <v>0.1452082058803805</v>
      </c>
      <c r="AR20" s="37">
        <v>-0.1932137427925375</v>
      </c>
      <c r="AS20" s="84">
        <v>0.43599134250310029</v>
      </c>
      <c r="AW20" s="83">
        <v>8.9326688914719871E-2</v>
      </c>
      <c r="AX20" s="37">
        <v>0.54365391764152327</v>
      </c>
      <c r="AY20" s="37">
        <v>-0.23579732380562196</v>
      </c>
      <c r="AZ20" s="37">
        <v>0.28818443644875519</v>
      </c>
      <c r="BA20" s="37">
        <v>0.52272657838252545</v>
      </c>
      <c r="BB20" s="37">
        <v>-0.20514442704035013</v>
      </c>
      <c r="BC20" s="37">
        <v>0.15255965427666721</v>
      </c>
      <c r="BD20" s="37">
        <v>-0.1792885553890079</v>
      </c>
      <c r="BE20" s="84">
        <v>0.43250938400879502</v>
      </c>
      <c r="BI20" s="83">
        <v>9.0268801396472989E-2</v>
      </c>
      <c r="BJ20" s="37">
        <v>0.53987742642658465</v>
      </c>
      <c r="BK20" s="37">
        <v>-0.25748398359253649</v>
      </c>
      <c r="BL20" s="37">
        <v>0.28439501500791159</v>
      </c>
      <c r="BM20" s="37">
        <v>0.52753789841420606</v>
      </c>
      <c r="BN20" s="37">
        <v>-0.201035328846878</v>
      </c>
      <c r="BO20" s="37">
        <v>0.15453473040043486</v>
      </c>
      <c r="BP20" s="37">
        <v>-0.15904574575856237</v>
      </c>
      <c r="BQ20" s="84">
        <v>0.43048508883553466</v>
      </c>
      <c r="BU20" s="83">
        <v>9.1269932287810829E-2</v>
      </c>
      <c r="BV20" s="37">
        <v>0.53725214869825921</v>
      </c>
      <c r="BW20" s="37">
        <v>-0.27991293587699378</v>
      </c>
      <c r="BX20" s="37">
        <v>0.27737891621236321</v>
      </c>
      <c r="BY20" s="37">
        <v>0.52872746484795863</v>
      </c>
      <c r="BZ20" s="37">
        <v>-0.2029416863654272</v>
      </c>
      <c r="CA20" s="37">
        <v>0.15090965655306335</v>
      </c>
      <c r="CB20" s="37">
        <v>-0.14060237449761293</v>
      </c>
      <c r="CC20" s="84">
        <v>0.4294866715558639</v>
      </c>
      <c r="CG20" s="83">
        <v>9.2235733459187147E-2</v>
      </c>
      <c r="CH20" s="37">
        <v>0.53539822324043684</v>
      </c>
      <c r="CI20" s="37">
        <v>-0.30326847302986881</v>
      </c>
      <c r="CJ20" s="37">
        <v>0.26588351603200749</v>
      </c>
      <c r="CK20" s="37">
        <v>0.52812773115542111</v>
      </c>
      <c r="CL20" s="37">
        <v>-0.20593765131072275</v>
      </c>
      <c r="CM20" s="37">
        <v>0.14174116476519152</v>
      </c>
      <c r="CN20" s="37">
        <v>-0.12933252030903875</v>
      </c>
      <c r="CO20" s="84">
        <v>0.42898581089773152</v>
      </c>
      <c r="CS20" s="83">
        <v>9.307799828142603E-2</v>
      </c>
      <c r="CT20" s="37">
        <v>0.53405846491549269</v>
      </c>
      <c r="CU20" s="37">
        <v>-0.32742847600964053</v>
      </c>
      <c r="CV20" s="37">
        <v>0.24825041275481871</v>
      </c>
      <c r="CW20" s="37">
        <v>0.52684943174799503</v>
      </c>
      <c r="CX20" s="37">
        <v>-0.2086281352225253</v>
      </c>
      <c r="CY20" s="37">
        <v>0.12939375570776532</v>
      </c>
      <c r="CZ20" s="37">
        <v>-0.12539686325744887</v>
      </c>
      <c r="DA20" s="84">
        <v>0.42862247734167302</v>
      </c>
      <c r="DE20" s="83">
        <v>9.3794472472661247E-2</v>
      </c>
      <c r="DF20" s="37">
        <v>0.53309352627886064</v>
      </c>
      <c r="DG20" s="37">
        <v>-0.35399468251564975</v>
      </c>
      <c r="DH20" s="37">
        <v>0.22073250545409329</v>
      </c>
      <c r="DI20" s="37">
        <v>0.52526987619007892</v>
      </c>
      <c r="DJ20" s="37">
        <v>-0.21074808927339361</v>
      </c>
      <c r="DK20" s="37">
        <v>0.11686414950734329</v>
      </c>
      <c r="DL20" s="37">
        <v>-0.1249232377718671</v>
      </c>
      <c r="DM20" s="84">
        <v>0.42824358748163138</v>
      </c>
      <c r="DQ20" s="83">
        <v>9.439925471757632E-2</v>
      </c>
      <c r="DR20" s="37">
        <v>0.53240113526937216</v>
      </c>
      <c r="DS20" s="37">
        <v>-0.38280466604084618</v>
      </c>
      <c r="DT20" s="37">
        <v>0.17851721410830032</v>
      </c>
      <c r="DU20" s="37">
        <v>0.52362298036470778</v>
      </c>
      <c r="DV20" s="37">
        <v>-0.21236601690152396</v>
      </c>
      <c r="DW20" s="37">
        <v>0.10493695280470432</v>
      </c>
      <c r="DX20" s="37">
        <v>-0.12642432284054902</v>
      </c>
      <c r="DY20" s="84">
        <v>0.42773213536832833</v>
      </c>
      <c r="EC20" s="83">
        <v>9.4906735644084042E-2</v>
      </c>
      <c r="ED20" s="37">
        <v>0.5319027514581337</v>
      </c>
      <c r="EE20" s="37">
        <v>-0.40910334775663482</v>
      </c>
      <c r="EF20" s="37">
        <v>0.12123697855133969</v>
      </c>
      <c r="EG20" s="37">
        <v>0.5220316991908629</v>
      </c>
      <c r="EH20" s="37">
        <v>-0.21361210785243892</v>
      </c>
      <c r="EI20" s="37">
        <v>-9.3823538040745613E-2</v>
      </c>
      <c r="EJ20" s="37">
        <v>-0.12925504440887853</v>
      </c>
      <c r="EK20" s="84">
        <v>-0.42702607652205199</v>
      </c>
      <c r="EO20" s="83">
        <v>9.5329263101753783E-2</v>
      </c>
      <c r="EP20" s="37">
        <v>0.53153514090426945</v>
      </c>
      <c r="EQ20" s="37">
        <v>-0.42692306371672517</v>
      </c>
      <c r="ER20" s="37">
        <v>5.319070889196649E-2</v>
      </c>
      <c r="ES20" s="37">
        <v>0.52055097455738819</v>
      </c>
      <c r="ET20" s="37">
        <v>-0.21462185353467228</v>
      </c>
      <c r="EU20" s="37">
        <v>8.3554549223631064E-2</v>
      </c>
      <c r="EV20" s="37">
        <v>-0.1330010630440156</v>
      </c>
      <c r="EW20" s="84">
        <v>0.42612635349218414</v>
      </c>
      <c r="FA20" s="83">
        <v>9.5682541549361219E-2</v>
      </c>
      <c r="FB20" s="37">
        <v>0.5312591056019571</v>
      </c>
      <c r="FC20" s="37">
        <v>-0.43167744366745409</v>
      </c>
      <c r="FD20" s="37">
        <v>-3.551997962504206E-2</v>
      </c>
      <c r="FE20" s="37">
        <v>0.51922222681189034</v>
      </c>
      <c r="FF20" s="37">
        <v>-0.21547658841542747</v>
      </c>
      <c r="FG20" s="37">
        <v>7.5383372634087037E-2</v>
      </c>
      <c r="FH20" s="37">
        <v>0.13735181223194895</v>
      </c>
      <c r="FI20" s="84">
        <v>0.42477226306586102</v>
      </c>
      <c r="FM20" s="83">
        <v>9.5980328989697258E-2</v>
      </c>
      <c r="FN20" s="37">
        <v>0.53106861315190912</v>
      </c>
      <c r="FO20" s="37">
        <v>-0.42463836039884567</v>
      </c>
      <c r="FP20" s="37">
        <v>-9.679724758432677E-2</v>
      </c>
      <c r="FQ20" s="37">
        <v>0.51806534134804039</v>
      </c>
      <c r="FR20" s="37">
        <v>-0.21616394104948281</v>
      </c>
      <c r="FS20" s="37">
        <v>6.5454322498974843E-2</v>
      </c>
      <c r="FT20" s="37">
        <v>0.14249724024623298</v>
      </c>
      <c r="FU20" s="84">
        <v>0.4235070025183974</v>
      </c>
      <c r="FY20" s="83">
        <v>9.6223594931534498E-2</v>
      </c>
      <c r="FZ20" s="37">
        <v>0.53091706200670752</v>
      </c>
      <c r="GA20" s="37">
        <v>-0.42578935858689171</v>
      </c>
      <c r="GB20" s="37">
        <v>-0.10042369375397561</v>
      </c>
      <c r="GC20" s="37">
        <v>0.51708175802658551</v>
      </c>
      <c r="GD20" s="37">
        <v>-0.2167225951010589</v>
      </c>
      <c r="GE20" s="37">
        <v>5.7958113598338405E-2</v>
      </c>
      <c r="GF20" s="37">
        <v>-0.14785328479425419</v>
      </c>
      <c r="GG20" s="84">
        <v>0.42181113359898315</v>
      </c>
      <c r="GK20" s="83">
        <v>9.6434743026249728E-2</v>
      </c>
      <c r="GL20" s="37">
        <v>0.53080870466468255</v>
      </c>
      <c r="GM20" s="37">
        <v>-0.42277167746614142</v>
      </c>
      <c r="GN20" s="37">
        <v>-0.11882627145356875</v>
      </c>
      <c r="GO20" s="37">
        <v>0.51632819188003132</v>
      </c>
      <c r="GP20" s="37">
        <v>-0.21722404062987608</v>
      </c>
      <c r="GQ20" s="37">
        <v>5.1231262743414795E-2</v>
      </c>
      <c r="GR20" s="37">
        <v>-0.15213460315983834</v>
      </c>
      <c r="GS20" s="84">
        <v>0.42016213539062547</v>
      </c>
      <c r="GW20" s="83">
        <v>9.66126830442363E-2</v>
      </c>
      <c r="GX20" s="37">
        <v>0.53072839593982024</v>
      </c>
      <c r="GY20" s="37">
        <v>-0.42072963825158161</v>
      </c>
      <c r="GZ20" s="37">
        <v>-0.13067250084651175</v>
      </c>
      <c r="HA20" s="37">
        <v>0.51571566458898965</v>
      </c>
      <c r="HB20" s="37">
        <v>-0.21764151655789576</v>
      </c>
      <c r="HC20" s="37">
        <v>4.5465242919711428E-2</v>
      </c>
      <c r="HD20" s="37">
        <v>-0.15598770038094104</v>
      </c>
      <c r="HE20" s="84">
        <v>0.41853900752664069</v>
      </c>
      <c r="HI20" s="83">
        <v>9.6762998597820171E-2</v>
      </c>
      <c r="HJ20" s="37">
        <v>0.53066775249129849</v>
      </c>
      <c r="HK20" s="37">
        <v>-0.40775707934853211</v>
      </c>
      <c r="HL20" s="37">
        <v>-0.16987469038632563</v>
      </c>
      <c r="HM20" s="37">
        <v>0.51521835449596753</v>
      </c>
      <c r="HN20" s="37">
        <v>-0.21799357217148183</v>
      </c>
      <c r="HO20" s="37">
        <v>4.0533207949563659E-2</v>
      </c>
      <c r="HP20" s="37">
        <v>-0.16186881673436818</v>
      </c>
      <c r="HQ20" s="84">
        <v>-0.41604063176595496</v>
      </c>
      <c r="HU20" s="83">
        <v>9.6874428551726774E-2</v>
      </c>
      <c r="HV20" s="37">
        <v>0.53060323612831206</v>
      </c>
      <c r="HW20" s="37">
        <v>-0.40338508415920354</v>
      </c>
      <c r="HX20" s="37">
        <v>-0.18206991685987656</v>
      </c>
      <c r="HY20" s="37">
        <v>0.5147271711321918</v>
      </c>
      <c r="HZ20" s="37">
        <v>-0.21828113018855819</v>
      </c>
      <c r="IA20" s="37">
        <v>3.6501265125285405E-2</v>
      </c>
      <c r="IB20" s="37">
        <v>-0.16842776728440487</v>
      </c>
      <c r="IC20" s="84">
        <v>-0.41341940267620519</v>
      </c>
      <c r="IG20" s="83">
        <v>9.6965443811496008E-2</v>
      </c>
      <c r="IH20" s="37">
        <v>0.53054799639368411</v>
      </c>
      <c r="II20" s="37">
        <v>-0.3999510039081593</v>
      </c>
      <c r="IJ20" s="37">
        <v>-0.19107768356854046</v>
      </c>
      <c r="IK20" s="37">
        <v>0.51431831265600936</v>
      </c>
      <c r="IL20" s="37">
        <v>-0.2185323855227394</v>
      </c>
      <c r="IM20" s="37">
        <v>3.3105191768456138E-2</v>
      </c>
      <c r="IN20" s="37">
        <v>-0.17520607603983457</v>
      </c>
      <c r="IO20" s="84">
        <v>-0.4105754333677743</v>
      </c>
      <c r="IS20" s="83">
        <v>9.7039813141903492E-2</v>
      </c>
      <c r="IT20" s="37">
        <v>0.5304998428004768</v>
      </c>
      <c r="IU20" s="37">
        <v>-0.40982508755273417</v>
      </c>
      <c r="IV20" s="37">
        <v>-0.17029940713242211</v>
      </c>
      <c r="IW20" s="37">
        <v>0.51397806145025371</v>
      </c>
      <c r="IX20" s="37">
        <v>-0.21875272617091893</v>
      </c>
      <c r="IY20" s="37">
        <v>3.0289968944547746E-2</v>
      </c>
      <c r="IZ20" s="37">
        <v>-0.17255710492652207</v>
      </c>
      <c r="JA20" s="84">
        <v>0.41167348889397504</v>
      </c>
      <c r="JE20" s="83">
        <v>9.7118601955823045E-2</v>
      </c>
      <c r="JF20" s="37">
        <v>0.5304800519031333</v>
      </c>
      <c r="JG20" s="37">
        <v>-0.41137916426913568</v>
      </c>
      <c r="JH20" s="37">
        <v>-0.16809691658239076</v>
      </c>
      <c r="JI20" s="37">
        <v>0.51379407973782054</v>
      </c>
      <c r="JJ20" s="37">
        <v>-0.21894575246207998</v>
      </c>
      <c r="JK20" s="37">
        <v>2.7857113567855311E-2</v>
      </c>
      <c r="JL20" s="37">
        <v>-0.17339373689306628</v>
      </c>
      <c r="JM20" s="84">
        <v>0.41098235468548383</v>
      </c>
      <c r="JQ20" s="83">
        <v>9.718705899641189E-2</v>
      </c>
      <c r="JR20" s="37">
        <v>0.53046403355861171</v>
      </c>
      <c r="JS20" s="37">
        <v>-0.40163064551709832</v>
      </c>
      <c r="JT20" s="37">
        <v>-0.19142412490528146</v>
      </c>
      <c r="JU20" s="37">
        <v>0.51364961333753567</v>
      </c>
      <c r="JV20" s="37">
        <v>-0.21911573893979802</v>
      </c>
      <c r="JW20" s="37">
        <v>2.5787931728858231E-2</v>
      </c>
      <c r="JX20" s="37">
        <v>-0.18738340444951843</v>
      </c>
      <c r="JY20" s="84">
        <v>-0.40445892700155384</v>
      </c>
      <c r="KC20" s="83">
        <v>9.7230351919788474E-2</v>
      </c>
      <c r="KD20" s="37">
        <v>0.53043154330395803</v>
      </c>
      <c r="KE20" s="37">
        <v>-0.40018209408113481</v>
      </c>
      <c r="KF20" s="37">
        <v>-0.19514653015126981</v>
      </c>
      <c r="KG20" s="37">
        <v>0.51344494788631967</v>
      </c>
      <c r="KH20" s="37">
        <v>-0.21926042370249796</v>
      </c>
      <c r="KI20" s="37">
        <v>2.4081143974937609E-2</v>
      </c>
      <c r="KJ20" s="37">
        <v>0.19334656237397682</v>
      </c>
      <c r="KK20" s="84">
        <v>0.40161812370874611</v>
      </c>
      <c r="KO20" s="83">
        <v>9.726591246312366E-2</v>
      </c>
      <c r="KP20" s="37">
        <v>0.53040283679337252</v>
      </c>
      <c r="KQ20" s="37">
        <v>-0.39903763092883554</v>
      </c>
      <c r="KR20" s="37">
        <v>-0.19804800418230339</v>
      </c>
      <c r="KS20" s="37">
        <v>0.51327465846263443</v>
      </c>
      <c r="KT20" s="37">
        <v>-0.21938654790023809</v>
      </c>
      <c r="KU20" s="37">
        <v>2.2663875641217815E-2</v>
      </c>
      <c r="KV20" s="37">
        <v>0.20319249543806403</v>
      </c>
      <c r="KW20" s="84">
        <v>0.39670638544825937</v>
      </c>
      <c r="LA20" s="83">
        <v>9.7295560726547395E-2</v>
      </c>
      <c r="LB20" s="37">
        <v>0.53037891166014373</v>
      </c>
      <c r="LC20" s="37">
        <v>-0.40967906988140518</v>
      </c>
      <c r="LD20" s="37">
        <v>-0.17551347336348946</v>
      </c>
      <c r="LE20" s="37">
        <v>0.51313304555809314</v>
      </c>
      <c r="LF20" s="37">
        <v>-0.21949264909252919</v>
      </c>
      <c r="LG20" s="37">
        <v>2.1513110842864957E-2</v>
      </c>
      <c r="LH20" s="37">
        <v>-0.17989258246037021</v>
      </c>
      <c r="LI20" s="84">
        <v>0.40777832665103442</v>
      </c>
      <c r="LM20" s="83">
        <v>9.733586216051815E-2</v>
      </c>
      <c r="LN20" s="37">
        <v>0.53037372724477594</v>
      </c>
      <c r="LO20" s="37">
        <v>-0.41241923041763434</v>
      </c>
      <c r="LP20" s="37">
        <v>-0.16977683230504925</v>
      </c>
      <c r="LQ20" s="37">
        <v>0.5131087968029171</v>
      </c>
      <c r="LR20" s="37">
        <v>-0.21959938524546269</v>
      </c>
      <c r="LS20" s="37">
        <v>2.0592468900404993E-2</v>
      </c>
      <c r="LT20" s="37">
        <v>-0.17802386989736213</v>
      </c>
      <c r="LU20" s="84">
        <v>0.4082824630017427</v>
      </c>
      <c r="LY20" s="83">
        <v>9.7372540554505047E-2</v>
      </c>
      <c r="LZ20" s="37">
        <v>0.53036965877217535</v>
      </c>
      <c r="MA20" s="37">
        <v>-0.40447338023527973</v>
      </c>
      <c r="MB20" s="37">
        <v>-0.18858380740565667</v>
      </c>
      <c r="MC20" s="37">
        <v>0.51309594687976257</v>
      </c>
      <c r="MD20" s="37">
        <v>-0.21969732080681414</v>
      </c>
      <c r="ME20" s="37">
        <v>1.9781064494331684E-2</v>
      </c>
      <c r="MF20" s="37">
        <v>-0.20143779738577267</v>
      </c>
      <c r="MG20" s="84">
        <v>0.39693980080484392</v>
      </c>
      <c r="MK20" s="83">
        <v>9.739135827031159E-2</v>
      </c>
      <c r="ML20" s="37">
        <v>0.53035298845481416</v>
      </c>
      <c r="MM20" s="37">
        <v>-0.40394318732577156</v>
      </c>
      <c r="MN20" s="37">
        <v>-0.19002902305500718</v>
      </c>
      <c r="MO20" s="37">
        <v>0.51300569460423906</v>
      </c>
      <c r="MP20" s="37">
        <v>-0.2197684000508755</v>
      </c>
      <c r="MQ20" s="37">
        <v>1.9035211217912507E-2</v>
      </c>
      <c r="MR20" s="37">
        <v>-0.20525095812297223</v>
      </c>
      <c r="MS20" s="84">
        <v>0.39496356205017058</v>
      </c>
    </row>
    <row r="21" spans="1:358" ht="14.45" x14ac:dyDescent="0.35">
      <c r="A21">
        <v>18</v>
      </c>
      <c r="B21" s="123">
        <v>4</v>
      </c>
      <c r="C21" s="37">
        <v>8</v>
      </c>
      <c r="D21" s="37">
        <v>4</v>
      </c>
      <c r="E21" s="37">
        <v>2</v>
      </c>
      <c r="F21" s="37">
        <v>7</v>
      </c>
      <c r="G21" s="37">
        <v>8</v>
      </c>
      <c r="H21" s="37">
        <v>4</v>
      </c>
      <c r="I21" s="37">
        <v>5</v>
      </c>
      <c r="J21" s="90">
        <v>7</v>
      </c>
      <c r="Y21" s="83">
        <v>-0.40750465899230859</v>
      </c>
      <c r="Z21" s="37">
        <v>-0.31467503901092903</v>
      </c>
      <c r="AA21" s="37">
        <v>-0.23677454403101655</v>
      </c>
      <c r="AB21" s="37">
        <v>-0.22045279175777005</v>
      </c>
      <c r="AC21" s="37">
        <v>0.60350044319081397</v>
      </c>
      <c r="AD21" s="37">
        <v>-0.12793721354694604</v>
      </c>
      <c r="AE21" s="37">
        <v>0.24069627592965742</v>
      </c>
      <c r="AF21" s="37">
        <v>-0.17886456015651814</v>
      </c>
      <c r="AG21" s="84">
        <v>-0.39968739154504423</v>
      </c>
      <c r="AK21" s="83">
        <v>-0.40657560543336779</v>
      </c>
      <c r="AL21" s="37">
        <v>-0.308341251916462</v>
      </c>
      <c r="AM21" s="37">
        <v>-0.22124623863914278</v>
      </c>
      <c r="AN21" s="37">
        <v>-0.23072329416752971</v>
      </c>
      <c r="AO21" s="37">
        <v>0.60855305250345371</v>
      </c>
      <c r="AP21" s="37">
        <v>-8.9438251657102841E-2</v>
      </c>
      <c r="AQ21" s="37">
        <v>0.24353819001694885</v>
      </c>
      <c r="AR21" s="37">
        <v>-0.18661520517957678</v>
      </c>
      <c r="AS21" s="84">
        <v>-0.40616094036464107</v>
      </c>
      <c r="AW21" s="83">
        <v>-0.40797124131961315</v>
      </c>
      <c r="AX21" s="37">
        <v>-0.30354680588421129</v>
      </c>
      <c r="AY21" s="37">
        <v>-0.21286216994684079</v>
      </c>
      <c r="AZ21" s="37">
        <v>-0.23703199349074228</v>
      </c>
      <c r="BA21" s="37">
        <v>0.6213340136338813</v>
      </c>
      <c r="BB21" s="37">
        <v>-3.5201485655207199E-2</v>
      </c>
      <c r="BC21" s="37">
        <v>0.24766894457700145</v>
      </c>
      <c r="BD21" s="37">
        <v>-0.15174145016863577</v>
      </c>
      <c r="BE21" s="84">
        <v>-0.41019977896515897</v>
      </c>
      <c r="BI21" s="83">
        <v>-0.40984364994716321</v>
      </c>
      <c r="BJ21" s="37">
        <v>-0.29916361349059328</v>
      </c>
      <c r="BK21" s="37">
        <v>-0.20765495005553361</v>
      </c>
      <c r="BL21" s="37">
        <v>-0.24264800552103125</v>
      </c>
      <c r="BM21" s="37">
        <v>0.62918719272105761</v>
      </c>
      <c r="BN21" s="37">
        <v>-1.7857737842235235E-2</v>
      </c>
      <c r="BO21" s="37">
        <v>0.2463992219119506</v>
      </c>
      <c r="BP21" s="37">
        <v>-0.11453804794626138</v>
      </c>
      <c r="BQ21" s="84">
        <v>-0.41292095953600427</v>
      </c>
      <c r="BU21" s="83">
        <v>-0.41183602061642671</v>
      </c>
      <c r="BV21" s="37">
        <v>-0.29519075889901691</v>
      </c>
      <c r="BW21" s="37">
        <v>-0.20291836294706031</v>
      </c>
      <c r="BX21" s="37">
        <v>-0.24904402831056832</v>
      </c>
      <c r="BY21" s="37">
        <v>0.63445758201656255</v>
      </c>
      <c r="BZ21" s="37">
        <v>-1.4227658552803585E-2</v>
      </c>
      <c r="CA21" s="37">
        <v>0.24235507889249816</v>
      </c>
      <c r="CB21" s="37">
        <v>-8.2267694214649689E-2</v>
      </c>
      <c r="CC21" s="84">
        <v>-0.41450200301397494</v>
      </c>
      <c r="CG21" s="83">
        <v>-0.41373676997682257</v>
      </c>
      <c r="CH21" s="37">
        <v>-0.29169815143175359</v>
      </c>
      <c r="CI21" s="37">
        <v>-0.19633028803593994</v>
      </c>
      <c r="CJ21" s="37">
        <v>-0.25731449382675814</v>
      </c>
      <c r="CK21" s="37">
        <v>0.63768700562896374</v>
      </c>
      <c r="CL21" s="37">
        <v>-1.5421103541717147E-2</v>
      </c>
      <c r="CM21" s="37">
        <v>0.23704859810283926</v>
      </c>
      <c r="CN21" s="37">
        <v>-5.9816580475306462E-2</v>
      </c>
      <c r="CO21" s="84">
        <v>-0.41512065010317695</v>
      </c>
      <c r="CS21" s="83">
        <v>-0.41537182943172446</v>
      </c>
      <c r="CT21" s="37">
        <v>-0.2888113719901938</v>
      </c>
      <c r="CU21" s="37">
        <v>-0.18560023356431976</v>
      </c>
      <c r="CV21" s="37">
        <v>-0.26814037690543696</v>
      </c>
      <c r="CW21" s="37">
        <v>0.63952355556473617</v>
      </c>
      <c r="CX21" s="37">
        <v>-1.7541658128908143E-2</v>
      </c>
      <c r="CY21" s="37">
        <v>0.2321542110268337</v>
      </c>
      <c r="CZ21" s="37">
        <v>-4.7537257594729584E-2</v>
      </c>
      <c r="DA21" s="84">
        <v>-0.41503502243590218</v>
      </c>
      <c r="DE21" s="83">
        <v>-0.41674927155371377</v>
      </c>
      <c r="DF21" s="37">
        <v>-0.28643610583981477</v>
      </c>
      <c r="DG21" s="37">
        <v>-0.1674888700323037</v>
      </c>
      <c r="DH21" s="37">
        <v>-0.28246543149631897</v>
      </c>
      <c r="DI21" s="37">
        <v>0.64054827456629493</v>
      </c>
      <c r="DJ21" s="37">
        <v>-1.9893458528165906E-2</v>
      </c>
      <c r="DK21" s="37">
        <v>0.22894712461511593</v>
      </c>
      <c r="DL21" s="37">
        <v>-3.9396778883939602E-2</v>
      </c>
      <c r="DM21" s="84">
        <v>-0.41444954645606474</v>
      </c>
      <c r="DQ21" s="83">
        <v>-0.41789976873653767</v>
      </c>
      <c r="DR21" s="37">
        <v>-0.28447792237374869</v>
      </c>
      <c r="DS21" s="37">
        <v>-0.13824349407668282</v>
      </c>
      <c r="DT21" s="37">
        <v>-0.30012164627455074</v>
      </c>
      <c r="DU21" s="37">
        <v>0.64108165345375445</v>
      </c>
      <c r="DV21" s="37">
        <v>-2.2193197448287919E-2</v>
      </c>
      <c r="DW21" s="37">
        <v>0.22732108125618625</v>
      </c>
      <c r="DX21" s="37">
        <v>-3.3107411507411193E-2</v>
      </c>
      <c r="DY21" s="84">
        <v>-0.41351980565216645</v>
      </c>
      <c r="EC21" s="83">
        <v>-0.41885708438849734</v>
      </c>
      <c r="ED21" s="37">
        <v>-0.28286858909819068</v>
      </c>
      <c r="EE21" s="37">
        <v>-9.7611973829361098E-2</v>
      </c>
      <c r="EF21" s="37">
        <v>-0.31755508212187261</v>
      </c>
      <c r="EG21" s="37">
        <v>0.64131866787843483</v>
      </c>
      <c r="EH21" s="37">
        <v>-2.4359802507732689E-2</v>
      </c>
      <c r="EI21" s="37">
        <v>-0.22693613600270685</v>
      </c>
      <c r="EJ21" s="37">
        <v>-2.7652210849280989E-2</v>
      </c>
      <c r="EK21" s="84">
        <v>0.41234341052888712</v>
      </c>
      <c r="EO21" s="83">
        <v>-0.41965246204727313</v>
      </c>
      <c r="EP21" s="37">
        <v>-0.28156265652882623</v>
      </c>
      <c r="EQ21" s="37">
        <v>-4.8675284777111326E-2</v>
      </c>
      <c r="ER21" s="37">
        <v>-0.33021329424914209</v>
      </c>
      <c r="ES21" s="37">
        <v>0.64138582185716542</v>
      </c>
      <c r="ET21" s="37">
        <v>-2.6424963995948063E-2</v>
      </c>
      <c r="EU21" s="37">
        <v>0.22744213011686856</v>
      </c>
      <c r="EV21" s="37">
        <v>-2.2701081046823623E-2</v>
      </c>
      <c r="EW21" s="84">
        <v>-0.41095603860354246</v>
      </c>
      <c r="FA21" s="83">
        <v>-0.42031272185650725</v>
      </c>
      <c r="FB21" s="37">
        <v>-0.28049768051832591</v>
      </c>
      <c r="FC21" s="37">
        <v>1.667956037308204E-2</v>
      </c>
      <c r="FD21" s="37">
        <v>-0.33474404897334376</v>
      </c>
      <c r="FE21" s="37">
        <v>0.64135433923723462</v>
      </c>
      <c r="FF21" s="37">
        <v>-2.8347070185339725E-2</v>
      </c>
      <c r="FG21" s="37">
        <v>0.22721893689045497</v>
      </c>
      <c r="FH21" s="37">
        <v>1.8357264000677557E-2</v>
      </c>
      <c r="FI21" s="84">
        <v>-0.41014887753395657</v>
      </c>
      <c r="FM21" s="83">
        <v>-0.42086058942129079</v>
      </c>
      <c r="FN21" s="37">
        <v>-0.27960853306997668</v>
      </c>
      <c r="FO21" s="37">
        <v>6.131287088724019E-2</v>
      </c>
      <c r="FP21" s="37">
        <v>-0.33067999375002877</v>
      </c>
      <c r="FQ21" s="37">
        <v>0.64125409351303631</v>
      </c>
      <c r="FR21" s="37">
        <v>-3.0007053394090905E-2</v>
      </c>
      <c r="FS21" s="37">
        <v>0.2299055377391124</v>
      </c>
      <c r="FT21" s="37">
        <v>1.3636661235463109E-2</v>
      </c>
      <c r="FU21" s="84">
        <v>-0.40796710111243079</v>
      </c>
      <c r="FY21" s="83">
        <v>-0.4213046434511093</v>
      </c>
      <c r="FZ21" s="37">
        <v>-0.27888775055399323</v>
      </c>
      <c r="GA21" s="37">
        <v>6.1709365392736762E-2</v>
      </c>
      <c r="GB21" s="37">
        <v>-0.33158488745763398</v>
      </c>
      <c r="GC21" s="37">
        <v>0.64113165331721322</v>
      </c>
      <c r="GD21" s="37">
        <v>-3.1402062074546239E-2</v>
      </c>
      <c r="GE21" s="37">
        <v>0.23149798887817258</v>
      </c>
      <c r="GF21" s="37">
        <v>-8.9113905791811769E-3</v>
      </c>
      <c r="GG21" s="84">
        <v>-0.40652283884858009</v>
      </c>
      <c r="GK21" s="83">
        <v>-0.4216558849618573</v>
      </c>
      <c r="GL21" s="37">
        <v>-0.27824785820063641</v>
      </c>
      <c r="GM21" s="37">
        <v>7.446889909296546E-2</v>
      </c>
      <c r="GN21" s="37">
        <v>-0.32987036679925053</v>
      </c>
      <c r="GO21" s="37">
        <v>0.6409793085450215</v>
      </c>
      <c r="GP21" s="37">
        <v>-3.2419692320066279E-2</v>
      </c>
      <c r="GQ21" s="37">
        <v>0.23294415896844353</v>
      </c>
      <c r="GR21" s="37">
        <v>-6.4200183439443578E-3</v>
      </c>
      <c r="GS21" s="84">
        <v>-0.40523408049344045</v>
      </c>
      <c r="GW21" s="83">
        <v>-0.42194078349157932</v>
      </c>
      <c r="GX21" s="37">
        <v>-0.27770357387058214</v>
      </c>
      <c r="GY21" s="37">
        <v>8.248330028678745E-2</v>
      </c>
      <c r="GZ21" s="37">
        <v>-0.32873918471287755</v>
      </c>
      <c r="HA21" s="37">
        <v>0.64082543555210902</v>
      </c>
      <c r="HB21" s="37">
        <v>-3.3216762455271373E-2</v>
      </c>
      <c r="HC21" s="37">
        <v>0.23426594051061966</v>
      </c>
      <c r="HD21" s="37">
        <v>-4.3113557695736542E-3</v>
      </c>
      <c r="HE21" s="84">
        <v>-0.40412132220865338</v>
      </c>
      <c r="HI21" s="83">
        <v>-0.42217283590842042</v>
      </c>
      <c r="HJ21" s="37">
        <v>-0.27723984478483327</v>
      </c>
      <c r="HK21" s="37">
        <v>0.11224398122906225</v>
      </c>
      <c r="HL21" s="37">
        <v>-0.32048611401246202</v>
      </c>
      <c r="HM21" s="37">
        <v>0.64067790477527531</v>
      </c>
      <c r="HN21" s="37">
        <v>-3.3844010406034276E-2</v>
      </c>
      <c r="HO21" s="37">
        <v>0.23542745356108052</v>
      </c>
      <c r="HP21" s="37">
        <v>-1.9026916870313809E-4</v>
      </c>
      <c r="HQ21" s="84">
        <v>0.4031853019240067</v>
      </c>
      <c r="HU21" s="83">
        <v>-0.42237094987223767</v>
      </c>
      <c r="HV21" s="37">
        <v>-0.27691862513790916</v>
      </c>
      <c r="HW21" s="37">
        <v>0.12074941041309128</v>
      </c>
      <c r="HX21" s="37">
        <v>-0.3178647009833736</v>
      </c>
      <c r="HY21" s="37">
        <v>0.64057287422242681</v>
      </c>
      <c r="HZ21" s="37">
        <v>-3.4568332206656359E-2</v>
      </c>
      <c r="IA21" s="37">
        <v>0.23663797403488773</v>
      </c>
      <c r="IB21" s="37">
        <v>5.6518604005682364E-3</v>
      </c>
      <c r="IC21" s="84">
        <v>0.40217212291124699</v>
      </c>
      <c r="IG21" s="83">
        <v>-0.42253231705930477</v>
      </c>
      <c r="IH21" s="37">
        <v>-0.27665844498097047</v>
      </c>
      <c r="II21" s="37">
        <v>0.12697415091964401</v>
      </c>
      <c r="IJ21" s="37">
        <v>-0.31583321163552519</v>
      </c>
      <c r="IK21" s="37">
        <v>0.64048106141029171</v>
      </c>
      <c r="IL21" s="37">
        <v>-3.5187243891590107E-2</v>
      </c>
      <c r="IM21" s="37">
        <v>0.23768362930201858</v>
      </c>
      <c r="IN21" s="37">
        <v>1.1738297906982944E-2</v>
      </c>
      <c r="IO21" s="84">
        <v>0.40120825745933913</v>
      </c>
      <c r="IS21" s="83">
        <v>-0.42266397331216615</v>
      </c>
      <c r="IT21" s="37">
        <v>-0.27644765167755919</v>
      </c>
      <c r="IU21" s="37">
        <v>0.10988003089122386</v>
      </c>
      <c r="IV21" s="37">
        <v>-0.32250575834511119</v>
      </c>
      <c r="IW21" s="37">
        <v>0.64040204156732494</v>
      </c>
      <c r="IX21" s="37">
        <v>-3.57170694302925E-2</v>
      </c>
      <c r="IY21" s="37">
        <v>0.2385620866816584</v>
      </c>
      <c r="IZ21" s="37">
        <v>8.6980370492978788E-3</v>
      </c>
      <c r="JA21" s="84">
        <v>-0.40058740275851829</v>
      </c>
      <c r="JE21" s="83">
        <v>-0.42276204966550202</v>
      </c>
      <c r="JF21" s="37">
        <v>-0.27618848237143417</v>
      </c>
      <c r="JG21" s="37">
        <v>0.10790574844241524</v>
      </c>
      <c r="JH21" s="37">
        <v>-0.32353558673464206</v>
      </c>
      <c r="JI21" s="37">
        <v>0.64029484254201685</v>
      </c>
      <c r="JJ21" s="37">
        <v>-3.5889256777848398E-2</v>
      </c>
      <c r="JK21" s="37">
        <v>0.23904018986078857</v>
      </c>
      <c r="JL21" s="37">
        <v>8.2210091315834902E-3</v>
      </c>
      <c r="JM21" s="84">
        <v>-0.40024982653280816</v>
      </c>
      <c r="JQ21" s="83">
        <v>-0.4228431148670963</v>
      </c>
      <c r="JR21" s="37">
        <v>-0.27596087012015419</v>
      </c>
      <c r="JS21" s="37">
        <v>0.12614001135729894</v>
      </c>
      <c r="JT21" s="37">
        <v>-0.3172000184383556</v>
      </c>
      <c r="JU21" s="37">
        <v>0.64019852026920487</v>
      </c>
      <c r="JV21" s="37">
        <v>-3.6013185215835325E-2</v>
      </c>
      <c r="JW21" s="37">
        <v>0.23939780939582847</v>
      </c>
      <c r="JX21" s="37">
        <v>2.0714004557428296E-2</v>
      </c>
      <c r="JY21" s="84">
        <v>0.39953806854530299</v>
      </c>
      <c r="KC21" s="83">
        <v>-0.42291959204638885</v>
      </c>
      <c r="KD21" s="37">
        <v>-0.27584012274502095</v>
      </c>
      <c r="KE21" s="37">
        <v>0.12867890925046646</v>
      </c>
      <c r="KF21" s="37">
        <v>-0.31637767342886869</v>
      </c>
      <c r="KG21" s="37">
        <v>0.64014808482517627</v>
      </c>
      <c r="KH21" s="37">
        <v>-3.6349012744338417E-2</v>
      </c>
      <c r="KI21" s="37">
        <v>0.23993567749839906</v>
      </c>
      <c r="KJ21" s="37">
        <v>-2.6275476969713583E-2</v>
      </c>
      <c r="KK21" s="84">
        <v>-0.39878289852718524</v>
      </c>
      <c r="KO21" s="83">
        <v>-0.42298237204694533</v>
      </c>
      <c r="KP21" s="37">
        <v>-0.275741531974115</v>
      </c>
      <c r="KQ21" s="37">
        <v>0.13064862564611673</v>
      </c>
      <c r="KR21" s="37">
        <v>-0.31573506272683038</v>
      </c>
      <c r="KS21" s="37">
        <v>0.64010573470938015</v>
      </c>
      <c r="KT21" s="37">
        <v>-3.6635217490409586E-2</v>
      </c>
      <c r="KU21" s="37">
        <v>0.24037698651463438</v>
      </c>
      <c r="KV21" s="37">
        <v>-3.5783489544533351E-2</v>
      </c>
      <c r="KW21" s="84">
        <v>-0.3976880469985557</v>
      </c>
      <c r="LA21" s="83">
        <v>-0.42303444507410154</v>
      </c>
      <c r="LB21" s="37">
        <v>-0.27565933182700186</v>
      </c>
      <c r="LC21" s="37">
        <v>0.11258768086902234</v>
      </c>
      <c r="LD21" s="37">
        <v>-0.32275237985156047</v>
      </c>
      <c r="LE21" s="37">
        <v>0.64006967734223086</v>
      </c>
      <c r="LF21" s="37">
        <v>-3.6873632660270238E-2</v>
      </c>
      <c r="LG21" s="37">
        <v>0.24073426855612182</v>
      </c>
      <c r="LH21" s="37">
        <v>1.2483838593475304E-2</v>
      </c>
      <c r="LI21" s="84">
        <v>-0.39881200527616267</v>
      </c>
      <c r="LM21" s="83">
        <v>-0.42306668655585949</v>
      </c>
      <c r="LN21" s="37">
        <v>-0.27551315094069151</v>
      </c>
      <c r="LO21" s="37">
        <v>0.10819021634101315</v>
      </c>
      <c r="LP21" s="37">
        <v>-0.3244530828206354</v>
      </c>
      <c r="LQ21" s="37">
        <v>0.64000323165454132</v>
      </c>
      <c r="LR21" s="37">
        <v>-3.683271757182336E-2</v>
      </c>
      <c r="LS21" s="37">
        <v>0.24068507707495235</v>
      </c>
      <c r="LT21" s="37">
        <v>9.6525409899606649E-3</v>
      </c>
      <c r="LU21" s="84">
        <v>-0.39893469770819096</v>
      </c>
      <c r="LY21" s="83">
        <v>-0.42309385500108299</v>
      </c>
      <c r="LZ21" s="37">
        <v>-0.27537905329609308</v>
      </c>
      <c r="MA21" s="37">
        <v>0.12315752603084849</v>
      </c>
      <c r="MB21" s="37">
        <v>-0.31926278112476447</v>
      </c>
      <c r="MC21" s="37">
        <v>0.63994244106511666</v>
      </c>
      <c r="MD21" s="37">
        <v>-3.6781981148501543E-2</v>
      </c>
      <c r="ME21" s="37">
        <v>0.24059802449641396</v>
      </c>
      <c r="MF21" s="37">
        <v>3.1845924556050169E-2</v>
      </c>
      <c r="MG21" s="84">
        <v>-0.3978450111796244</v>
      </c>
      <c r="MK21" s="83">
        <v>-0.42312667204824916</v>
      </c>
      <c r="ML21" s="37">
        <v>-0.27532697951637503</v>
      </c>
      <c r="MM21" s="37">
        <v>0.12413491642277955</v>
      </c>
      <c r="MN21" s="37">
        <v>-0.31897276346731745</v>
      </c>
      <c r="MO21" s="37">
        <v>0.63991885529981929</v>
      </c>
      <c r="MP21" s="37">
        <v>-3.6937652997824713E-2</v>
      </c>
      <c r="MQ21" s="37">
        <v>0.24082527189002945</v>
      </c>
      <c r="MR21" s="37">
        <v>3.5496537453728536E-2</v>
      </c>
      <c r="MS21" s="84">
        <v>-0.39735176495539209</v>
      </c>
    </row>
    <row r="22" spans="1:358" ht="14.45" x14ac:dyDescent="0.35">
      <c r="A22">
        <v>19</v>
      </c>
      <c r="B22" s="123">
        <v>2</v>
      </c>
      <c r="C22" s="37">
        <v>8</v>
      </c>
      <c r="D22" s="37">
        <v>2</v>
      </c>
      <c r="E22" s="37">
        <v>3</v>
      </c>
      <c r="F22" s="37">
        <v>5</v>
      </c>
      <c r="G22" s="37">
        <v>4</v>
      </c>
      <c r="H22" s="37">
        <v>6</v>
      </c>
      <c r="I22" s="37">
        <v>4</v>
      </c>
      <c r="J22" s="90">
        <v>9</v>
      </c>
      <c r="Y22" s="83">
        <v>-0.48390097535696686</v>
      </c>
      <c r="Z22" s="37">
        <v>0.34756841205111666</v>
      </c>
      <c r="AA22" s="37">
        <v>-0.27918762093491178</v>
      </c>
      <c r="AB22" s="37">
        <v>-0.22501120436789246</v>
      </c>
      <c r="AC22" s="37">
        <v>-7.0415437085041443E-2</v>
      </c>
      <c r="AD22" s="37">
        <v>-0.18867443134439085</v>
      </c>
      <c r="AE22" s="37">
        <v>-0.28725487309996839</v>
      </c>
      <c r="AF22" s="37">
        <v>0.62713259981121661</v>
      </c>
      <c r="AG22" s="84">
        <v>9.6561135968416967E-3</v>
      </c>
      <c r="AK22" s="83">
        <v>-0.48524223242068526</v>
      </c>
      <c r="AL22" s="37">
        <v>0.34585291630976189</v>
      </c>
      <c r="AM22" s="37">
        <v>-0.28061704702544255</v>
      </c>
      <c r="AN22" s="37">
        <v>-0.22726817825624862</v>
      </c>
      <c r="AO22" s="37">
        <v>-6.7015946324590556E-2</v>
      </c>
      <c r="AP22" s="37">
        <v>-0.21312774638458937</v>
      </c>
      <c r="AQ22" s="37">
        <v>-0.26044122728649594</v>
      </c>
      <c r="AR22" s="37">
        <v>0.62987907025088696</v>
      </c>
      <c r="AS22" s="84">
        <v>6.0938390899033185E-3</v>
      </c>
      <c r="AW22" s="83">
        <v>-0.48523439772687693</v>
      </c>
      <c r="AX22" s="37">
        <v>0.34215165109801282</v>
      </c>
      <c r="AY22" s="37">
        <v>-0.28132191979288512</v>
      </c>
      <c r="AZ22" s="37">
        <v>-0.22494185853214271</v>
      </c>
      <c r="BA22" s="37">
        <v>-7.2639189712015578E-2</v>
      </c>
      <c r="BB22" s="37">
        <v>-0.23507315212567939</v>
      </c>
      <c r="BC22" s="37">
        <v>-0.31857876860204404</v>
      </c>
      <c r="BD22" s="37">
        <v>0.59640944248552941</v>
      </c>
      <c r="BE22" s="84">
        <v>2.5438190722737722E-3</v>
      </c>
      <c r="BI22" s="83">
        <v>-0.48401196781240663</v>
      </c>
      <c r="BJ22" s="37">
        <v>0.3382121512644688</v>
      </c>
      <c r="BK22" s="37">
        <v>-0.28102814743128823</v>
      </c>
      <c r="BL22" s="37">
        <v>-0.22351924503069245</v>
      </c>
      <c r="BM22" s="37">
        <v>-8.9244529916639878E-2</v>
      </c>
      <c r="BN22" s="37">
        <v>-0.23647675329570866</v>
      </c>
      <c r="BO22" s="37">
        <v>-0.38144110213275711</v>
      </c>
      <c r="BP22" s="37">
        <v>0.55948534789507998</v>
      </c>
      <c r="BQ22" s="84">
        <v>-5.2280858376754368E-4</v>
      </c>
      <c r="BU22" s="83">
        <v>-0.48230082870484747</v>
      </c>
      <c r="BV22" s="37">
        <v>0.33452804781681911</v>
      </c>
      <c r="BW22" s="37">
        <v>-0.27864344276429326</v>
      </c>
      <c r="BX22" s="37">
        <v>-0.22452227047831888</v>
      </c>
      <c r="BY22" s="37">
        <v>-0.10770407230668015</v>
      </c>
      <c r="BZ22" s="37">
        <v>-0.22849828714093934</v>
      </c>
      <c r="CA22" s="37">
        <v>-0.43615667691351107</v>
      </c>
      <c r="CB22" s="37">
        <v>0.52284579641594331</v>
      </c>
      <c r="CC22" s="84">
        <v>-3.5312397771282453E-3</v>
      </c>
      <c r="CG22" s="83">
        <v>-0.48047336094841547</v>
      </c>
      <c r="CH22" s="37">
        <v>0.33131562293675793</v>
      </c>
      <c r="CI22" s="37">
        <v>-0.27300091040056468</v>
      </c>
      <c r="CJ22" s="37">
        <v>-0.22936061956937001</v>
      </c>
      <c r="CK22" s="37">
        <v>-0.12457450567185961</v>
      </c>
      <c r="CL22" s="37">
        <v>-0.21756731992040362</v>
      </c>
      <c r="CM22" s="37">
        <v>-0.47084183250864992</v>
      </c>
      <c r="CN22" s="37">
        <v>0.49764520424506986</v>
      </c>
      <c r="CO22" s="84">
        <v>-6.5107464407479923E-3</v>
      </c>
      <c r="CS22" s="83">
        <v>-0.47884550796493713</v>
      </c>
      <c r="CT22" s="37">
        <v>0.32878582428565317</v>
      </c>
      <c r="CU22" s="37">
        <v>-0.26296771422450393</v>
      </c>
      <c r="CV22" s="37">
        <v>-0.2391504583710381</v>
      </c>
      <c r="CW22" s="37">
        <v>-0.1386409482142395</v>
      </c>
      <c r="CX22" s="37">
        <v>-0.20746227923535626</v>
      </c>
      <c r="CY22" s="37">
        <v>-0.48436265019268954</v>
      </c>
      <c r="CZ22" s="37">
        <v>0.4891898198649372</v>
      </c>
      <c r="DA22" s="84">
        <v>-9.2808511794349752E-3</v>
      </c>
      <c r="DE22" s="83">
        <v>-0.47745819424389563</v>
      </c>
      <c r="DF22" s="37">
        <v>0.32680153284318864</v>
      </c>
      <c r="DG22" s="37">
        <v>-0.24596011779998528</v>
      </c>
      <c r="DH22" s="37">
        <v>-0.25531133804283646</v>
      </c>
      <c r="DI22" s="37">
        <v>-0.15024169102529797</v>
      </c>
      <c r="DJ22" s="37">
        <v>-0.19876125587238372</v>
      </c>
      <c r="DK22" s="37">
        <v>-0.48930576129518188</v>
      </c>
      <c r="DL22" s="37">
        <v>0.48776948280428417</v>
      </c>
      <c r="DM22" s="84">
        <v>-1.1677887196310386E-2</v>
      </c>
      <c r="DQ22" s="83">
        <v>-0.47629095588637016</v>
      </c>
      <c r="DR22" s="37">
        <v>0.3252324438529598</v>
      </c>
      <c r="DS22" s="37">
        <v>-0.21841252019844762</v>
      </c>
      <c r="DT22" s="37">
        <v>-0.27824319646623213</v>
      </c>
      <c r="DU22" s="37">
        <v>-0.15979926875442757</v>
      </c>
      <c r="DV22" s="37">
        <v>-0.19142631353551207</v>
      </c>
      <c r="DW22" s="37">
        <v>-0.4900932709392184</v>
      </c>
      <c r="DX22" s="37">
        <v>0.48958487291559361</v>
      </c>
      <c r="DY22" s="84">
        <v>-1.3523151672809706E-2</v>
      </c>
      <c r="EC22" s="83">
        <v>-0.47531419040308853</v>
      </c>
      <c r="ED22" s="37">
        <v>0.32398375126870599</v>
      </c>
      <c r="EE22" s="37">
        <v>-0.17947343439956343</v>
      </c>
      <c r="EF22" s="37">
        <v>-0.30405179863416865</v>
      </c>
      <c r="EG22" s="37">
        <v>-0.16769097225902971</v>
      </c>
      <c r="EH22" s="37">
        <v>-0.18528029253742329</v>
      </c>
      <c r="EI22" s="37">
        <v>0.48864310832279256</v>
      </c>
      <c r="EJ22" s="37">
        <v>0.49296783336629335</v>
      </c>
      <c r="EK22" s="84">
        <v>1.4639616877362231E-2</v>
      </c>
      <c r="EO22" s="83">
        <v>-0.47450171864200674</v>
      </c>
      <c r="EP22" s="37">
        <v>0.32299381238595937</v>
      </c>
      <c r="EQ22" s="37">
        <v>-0.13136892110420123</v>
      </c>
      <c r="ER22" s="37">
        <v>-0.32713862742399741</v>
      </c>
      <c r="ES22" s="37">
        <v>-0.17421846328049406</v>
      </c>
      <c r="ET22" s="37">
        <v>-0.18012491492462421</v>
      </c>
      <c r="EU22" s="37">
        <v>-0.4857751797564277</v>
      </c>
      <c r="EV22" s="37">
        <v>0.49723931417582035</v>
      </c>
      <c r="EW22" s="84">
        <v>-1.4970718999859059E-2</v>
      </c>
      <c r="FA22" s="83">
        <v>-0.4738264098701705</v>
      </c>
      <c r="FB22" s="37">
        <v>0.32220810379508097</v>
      </c>
      <c r="FC22" s="37">
        <v>-6.5070790788899602E-2</v>
      </c>
      <c r="FD22" s="37">
        <v>-0.34603248572507594</v>
      </c>
      <c r="FE22" s="37">
        <v>-0.17961407039240176</v>
      </c>
      <c r="FF22" s="37">
        <v>-0.17579344929646609</v>
      </c>
      <c r="FG22" s="37">
        <v>-0.4815692691056434</v>
      </c>
      <c r="FH22" s="37">
        <v>-0.50244909820943551</v>
      </c>
      <c r="FI22" s="84">
        <v>-1.3006684068646896E-2</v>
      </c>
      <c r="FM22" s="83">
        <v>-0.4732565528637343</v>
      </c>
      <c r="FN22" s="37">
        <v>0.32156025076227618</v>
      </c>
      <c r="FO22" s="37">
        <v>-1.833538613919258E-2</v>
      </c>
      <c r="FP22" s="37">
        <v>-0.35125374559600231</v>
      </c>
      <c r="FQ22" s="37">
        <v>-0.18411864852415766</v>
      </c>
      <c r="FR22" s="37">
        <v>-0.17215776222958926</v>
      </c>
      <c r="FS22" s="37">
        <v>-0.47707705330974715</v>
      </c>
      <c r="FT22" s="37">
        <v>-0.50755111370390238</v>
      </c>
      <c r="FU22" s="84">
        <v>-1.2776559556358483E-2</v>
      </c>
      <c r="FY22" s="83">
        <v>-0.47278768704848995</v>
      </c>
      <c r="FZ22" s="37">
        <v>0.32103723219982022</v>
      </c>
      <c r="GA22" s="37">
        <v>-1.800739002409121E-2</v>
      </c>
      <c r="GB22" s="37">
        <v>-0.35096842513065579</v>
      </c>
      <c r="GC22" s="37">
        <v>-0.1877369560210442</v>
      </c>
      <c r="GD22" s="37">
        <v>-0.16919903731746797</v>
      </c>
      <c r="GE22" s="37">
        <v>-0.47289328769734551</v>
      </c>
      <c r="GF22" s="37">
        <v>0.51214943601351648</v>
      </c>
      <c r="GG22" s="84">
        <v>-1.0257277380914684E-2</v>
      </c>
      <c r="GK22" s="83">
        <v>-0.4724033177664288</v>
      </c>
      <c r="GL22" s="37">
        <v>0.32062019868609187</v>
      </c>
      <c r="GM22" s="37">
        <v>-4.6455235494968329E-3</v>
      </c>
      <c r="GN22" s="37">
        <v>-0.35117936232381364</v>
      </c>
      <c r="GO22" s="37">
        <v>-0.19052575659317314</v>
      </c>
      <c r="GP22" s="37">
        <v>-0.16681672694484778</v>
      </c>
      <c r="GQ22" s="37">
        <v>-0.46682288907510749</v>
      </c>
      <c r="GR22" s="37">
        <v>0.51823848556584917</v>
      </c>
      <c r="GS22" s="84">
        <v>-8.1637091166794195E-3</v>
      </c>
      <c r="GW22" s="83">
        <v>-0.47208283099536313</v>
      </c>
      <c r="GX22" s="37">
        <v>0.3202752035147452</v>
      </c>
      <c r="GY22" s="37">
        <v>3.7134704333320182E-3</v>
      </c>
      <c r="GZ22" s="37">
        <v>-0.3510100699034398</v>
      </c>
      <c r="HA22" s="37">
        <v>-0.19277052658931285</v>
      </c>
      <c r="HB22" s="37">
        <v>-0.16487049585514879</v>
      </c>
      <c r="HC22" s="37">
        <v>-0.46111615025141328</v>
      </c>
      <c r="HD22" s="37">
        <v>0.52376890154442257</v>
      </c>
      <c r="HE22" s="84">
        <v>-5.9171854740434366E-3</v>
      </c>
      <c r="HI22" s="83">
        <v>-0.47181492727691809</v>
      </c>
      <c r="HJ22" s="37">
        <v>0.31998880337824281</v>
      </c>
      <c r="HK22" s="37">
        <v>3.5593568021431238E-2</v>
      </c>
      <c r="HL22" s="37">
        <v>-0.34907219909618858</v>
      </c>
      <c r="HM22" s="37">
        <v>-0.19458536055255807</v>
      </c>
      <c r="HN22" s="37">
        <v>-0.16327420527465231</v>
      </c>
      <c r="HO22" s="37">
        <v>-0.45577201291010982</v>
      </c>
      <c r="HP22" s="37">
        <v>0.5287998046808926</v>
      </c>
      <c r="HQ22" s="84">
        <v>4.9800880284625332E-4</v>
      </c>
      <c r="HU22" s="83">
        <v>-0.47159209566227139</v>
      </c>
      <c r="HV22" s="37">
        <v>0.31975181241584699</v>
      </c>
      <c r="HW22" s="37">
        <v>4.4759216710758984E-2</v>
      </c>
      <c r="HX22" s="37">
        <v>-0.34787200752619912</v>
      </c>
      <c r="HY22" s="37">
        <v>-0.19618486041245395</v>
      </c>
      <c r="HZ22" s="37">
        <v>-0.16190842713910311</v>
      </c>
      <c r="IA22" s="37">
        <v>-0.45299818461947949</v>
      </c>
      <c r="IB22" s="37">
        <v>0.53141025041740497</v>
      </c>
      <c r="IC22" s="84">
        <v>-5.857039681696926E-3</v>
      </c>
      <c r="IG22" s="83">
        <v>-0.47140780857734094</v>
      </c>
      <c r="IH22" s="37">
        <v>0.31955776625948962</v>
      </c>
      <c r="II22" s="37">
        <v>5.1470062874996329E-2</v>
      </c>
      <c r="IJ22" s="37">
        <v>-0.34682535167530193</v>
      </c>
      <c r="IK22" s="37">
        <v>-0.19748561099935805</v>
      </c>
      <c r="IL22" s="37">
        <v>-0.16078149069787406</v>
      </c>
      <c r="IM22" s="37">
        <v>-0.45053762963318605</v>
      </c>
      <c r="IN22" s="37">
        <v>0.53358887023698554</v>
      </c>
      <c r="IO22" s="84">
        <v>-1.2962547566309966E-2</v>
      </c>
      <c r="IS22" s="83">
        <v>-0.47125522247884183</v>
      </c>
      <c r="IT22" s="37">
        <v>0.31939857813389155</v>
      </c>
      <c r="IU22" s="37">
        <v>3.2747820820003354E-2</v>
      </c>
      <c r="IV22" s="37">
        <v>-0.34899639137575955</v>
      </c>
      <c r="IW22" s="37">
        <v>-0.1985449288629714</v>
      </c>
      <c r="IX22" s="37">
        <v>-0.15984992438430612</v>
      </c>
      <c r="IY22" s="37">
        <v>-0.44844627634983369</v>
      </c>
      <c r="IZ22" s="37">
        <v>0.53562037687020503</v>
      </c>
      <c r="JA22" s="84">
        <v>8.1746325435672167E-3</v>
      </c>
      <c r="JE22" s="83">
        <v>-0.47112439312992338</v>
      </c>
      <c r="JF22" s="37">
        <v>0.31925940275103315</v>
      </c>
      <c r="JG22" s="37">
        <v>3.0447672514818239E-2</v>
      </c>
      <c r="JH22" s="37">
        <v>-0.34914468179241809</v>
      </c>
      <c r="JI22" s="37">
        <v>-0.19927749004335005</v>
      </c>
      <c r="JJ22" s="37">
        <v>-0.15914255882441186</v>
      </c>
      <c r="JK22" s="37">
        <v>-0.44454212428012235</v>
      </c>
      <c r="JL22" s="37">
        <v>0.53902963254920766</v>
      </c>
      <c r="JM22" s="84">
        <v>8.8121095511491526E-3</v>
      </c>
      <c r="JQ22" s="83">
        <v>-0.47101323060073291</v>
      </c>
      <c r="JR22" s="37">
        <v>0.31914183801781104</v>
      </c>
      <c r="JS22" s="37">
        <v>5.0085700392798575E-2</v>
      </c>
      <c r="JT22" s="37">
        <v>-0.34682488464425004</v>
      </c>
      <c r="JU22" s="37">
        <v>-0.19987279581403145</v>
      </c>
      <c r="JV22" s="37">
        <v>-0.15855357777938536</v>
      </c>
      <c r="JW22" s="37">
        <v>-0.44088301615413217</v>
      </c>
      <c r="JX22" s="37">
        <v>0.54156766395505385</v>
      </c>
      <c r="JY22" s="84">
        <v>-2.7151532650675457E-2</v>
      </c>
      <c r="KC22" s="83">
        <v>-0.47092211701572345</v>
      </c>
      <c r="KD22" s="37">
        <v>0.31904852292995434</v>
      </c>
      <c r="KE22" s="37">
        <v>5.2797301640849476E-2</v>
      </c>
      <c r="KF22" s="37">
        <v>-0.34636721803379067</v>
      </c>
      <c r="KG22" s="37">
        <v>-0.20048412582905706</v>
      </c>
      <c r="KH22" s="37">
        <v>-0.15800226415996046</v>
      </c>
      <c r="KI22" s="37">
        <v>-0.43948324024501795</v>
      </c>
      <c r="KJ22" s="37">
        <v>-0.54239404877174835</v>
      </c>
      <c r="KK22" s="84">
        <v>3.445536452042193E-2</v>
      </c>
      <c r="KO22" s="83">
        <v>-0.47084641821415935</v>
      </c>
      <c r="KP22" s="37">
        <v>0.31897145880871941</v>
      </c>
      <c r="KQ22" s="37">
        <v>5.4895226528905716E-2</v>
      </c>
      <c r="KR22" s="37">
        <v>-0.34599585742000416</v>
      </c>
      <c r="KS22" s="37">
        <v>-0.20098464218716983</v>
      </c>
      <c r="KT22" s="37">
        <v>-0.15754458277294064</v>
      </c>
      <c r="KU22" s="37">
        <v>-0.43827402138924032</v>
      </c>
      <c r="KV22" s="37">
        <v>-0.54249387922237713</v>
      </c>
      <c r="KW22" s="84">
        <v>4.7279920666470653E-2</v>
      </c>
      <c r="LA22" s="83">
        <v>-0.4707832284502238</v>
      </c>
      <c r="LB22" s="37">
        <v>0.31890724442726082</v>
      </c>
      <c r="LC22" s="37">
        <v>3.5204134895526484E-2</v>
      </c>
      <c r="LD22" s="37">
        <v>-0.34851314630970498</v>
      </c>
      <c r="LE22" s="37">
        <v>-0.20139924972365564</v>
      </c>
      <c r="LF22" s="37">
        <v>-0.1571638273642913</v>
      </c>
      <c r="LG22" s="37">
        <v>-0.43731542203023049</v>
      </c>
      <c r="LH22" s="37">
        <v>0.54517794487587912</v>
      </c>
      <c r="LI22" s="84">
        <v>1.5319290184390877E-2</v>
      </c>
      <c r="LM22" s="83">
        <v>-0.47072660165402314</v>
      </c>
      <c r="LN22" s="37">
        <v>0.31884710023397306</v>
      </c>
      <c r="LO22" s="37">
        <v>3.0325214775928436E-2</v>
      </c>
      <c r="LP22" s="37">
        <v>-0.34895943109651423</v>
      </c>
      <c r="LQ22" s="37">
        <v>-0.20160171268493693</v>
      </c>
      <c r="LR22" s="37">
        <v>-0.15690857648881382</v>
      </c>
      <c r="LS22" s="37">
        <v>-0.43451739860771205</v>
      </c>
      <c r="LT22" s="37">
        <v>0.54755625092997107</v>
      </c>
      <c r="LU22" s="84">
        <v>1.3187888636378511E-2</v>
      </c>
      <c r="LY22" s="83">
        <v>-0.47067704736644811</v>
      </c>
      <c r="LZ22" s="37">
        <v>0.31879511299101071</v>
      </c>
      <c r="MA22" s="37">
        <v>4.6371062156080368E-2</v>
      </c>
      <c r="MB22" s="37">
        <v>-0.34718426449483997</v>
      </c>
      <c r="MC22" s="37">
        <v>-0.20176329889804068</v>
      </c>
      <c r="MD22" s="37">
        <v>-0.15669100540734443</v>
      </c>
      <c r="ME22" s="37">
        <v>-0.4317990711389843</v>
      </c>
      <c r="MF22" s="37">
        <v>0.54805244497594408</v>
      </c>
      <c r="MG22" s="84">
        <v>4.5532228791944504E-2</v>
      </c>
      <c r="MK22" s="83">
        <v>-0.47063663638184638</v>
      </c>
      <c r="ML22" s="37">
        <v>0.31875437782577182</v>
      </c>
      <c r="MM22" s="37">
        <v>4.740073507571755E-2</v>
      </c>
      <c r="MN22" s="37">
        <v>-0.34702187561212716</v>
      </c>
      <c r="MO22" s="37">
        <v>-0.20202263458240777</v>
      </c>
      <c r="MP22" s="37">
        <v>-0.15644939724398893</v>
      </c>
      <c r="MQ22" s="37">
        <v>-0.43111886543894734</v>
      </c>
      <c r="MR22" s="37">
        <v>0.548194448233571</v>
      </c>
      <c r="MS22" s="84">
        <v>5.0552974985760675E-2</v>
      </c>
    </row>
    <row r="23" spans="1:358" ht="14.45" x14ac:dyDescent="0.35">
      <c r="A23">
        <v>20</v>
      </c>
      <c r="B23" s="123">
        <v>3</v>
      </c>
      <c r="C23" s="37">
        <v>8</v>
      </c>
      <c r="D23" s="37">
        <v>6</v>
      </c>
      <c r="E23" s="37">
        <v>4</v>
      </c>
      <c r="F23" s="37">
        <v>9</v>
      </c>
      <c r="G23" s="37">
        <v>9</v>
      </c>
      <c r="H23" s="37">
        <v>8</v>
      </c>
      <c r="I23" s="37">
        <v>5</v>
      </c>
      <c r="J23" s="90">
        <v>7</v>
      </c>
      <c r="Y23" s="83">
        <v>-0.19074546102618212</v>
      </c>
      <c r="Z23" s="37">
        <v>5.529493317211278E-2</v>
      </c>
      <c r="AA23" s="37">
        <v>9.2360225229420195E-2</v>
      </c>
      <c r="AB23" s="37">
        <v>0.82950462134646019</v>
      </c>
      <c r="AC23" s="37">
        <v>-2.6469411902695323E-2</v>
      </c>
      <c r="AD23" s="37">
        <v>-0.10631736834100707</v>
      </c>
      <c r="AE23" s="37">
        <v>-0.13105276878784047</v>
      </c>
      <c r="AF23" s="37">
        <v>7.3300380600467549E-2</v>
      </c>
      <c r="AG23" s="84">
        <v>-0.47895566062347561</v>
      </c>
      <c r="AK23" s="83">
        <v>-0.19109247900459944</v>
      </c>
      <c r="AL23" s="37">
        <v>5.0131225676971786E-2</v>
      </c>
      <c r="AM23" s="37">
        <v>7.293409575598532E-2</v>
      </c>
      <c r="AN23" s="37">
        <v>0.83162983083363939</v>
      </c>
      <c r="AO23" s="37">
        <v>-1.9505956473667315E-2</v>
      </c>
      <c r="AP23" s="37">
        <v>-8.4314418866047042E-2</v>
      </c>
      <c r="AQ23" s="37">
        <v>-0.12974689416253229</v>
      </c>
      <c r="AR23" s="37">
        <v>7.8240818222123434E-2</v>
      </c>
      <c r="AS23" s="84">
        <v>-0.48331943999420007</v>
      </c>
      <c r="AW23" s="83">
        <v>-0.19253831284288347</v>
      </c>
      <c r="AX23" s="37">
        <v>4.9483055031658091E-2</v>
      </c>
      <c r="AY23" s="37">
        <v>6.3059404365771357E-2</v>
      </c>
      <c r="AZ23" s="37">
        <v>0.83619760525705567</v>
      </c>
      <c r="BA23" s="37">
        <v>-1.5567500280227528E-2</v>
      </c>
      <c r="BB23" s="37">
        <v>-6.0877532060816246E-2</v>
      </c>
      <c r="BC23" s="37">
        <v>-0.12837269858608036</v>
      </c>
      <c r="BD23" s="37">
        <v>6.7682679638946308E-2</v>
      </c>
      <c r="BE23" s="84">
        <v>-0.48194251316476922</v>
      </c>
      <c r="BI23" s="83">
        <v>-0.19416205123923405</v>
      </c>
      <c r="BJ23" s="37">
        <v>5.0687794057301526E-2</v>
      </c>
      <c r="BK23" s="37">
        <v>5.2651734048301604E-2</v>
      </c>
      <c r="BL23" s="37">
        <v>0.84010294468842084</v>
      </c>
      <c r="BM23" s="37">
        <v>-1.8145774434861876E-2</v>
      </c>
      <c r="BN23" s="37">
        <v>-4.511773044100216E-2</v>
      </c>
      <c r="BO23" s="37">
        <v>-0.12453783095019265</v>
      </c>
      <c r="BP23" s="37">
        <v>5.6145242519163564E-2</v>
      </c>
      <c r="BQ23" s="84">
        <v>-0.47974977258402351</v>
      </c>
      <c r="BU23" s="83">
        <v>-0.19574902242520897</v>
      </c>
      <c r="BV23" s="37">
        <v>5.2646200439770675E-2</v>
      </c>
      <c r="BW23" s="37">
        <v>3.7502646968851062E-2</v>
      </c>
      <c r="BX23" s="37">
        <v>0.84350019360649775</v>
      </c>
      <c r="BY23" s="37">
        <v>-2.1155996140262413E-2</v>
      </c>
      <c r="BZ23" s="37">
        <v>-3.4054137352662162E-2</v>
      </c>
      <c r="CA23" s="37">
        <v>-0.11811698297941058</v>
      </c>
      <c r="CB23" s="37">
        <v>4.695156269879263E-2</v>
      </c>
      <c r="CC23" s="84">
        <v>-0.47775343149308441</v>
      </c>
      <c r="CG23" s="83">
        <v>-0.19718920188156264</v>
      </c>
      <c r="CH23" s="37">
        <v>5.483242201742608E-2</v>
      </c>
      <c r="CI23" s="37">
        <v>1.287102213384088E-2</v>
      </c>
      <c r="CJ23" s="37">
        <v>0.84626091344907683</v>
      </c>
      <c r="CK23" s="37">
        <v>-2.3238701473187531E-2</v>
      </c>
      <c r="CL23" s="37">
        <v>-2.6039457942960444E-2</v>
      </c>
      <c r="CM23" s="37">
        <v>-0.10953691155362162</v>
      </c>
      <c r="CN23" s="37">
        <v>4.3136875045163309E-2</v>
      </c>
      <c r="CO23" s="84">
        <v>-0.47614011773540482</v>
      </c>
      <c r="CS23" s="83">
        <v>-0.1983961691871145</v>
      </c>
      <c r="CT23" s="37">
        <v>5.6845840188819559E-2</v>
      </c>
      <c r="CU23" s="37">
        <v>-2.5711805551171668E-2</v>
      </c>
      <c r="CV23" s="37">
        <v>0.84748674905111865</v>
      </c>
      <c r="CW23" s="37">
        <v>-2.4307083484847607E-2</v>
      </c>
      <c r="CX23" s="37">
        <v>-2.0041546047840239E-2</v>
      </c>
      <c r="CY23" s="37">
        <v>-0.10035233876560733</v>
      </c>
      <c r="CZ23" s="37">
        <v>4.4323215862742231E-2</v>
      </c>
      <c r="DA23" s="84">
        <v>-0.4748525945043412</v>
      </c>
      <c r="DE23" s="83">
        <v>-0.19939866351161203</v>
      </c>
      <c r="DF23" s="37">
        <v>5.8620647692185515E-2</v>
      </c>
      <c r="DG23" s="37">
        <v>-8.5528432256200854E-2</v>
      </c>
      <c r="DH23" s="37">
        <v>0.84471615678451462</v>
      </c>
      <c r="DI23" s="37">
        <v>-2.4851407920710309E-2</v>
      </c>
      <c r="DJ23" s="37">
        <v>-1.5602959483027133E-2</v>
      </c>
      <c r="DK23" s="37">
        <v>-9.1327477279472352E-2</v>
      </c>
      <c r="DL23" s="37">
        <v>4.7588624028892128E-2</v>
      </c>
      <c r="DM23" s="84">
        <v>-0.4737898947143786</v>
      </c>
      <c r="DQ23" s="83">
        <v>-0.20023243938468691</v>
      </c>
      <c r="DR23" s="37">
        <v>6.0160709981791891E-2</v>
      </c>
      <c r="DS23" s="37">
        <v>-0.17338085557132576</v>
      </c>
      <c r="DT23" s="37">
        <v>0.83206679289755692</v>
      </c>
      <c r="DU23" s="37">
        <v>-2.5119623968663574E-2</v>
      </c>
      <c r="DV23" s="37">
        <v>-1.2285984642618248E-2</v>
      </c>
      <c r="DW23" s="37">
        <v>-8.2644192990243309E-2</v>
      </c>
      <c r="DX23" s="37">
        <v>5.1982110080565871E-2</v>
      </c>
      <c r="DY23" s="84">
        <v>-0.47283976878079031</v>
      </c>
      <c r="EC23" s="83">
        <v>-0.20092785930992071</v>
      </c>
      <c r="ED23" s="37">
        <v>6.1487392539294659E-2</v>
      </c>
      <c r="EE23" s="37">
        <v>-0.28379386979391136</v>
      </c>
      <c r="EF23" s="37">
        <v>0.80192616720665566</v>
      </c>
      <c r="EG23" s="37">
        <v>-2.5226860955388505E-2</v>
      </c>
      <c r="EH23" s="37">
        <v>-9.7819179094092816E-3</v>
      </c>
      <c r="EI23" s="37">
        <v>7.4376458313696353E-2</v>
      </c>
      <c r="EJ23" s="37">
        <v>5.715204027409948E-2</v>
      </c>
      <c r="EK23" s="84">
        <v>0.47190302397638906</v>
      </c>
      <c r="EO23" s="83">
        <v>-0.20149712349915413</v>
      </c>
      <c r="EP23" s="37">
        <v>6.2612299157368545E-2</v>
      </c>
      <c r="EQ23" s="37">
        <v>-0.40312335843843461</v>
      </c>
      <c r="ER23" s="37">
        <v>0.7497104971416696</v>
      </c>
      <c r="ES23" s="37">
        <v>-2.521733487053009E-2</v>
      </c>
      <c r="ET23" s="37">
        <v>-7.8944779091781204E-3</v>
      </c>
      <c r="EU23" s="37">
        <v>-6.6596207117625497E-2</v>
      </c>
      <c r="EV23" s="37">
        <v>6.2847543167654257E-2</v>
      </c>
      <c r="EW23" s="84">
        <v>-0.47097901474334258</v>
      </c>
      <c r="FA23" s="83">
        <v>-0.20194461821434412</v>
      </c>
      <c r="FB23" s="37">
        <v>6.3541523830707117E-2</v>
      </c>
      <c r="FC23" s="37">
        <v>-0.54257056512430668</v>
      </c>
      <c r="FD23" s="37">
        <v>0.65637900595512422</v>
      </c>
      <c r="FE23" s="37">
        <v>-2.5154467669338206E-2</v>
      </c>
      <c r="FF23" s="37">
        <v>-6.4502362776906698E-3</v>
      </c>
      <c r="FG23" s="37">
        <v>-6.0822461561443789E-2</v>
      </c>
      <c r="FH23" s="37">
        <v>-6.8878696582005294E-2</v>
      </c>
      <c r="FI23" s="84">
        <v>-0.46994321876222134</v>
      </c>
      <c r="FM23" s="83">
        <v>-0.20233230819528944</v>
      </c>
      <c r="FN23" s="37">
        <v>6.4350848095615504E-2</v>
      </c>
      <c r="FO23" s="37">
        <v>-0.62612556337454306</v>
      </c>
      <c r="FP23" s="37">
        <v>0.57772367781988498</v>
      </c>
      <c r="FQ23" s="37">
        <v>-2.5098934284731637E-2</v>
      </c>
      <c r="FR23" s="37">
        <v>-5.2818442325766046E-3</v>
      </c>
      <c r="FS23" s="37">
        <v>-5.2666663134595712E-2</v>
      </c>
      <c r="FT23" s="37">
        <v>-7.5559971604314449E-2</v>
      </c>
      <c r="FU23" s="84">
        <v>-0.46902216929439144</v>
      </c>
      <c r="FY23" s="83">
        <v>-0.20264494954716009</v>
      </c>
      <c r="FZ23" s="37">
        <v>6.5011960284866374E-2</v>
      </c>
      <c r="GA23" s="37">
        <v>-0.62733027020282128</v>
      </c>
      <c r="GB23" s="37">
        <v>0.57680475515812191</v>
      </c>
      <c r="GC23" s="37">
        <v>-2.5024383644350869E-2</v>
      </c>
      <c r="GD23" s="37">
        <v>-4.3611520327324696E-3</v>
      </c>
      <c r="GE23" s="37">
        <v>-4.6720153423047618E-2</v>
      </c>
      <c r="GF23" s="37">
        <v>8.2273192374892917E-2</v>
      </c>
      <c r="GG23" s="84">
        <v>-0.46782965448325559</v>
      </c>
      <c r="GK23" s="83">
        <v>-0.20281173379056922</v>
      </c>
      <c r="GL23" s="37">
        <v>6.5447863093431827E-2</v>
      </c>
      <c r="GM23" s="37">
        <v>-0.64910615409403605</v>
      </c>
      <c r="GN23" s="37">
        <v>0.5520956719227178</v>
      </c>
      <c r="GO23" s="37">
        <v>-2.5081801554550559E-2</v>
      </c>
      <c r="GP23" s="37">
        <v>-3.5395971163512297E-3</v>
      </c>
      <c r="GQ23" s="37">
        <v>-4.157727194878278E-2</v>
      </c>
      <c r="GR23" s="37">
        <v>8.7764742036814003E-2</v>
      </c>
      <c r="GS23" s="84">
        <v>-0.46729284459571996</v>
      </c>
      <c r="GW23" s="83">
        <v>-0.20293335842079738</v>
      </c>
      <c r="GX23" s="37">
        <v>6.5788851893243752E-2</v>
      </c>
      <c r="GY23" s="37">
        <v>-0.66224276395219694</v>
      </c>
      <c r="GZ23" s="37">
        <v>0.5361088387720051</v>
      </c>
      <c r="HA23" s="37">
        <v>-2.5162967007333104E-2</v>
      </c>
      <c r="HB23" s="37">
        <v>-2.8375027895181826E-3</v>
      </c>
      <c r="HC23" s="37">
        <v>-3.714920320552316E-2</v>
      </c>
      <c r="HD23" s="37">
        <v>9.2705442413644354E-2</v>
      </c>
      <c r="HE23" s="84">
        <v>-0.46679344994066435</v>
      </c>
      <c r="HI23" s="83">
        <v>-0.20302010141578161</v>
      </c>
      <c r="HJ23" s="37">
        <v>6.6054382562015304E-2</v>
      </c>
      <c r="HK23" s="37">
        <v>-0.70830996971097449</v>
      </c>
      <c r="HL23" s="37">
        <v>0.47334740626461752</v>
      </c>
      <c r="HM23" s="37">
        <v>-2.5258258315465309E-2</v>
      </c>
      <c r="HN23" s="37">
        <v>-2.2352311307057781E-3</v>
      </c>
      <c r="HO23" s="37">
        <v>-3.3358687994295345E-2</v>
      </c>
      <c r="HP23" s="37">
        <v>9.985512432587651E-2</v>
      </c>
      <c r="HQ23" s="84">
        <v>0.46575965150053744</v>
      </c>
      <c r="HU23" s="83">
        <v>-0.20316440751213896</v>
      </c>
      <c r="HV23" s="37">
        <v>6.6364600089508494E-2</v>
      </c>
      <c r="HW23" s="37">
        <v>-0.72081215577254165</v>
      </c>
      <c r="HX23" s="37">
        <v>0.45431070033697663</v>
      </c>
      <c r="HY23" s="37">
        <v>-2.5191962190095462E-2</v>
      </c>
      <c r="HZ23" s="37">
        <v>-1.833534342991477E-3</v>
      </c>
      <c r="IA23" s="37">
        <v>-3.0031548312204795E-2</v>
      </c>
      <c r="IB23" s="37">
        <v>0.1075402772354091</v>
      </c>
      <c r="IC23" s="84">
        <v>0.46394696366717675</v>
      </c>
      <c r="IG23" s="83">
        <v>-0.20328206488808928</v>
      </c>
      <c r="IH23" s="37">
        <v>6.6618785334003741E-2</v>
      </c>
      <c r="II23" s="37">
        <v>-0.72970081127644892</v>
      </c>
      <c r="IJ23" s="37">
        <v>0.44008218634011292</v>
      </c>
      <c r="IK23" s="37">
        <v>-2.5128837198132754E-2</v>
      </c>
      <c r="IL23" s="37">
        <v>-1.5063722003847641E-3</v>
      </c>
      <c r="IM23" s="37">
        <v>-2.7227727262116096E-2</v>
      </c>
      <c r="IN23" s="37">
        <v>0.11542287108223545</v>
      </c>
      <c r="IO23" s="84">
        <v>0.46195802721371831</v>
      </c>
      <c r="IS23" s="83">
        <v>-0.20337794132584039</v>
      </c>
      <c r="IT23" s="37">
        <v>6.6826863183435725E-2</v>
      </c>
      <c r="IU23" s="37">
        <v>-0.7051922193544059</v>
      </c>
      <c r="IV23" s="37">
        <v>0.47851221513165093</v>
      </c>
      <c r="IW23" s="37">
        <v>-2.5069251386133959E-2</v>
      </c>
      <c r="IX23" s="37">
        <v>-1.2393932583491976E-3</v>
      </c>
      <c r="IY23" s="37">
        <v>-2.4904681590525262E-2</v>
      </c>
      <c r="IZ23" s="37">
        <v>0.11265918869632267</v>
      </c>
      <c r="JA23" s="84">
        <v>-0.46255728039604449</v>
      </c>
      <c r="JE23" s="83">
        <v>-0.20337519572839838</v>
      </c>
      <c r="JF23" s="37">
        <v>6.6894476732069857E-2</v>
      </c>
      <c r="JG23" s="37">
        <v>-0.70193599190989431</v>
      </c>
      <c r="JH23" s="37">
        <v>0.48292962946719498</v>
      </c>
      <c r="JI23" s="37">
        <v>-2.5206346243506862E-2</v>
      </c>
      <c r="JJ23" s="37">
        <v>-8.7839078811895036E-4</v>
      </c>
      <c r="JK23" s="37">
        <v>-2.3127881001262836E-2</v>
      </c>
      <c r="JL23" s="37">
        <v>0.1139934580647194</v>
      </c>
      <c r="JM23" s="84">
        <v>-0.46266938105611072</v>
      </c>
      <c r="JQ23" s="83">
        <v>-0.20336083171680205</v>
      </c>
      <c r="JR23" s="37">
        <v>6.6936191028827891E-2</v>
      </c>
      <c r="JS23" s="37">
        <v>-0.72793317078063791</v>
      </c>
      <c r="JT23" s="37">
        <v>0.4423823472022913</v>
      </c>
      <c r="JU23" s="37">
        <v>-2.5342317666550981E-2</v>
      </c>
      <c r="JV23" s="37">
        <v>-5.5875291087505369E-4</v>
      </c>
      <c r="JW23" s="37">
        <v>-2.1646106359661015E-2</v>
      </c>
      <c r="JX23" s="37">
        <v>0.1301793860688282</v>
      </c>
      <c r="JY23" s="84">
        <v>0.45882164777583084</v>
      </c>
      <c r="KC23" s="83">
        <v>-0.20341587403083897</v>
      </c>
      <c r="KD23" s="37">
        <v>6.7056586615126604E-2</v>
      </c>
      <c r="KE23" s="37">
        <v>-0.7314956357440634</v>
      </c>
      <c r="KF23" s="37">
        <v>0.43655195885426279</v>
      </c>
      <c r="KG23" s="37">
        <v>-2.5297874060460315E-2</v>
      </c>
      <c r="KH23" s="37">
        <v>-4.0536795306615509E-4</v>
      </c>
      <c r="KI23" s="37">
        <v>-2.023578077470679E-2</v>
      </c>
      <c r="KJ23" s="37">
        <v>-0.13707625161527134</v>
      </c>
      <c r="KK23" s="84">
        <v>-0.4567519963350834</v>
      </c>
      <c r="KO23" s="83">
        <v>-0.20346064333848562</v>
      </c>
      <c r="KP23" s="37">
        <v>6.715497154483735E-2</v>
      </c>
      <c r="KQ23" s="37">
        <v>-0.7342306039615164</v>
      </c>
      <c r="KR23" s="37">
        <v>0.43200440645009058</v>
      </c>
      <c r="KS23" s="37">
        <v>-2.5257976216378455E-2</v>
      </c>
      <c r="KT23" s="37">
        <v>-2.7902119413679899E-4</v>
      </c>
      <c r="KU23" s="37">
        <v>-1.9070009494061412E-2</v>
      </c>
      <c r="KV23" s="37">
        <v>-0.14839797859295067</v>
      </c>
      <c r="KW23" s="84">
        <v>-0.45315330837935963</v>
      </c>
      <c r="LA23" s="83">
        <v>-0.20349753260205106</v>
      </c>
      <c r="LB23" s="37">
        <v>6.7236439782810284E-2</v>
      </c>
      <c r="LC23" s="37">
        <v>-0.70866218322508601</v>
      </c>
      <c r="LD23" s="37">
        <v>0.47282903554566519</v>
      </c>
      <c r="LE23" s="37">
        <v>-2.5225013779502401E-2</v>
      </c>
      <c r="LF23" s="37">
        <v>-1.7331509382447651E-4</v>
      </c>
      <c r="LG23" s="37">
        <v>-1.8123966007039406E-2</v>
      </c>
      <c r="LH23" s="37">
        <v>0.12200989375514153</v>
      </c>
      <c r="LI23" s="84">
        <v>-0.46092017196642088</v>
      </c>
      <c r="LM23" s="83">
        <v>-0.20344954895065132</v>
      </c>
      <c r="LN23" s="37">
        <v>6.7202329746062661E-2</v>
      </c>
      <c r="LO23" s="37">
        <v>-0.70180865996773845</v>
      </c>
      <c r="LP23" s="37">
        <v>0.48254386335518379</v>
      </c>
      <c r="LQ23" s="37">
        <v>-2.5370631925229772E-2</v>
      </c>
      <c r="LR23" s="37">
        <v>4.7256887567262955E-5</v>
      </c>
      <c r="LS23" s="37">
        <v>-1.7603433804672261E-2</v>
      </c>
      <c r="LT23" s="37">
        <v>0.12018653833347559</v>
      </c>
      <c r="LU23" s="84">
        <v>-0.46185473534999621</v>
      </c>
      <c r="LY23" s="83">
        <v>-0.20339753283053225</v>
      </c>
      <c r="LZ23" s="37">
        <v>6.7159971332330939E-2</v>
      </c>
      <c r="MA23" s="37">
        <v>-0.72311354455740284</v>
      </c>
      <c r="MB23" s="37">
        <v>0.44955610657893713</v>
      </c>
      <c r="MC23" s="37">
        <v>-2.5513474583796367E-2</v>
      </c>
      <c r="MD23" s="37">
        <v>2.5005720423988681E-4</v>
      </c>
      <c r="ME23" s="37">
        <v>-1.7171088458216546E-2</v>
      </c>
      <c r="MF23" s="37">
        <v>0.14713016603328558</v>
      </c>
      <c r="MG23" s="84">
        <v>-0.45445787335521803</v>
      </c>
      <c r="MK23" s="83">
        <v>-0.20341980361918102</v>
      </c>
      <c r="ML23" s="37">
        <v>6.7209901777172648E-2</v>
      </c>
      <c r="MM23" s="37">
        <v>-0.72449725551969602</v>
      </c>
      <c r="MN23" s="37">
        <v>0.44735039163579543</v>
      </c>
      <c r="MO23" s="37">
        <v>-2.5491356002304663E-2</v>
      </c>
      <c r="MP23" s="37">
        <v>3.1684671746944857E-4</v>
      </c>
      <c r="MQ23" s="37">
        <v>-1.6558948091841785E-2</v>
      </c>
      <c r="MR23" s="37">
        <v>0.15155604464929681</v>
      </c>
      <c r="MS23" s="84">
        <v>-0.45298037859496831</v>
      </c>
    </row>
    <row r="24" spans="1:358" ht="14.45" x14ac:dyDescent="0.35">
      <c r="A24">
        <v>21</v>
      </c>
      <c r="B24" s="123">
        <v>5</v>
      </c>
      <c r="C24" s="37">
        <v>9</v>
      </c>
      <c r="D24" s="37">
        <v>3</v>
      </c>
      <c r="E24" s="37">
        <v>5</v>
      </c>
      <c r="F24" s="37">
        <v>6</v>
      </c>
      <c r="G24" s="37">
        <v>3</v>
      </c>
      <c r="H24" s="37">
        <v>3</v>
      </c>
      <c r="I24" s="37">
        <v>6</v>
      </c>
      <c r="J24" s="90">
        <v>8</v>
      </c>
      <c r="Y24" s="83">
        <v>-0.30392403819436969</v>
      </c>
      <c r="Z24" s="37">
        <v>-1.1646847324896901E-2</v>
      </c>
      <c r="AA24" s="37">
        <v>0.52050395066541377</v>
      </c>
      <c r="AB24" s="37">
        <v>1.2173857183430978E-2</v>
      </c>
      <c r="AC24" s="37">
        <v>-0.1654238756416658</v>
      </c>
      <c r="AD24" s="37">
        <v>-0.33547679884864934</v>
      </c>
      <c r="AE24" s="37">
        <v>0.65688923420051759</v>
      </c>
      <c r="AF24" s="37">
        <v>0.18673960168138032</v>
      </c>
      <c r="AG24" s="84">
        <v>0.17360034117270304</v>
      </c>
      <c r="AK24" s="83">
        <v>-0.30560398824349544</v>
      </c>
      <c r="AL24" s="37">
        <v>-7.4425944832762058E-3</v>
      </c>
      <c r="AM24" s="37">
        <v>0.52857257442138839</v>
      </c>
      <c r="AN24" s="37">
        <v>2.9282457688123181E-2</v>
      </c>
      <c r="AO24" s="37">
        <v>-0.16177529544682917</v>
      </c>
      <c r="AP24" s="37">
        <v>-0.34718081864977679</v>
      </c>
      <c r="AQ24" s="37">
        <v>0.65563392767185102</v>
      </c>
      <c r="AR24" s="37">
        <v>0.14951080919093285</v>
      </c>
      <c r="AS24" s="84">
        <v>0.16549708506114141</v>
      </c>
      <c r="AW24" s="83">
        <v>-0.30519329344226859</v>
      </c>
      <c r="AX24" s="37">
        <v>-1.3834395553712158E-3</v>
      </c>
      <c r="AY24" s="37">
        <v>0.53025133223420295</v>
      </c>
      <c r="AZ24" s="37">
        <v>3.7984038544168326E-2</v>
      </c>
      <c r="BA24" s="37">
        <v>-0.12343389292446938</v>
      </c>
      <c r="BB24" s="37">
        <v>-0.36055642846745795</v>
      </c>
      <c r="BC24" s="37">
        <v>0.64140766106542269</v>
      </c>
      <c r="BD24" s="37">
        <v>0.2017016835365095</v>
      </c>
      <c r="BE24" s="84">
        <v>0.16407820198310005</v>
      </c>
      <c r="BI24" s="83">
        <v>-0.304304357437166</v>
      </c>
      <c r="BJ24" s="37">
        <v>4.6247579144977641E-3</v>
      </c>
      <c r="BK24" s="37">
        <v>0.52751106924579005</v>
      </c>
      <c r="BL24" s="37">
        <v>4.4456812002974244E-2</v>
      </c>
      <c r="BM24" s="37">
        <v>-9.8095592261737447E-2</v>
      </c>
      <c r="BN24" s="37">
        <v>-0.36915605152517206</v>
      </c>
      <c r="BO24" s="37">
        <v>0.61791784648186121</v>
      </c>
      <c r="BP24" s="37">
        <v>0.26643664243467552</v>
      </c>
      <c r="BQ24" s="84">
        <v>0.16859195804426017</v>
      </c>
      <c r="BU24" s="83">
        <v>-0.3033153620896748</v>
      </c>
      <c r="BV24" s="37">
        <v>1.003366193172129E-2</v>
      </c>
      <c r="BW24" s="37">
        <v>0.52268797785696119</v>
      </c>
      <c r="BX24" s="37">
        <v>5.3061698552141094E-2</v>
      </c>
      <c r="BY24" s="37">
        <v>-7.9330266250674547E-2</v>
      </c>
      <c r="BZ24" s="37">
        <v>-0.37810034054724284</v>
      </c>
      <c r="CA24" s="37">
        <v>0.58782606813001859</v>
      </c>
      <c r="CB24" s="37">
        <v>0.32510880611424692</v>
      </c>
      <c r="CC24" s="84">
        <v>0.17717920263856515</v>
      </c>
      <c r="CG24" s="83">
        <v>-0.30247774599705529</v>
      </c>
      <c r="CH24" s="37">
        <v>1.465327842445612E-2</v>
      </c>
      <c r="CI24" s="37">
        <v>0.51676325236134735</v>
      </c>
      <c r="CJ24" s="37">
        <v>6.721334467825589E-2</v>
      </c>
      <c r="CK24" s="37">
        <v>-6.5378493302406554E-2</v>
      </c>
      <c r="CL24" s="37">
        <v>-0.38733499005656891</v>
      </c>
      <c r="CM24" s="37">
        <v>0.5624188515173425</v>
      </c>
      <c r="CN24" s="37">
        <v>0.36155242609042498</v>
      </c>
      <c r="CO24" s="84">
        <v>0.1881295794165723</v>
      </c>
      <c r="CS24" s="83">
        <v>-0.30193661053120902</v>
      </c>
      <c r="CT24" s="37">
        <v>1.8364911734786417E-2</v>
      </c>
      <c r="CU24" s="37">
        <v>0.50987342575230821</v>
      </c>
      <c r="CV24" s="37">
        <v>8.9642184233546168E-2</v>
      </c>
      <c r="CW24" s="37">
        <v>-5.5364000271639097E-2</v>
      </c>
      <c r="CX24" s="37">
        <v>-0.39603898502287782</v>
      </c>
      <c r="CY24" s="37">
        <v>0.54891535553399595</v>
      </c>
      <c r="CZ24" s="37">
        <v>0.37364354274798539</v>
      </c>
      <c r="DA24" s="84">
        <v>0.19915011170731711</v>
      </c>
      <c r="DE24" s="83">
        <v>-0.30156129446052143</v>
      </c>
      <c r="DF24" s="37">
        <v>2.1327262893154442E-2</v>
      </c>
      <c r="DG24" s="37">
        <v>0.49968056774671166</v>
      </c>
      <c r="DH24" s="37">
        <v>0.12434781126092034</v>
      </c>
      <c r="DI24" s="37">
        <v>-4.7807347805586466E-2</v>
      </c>
      <c r="DJ24" s="37">
        <v>-0.40392210930777134</v>
      </c>
      <c r="DK24" s="37">
        <v>0.54084671568930509</v>
      </c>
      <c r="DL24" s="37">
        <v>0.37584438598240055</v>
      </c>
      <c r="DM24" s="84">
        <v>0.21035707821103422</v>
      </c>
      <c r="DQ24" s="83">
        <v>-0.30129682252813128</v>
      </c>
      <c r="DR24" s="37">
        <v>2.3702871062719479E-2</v>
      </c>
      <c r="DS24" s="37">
        <v>0.48197728780892674</v>
      </c>
      <c r="DT24" s="37">
        <v>0.17474133823144417</v>
      </c>
      <c r="DU24" s="37">
        <v>-4.1953676458557403E-2</v>
      </c>
      <c r="DV24" s="37">
        <v>-0.41090316252313341</v>
      </c>
      <c r="DW24" s="37">
        <v>0.53547456571832874</v>
      </c>
      <c r="DX24" s="37">
        <v>0.37326633209391458</v>
      </c>
      <c r="DY24" s="84">
        <v>0.22171935468354986</v>
      </c>
      <c r="EC24" s="83">
        <v>-0.30111285436646457</v>
      </c>
      <c r="ED24" s="37">
        <v>2.5619184247470138E-2</v>
      </c>
      <c r="EE24" s="37">
        <v>0.45268119457331518</v>
      </c>
      <c r="EF24" s="37">
        <v>0.23679892887173062</v>
      </c>
      <c r="EG24" s="37">
        <v>-3.7364206054554504E-2</v>
      </c>
      <c r="EH24" s="37">
        <v>-0.41701375580973121</v>
      </c>
      <c r="EI24" s="37">
        <v>-0.53155544954597933</v>
      </c>
      <c r="EJ24" s="37">
        <v>0.36806481237264738</v>
      </c>
      <c r="EK24" s="84">
        <v>-0.23315499398700917</v>
      </c>
      <c r="EO24" s="83">
        <v>-0.30099430295877938</v>
      </c>
      <c r="EP24" s="37">
        <v>2.7171478313440436E-2</v>
      </c>
      <c r="EQ24" s="37">
        <v>0.41025845831660901</v>
      </c>
      <c r="ER24" s="37">
        <v>0.3020772062227649</v>
      </c>
      <c r="ES24" s="37">
        <v>-3.3799268926244179E-2</v>
      </c>
      <c r="ET24" s="37">
        <v>-0.42232704549635069</v>
      </c>
      <c r="EU24" s="37">
        <v>0.52858775593813156</v>
      </c>
      <c r="EV24" s="37">
        <v>0.36117775931198842</v>
      </c>
      <c r="EW24" s="84">
        <v>0.24442705604327444</v>
      </c>
      <c r="FA24" s="83">
        <v>-0.30093286627867788</v>
      </c>
      <c r="FB24" s="37">
        <v>2.8439013415887417E-2</v>
      </c>
      <c r="FC24" s="37">
        <v>0.34247666976519053</v>
      </c>
      <c r="FD24" s="37">
        <v>0.37576114939075467</v>
      </c>
      <c r="FE24" s="37">
        <v>-3.1059017481325075E-2</v>
      </c>
      <c r="FF24" s="37">
        <v>-0.42690228404168651</v>
      </c>
      <c r="FG24" s="37">
        <v>0.52746047348533132</v>
      </c>
      <c r="FH24" s="37">
        <v>-0.35274993171156199</v>
      </c>
      <c r="FI24" s="84">
        <v>0.25354808949294055</v>
      </c>
      <c r="FM24" s="83">
        <v>-0.3009026645193893</v>
      </c>
      <c r="FN24" s="37">
        <v>2.9485354268495665E-2</v>
      </c>
      <c r="FO24" s="37">
        <v>0.28854758764372446</v>
      </c>
      <c r="FP24" s="37">
        <v>0.41759192176797721</v>
      </c>
      <c r="FQ24" s="37">
        <v>-2.8824499162754924E-2</v>
      </c>
      <c r="FR24" s="37">
        <v>-0.43086010126953328</v>
      </c>
      <c r="FS24" s="37">
        <v>0.52501109091340303</v>
      </c>
      <c r="FT24" s="37">
        <v>-0.34374899879179144</v>
      </c>
      <c r="FU24" s="84">
        <v>0.26584615576963233</v>
      </c>
      <c r="FY24" s="83">
        <v>-0.30089209008644402</v>
      </c>
      <c r="FZ24" s="37">
        <v>3.0332788313488922E-2</v>
      </c>
      <c r="GA24" s="37">
        <v>0.28758728379098863</v>
      </c>
      <c r="GB24" s="37">
        <v>0.41748332072350147</v>
      </c>
      <c r="GC24" s="37">
        <v>-2.707349905866558E-2</v>
      </c>
      <c r="GD24" s="37">
        <v>-0.43414479003024931</v>
      </c>
      <c r="GE24" s="37">
        <v>0.52351484157083938</v>
      </c>
      <c r="GF24" s="37">
        <v>0.33498395634145611</v>
      </c>
      <c r="GG24" s="84">
        <v>0.27576872517226458</v>
      </c>
      <c r="GK24" s="83">
        <v>-0.30093344907351943</v>
      </c>
      <c r="GL24" s="37">
        <v>3.1027071353395774E-2</v>
      </c>
      <c r="GM24" s="37">
        <v>0.27099262675155344</v>
      </c>
      <c r="GN24" s="37">
        <v>0.42798707014260445</v>
      </c>
      <c r="GO24" s="37">
        <v>-2.5794528887533197E-2</v>
      </c>
      <c r="GP24" s="37">
        <v>-0.43678025569289991</v>
      </c>
      <c r="GQ24" s="37">
        <v>0.5238306617309112</v>
      </c>
      <c r="GR24" s="37">
        <v>0.32518184641896208</v>
      </c>
      <c r="GS24" s="84">
        <v>0.28334131222857589</v>
      </c>
      <c r="GW24" s="83">
        <v>-0.30098329325849749</v>
      </c>
      <c r="GX24" s="37">
        <v>3.1600141194850905E-2</v>
      </c>
      <c r="GY24" s="37">
        <v>0.26031357980223913</v>
      </c>
      <c r="GZ24" s="37">
        <v>0.43424446798804683</v>
      </c>
      <c r="HA24" s="37">
        <v>-2.4770572533272847E-2</v>
      </c>
      <c r="HB24" s="37">
        <v>-0.43896321404101141</v>
      </c>
      <c r="HC24" s="37">
        <v>0.52428501581366427</v>
      </c>
      <c r="HD24" s="37">
        <v>0.31611571868003563</v>
      </c>
      <c r="HE24" s="84">
        <v>0.28978071105559877</v>
      </c>
      <c r="HI24" s="83">
        <v>-0.30103721408873985</v>
      </c>
      <c r="HJ24" s="37">
        <v>3.2075595366108121E-2</v>
      </c>
      <c r="HK24" s="37">
        <v>0.21941901004517195</v>
      </c>
      <c r="HL24" s="37">
        <v>0.45605972120063959</v>
      </c>
      <c r="HM24" s="37">
        <v>-2.3949336971140354E-2</v>
      </c>
      <c r="HN24" s="37">
        <v>-0.44077299508533246</v>
      </c>
      <c r="HO24" s="37">
        <v>0.52486886243004327</v>
      </c>
      <c r="HP24" s="37">
        <v>0.30603562890572145</v>
      </c>
      <c r="HQ24" s="84">
        <v>-0.29700681439760063</v>
      </c>
      <c r="HU24" s="83">
        <v>-0.30105633641915858</v>
      </c>
      <c r="HV24" s="37">
        <v>3.2461225613371926E-2</v>
      </c>
      <c r="HW24" s="37">
        <v>0.20715121023214561</v>
      </c>
      <c r="HX24" s="37">
        <v>0.46153328602878102</v>
      </c>
      <c r="HY24" s="37">
        <v>-2.3240924193775582E-2</v>
      </c>
      <c r="HZ24" s="37">
        <v>-0.44238879021357047</v>
      </c>
      <c r="IA24" s="37">
        <v>0.52395834959706733</v>
      </c>
      <c r="IB24" s="37">
        <v>0.29790286483257461</v>
      </c>
      <c r="IC24" s="84">
        <v>-0.3047298834516205</v>
      </c>
      <c r="IG24" s="83">
        <v>-0.30107735508263167</v>
      </c>
      <c r="IH24" s="37">
        <v>3.2778210639294363E-2</v>
      </c>
      <c r="II24" s="37">
        <v>0.19804062079414142</v>
      </c>
      <c r="IJ24" s="37">
        <v>0.46535191129079839</v>
      </c>
      <c r="IK24" s="37">
        <v>-2.2685850115394184E-2</v>
      </c>
      <c r="IL24" s="37">
        <v>-0.44373471295593464</v>
      </c>
      <c r="IM24" s="37">
        <v>0.52321588182432011</v>
      </c>
      <c r="IN24" s="37">
        <v>0.28984484697835167</v>
      </c>
      <c r="IO24" s="84">
        <v>-0.31197033311928046</v>
      </c>
      <c r="IS24" s="83">
        <v>-0.3010988801752133</v>
      </c>
      <c r="IT24" s="37">
        <v>3.3039416799405655E-2</v>
      </c>
      <c r="IU24" s="37">
        <v>0.22265457067278963</v>
      </c>
      <c r="IV24" s="37">
        <v>0.45397060142598544</v>
      </c>
      <c r="IW24" s="37">
        <v>-2.2252139008604774E-2</v>
      </c>
      <c r="IX24" s="37">
        <v>-0.44485565113916625</v>
      </c>
      <c r="IY24" s="37">
        <v>0.5225855319219842</v>
      </c>
      <c r="IZ24" s="37">
        <v>0.28932389176677442</v>
      </c>
      <c r="JA24" s="84">
        <v>0.31207024198417943</v>
      </c>
      <c r="JE24" s="83">
        <v>-0.30115534438847263</v>
      </c>
      <c r="JF24" s="37">
        <v>3.3268495553588205E-2</v>
      </c>
      <c r="JG24" s="37">
        <v>0.22544106180346671</v>
      </c>
      <c r="JH24" s="37">
        <v>0.45258193134788505</v>
      </c>
      <c r="JI24" s="37">
        <v>-2.1928251786545824E-2</v>
      </c>
      <c r="JJ24" s="37">
        <v>-0.44567219476223063</v>
      </c>
      <c r="JK24" s="37">
        <v>0.52362787440348191</v>
      </c>
      <c r="JL24" s="37">
        <v>0.28452253947073652</v>
      </c>
      <c r="JM24" s="84">
        <v>0.31352959842799444</v>
      </c>
      <c r="JQ24" s="83">
        <v>-0.30120971532947322</v>
      </c>
      <c r="JR24" s="37">
        <v>3.3463686068543483E-2</v>
      </c>
      <c r="JS24" s="37">
        <v>0.19937358454669271</v>
      </c>
      <c r="JT24" s="37">
        <v>0.46466463048093554</v>
      </c>
      <c r="JU24" s="37">
        <v>-2.1671561169281615E-2</v>
      </c>
      <c r="JV24" s="37">
        <v>-0.44634981679656638</v>
      </c>
      <c r="JW24" s="37">
        <v>0.5247176325211822</v>
      </c>
      <c r="JX24" s="37">
        <v>0.26971514190276047</v>
      </c>
      <c r="JY24" s="84">
        <v>-0.32360033514005965</v>
      </c>
      <c r="KC24" s="83">
        <v>-0.30122685816511169</v>
      </c>
      <c r="KD24" s="37">
        <v>3.3618427910999005E-2</v>
      </c>
      <c r="KE24" s="37">
        <v>0.195663427470293</v>
      </c>
      <c r="KF24" s="37">
        <v>0.46618938302695545</v>
      </c>
      <c r="KG24" s="37">
        <v>-2.1442638232458608E-2</v>
      </c>
      <c r="KH24" s="37">
        <v>-0.4470200597630688</v>
      </c>
      <c r="KI24" s="37">
        <v>0.52435744254515204</v>
      </c>
      <c r="KJ24" s="37">
        <v>-0.26319541012059311</v>
      </c>
      <c r="KK24" s="84">
        <v>0.3286429544388671</v>
      </c>
      <c r="KO24" s="83">
        <v>-0.30124266719932197</v>
      </c>
      <c r="KP24" s="37">
        <v>3.3746761049285562E-2</v>
      </c>
      <c r="KQ24" s="37">
        <v>0.19277833974898084</v>
      </c>
      <c r="KR24" s="37">
        <v>0.46735609294097213</v>
      </c>
      <c r="KS24" s="37">
        <v>-2.1263400089857904E-2</v>
      </c>
      <c r="KT24" s="37">
        <v>-0.44757822608058362</v>
      </c>
      <c r="KU24" s="37">
        <v>0.52407743893540271</v>
      </c>
      <c r="KV24" s="37">
        <v>-0.25353173693199016</v>
      </c>
      <c r="KW24" s="84">
        <v>0.33587929589992738</v>
      </c>
      <c r="LA24" s="83">
        <v>-0.30125648616074452</v>
      </c>
      <c r="LB24" s="37">
        <v>3.3853700054067522E-2</v>
      </c>
      <c r="LC24" s="37">
        <v>0.21890321926164572</v>
      </c>
      <c r="LD24" s="37">
        <v>0.45567804759815778</v>
      </c>
      <c r="LE24" s="37">
        <v>-2.1116467742692643E-2</v>
      </c>
      <c r="LF24" s="37">
        <v>-0.44804345405206575</v>
      </c>
      <c r="LG24" s="37">
        <v>0.52382137813974228</v>
      </c>
      <c r="LH24" s="37">
        <v>0.27140356769626084</v>
      </c>
      <c r="LI24" s="84">
        <v>0.32140283040047557</v>
      </c>
      <c r="LM24" s="83">
        <v>-0.30130536339969566</v>
      </c>
      <c r="LN24" s="37">
        <v>3.395523667311949E-2</v>
      </c>
      <c r="LO24" s="37">
        <v>0.22512223028750142</v>
      </c>
      <c r="LP24" s="37">
        <v>0.45270542739279629</v>
      </c>
      <c r="LQ24" s="37">
        <v>-2.1038306993413108E-2</v>
      </c>
      <c r="LR24" s="37">
        <v>-0.44832579431124775</v>
      </c>
      <c r="LS24" s="37">
        <v>0.52510525196760172</v>
      </c>
      <c r="LT24" s="37">
        <v>0.27001903503368346</v>
      </c>
      <c r="LU24" s="84">
        <v>0.31993040524166511</v>
      </c>
      <c r="LY24" s="83">
        <v>-0.30135273099802729</v>
      </c>
      <c r="LZ24" s="37">
        <v>3.404518137259667E-2</v>
      </c>
      <c r="MA24" s="37">
        <v>0.20388965772482373</v>
      </c>
      <c r="MB24" s="37">
        <v>0.4627276985679018</v>
      </c>
      <c r="MC24" s="37">
        <v>-2.0982830806185387E-2</v>
      </c>
      <c r="MD24" s="37">
        <v>-0.44856145666168978</v>
      </c>
      <c r="ME24" s="37">
        <v>0.52639726828983546</v>
      </c>
      <c r="MF24" s="37">
        <v>0.24823585674399543</v>
      </c>
      <c r="MG24" s="84">
        <v>0.33462928348953358</v>
      </c>
      <c r="MK24" s="83">
        <v>-0.30136256533830169</v>
      </c>
      <c r="ML24" s="37">
        <v>3.4113540374637041E-2</v>
      </c>
      <c r="MM24" s="37">
        <v>0.20248587401537371</v>
      </c>
      <c r="MN24" s="37">
        <v>0.46333121045416764</v>
      </c>
      <c r="MO24" s="37">
        <v>-2.0896255064223438E-2</v>
      </c>
      <c r="MP24" s="37">
        <v>-0.44885668877317564</v>
      </c>
      <c r="MQ24" s="37">
        <v>0.52625756596152584</v>
      </c>
      <c r="MR24" s="37">
        <v>0.24418066014022999</v>
      </c>
      <c r="MS24" s="84">
        <v>0.33743196316996038</v>
      </c>
    </row>
    <row r="25" spans="1:358" ht="14.45" x14ac:dyDescent="0.35">
      <c r="A25">
        <v>22</v>
      </c>
      <c r="B25" s="123">
        <v>5</v>
      </c>
      <c r="C25" s="37">
        <v>8</v>
      </c>
      <c r="D25" s="37">
        <v>5</v>
      </c>
      <c r="E25" s="37">
        <v>3</v>
      </c>
      <c r="F25" s="37">
        <v>6</v>
      </c>
      <c r="G25" s="37">
        <v>4</v>
      </c>
      <c r="H25" s="37">
        <v>4</v>
      </c>
      <c r="I25" s="37">
        <v>3</v>
      </c>
      <c r="J25" s="90">
        <v>7</v>
      </c>
      <c r="Y25" s="83">
        <v>-0.14466586605010659</v>
      </c>
      <c r="Z25" s="37">
        <v>-8.9123054264828097E-3</v>
      </c>
      <c r="AA25" s="37">
        <v>0.57874132640671017</v>
      </c>
      <c r="AB25" s="37">
        <v>-0.16638885807038906</v>
      </c>
      <c r="AC25" s="37">
        <v>0.19388981754300758</v>
      </c>
      <c r="AD25" s="37">
        <v>-0.36709871029127372</v>
      </c>
      <c r="AE25" s="37">
        <v>-0.60264917972571963</v>
      </c>
      <c r="AF25" s="37">
        <v>-0.27458753562503563</v>
      </c>
      <c r="AG25" s="84">
        <v>7.3664849432434953E-2</v>
      </c>
      <c r="AK25" s="83">
        <v>-0.14480272213362935</v>
      </c>
      <c r="AL25" s="37">
        <v>-3.5413508449037108E-3</v>
      </c>
      <c r="AM25" s="37">
        <v>0.57930213866182478</v>
      </c>
      <c r="AN25" s="37">
        <v>-0.14682856780479517</v>
      </c>
      <c r="AO25" s="37">
        <v>0.21951199523818224</v>
      </c>
      <c r="AP25" s="37">
        <v>-0.34936988550247577</v>
      </c>
      <c r="AQ25" s="37">
        <v>-0.6178192733200355</v>
      </c>
      <c r="AR25" s="37">
        <v>-0.25547460487025275</v>
      </c>
      <c r="AS25" s="84">
        <v>6.8244216944302633E-2</v>
      </c>
      <c r="AW25" s="83">
        <v>-0.14413611098308574</v>
      </c>
      <c r="AX25" s="37">
        <v>2.1837535815751202E-3</v>
      </c>
      <c r="AY25" s="37">
        <v>0.57527630982131728</v>
      </c>
      <c r="AZ25" s="37">
        <v>-0.12830293270139778</v>
      </c>
      <c r="BA25" s="37">
        <v>0.23463672781774483</v>
      </c>
      <c r="BB25" s="37">
        <v>-0.3389999514408582</v>
      </c>
      <c r="BC25" s="37">
        <v>-0.59675285048814852</v>
      </c>
      <c r="BD25" s="37">
        <v>-0.31961374119886971</v>
      </c>
      <c r="BE25" s="84">
        <v>5.9776820781650412E-2</v>
      </c>
      <c r="BI25" s="83">
        <v>-0.1434104168251131</v>
      </c>
      <c r="BJ25" s="37">
        <v>7.2109270652436922E-3</v>
      </c>
      <c r="BK25" s="37">
        <v>0.56939291734945441</v>
      </c>
      <c r="BL25" s="37">
        <v>-0.11137732236906014</v>
      </c>
      <c r="BM25" s="37">
        <v>0.23213998496939833</v>
      </c>
      <c r="BN25" s="37">
        <v>-0.34428904732356608</v>
      </c>
      <c r="BO25" s="37">
        <v>-0.56715005831459109</v>
      </c>
      <c r="BP25" s="37">
        <v>-0.38202397140043537</v>
      </c>
      <c r="BQ25" s="84">
        <v>5.2372020313412433E-2</v>
      </c>
      <c r="BU25" s="83">
        <v>-0.14271571662819732</v>
      </c>
      <c r="BV25" s="37">
        <v>1.1434716591438888E-2</v>
      </c>
      <c r="BW25" s="37">
        <v>0.56325554488379459</v>
      </c>
      <c r="BX25" s="37">
        <v>-9.3174196524668851E-2</v>
      </c>
      <c r="BY25" s="37">
        <v>0.2261424027839401</v>
      </c>
      <c r="BZ25" s="37">
        <v>-0.35302691357078764</v>
      </c>
      <c r="CA25" s="37">
        <v>-0.53641252177719301</v>
      </c>
      <c r="CB25" s="37">
        <v>-0.43366777783384414</v>
      </c>
      <c r="CC25" s="84">
        <v>4.4594939740878067E-2</v>
      </c>
      <c r="CG25" s="83">
        <v>-0.14213294770513579</v>
      </c>
      <c r="CH25" s="37">
        <v>1.4875273221892946E-2</v>
      </c>
      <c r="CI25" s="37">
        <v>0.55790070828837723</v>
      </c>
      <c r="CJ25" s="37">
        <v>-7.070071050377616E-2</v>
      </c>
      <c r="CK25" s="37">
        <v>0.22096413796532344</v>
      </c>
      <c r="CL25" s="37">
        <v>-0.36066193029483151</v>
      </c>
      <c r="CM25" s="37">
        <v>-0.51694599228799221</v>
      </c>
      <c r="CN25" s="37">
        <v>-0.46466187339433696</v>
      </c>
      <c r="CO25" s="84">
        <v>3.5765442666082115E-2</v>
      </c>
      <c r="CS25" s="83">
        <v>-0.1417048965463768</v>
      </c>
      <c r="CT25" s="37">
        <v>1.7552992014137896E-2</v>
      </c>
      <c r="CU25" s="37">
        <v>0.55362216345320703</v>
      </c>
      <c r="CV25" s="37">
        <v>-4.1182489709241786E-2</v>
      </c>
      <c r="CW25" s="37">
        <v>0.21775787402589339</v>
      </c>
      <c r="CX25" s="37">
        <v>-0.36541454715528748</v>
      </c>
      <c r="CY25" s="37">
        <v>-0.51411229553067583</v>
      </c>
      <c r="CZ25" s="37">
        <v>-0.4748280063800992</v>
      </c>
      <c r="DA25" s="84">
        <v>2.6433811854640415E-2</v>
      </c>
      <c r="DE25" s="83">
        <v>-0.14136561664364297</v>
      </c>
      <c r="DF25" s="37">
        <v>1.963150449839305E-2</v>
      </c>
      <c r="DG25" s="37">
        <v>0.5489798997269314</v>
      </c>
      <c r="DH25" s="37">
        <v>5.3685657822311484E-4</v>
      </c>
      <c r="DI25" s="37">
        <v>0.21553687199683294</v>
      </c>
      <c r="DJ25" s="37">
        <v>-0.36838712411310109</v>
      </c>
      <c r="DK25" s="37">
        <v>-0.5177961312611391</v>
      </c>
      <c r="DL25" s="37">
        <v>-0.47718056142239729</v>
      </c>
      <c r="DM25" s="84">
        <v>1.6486654967360029E-2</v>
      </c>
      <c r="DQ25" s="83">
        <v>-0.14109007218436018</v>
      </c>
      <c r="DR25" s="37">
        <v>2.1257409206221344E-2</v>
      </c>
      <c r="DS25" s="37">
        <v>0.54046901693443994</v>
      </c>
      <c r="DT25" s="37">
        <v>5.9154810764544249E-2</v>
      </c>
      <c r="DU25" s="37">
        <v>0.21392405563364864</v>
      </c>
      <c r="DV25" s="37">
        <v>-0.37018948336990293</v>
      </c>
      <c r="DW25" s="37">
        <v>-0.52404704660215751</v>
      </c>
      <c r="DX25" s="37">
        <v>-0.47599572845443977</v>
      </c>
      <c r="DY25" s="84">
        <v>5.8879917152387324E-3</v>
      </c>
      <c r="EC25" s="83">
        <v>-0.14086436543248504</v>
      </c>
      <c r="ED25" s="37">
        <v>2.2539705557477061E-2</v>
      </c>
      <c r="EE25" s="37">
        <v>0.52290397978772007</v>
      </c>
      <c r="EF25" s="37">
        <v>0.13150913238675899</v>
      </c>
      <c r="EG25" s="37">
        <v>0.21270495143236307</v>
      </c>
      <c r="EH25" s="37">
        <v>-0.37118248983241636</v>
      </c>
      <c r="EI25" s="37">
        <v>0.53118807949904767</v>
      </c>
      <c r="EJ25" s="37">
        <v>-0.4729874747326141</v>
      </c>
      <c r="EK25" s="84">
        <v>5.3107502172496683E-3</v>
      </c>
      <c r="EO25" s="83">
        <v>-0.14068126399057432</v>
      </c>
      <c r="EP25" s="37">
        <v>2.3557776560970033E-2</v>
      </c>
      <c r="EQ25" s="37">
        <v>0.49277477315097656</v>
      </c>
      <c r="ER25" s="37">
        <v>0.20927210846667954</v>
      </c>
      <c r="ES25" s="37">
        <v>0.21173685911969245</v>
      </c>
      <c r="ET25" s="37">
        <v>-0.37156595469774184</v>
      </c>
      <c r="EU25" s="37">
        <v>-0.5386041507038497</v>
      </c>
      <c r="EV25" s="37">
        <v>-0.46878581321568896</v>
      </c>
      <c r="EW25" s="84">
        <v>-1.6843237853940797E-2</v>
      </c>
      <c r="FA25" s="83">
        <v>-0.14053817577051947</v>
      </c>
      <c r="FB25" s="37">
        <v>2.4376332956486255E-2</v>
      </c>
      <c r="FC25" s="37">
        <v>0.43908332877397327</v>
      </c>
      <c r="FD25" s="37">
        <v>0.30069968419936149</v>
      </c>
      <c r="FE25" s="37">
        <v>0.21098798210148348</v>
      </c>
      <c r="FF25" s="37">
        <v>-0.37149801776987373</v>
      </c>
      <c r="FG25" s="37">
        <v>-0.54647417553965705</v>
      </c>
      <c r="FH25" s="37">
        <v>0.46321808191168168</v>
      </c>
      <c r="FI25" s="84">
        <v>-2.6619994702811237E-2</v>
      </c>
      <c r="FM25" s="83">
        <v>-0.14042123929333958</v>
      </c>
      <c r="FN25" s="37">
        <v>2.5040431306869629E-2</v>
      </c>
      <c r="FO25" s="37">
        <v>0.39225889146150489</v>
      </c>
      <c r="FP25" s="37">
        <v>0.35562274906573782</v>
      </c>
      <c r="FQ25" s="37">
        <v>0.21042580504321487</v>
      </c>
      <c r="FR25" s="37">
        <v>-0.37118439997004271</v>
      </c>
      <c r="FS25" s="37">
        <v>-0.55355182378540591</v>
      </c>
      <c r="FT25" s="37">
        <v>0.45741358820308209</v>
      </c>
      <c r="FU25" s="84">
        <v>-4.0206769000177646E-2</v>
      </c>
      <c r="FY25" s="83">
        <v>-0.1403283856014946</v>
      </c>
      <c r="FZ25" s="37">
        <v>2.5573431772852161E-2</v>
      </c>
      <c r="GA25" s="37">
        <v>0.38967958788955126</v>
      </c>
      <c r="GB25" s="37">
        <v>0.35515445584039074</v>
      </c>
      <c r="GC25" s="37">
        <v>0.20998700424163985</v>
      </c>
      <c r="GD25" s="37">
        <v>-0.37077106631947643</v>
      </c>
      <c r="GE25" s="37">
        <v>-0.55970506049251978</v>
      </c>
      <c r="GF25" s="37">
        <v>-0.45184636046223692</v>
      </c>
      <c r="GG25" s="84">
        <v>-5.1657151361797125E-2</v>
      </c>
      <c r="GK25" s="83">
        <v>-0.14027857703445587</v>
      </c>
      <c r="GL25" s="37">
        <v>2.601585871917611E-2</v>
      </c>
      <c r="GM25" s="37">
        <v>0.37421562819467713</v>
      </c>
      <c r="GN25" s="37">
        <v>0.36900087139422749</v>
      </c>
      <c r="GO25" s="37">
        <v>0.20987752750440875</v>
      </c>
      <c r="GP25" s="37">
        <v>-0.37015938386895997</v>
      </c>
      <c r="GQ25" s="37">
        <v>-0.56691348515806073</v>
      </c>
      <c r="GR25" s="37">
        <v>-0.44418030269023279</v>
      </c>
      <c r="GS25" s="84">
        <v>-6.0766186944669225E-2</v>
      </c>
      <c r="GW25" s="83">
        <v>-0.14024402799808722</v>
      </c>
      <c r="GX25" s="37">
        <v>2.6380720997721964E-2</v>
      </c>
      <c r="GY25" s="37">
        <v>0.36399075867063618</v>
      </c>
      <c r="GZ25" s="37">
        <v>0.37717632753327085</v>
      </c>
      <c r="HA25" s="37">
        <v>0.20986143680147312</v>
      </c>
      <c r="HB25" s="37">
        <v>-0.36954425997697649</v>
      </c>
      <c r="HC25" s="37">
        <v>-0.5732855149303121</v>
      </c>
      <c r="HD25" s="37">
        <v>-0.43691915008597526</v>
      </c>
      <c r="HE25" s="84">
        <v>-6.8738691014089817E-2</v>
      </c>
      <c r="HI25" s="83">
        <v>-0.14022094751116274</v>
      </c>
      <c r="HJ25" s="37">
        <v>2.6683655342840933E-2</v>
      </c>
      <c r="HK25" s="37">
        <v>0.32716778745545788</v>
      </c>
      <c r="HL25" s="37">
        <v>0.40808976182558182</v>
      </c>
      <c r="HM25" s="37">
        <v>0.2099067859022834</v>
      </c>
      <c r="HN25" s="37">
        <v>-0.36895086763728974</v>
      </c>
      <c r="HO25" s="37">
        <v>-0.57894138510727122</v>
      </c>
      <c r="HP25" s="37">
        <v>-0.42963075911309501</v>
      </c>
      <c r="HQ25" s="84">
        <v>7.815840004182574E-2</v>
      </c>
      <c r="HU25" s="83">
        <v>-0.14018235314966909</v>
      </c>
      <c r="HV25" s="37">
        <v>2.6919773144741668E-2</v>
      </c>
      <c r="HW25" s="37">
        <v>0.31538651812792395</v>
      </c>
      <c r="HX25" s="37">
        <v>0.41596313031165721</v>
      </c>
      <c r="HY25" s="37">
        <v>0.20971899618790374</v>
      </c>
      <c r="HZ25" s="37">
        <v>-0.36849334675351153</v>
      </c>
      <c r="IA25" s="37">
        <v>-0.5821833046336431</v>
      </c>
      <c r="IB25" s="37">
        <v>-0.42502174436634055</v>
      </c>
      <c r="IC25" s="84">
        <v>8.8204108417385421E-2</v>
      </c>
      <c r="IG25" s="83">
        <v>-0.14015183387388799</v>
      </c>
      <c r="IH25" s="37">
        <v>2.7113260853079288E-2</v>
      </c>
      <c r="II25" s="37">
        <v>0.30653694323366287</v>
      </c>
      <c r="IJ25" s="37">
        <v>0.42147869830243634</v>
      </c>
      <c r="IK25" s="37">
        <v>0.20956356052631492</v>
      </c>
      <c r="IL25" s="37">
        <v>-0.36806291853394213</v>
      </c>
      <c r="IM25" s="37">
        <v>-0.58496133387453819</v>
      </c>
      <c r="IN25" s="37">
        <v>-0.42055023404918762</v>
      </c>
      <c r="IO25" s="84">
        <v>9.7896294468433481E-2</v>
      </c>
      <c r="IS25" s="83">
        <v>-0.14012772541176868</v>
      </c>
      <c r="IT25" s="37">
        <v>2.7272402791750566E-2</v>
      </c>
      <c r="IU25" s="37">
        <v>0.32812358569473632</v>
      </c>
      <c r="IV25" s="37">
        <v>0.40400539861445017</v>
      </c>
      <c r="IW25" s="37">
        <v>0.20943348000048168</v>
      </c>
      <c r="IX25" s="37">
        <v>-0.36766629899513753</v>
      </c>
      <c r="IY25" s="37">
        <v>-0.58728333276143596</v>
      </c>
      <c r="IZ25" s="37">
        <v>-0.41867962660150027</v>
      </c>
      <c r="JA25" s="84">
        <v>-9.7466683464904405E-2</v>
      </c>
      <c r="JE25" s="83">
        <v>-0.14013297614100464</v>
      </c>
      <c r="JF25" s="37">
        <v>2.7422762268146376E-2</v>
      </c>
      <c r="JG25" s="37">
        <v>0.3303559265838284</v>
      </c>
      <c r="JH25" s="37">
        <v>0.40159652590585992</v>
      </c>
      <c r="JI25" s="37">
        <v>0.20962438130966338</v>
      </c>
      <c r="JJ25" s="37">
        <v>-0.36722202782788033</v>
      </c>
      <c r="JK25" s="37">
        <v>-0.59091554607574204</v>
      </c>
      <c r="JL25" s="37">
        <v>-0.41388193802406797</v>
      </c>
      <c r="JM25" s="84">
        <v>-9.9609703747700382E-2</v>
      </c>
      <c r="JQ25" s="83">
        <v>-0.14014118107822446</v>
      </c>
      <c r="JR25" s="37">
        <v>2.7552190691725591E-2</v>
      </c>
      <c r="JS25" s="37">
        <v>0.30685347397496104</v>
      </c>
      <c r="JT25" s="37">
        <v>0.4193783004543461</v>
      </c>
      <c r="JU25" s="37">
        <v>0.20982090468166292</v>
      </c>
      <c r="JV25" s="37">
        <v>-0.36681644173788336</v>
      </c>
      <c r="JW25" s="37">
        <v>-0.59422666685521297</v>
      </c>
      <c r="JX25" s="37">
        <v>-0.40588577554533051</v>
      </c>
      <c r="JY25" s="84">
        <v>0.11461415448820318</v>
      </c>
      <c r="KC25" s="83">
        <v>-0.14012817135697178</v>
      </c>
      <c r="KD25" s="37">
        <v>2.7646325871764542E-2</v>
      </c>
      <c r="KE25" s="37">
        <v>0.30320675488684545</v>
      </c>
      <c r="KF25" s="37">
        <v>0.42152418359648808</v>
      </c>
      <c r="KG25" s="37">
        <v>0.20974028111801898</v>
      </c>
      <c r="KH25" s="37">
        <v>-0.36654151004859814</v>
      </c>
      <c r="KI25" s="37">
        <v>-0.59567833357817113</v>
      </c>
      <c r="KJ25" s="37">
        <v>0.40242168449405558</v>
      </c>
      <c r="KK25" s="84">
        <v>-0.12191492662744113</v>
      </c>
      <c r="KO25" s="83">
        <v>-0.1401178705795042</v>
      </c>
      <c r="KP25" s="37">
        <v>2.7724466231936917E-2</v>
      </c>
      <c r="KQ25" s="37">
        <v>0.30035484488773861</v>
      </c>
      <c r="KR25" s="37">
        <v>0.42315361269606366</v>
      </c>
      <c r="KS25" s="37">
        <v>0.20967221917722251</v>
      </c>
      <c r="KT25" s="37">
        <v>-0.36629902102720346</v>
      </c>
      <c r="KU25" s="37">
        <v>-0.59691687419747186</v>
      </c>
      <c r="KV25" s="37">
        <v>0.39778524049613961</v>
      </c>
      <c r="KW25" s="84">
        <v>-0.13283846947593927</v>
      </c>
      <c r="LA25" s="83">
        <v>-0.14010953184532449</v>
      </c>
      <c r="LB25" s="37">
        <v>2.7789566468646758E-2</v>
      </c>
      <c r="LC25" s="37">
        <v>0.32359836948238679</v>
      </c>
      <c r="LD25" s="37">
        <v>0.40530244573327034</v>
      </c>
      <c r="LE25" s="37">
        <v>0.20961720161931122</v>
      </c>
      <c r="LF25" s="37">
        <v>-0.36609197684370043</v>
      </c>
      <c r="LG25" s="37">
        <v>-0.59790985273094188</v>
      </c>
      <c r="LH25" s="37">
        <v>-0.40365550823280905</v>
      </c>
      <c r="LI25" s="84">
        <v>-0.11051883906861749</v>
      </c>
      <c r="LM25" s="83">
        <v>-0.14012676454272141</v>
      </c>
      <c r="LN25" s="37">
        <v>2.7862230992305583E-2</v>
      </c>
      <c r="LO25" s="37">
        <v>0.32912376546395172</v>
      </c>
      <c r="LP25" s="37">
        <v>0.40068803730782859</v>
      </c>
      <c r="LQ25" s="37">
        <v>0.20984732370054446</v>
      </c>
      <c r="LR25" s="37">
        <v>-0.36580275409921587</v>
      </c>
      <c r="LS25" s="37">
        <v>-0.60029496835600282</v>
      </c>
      <c r="LT25" s="37">
        <v>-0.40087047917916063</v>
      </c>
      <c r="LU25" s="84">
        <v>-0.10870181887363034</v>
      </c>
      <c r="LY25" s="83">
        <v>-0.14014465795988049</v>
      </c>
      <c r="LZ25" s="37">
        <v>2.7927660922248659E-2</v>
      </c>
      <c r="MA25" s="37">
        <v>0.31022749276926698</v>
      </c>
      <c r="MB25" s="37">
        <v>0.41539044233662731</v>
      </c>
      <c r="MC25" s="37">
        <v>0.21007441320440701</v>
      </c>
      <c r="MD25" s="37">
        <v>-0.3655317567596213</v>
      </c>
      <c r="ME25" s="37">
        <v>-0.60256821652997772</v>
      </c>
      <c r="MF25" s="37">
        <v>-0.39069681948374158</v>
      </c>
      <c r="MG25" s="84">
        <v>-0.13157514634769019</v>
      </c>
      <c r="MK25" s="83">
        <v>-0.14013978721052212</v>
      </c>
      <c r="ML25" s="37">
        <v>2.7969448832927461E-2</v>
      </c>
      <c r="MM25" s="37">
        <v>0.30884007551525983</v>
      </c>
      <c r="MN25" s="37">
        <v>0.41620794117657339</v>
      </c>
      <c r="MO25" s="37">
        <v>0.2100394558159589</v>
      </c>
      <c r="MP25" s="37">
        <v>-0.36539321644718842</v>
      </c>
      <c r="MQ25" s="37">
        <v>-0.6032386740337109</v>
      </c>
      <c r="MR25" s="37">
        <v>-0.38856303920363372</v>
      </c>
      <c r="MS25" s="84">
        <v>-0.13586904916005346</v>
      </c>
    </row>
    <row r="26" spans="1:358" ht="14.45" x14ac:dyDescent="0.35">
      <c r="A26">
        <v>23</v>
      </c>
      <c r="B26" s="123">
        <v>4</v>
      </c>
      <c r="C26" s="37">
        <v>9</v>
      </c>
      <c r="D26" s="37">
        <v>4</v>
      </c>
      <c r="E26" s="37">
        <v>3</v>
      </c>
      <c r="F26" s="37">
        <v>7</v>
      </c>
      <c r="G26" s="37">
        <v>7</v>
      </c>
      <c r="H26" s="37">
        <v>7</v>
      </c>
      <c r="I26" s="37">
        <v>5</v>
      </c>
      <c r="J26" s="90">
        <v>7</v>
      </c>
      <c r="Y26" s="83">
        <v>-0.52294588344225235</v>
      </c>
      <c r="Z26" s="37">
        <v>0.22584562946049758</v>
      </c>
      <c r="AA26" s="37">
        <v>-0.1993185913346249</v>
      </c>
      <c r="AB26" s="37">
        <v>-2.4046643379337013E-2</v>
      </c>
      <c r="AC26" s="37">
        <v>-0.46353962389458037</v>
      </c>
      <c r="AD26" s="37">
        <v>0.10219503599327039</v>
      </c>
      <c r="AE26" s="37">
        <v>2.3061426559132882E-2</v>
      </c>
      <c r="AF26" s="37">
        <v>-0.63759687766987794</v>
      </c>
      <c r="AG26" s="84">
        <v>5.3299124041991976E-2</v>
      </c>
      <c r="AK26" s="83">
        <v>-0.52238344581550322</v>
      </c>
      <c r="AL26" s="37">
        <v>0.22199810344560481</v>
      </c>
      <c r="AM26" s="37">
        <v>-0.1990770660759352</v>
      </c>
      <c r="AN26" s="37">
        <v>-2.5926998868374997E-2</v>
      </c>
      <c r="AO26" s="37">
        <v>-0.46135461569128938</v>
      </c>
      <c r="AP26" s="37">
        <v>9.9253989280719157E-2</v>
      </c>
      <c r="AQ26" s="37">
        <v>-8.015292940460883E-3</v>
      </c>
      <c r="AR26" s="37">
        <v>-0.64171345698410054</v>
      </c>
      <c r="AS26" s="84">
        <v>5.448530529917555E-2</v>
      </c>
      <c r="AW26" s="83">
        <v>-0.52191911148386139</v>
      </c>
      <c r="AX26" s="37">
        <v>0.21994044850496472</v>
      </c>
      <c r="AY26" s="37">
        <v>-0.19701021596991275</v>
      </c>
      <c r="AZ26" s="37">
        <v>-3.0144976576530595E-2</v>
      </c>
      <c r="BA26" s="37">
        <v>-0.45985483819977596</v>
      </c>
      <c r="BB26" s="37">
        <v>8.3461713926942252E-2</v>
      </c>
      <c r="BC26" s="37">
        <v>6.4950780680636588E-2</v>
      </c>
      <c r="BD26" s="37">
        <v>-0.64373294115943802</v>
      </c>
      <c r="BE26" s="84">
        <v>4.9617154471506587E-2</v>
      </c>
      <c r="BI26" s="83">
        <v>-0.5209299516317728</v>
      </c>
      <c r="BJ26" s="37">
        <v>0.2190521269155086</v>
      </c>
      <c r="BK26" s="37">
        <v>-0.19558825804723343</v>
      </c>
      <c r="BL26" s="37">
        <v>-3.6468166655157681E-2</v>
      </c>
      <c r="BM26" s="37">
        <v>-0.45449717099752179</v>
      </c>
      <c r="BN26" s="37">
        <v>7.5716372179980951E-2</v>
      </c>
      <c r="BO26" s="37">
        <v>0.14635864263247286</v>
      </c>
      <c r="BP26" s="37">
        <v>-0.63655718807518513</v>
      </c>
      <c r="BQ26" s="84">
        <v>4.6226657864437665E-2</v>
      </c>
      <c r="BU26" s="83">
        <v>-0.51974813087173732</v>
      </c>
      <c r="BV26" s="37">
        <v>0.21876995303852045</v>
      </c>
      <c r="BW26" s="37">
        <v>-0.19399445097630535</v>
      </c>
      <c r="BX26" s="37">
        <v>-4.416510744073638E-2</v>
      </c>
      <c r="BY26" s="37">
        <v>-0.44901092981551233</v>
      </c>
      <c r="BZ26" s="37">
        <v>6.8551297655182558E-2</v>
      </c>
      <c r="CA26" s="37">
        <v>0.21867140560365211</v>
      </c>
      <c r="CB26" s="37">
        <v>-0.62159454846801099</v>
      </c>
      <c r="CC26" s="84">
        <v>4.3704948920940172E-2</v>
      </c>
      <c r="CG26" s="83">
        <v>-0.51852091881623363</v>
      </c>
      <c r="CH26" s="37">
        <v>0.21877722985410211</v>
      </c>
      <c r="CI26" s="37">
        <v>-0.19169261109027141</v>
      </c>
      <c r="CJ26" s="37">
        <v>-5.357918568482932E-2</v>
      </c>
      <c r="CK26" s="37">
        <v>-0.44434622109257804</v>
      </c>
      <c r="CL26" s="37">
        <v>6.1711678389381894E-2</v>
      </c>
      <c r="CM26" s="37">
        <v>0.26592435872644132</v>
      </c>
      <c r="CN26" s="37">
        <v>-0.60824440356636544</v>
      </c>
      <c r="CO26" s="84">
        <v>4.1555741833234114E-2</v>
      </c>
      <c r="CS26" s="83">
        <v>-0.51732958658624817</v>
      </c>
      <c r="CT26" s="37">
        <v>0.2188209389719793</v>
      </c>
      <c r="CU26" s="37">
        <v>-0.18804000811346455</v>
      </c>
      <c r="CV26" s="37">
        <v>-6.5177100415679118E-2</v>
      </c>
      <c r="CW26" s="37">
        <v>-0.44050851936677643</v>
      </c>
      <c r="CX26" s="37">
        <v>5.6023332699844108E-2</v>
      </c>
      <c r="CY26" s="37">
        <v>0.28593204451188869</v>
      </c>
      <c r="CZ26" s="37">
        <v>-0.60362891598025248</v>
      </c>
      <c r="DA26" s="84">
        <v>3.961091657938938E-2</v>
      </c>
      <c r="DE26" s="83">
        <v>-0.51624649071997974</v>
      </c>
      <c r="DF26" s="37">
        <v>0.21886180971975921</v>
      </c>
      <c r="DG26" s="37">
        <v>-0.18184789526953007</v>
      </c>
      <c r="DH26" s="37">
        <v>-8.0495574831732933E-2</v>
      </c>
      <c r="DI26" s="37">
        <v>-0.43751355466472436</v>
      </c>
      <c r="DJ26" s="37">
        <v>5.1688678971164741E-2</v>
      </c>
      <c r="DK26" s="37">
        <v>0.29451077387203689</v>
      </c>
      <c r="DL26" s="37">
        <v>-0.6031619235666692</v>
      </c>
      <c r="DM26" s="84">
        <v>3.7551863702696704E-2</v>
      </c>
      <c r="DQ26" s="83">
        <v>-0.51528766333627907</v>
      </c>
      <c r="DR26" s="37">
        <v>0.2188895103273982</v>
      </c>
      <c r="DS26" s="37">
        <v>-0.17125055876953924</v>
      </c>
      <c r="DT26" s="37">
        <v>-0.10066091411194419</v>
      </c>
      <c r="DU26" s="37">
        <v>-0.43518777152359428</v>
      </c>
      <c r="DV26" s="37">
        <v>4.8435093134948717E-2</v>
      </c>
      <c r="DW26" s="37">
        <v>0.29742543382447068</v>
      </c>
      <c r="DX26" s="37">
        <v>-0.60471272048140068</v>
      </c>
      <c r="DY26" s="84">
        <v>3.511289001184191E-2</v>
      </c>
      <c r="EC26" s="83">
        <v>-0.51444985942789778</v>
      </c>
      <c r="ED26" s="37">
        <v>0.21890337114211383</v>
      </c>
      <c r="EE26" s="37">
        <v>-0.15495826600709675</v>
      </c>
      <c r="EF26" s="37">
        <v>-0.12387751596642445</v>
      </c>
      <c r="EG26" s="37">
        <v>-0.43336543202176742</v>
      </c>
      <c r="EH26" s="37">
        <v>4.6005633273432781E-2</v>
      </c>
      <c r="EI26" s="37">
        <v>-0.29722947145749223</v>
      </c>
      <c r="EJ26" s="37">
        <v>-0.60726375840109792</v>
      </c>
      <c r="EK26" s="84">
        <v>-3.2065653535609681E-2</v>
      </c>
      <c r="EO26" s="83">
        <v>-0.51372270104513151</v>
      </c>
      <c r="EP26" s="37">
        <v>0.2189068156573199</v>
      </c>
      <c r="EQ26" s="37">
        <v>-0.13308755128800301</v>
      </c>
      <c r="ER26" s="37">
        <v>-0.1467732623076474</v>
      </c>
      <c r="ES26" s="37">
        <v>-0.43191170792864919</v>
      </c>
      <c r="ET26" s="37">
        <v>4.4213429695787898E-2</v>
      </c>
      <c r="EU26" s="37">
        <v>0.29503716650557366</v>
      </c>
      <c r="EV26" s="37">
        <v>-0.61037624023333481</v>
      </c>
      <c r="EW26" s="84">
        <v>2.8380813608334738E-2</v>
      </c>
      <c r="FA26" s="83">
        <v>-0.51309377114938115</v>
      </c>
      <c r="FB26" s="37">
        <v>0.21890272681289336</v>
      </c>
      <c r="FC26" s="37">
        <v>-0.10070939400481455</v>
      </c>
      <c r="FD26" s="37">
        <v>-0.1703415485189711</v>
      </c>
      <c r="FE26" s="37">
        <v>-0.43072645244043967</v>
      </c>
      <c r="FF26" s="37">
        <v>4.2850887348462506E-2</v>
      </c>
      <c r="FG26" s="37">
        <v>0.29101280899451937</v>
      </c>
      <c r="FH26" s="37">
        <v>0.6140583701627369</v>
      </c>
      <c r="FI26" s="84">
        <v>2.3240926501618235E-2</v>
      </c>
      <c r="FM26" s="83">
        <v>-0.5125501163724645</v>
      </c>
      <c r="FN26" s="37">
        <v>0.21888889027784389</v>
      </c>
      <c r="FO26" s="37">
        <v>-7.6008654941831955E-2</v>
      </c>
      <c r="FP26" s="37">
        <v>-0.18247383198653105</v>
      </c>
      <c r="FQ26" s="37">
        <v>-0.42975861929386111</v>
      </c>
      <c r="FR26" s="37">
        <v>4.1768002232377886E-2</v>
      </c>
      <c r="FS26" s="37">
        <v>0.2864577263503153</v>
      </c>
      <c r="FT26" s="37">
        <v>0.61762529070086059</v>
      </c>
      <c r="FU26" s="84">
        <v>1.8706987107113746E-2</v>
      </c>
      <c r="FY26" s="83">
        <v>-0.51210175696289717</v>
      </c>
      <c r="FZ26" s="37">
        <v>0.21887731686176706</v>
      </c>
      <c r="GA26" s="37">
        <v>-7.4979059393646796E-2</v>
      </c>
      <c r="GB26" s="37">
        <v>-0.18271353352156319</v>
      </c>
      <c r="GC26" s="37">
        <v>-0.42901420742891622</v>
      </c>
      <c r="GD26" s="37">
        <v>4.0932095373934531E-2</v>
      </c>
      <c r="GE26" s="37">
        <v>0.28214364870693054</v>
      </c>
      <c r="GF26" s="37">
        <v>-0.62075980876998738</v>
      </c>
      <c r="GG26" s="84">
        <v>1.2728342470236815E-2</v>
      </c>
      <c r="GK26" s="83">
        <v>-0.51173534816398258</v>
      </c>
      <c r="GL26" s="37">
        <v>0.21886904177632097</v>
      </c>
      <c r="GM26" s="37">
        <v>-6.7410014092590578E-2</v>
      </c>
      <c r="GN26" s="37">
        <v>-0.18551249930778516</v>
      </c>
      <c r="GO26" s="37">
        <v>-0.42841968236645223</v>
      </c>
      <c r="GP26" s="37">
        <v>4.0077741765674878E-2</v>
      </c>
      <c r="GQ26" s="37">
        <v>0.27525926343151552</v>
      </c>
      <c r="GR26" s="37">
        <v>-0.62472526676720697</v>
      </c>
      <c r="GS26" s="84">
        <v>8.0813319316745316E-3</v>
      </c>
      <c r="GW26" s="83">
        <v>-0.51143182285231903</v>
      </c>
      <c r="GX26" s="37">
        <v>0.21886138625941437</v>
      </c>
      <c r="GY26" s="37">
        <v>-6.2535589441618217E-2</v>
      </c>
      <c r="GZ26" s="37">
        <v>-0.18711863990276029</v>
      </c>
      <c r="HA26" s="37">
        <v>-0.42794927973063868</v>
      </c>
      <c r="HB26" s="37">
        <v>3.9336668320135403E-2</v>
      </c>
      <c r="HC26" s="37">
        <v>0.26872388644539058</v>
      </c>
      <c r="HD26" s="37">
        <v>-0.62825084043991775</v>
      </c>
      <c r="HE26" s="84">
        <v>3.6733739818580746E-3</v>
      </c>
      <c r="HI26" s="83">
        <v>-0.51117973646204584</v>
      </c>
      <c r="HJ26" s="37">
        <v>0.21885453342628369</v>
      </c>
      <c r="HK26" s="37">
        <v>-4.4924340184731057E-2</v>
      </c>
      <c r="HL26" s="37">
        <v>-0.19204295570363564</v>
      </c>
      <c r="HM26" s="37">
        <v>-0.42757321064535919</v>
      </c>
      <c r="HN26" s="37">
        <v>3.8691634978040249E-2</v>
      </c>
      <c r="HO26" s="37">
        <v>0.26255723064835129</v>
      </c>
      <c r="HP26" s="37">
        <v>-0.63137134776189263</v>
      </c>
      <c r="HQ26" s="84">
        <v>4.1600280863649183E-3</v>
      </c>
      <c r="HU26" s="83">
        <v>-0.51096624709458993</v>
      </c>
      <c r="HV26" s="37">
        <v>0.21884739059523745</v>
      </c>
      <c r="HW26" s="37">
        <v>-3.9464454273583985E-2</v>
      </c>
      <c r="HX26" s="37">
        <v>-0.19317555477615403</v>
      </c>
      <c r="HY26" s="37">
        <v>-0.42728080718662897</v>
      </c>
      <c r="HZ26" s="37">
        <v>3.8367765521054406E-2</v>
      </c>
      <c r="IA26" s="37">
        <v>0.25959078189629387</v>
      </c>
      <c r="IB26" s="37">
        <v>-0.63288336246878563</v>
      </c>
      <c r="IC26" s="84">
        <v>1.3243024166655322E-2</v>
      </c>
      <c r="IG26" s="83">
        <v>-0.51078986135800175</v>
      </c>
      <c r="IH26" s="37">
        <v>0.21884141380992389</v>
      </c>
      <c r="II26" s="37">
        <v>-3.5405862952783917E-2</v>
      </c>
      <c r="IJ26" s="37">
        <v>-0.19391499745617369</v>
      </c>
      <c r="IK26" s="37">
        <v>-0.4270470826409879</v>
      </c>
      <c r="IL26" s="37">
        <v>3.8111153046047119E-2</v>
      </c>
      <c r="IM26" s="37">
        <v>0.25693739120690934</v>
      </c>
      <c r="IN26" s="37">
        <v>-0.63401999169000856</v>
      </c>
      <c r="IO26" s="84">
        <v>2.2928325804544344E-2</v>
      </c>
      <c r="IS26" s="83">
        <v>-0.51064409159193525</v>
      </c>
      <c r="IT26" s="37">
        <v>0.21883653479119458</v>
      </c>
      <c r="IU26" s="37">
        <v>-4.552672861326082E-2</v>
      </c>
      <c r="IV26" s="37">
        <v>-0.1917592554800136</v>
      </c>
      <c r="IW26" s="37">
        <v>-0.42685957569689964</v>
      </c>
      <c r="IX26" s="37">
        <v>3.790741261095406E-2</v>
      </c>
      <c r="IY26" s="37">
        <v>0.25467289502730706</v>
      </c>
      <c r="IZ26" s="37">
        <v>-0.63535138572353467</v>
      </c>
      <c r="JA26" s="84">
        <v>-1.8252440520611E-2</v>
      </c>
      <c r="JE26" s="83">
        <v>-0.51052781218931509</v>
      </c>
      <c r="JF26" s="37">
        <v>0.21883307849917707</v>
      </c>
      <c r="JG26" s="37">
        <v>-4.669792931088864E-2</v>
      </c>
      <c r="JH26" s="37">
        <v>-0.19147591589495505</v>
      </c>
      <c r="JI26" s="37">
        <v>-0.42670414426949543</v>
      </c>
      <c r="JJ26" s="37">
        <v>3.7479479814244057E-2</v>
      </c>
      <c r="JK26" s="37">
        <v>0.250016102455763</v>
      </c>
      <c r="JL26" s="37">
        <v>-0.63739083334457891</v>
      </c>
      <c r="JM26" s="84">
        <v>-1.9324846784778377E-2</v>
      </c>
      <c r="JQ26" s="83">
        <v>-0.51042998278506546</v>
      </c>
      <c r="JR26" s="37">
        <v>0.21883042450928267</v>
      </c>
      <c r="JS26" s="37">
        <v>-3.5766632214441214E-2</v>
      </c>
      <c r="JT26" s="37">
        <v>-0.19381963655819465</v>
      </c>
      <c r="JU26" s="37">
        <v>-0.42657431769357451</v>
      </c>
      <c r="JV26" s="37">
        <v>3.7091205166455712E-2</v>
      </c>
      <c r="JW26" s="37">
        <v>0.24563434951033275</v>
      </c>
      <c r="JX26" s="37">
        <v>-0.63824745795851157</v>
      </c>
      <c r="JY26" s="84">
        <v>4.1130490166143716E-2</v>
      </c>
      <c r="KC26" s="83">
        <v>-0.51034344396916964</v>
      </c>
      <c r="KD26" s="37">
        <v>0.21882780270733049</v>
      </c>
      <c r="KE26" s="37">
        <v>-3.4103087927081541E-2</v>
      </c>
      <c r="KF26" s="37">
        <v>-0.19410714307061558</v>
      </c>
      <c r="KG26" s="37">
        <v>-0.42647016048227948</v>
      </c>
      <c r="KH26" s="37">
        <v>3.6981384007247355E-2</v>
      </c>
      <c r="KI26" s="37">
        <v>0.2441040003858598</v>
      </c>
      <c r="KJ26" s="37">
        <v>0.63832814948248107</v>
      </c>
      <c r="KK26" s="84">
        <v>-5.0292627608691541E-2</v>
      </c>
      <c r="KO26" s="83">
        <v>-0.51027183879845106</v>
      </c>
      <c r="KP26" s="37">
        <v>0.21882579344360992</v>
      </c>
      <c r="KQ26" s="37">
        <v>-3.2807547955282672E-2</v>
      </c>
      <c r="KR26" s="37">
        <v>-0.19432304459384761</v>
      </c>
      <c r="KS26" s="37">
        <v>-0.42638579788523984</v>
      </c>
      <c r="KT26" s="37">
        <v>3.6892911064116768E-2</v>
      </c>
      <c r="KU26" s="37">
        <v>0.24277468931979712</v>
      </c>
      <c r="KV26" s="37">
        <v>0.63754431383683896</v>
      </c>
      <c r="KW26" s="84">
        <v>-6.5817204323303291E-2</v>
      </c>
      <c r="LA26" s="83">
        <v>-0.5102121581032486</v>
      </c>
      <c r="LB26" s="37">
        <v>0.2188240955173239</v>
      </c>
      <c r="LC26" s="37">
        <v>-4.3668642496490648E-2</v>
      </c>
      <c r="LD26" s="37">
        <v>-0.19216861001308871</v>
      </c>
      <c r="LE26" s="37">
        <v>-0.4263162763141729</v>
      </c>
      <c r="LF26" s="37">
        <v>3.6818636241644949E-2</v>
      </c>
      <c r="LG26" s="37">
        <v>0.24172383420870353</v>
      </c>
      <c r="LH26" s="37">
        <v>-0.64079088300913145</v>
      </c>
      <c r="LI26" s="84">
        <v>-2.8623359962527854E-2</v>
      </c>
      <c r="LM26" s="83">
        <v>-0.51016754852368806</v>
      </c>
      <c r="LN26" s="37">
        <v>0.21882376386048796</v>
      </c>
      <c r="LO26" s="37">
        <v>-4.6387460502576423E-2</v>
      </c>
      <c r="LP26" s="37">
        <v>-0.19155393123485881</v>
      </c>
      <c r="LQ26" s="37">
        <v>-0.42625884634210776</v>
      </c>
      <c r="LR26" s="37">
        <v>3.6517492143644983E-2</v>
      </c>
      <c r="LS26" s="37">
        <v>0.23828334922764052</v>
      </c>
      <c r="LT26" s="37">
        <v>-0.6422786626017839</v>
      </c>
      <c r="LU26" s="84">
        <v>-2.5875885874902659E-2</v>
      </c>
      <c r="LY26" s="83">
        <v>-0.51012887271774443</v>
      </c>
      <c r="LZ26" s="37">
        <v>0.21882374008030564</v>
      </c>
      <c r="MA26" s="37">
        <v>-3.7557298069311323E-2</v>
      </c>
      <c r="MB26" s="37">
        <v>-0.1935022084018527</v>
      </c>
      <c r="MC26" s="37">
        <v>-0.42620743051210769</v>
      </c>
      <c r="MD26" s="37">
        <v>3.6233569803324372E-2</v>
      </c>
      <c r="ME26" s="37">
        <v>0.23493835854520276</v>
      </c>
      <c r="MF26" s="37">
        <v>-0.64097102124657435</v>
      </c>
      <c r="MG26" s="84">
        <v>-6.3446992868952598E-2</v>
      </c>
      <c r="MK26" s="83">
        <v>-0.51009098422721366</v>
      </c>
      <c r="ML26" s="37">
        <v>0.21882284947713143</v>
      </c>
      <c r="MM26" s="37">
        <v>-3.6923875685904904E-2</v>
      </c>
      <c r="MN26" s="37">
        <v>-0.19362243780697552</v>
      </c>
      <c r="MO26" s="37">
        <v>-0.42616481506486925</v>
      </c>
      <c r="MP26" s="37">
        <v>3.6187622122724035E-2</v>
      </c>
      <c r="MQ26" s="37">
        <v>0.23418632177252652</v>
      </c>
      <c r="MR26" s="37">
        <v>-0.64067663059062419</v>
      </c>
      <c r="MS26" s="84">
        <v>-6.9533843949290963E-2</v>
      </c>
    </row>
    <row r="27" spans="1:358" ht="14.45" x14ac:dyDescent="0.35">
      <c r="A27">
        <v>24</v>
      </c>
      <c r="B27" s="123">
        <v>4</v>
      </c>
      <c r="C27" s="37">
        <v>8</v>
      </c>
      <c r="D27" s="37">
        <v>3</v>
      </c>
      <c r="E27" s="37">
        <v>4</v>
      </c>
      <c r="F27" s="37">
        <v>6</v>
      </c>
      <c r="G27" s="37">
        <v>5</v>
      </c>
      <c r="H27" s="37">
        <v>7</v>
      </c>
      <c r="I27" s="37">
        <v>4</v>
      </c>
      <c r="J27" s="90">
        <v>8</v>
      </c>
      <c r="Y27" s="83">
        <v>-0.37757631523253132</v>
      </c>
      <c r="Z27" s="37">
        <v>-2.7189835858861831E-2</v>
      </c>
      <c r="AA27" s="37">
        <v>0.28423174138636265</v>
      </c>
      <c r="AB27" s="37">
        <v>0.13560627498730624</v>
      </c>
      <c r="AC27" s="37">
        <v>0.3026703677449622</v>
      </c>
      <c r="AD27" s="37">
        <v>0.75027934810963881</v>
      </c>
      <c r="AE27" s="37">
        <v>-5.6305306156421722E-2</v>
      </c>
      <c r="AF27" s="37">
        <v>0.12838970461990676</v>
      </c>
      <c r="AG27" s="84">
        <v>0.2886822455737138</v>
      </c>
      <c r="AK27" s="83">
        <v>-0.3750738421659911</v>
      </c>
      <c r="AL27" s="37">
        <v>-2.3395506303826953E-2</v>
      </c>
      <c r="AM27" s="37">
        <v>0.27107747421352424</v>
      </c>
      <c r="AN27" s="37">
        <v>0.13471635909309276</v>
      </c>
      <c r="AO27" s="37">
        <v>0.27388962770622222</v>
      </c>
      <c r="AP27" s="37">
        <v>0.753269979059221</v>
      </c>
      <c r="AQ27" s="37">
        <v>-4.7676371197079556E-2</v>
      </c>
      <c r="AR27" s="37">
        <v>0.15454268268139057</v>
      </c>
      <c r="AS27" s="84">
        <v>0.31393168383667508</v>
      </c>
      <c r="AW27" s="83">
        <v>-0.37262812284228081</v>
      </c>
      <c r="AX27" s="37">
        <v>-1.7571066450692906E-2</v>
      </c>
      <c r="AY27" s="37">
        <v>0.26673554700959751</v>
      </c>
      <c r="AZ27" s="37">
        <v>0.12655227477785336</v>
      </c>
      <c r="BA27" s="37">
        <v>0.22528023002322228</v>
      </c>
      <c r="BB27" s="37">
        <v>0.75716009216425406</v>
      </c>
      <c r="BC27" s="37">
        <v>-7.5550510006200583E-2</v>
      </c>
      <c r="BD27" s="37">
        <v>0.16451657997052491</v>
      </c>
      <c r="BE27" s="84">
        <v>0.34184797432187819</v>
      </c>
      <c r="BI27" s="83">
        <v>-0.37222074222577789</v>
      </c>
      <c r="BJ27" s="37">
        <v>-1.1708529393310329E-2</v>
      </c>
      <c r="BK27" s="37">
        <v>0.26857239778915099</v>
      </c>
      <c r="BL27" s="37">
        <v>0.12220040820109995</v>
      </c>
      <c r="BM27" s="37">
        <v>0.21142886128541019</v>
      </c>
      <c r="BN27" s="37">
        <v>0.75357639440482127</v>
      </c>
      <c r="BO27" s="37">
        <v>-0.10098123129333568</v>
      </c>
      <c r="BP27" s="37">
        <v>0.15251908977113823</v>
      </c>
      <c r="BQ27" s="84">
        <v>0.35806665492734729</v>
      </c>
      <c r="BU27" s="83">
        <v>-0.37268901122774073</v>
      </c>
      <c r="BV27" s="37">
        <v>-6.1958805322211334E-3</v>
      </c>
      <c r="BW27" s="37">
        <v>0.27189565289936718</v>
      </c>
      <c r="BX27" s="37">
        <v>0.12154806196055504</v>
      </c>
      <c r="BY27" s="37">
        <v>0.20897795726154925</v>
      </c>
      <c r="BZ27" s="37">
        <v>0.74987381056936497</v>
      </c>
      <c r="CA27" s="37">
        <v>-0.11814068432370481</v>
      </c>
      <c r="CB27" s="37">
        <v>0.13196811341515835</v>
      </c>
      <c r="CC27" s="84">
        <v>0.36743436406073515</v>
      </c>
      <c r="CG27" s="83">
        <v>-0.37346919562504061</v>
      </c>
      <c r="CH27" s="37">
        <v>-1.2689245509567295E-3</v>
      </c>
      <c r="CI27" s="37">
        <v>0.27378103814305854</v>
      </c>
      <c r="CJ27" s="37">
        <v>0.12543662660047628</v>
      </c>
      <c r="CK27" s="37">
        <v>0.21034431020744074</v>
      </c>
      <c r="CL27" s="37">
        <v>0.74685268521824077</v>
      </c>
      <c r="CM27" s="37">
        <v>-0.12602802586794506</v>
      </c>
      <c r="CN27" s="37">
        <v>0.11308174554121109</v>
      </c>
      <c r="CO27" s="84">
        <v>0.37299401989429876</v>
      </c>
      <c r="CS27" s="83">
        <v>-0.37423309152060197</v>
      </c>
      <c r="CT27" s="37">
        <v>2.8177020754631887E-3</v>
      </c>
      <c r="CU27" s="37">
        <v>0.27209589469560619</v>
      </c>
      <c r="CV27" s="37">
        <v>0.13487914476653395</v>
      </c>
      <c r="CW27" s="37">
        <v>0.21241885309089586</v>
      </c>
      <c r="CX27" s="37">
        <v>0.74446886279485214</v>
      </c>
      <c r="CY27" s="37">
        <v>-0.12748576326492983</v>
      </c>
      <c r="CZ27" s="37">
        <v>0.1008379865627861</v>
      </c>
      <c r="DA27" s="84">
        <v>0.37674463230947286</v>
      </c>
      <c r="DE27" s="83">
        <v>-0.374927294015721</v>
      </c>
      <c r="DF27" s="37">
        <v>6.1664518104667309E-3</v>
      </c>
      <c r="DG27" s="37">
        <v>0.26544315733213025</v>
      </c>
      <c r="DH27" s="37">
        <v>0.15172124601875289</v>
      </c>
      <c r="DI27" s="37">
        <v>0.21477853635090066</v>
      </c>
      <c r="DJ27" s="37">
        <v>0.74245948823204311</v>
      </c>
      <c r="DK27" s="37">
        <v>-0.12742696634059913</v>
      </c>
      <c r="DL27" s="37">
        <v>9.208458889809705E-2</v>
      </c>
      <c r="DM27" s="84">
        <v>0.37923472704917499</v>
      </c>
      <c r="DQ27" s="83">
        <v>-0.37553874206277316</v>
      </c>
      <c r="DR27" s="37">
        <v>8.9099228601238634E-3</v>
      </c>
      <c r="DS27" s="37">
        <v>0.25112750901597264</v>
      </c>
      <c r="DT27" s="37">
        <v>0.17729243931759178</v>
      </c>
      <c r="DU27" s="37">
        <v>0.21715248588878394</v>
      </c>
      <c r="DV27" s="37">
        <v>0.74075392789043037</v>
      </c>
      <c r="DW27" s="37">
        <v>-0.12724478767010558</v>
      </c>
      <c r="DX27" s="37">
        <v>8.5186192918063439E-2</v>
      </c>
      <c r="DY27" s="84">
        <v>0.3808859729563695</v>
      </c>
      <c r="EC27" s="83">
        <v>-0.37606867684486833</v>
      </c>
      <c r="ED27" s="37">
        <v>1.1159790013207042E-2</v>
      </c>
      <c r="EE27" s="37">
        <v>0.22753029722150148</v>
      </c>
      <c r="EF27" s="37">
        <v>0.20868206190755545</v>
      </c>
      <c r="EG27" s="37">
        <v>0.21941459054446669</v>
      </c>
      <c r="EH27" s="37">
        <v>0.7393157134092474</v>
      </c>
      <c r="EI27" s="37">
        <v>0.12731017328572755</v>
      </c>
      <c r="EJ27" s="37">
        <v>7.9268238865176435E-2</v>
      </c>
      <c r="EK27" s="84">
        <v>-0.38197872940108452</v>
      </c>
      <c r="EO27" s="83">
        <v>-0.37652502810522598</v>
      </c>
      <c r="EP27" s="37">
        <v>1.300171933247442E-2</v>
      </c>
      <c r="EQ27" s="37">
        <v>0.19505553336132028</v>
      </c>
      <c r="ER27" s="37">
        <v>0.24067724993767944</v>
      </c>
      <c r="ES27" s="37">
        <v>0.22152396890991632</v>
      </c>
      <c r="ET27" s="37">
        <v>0.73812696089008611</v>
      </c>
      <c r="EU27" s="37">
        <v>-0.12760052680695622</v>
      </c>
      <c r="EV27" s="37">
        <v>7.3988380381013741E-2</v>
      </c>
      <c r="EW27" s="84">
        <v>0.38265807806065255</v>
      </c>
      <c r="FA27" s="83">
        <v>-0.37691862721844605</v>
      </c>
      <c r="FB27" s="37">
        <v>1.4513373482308327E-2</v>
      </c>
      <c r="FC27" s="37">
        <v>0.14564705556256877</v>
      </c>
      <c r="FD27" s="37">
        <v>0.27435395592845785</v>
      </c>
      <c r="FE27" s="37">
        <v>0.22342309782259065</v>
      </c>
      <c r="FF27" s="37">
        <v>0.73717075538105303</v>
      </c>
      <c r="FG27" s="37">
        <v>-0.12672773925273564</v>
      </c>
      <c r="FH27" s="37">
        <v>-6.9303393752205317E-2</v>
      </c>
      <c r="FI27" s="84">
        <v>0.38345412894750203</v>
      </c>
      <c r="FM27" s="83">
        <v>-0.37725428666663463</v>
      </c>
      <c r="FN27" s="37">
        <v>1.5770115542243456E-2</v>
      </c>
      <c r="FO27" s="37">
        <v>0.1087302224161876</v>
      </c>
      <c r="FP27" s="37">
        <v>0.29162767277686602</v>
      </c>
      <c r="FQ27" s="37">
        <v>0.22507809671759849</v>
      </c>
      <c r="FR27" s="37">
        <v>0.73637726756170285</v>
      </c>
      <c r="FS27" s="37">
        <v>-0.12842924111752033</v>
      </c>
      <c r="FT27" s="37">
        <v>-6.4352457214303604E-2</v>
      </c>
      <c r="FU27" s="84">
        <v>0.38342483921142956</v>
      </c>
      <c r="FY27" s="83">
        <v>-0.37753095192834984</v>
      </c>
      <c r="FZ27" s="37">
        <v>1.6789857288392617E-2</v>
      </c>
      <c r="GA27" s="37">
        <v>0.10922879072367736</v>
      </c>
      <c r="GB27" s="37">
        <v>0.29194409518914066</v>
      </c>
      <c r="GC27" s="37">
        <v>0.22647050970140814</v>
      </c>
      <c r="GD27" s="37">
        <v>0.73573261572956739</v>
      </c>
      <c r="GE27" s="37">
        <v>-0.12909067147533176</v>
      </c>
      <c r="GF27" s="37">
        <v>5.9435449860540598E-2</v>
      </c>
      <c r="GG27" s="84">
        <v>0.38371584514426815</v>
      </c>
      <c r="GK27" s="83">
        <v>-0.37776746743327094</v>
      </c>
      <c r="GL27" s="37">
        <v>1.7616381654370045E-2</v>
      </c>
      <c r="GM27" s="37">
        <v>9.8377080087012778E-2</v>
      </c>
      <c r="GN27" s="37">
        <v>0.29610136223132316</v>
      </c>
      <c r="GO27" s="37">
        <v>0.22749259835000049</v>
      </c>
      <c r="GP27" s="37">
        <v>0.73528769434467989</v>
      </c>
      <c r="GQ27" s="37">
        <v>-0.12917292722481064</v>
      </c>
      <c r="GR27" s="37">
        <v>5.6285888497231797E-2</v>
      </c>
      <c r="GS27" s="84">
        <v>0.38389154056096647</v>
      </c>
      <c r="GW27" s="83">
        <v>-0.37796550211925722</v>
      </c>
      <c r="GX27" s="37">
        <v>1.8297240381300969E-2</v>
      </c>
      <c r="GY27" s="37">
        <v>9.1506136049967018E-2</v>
      </c>
      <c r="GZ27" s="37">
        <v>0.29852219928863449</v>
      </c>
      <c r="HA27" s="37">
        <v>0.2283113720307498</v>
      </c>
      <c r="HB27" s="37">
        <v>0.73493706235082767</v>
      </c>
      <c r="HC27" s="37">
        <v>-0.12919921784988608</v>
      </c>
      <c r="HD27" s="37">
        <v>5.3518210524667556E-2</v>
      </c>
      <c r="HE27" s="84">
        <v>0.38406146491549964</v>
      </c>
      <c r="HI27" s="83">
        <v>-0.37813190858141571</v>
      </c>
      <c r="HJ27" s="37">
        <v>1.886038364448956E-2</v>
      </c>
      <c r="HK27" s="37">
        <v>6.4094254283323368E-2</v>
      </c>
      <c r="HL27" s="37">
        <v>0.30573551522602938</v>
      </c>
      <c r="HM27" s="37">
        <v>0.22896801381177892</v>
      </c>
      <c r="HN27" s="37">
        <v>0.73466130284591014</v>
      </c>
      <c r="HO27" s="37">
        <v>-0.12915120455559204</v>
      </c>
      <c r="HP27" s="37">
        <v>4.8850415901349413E-2</v>
      </c>
      <c r="HQ27" s="84">
        <v>-0.3845234569160132</v>
      </c>
      <c r="HU27" s="83">
        <v>-0.3782632798801282</v>
      </c>
      <c r="HV27" s="37">
        <v>1.9322395443027086E-2</v>
      </c>
      <c r="HW27" s="37">
        <v>5.6318259978052267E-2</v>
      </c>
      <c r="HX27" s="37">
        <v>0.30741209685777615</v>
      </c>
      <c r="HY27" s="37">
        <v>0.22967234776638296</v>
      </c>
      <c r="HZ27" s="37">
        <v>0.73437636818127161</v>
      </c>
      <c r="IA27" s="37">
        <v>-0.1296454303623778</v>
      </c>
      <c r="IB27" s="37">
        <v>4.296365225945617E-2</v>
      </c>
      <c r="IC27" s="84">
        <v>-0.38491264194134467</v>
      </c>
      <c r="IG27" s="83">
        <v>-0.37837195383785555</v>
      </c>
      <c r="IH27" s="37">
        <v>1.9700475546021067E-2</v>
      </c>
      <c r="II27" s="37">
        <v>5.0591102779404679E-2</v>
      </c>
      <c r="IJ27" s="37">
        <v>0.3085139115850844</v>
      </c>
      <c r="IK27" s="37">
        <v>0.23026318790725273</v>
      </c>
      <c r="IL27" s="37">
        <v>0.73414725501325484</v>
      </c>
      <c r="IM27" s="37">
        <v>-0.13004045416437579</v>
      </c>
      <c r="IN27" s="37">
        <v>3.6848871362974552E-2</v>
      </c>
      <c r="IO27" s="84">
        <v>-0.38528505771897198</v>
      </c>
      <c r="IS27" s="83">
        <v>-0.37846195701217822</v>
      </c>
      <c r="IT27" s="37">
        <v>2.0010416741409541E-2</v>
      </c>
      <c r="IU27" s="37">
        <v>6.7286275293009193E-2</v>
      </c>
      <c r="IV27" s="37">
        <v>0.30538571285683935</v>
      </c>
      <c r="IW27" s="37">
        <v>0.23075912753659325</v>
      </c>
      <c r="IX27" s="37">
        <v>0.73396308189397808</v>
      </c>
      <c r="IY27" s="37">
        <v>-0.13034188219040316</v>
      </c>
      <c r="IZ27" s="37">
        <v>3.9532826953483952E-2</v>
      </c>
      <c r="JA27" s="84">
        <v>0.38480491508273573</v>
      </c>
      <c r="JE27" s="83">
        <v>-0.37854527805795357</v>
      </c>
      <c r="JF27" s="37">
        <v>2.0274894989611412E-2</v>
      </c>
      <c r="JG27" s="37">
        <v>6.9188095002957986E-2</v>
      </c>
      <c r="JH27" s="37">
        <v>0.30496212973299786</v>
      </c>
      <c r="JI27" s="37">
        <v>0.23097714424112076</v>
      </c>
      <c r="JJ27" s="37">
        <v>0.73387774864119926</v>
      </c>
      <c r="JK27" s="37">
        <v>-0.12993402759001826</v>
      </c>
      <c r="JL27" s="37">
        <v>3.936939758982743E-2</v>
      </c>
      <c r="JM27" s="84">
        <v>0.38489442179246364</v>
      </c>
      <c r="JQ27" s="83">
        <v>-0.3786171869126973</v>
      </c>
      <c r="JR27" s="37">
        <v>2.0498448805355091E-2</v>
      </c>
      <c r="JS27" s="37">
        <v>5.1747927768722835E-2</v>
      </c>
      <c r="JT27" s="37">
        <v>0.30839115003904605</v>
      </c>
      <c r="JU27" s="37">
        <v>0.23114177657632529</v>
      </c>
      <c r="JV27" s="37">
        <v>0.7338170600489381</v>
      </c>
      <c r="JW27" s="37">
        <v>-0.12947552706710438</v>
      </c>
      <c r="JX27" s="37">
        <v>2.6723278484504252E-2</v>
      </c>
      <c r="JY27" s="84">
        <v>-0.38607492239219149</v>
      </c>
      <c r="KC27" s="83">
        <v>-0.37867108359311447</v>
      </c>
      <c r="KD27" s="37">
        <v>2.0680133036665431E-2</v>
      </c>
      <c r="KE27" s="37">
        <v>4.9425443750385288E-2</v>
      </c>
      <c r="KF27" s="37">
        <v>0.30880561257919753</v>
      </c>
      <c r="KG27" s="37">
        <v>0.23144608991504403</v>
      </c>
      <c r="KH27" s="37">
        <v>0.73371273811278859</v>
      </c>
      <c r="KI27" s="37">
        <v>-0.12962584151229503</v>
      </c>
      <c r="KJ27" s="37">
        <v>-2.1164052350836092E-2</v>
      </c>
      <c r="KK27" s="84">
        <v>0.38629562667995354</v>
      </c>
      <c r="KO27" s="83">
        <v>-0.37871586823474768</v>
      </c>
      <c r="KP27" s="37">
        <v>2.0829991237809545E-2</v>
      </c>
      <c r="KQ27" s="37">
        <v>4.7624189132614611E-2</v>
      </c>
      <c r="KR27" s="37">
        <v>0.30911236740769055</v>
      </c>
      <c r="KS27" s="37">
        <v>0.23170124150061577</v>
      </c>
      <c r="KT27" s="37">
        <v>0.7336284138827095</v>
      </c>
      <c r="KU27" s="37">
        <v>-0.12972845378058648</v>
      </c>
      <c r="KV27" s="37">
        <v>-1.1776611321328718E-2</v>
      </c>
      <c r="KW27" s="84">
        <v>0.38659747577267795</v>
      </c>
      <c r="LA27" s="83">
        <v>-0.37875325579756969</v>
      </c>
      <c r="LB27" s="37">
        <v>2.0954683211984536E-2</v>
      </c>
      <c r="LC27" s="37">
        <v>6.5120427017538299E-2</v>
      </c>
      <c r="LD27" s="37">
        <v>0.30592320368403508</v>
      </c>
      <c r="LE27" s="37">
        <v>0.23191343630273281</v>
      </c>
      <c r="LF27" s="37">
        <v>0.73355889024302268</v>
      </c>
      <c r="LG27" s="37">
        <v>-0.12980399797798006</v>
      </c>
      <c r="LH27" s="37">
        <v>3.4232137672282566E-2</v>
      </c>
      <c r="LI27" s="84">
        <v>0.38518020636317551</v>
      </c>
      <c r="LM27" s="83">
        <v>-0.37879258722577752</v>
      </c>
      <c r="LN27" s="37">
        <v>2.1064981363040608E-2</v>
      </c>
      <c r="LO27" s="37">
        <v>6.9193430391410446E-2</v>
      </c>
      <c r="LP27" s="37">
        <v>0.3049822838679353</v>
      </c>
      <c r="LQ27" s="37">
        <v>0.23191141673225682</v>
      </c>
      <c r="LR27" s="37">
        <v>0.73356764916098127</v>
      </c>
      <c r="LS27" s="37">
        <v>-0.12913853499581346</v>
      </c>
      <c r="LT27" s="37">
        <v>3.6467664390947292E-2</v>
      </c>
      <c r="LU27" s="84">
        <v>0.38517459063003379</v>
      </c>
      <c r="LY27" s="83">
        <v>-0.37882815015610699</v>
      </c>
      <c r="LZ27" s="37">
        <v>2.1161431413184207E-2</v>
      </c>
      <c r="MA27" s="37">
        <v>5.4861392509927005E-2</v>
      </c>
      <c r="MB27" s="37">
        <v>0.30783845626430267</v>
      </c>
      <c r="MC27" s="37">
        <v>0.23189412936022352</v>
      </c>
      <c r="MD27" s="37">
        <v>0.73358455431143466</v>
      </c>
      <c r="ME27" s="37">
        <v>-0.12846519646988402</v>
      </c>
      <c r="MF27" s="37">
        <v>1.447032859438273E-2</v>
      </c>
      <c r="MG27" s="84">
        <v>0.38682458072983655</v>
      </c>
      <c r="MK27" s="83">
        <v>-0.37885218135290966</v>
      </c>
      <c r="ML27" s="37">
        <v>2.1240588887879226E-2</v>
      </c>
      <c r="MM27" s="37">
        <v>5.3980131968032787E-2</v>
      </c>
      <c r="MN27" s="37">
        <v>0.30800367348836483</v>
      </c>
      <c r="MO27" s="37">
        <v>0.23203083950285883</v>
      </c>
      <c r="MP27" s="37">
        <v>0.73354151094027775</v>
      </c>
      <c r="MQ27" s="37">
        <v>-0.12850088395354411</v>
      </c>
      <c r="MR27" s="37">
        <v>1.0822375285945712E-2</v>
      </c>
      <c r="MS27" s="84">
        <v>0.38689621967861881</v>
      </c>
    </row>
    <row r="28" spans="1:358" ht="14.45" x14ac:dyDescent="0.35">
      <c r="A28">
        <v>25</v>
      </c>
      <c r="B28" s="123">
        <v>2</v>
      </c>
      <c r="C28" s="37">
        <v>8</v>
      </c>
      <c r="D28" s="37">
        <v>2</v>
      </c>
      <c r="E28" s="37">
        <v>5</v>
      </c>
      <c r="F28" s="37">
        <v>6</v>
      </c>
      <c r="G28" s="37">
        <v>8</v>
      </c>
      <c r="H28" s="37">
        <v>4</v>
      </c>
      <c r="I28" s="37">
        <v>5</v>
      </c>
      <c r="J28" s="90">
        <v>8</v>
      </c>
      <c r="Y28" s="85">
        <v>-0.16200813964118285</v>
      </c>
      <c r="Z28" s="86">
        <v>-0.64278330367329373</v>
      </c>
      <c r="AA28" s="86">
        <v>-0.30119424503553172</v>
      </c>
      <c r="AB28" s="86">
        <v>0.29213545939286217</v>
      </c>
      <c r="AC28" s="86">
        <v>-7.387192316328331E-2</v>
      </c>
      <c r="AD28" s="86">
        <v>-0.24176726936719162</v>
      </c>
      <c r="AE28" s="86">
        <v>-0.15123779228365941</v>
      </c>
      <c r="AF28" s="86">
        <v>4.3286206985741003E-2</v>
      </c>
      <c r="AG28" s="87">
        <v>0.54393643767676303</v>
      </c>
      <c r="AK28" s="85">
        <v>-0.16413806134751929</v>
      </c>
      <c r="AL28" s="86">
        <v>-0.65647031380400522</v>
      </c>
      <c r="AM28" s="86">
        <v>-0.30441286533342055</v>
      </c>
      <c r="AN28" s="86">
        <v>0.28079927317081765</v>
      </c>
      <c r="AO28" s="86">
        <v>-6.1990823688951181E-2</v>
      </c>
      <c r="AP28" s="86">
        <v>-0.25746024774499587</v>
      </c>
      <c r="AQ28" s="86">
        <v>-0.14507258404465373</v>
      </c>
      <c r="AR28" s="86">
        <v>4.0909516891556495E-2</v>
      </c>
      <c r="AS28" s="87">
        <v>0.52701206334688577</v>
      </c>
      <c r="AW28" s="85">
        <v>-0.16699504345154592</v>
      </c>
      <c r="AX28" s="86">
        <v>-0.66640393413954868</v>
      </c>
      <c r="AY28" s="86">
        <v>-0.30643208455367832</v>
      </c>
      <c r="AZ28" s="86">
        <v>0.27588342158388368</v>
      </c>
      <c r="BA28" s="86">
        <v>-5.1712615371405674E-2</v>
      </c>
      <c r="BB28" s="86">
        <v>-0.26931763896543448</v>
      </c>
      <c r="BC28" s="86">
        <v>-0.14131322839866364</v>
      </c>
      <c r="BD28" s="86">
        <v>1.5832266882964789E-2</v>
      </c>
      <c r="BE28" s="87">
        <v>0.51242549979058405</v>
      </c>
      <c r="BI28" s="85">
        <v>-0.16979179575579362</v>
      </c>
      <c r="BJ28" s="86">
        <v>-0.67370800444054069</v>
      </c>
      <c r="BK28" s="86">
        <v>-0.30979069243453666</v>
      </c>
      <c r="BL28" s="86">
        <v>0.2717782685697881</v>
      </c>
      <c r="BM28" s="86">
        <v>-5.2457862429407406E-2</v>
      </c>
      <c r="BN28" s="86">
        <v>-0.26997693160763342</v>
      </c>
      <c r="BO28" s="86">
        <v>-0.13892350345943003</v>
      </c>
      <c r="BP28" s="86">
        <v>-3.3790487893737634E-3</v>
      </c>
      <c r="BQ28" s="87">
        <v>0.50249780272734235</v>
      </c>
      <c r="BU28" s="85">
        <v>-0.17241206206739965</v>
      </c>
      <c r="BV28" s="86">
        <v>-0.67927299297080657</v>
      </c>
      <c r="BW28" s="86">
        <v>-0.31528343671796788</v>
      </c>
      <c r="BX28" s="86">
        <v>0.26629630004166177</v>
      </c>
      <c r="BY28" s="86">
        <v>-5.6096541584310641E-2</v>
      </c>
      <c r="BZ28" s="86">
        <v>-0.26578790934651475</v>
      </c>
      <c r="CA28" s="86">
        <v>-0.13875783940351719</v>
      </c>
      <c r="CB28" s="86">
        <v>-1.8220310553733767E-2</v>
      </c>
      <c r="CC28" s="87">
        <v>0.49514559933867935</v>
      </c>
      <c r="CG28" s="85">
        <v>-0.17475261870706868</v>
      </c>
      <c r="CH28" s="86">
        <v>-0.68350802168068803</v>
      </c>
      <c r="CI28" s="86">
        <v>-0.32370961938517756</v>
      </c>
      <c r="CJ28" s="86">
        <v>0.25731319268177394</v>
      </c>
      <c r="CK28" s="86">
        <v>-5.9914497727090225E-2</v>
      </c>
      <c r="CL28" s="86">
        <v>-0.26006844121772127</v>
      </c>
      <c r="CM28" s="86">
        <v>-0.14099676153273477</v>
      </c>
      <c r="CN28" s="86">
        <v>-2.835467424091178E-2</v>
      </c>
      <c r="CO28" s="87">
        <v>0.48925544889480183</v>
      </c>
      <c r="CS28" s="85">
        <v>-0.17669851915983856</v>
      </c>
      <c r="CT28" s="86">
        <v>-0.6866600755643486</v>
      </c>
      <c r="CU28" s="86">
        <v>-0.33565815946167182</v>
      </c>
      <c r="CV28" s="86">
        <v>0.24263879021996085</v>
      </c>
      <c r="CW28" s="86">
        <v>-6.303937107751599E-2</v>
      </c>
      <c r="CX28" s="86">
        <v>-0.2549061790966019</v>
      </c>
      <c r="CY28" s="86">
        <v>-0.14510215580104546</v>
      </c>
      <c r="CZ28" s="86">
        <v>-3.3723998575997644E-2</v>
      </c>
      <c r="DA28" s="87">
        <v>0.48434752531063407</v>
      </c>
      <c r="DE28" s="85">
        <v>-0.17830345052123195</v>
      </c>
      <c r="DF28" s="86">
        <v>-0.68902196069012456</v>
      </c>
      <c r="DG28" s="86">
        <v>-0.35247045836110075</v>
      </c>
      <c r="DH28" s="86">
        <v>0.21863127804180174</v>
      </c>
      <c r="DI28" s="86">
        <v>-6.5648237088490477E-2</v>
      </c>
      <c r="DJ28" s="86">
        <v>-0.25031989372655522</v>
      </c>
      <c r="DK28" s="86">
        <v>-0.15020957842002547</v>
      </c>
      <c r="DL28" s="86">
        <v>-3.7605382047948735E-2</v>
      </c>
      <c r="DM28" s="87">
        <v>0.48007784267480069</v>
      </c>
      <c r="DQ28" s="85">
        <v>-0.17962614800309873</v>
      </c>
      <c r="DR28" s="86">
        <v>-0.6908112486679695</v>
      </c>
      <c r="DS28" s="86">
        <v>-0.37387662410421824</v>
      </c>
      <c r="DT28" s="86">
        <v>0.18084557470215551</v>
      </c>
      <c r="DU28" s="86">
        <v>-6.7817955422694823E-2</v>
      </c>
      <c r="DV28" s="86">
        <v>-0.2463110947941263</v>
      </c>
      <c r="DW28" s="86">
        <v>-0.15582183043175063</v>
      </c>
      <c r="DX28" s="86">
        <v>-4.1127270560723815E-2</v>
      </c>
      <c r="DY28" s="87">
        <v>0.47621957961341443</v>
      </c>
      <c r="EC28" s="85">
        <v>-0.18071480863197217</v>
      </c>
      <c r="ED28" s="86">
        <v>-0.69217847844815095</v>
      </c>
      <c r="EE28" s="86">
        <v>-0.39525402322540015</v>
      </c>
      <c r="EF28" s="86">
        <v>0.12909323919929414</v>
      </c>
      <c r="EG28" s="86">
        <v>-6.963313942761841E-2</v>
      </c>
      <c r="EH28" s="86">
        <v>-0.24283912164319293</v>
      </c>
      <c r="EI28" s="86">
        <v>0.16164151185314962</v>
      </c>
      <c r="EJ28" s="86">
        <v>-4.475784811176025E-2</v>
      </c>
      <c r="EK28" s="87">
        <v>-0.47264092946202568</v>
      </c>
      <c r="EO28" s="85">
        <v>-0.18160471390113311</v>
      </c>
      <c r="EP28" s="86">
        <v>-0.69322800352399006</v>
      </c>
      <c r="EQ28" s="86">
        <v>-0.41073500178437611</v>
      </c>
      <c r="ER28" s="86">
        <v>6.7312960445963077E-2</v>
      </c>
      <c r="ES28" s="86">
        <v>-7.1185975760036102E-2</v>
      </c>
      <c r="ET28" s="86">
        <v>-0.23984212244448785</v>
      </c>
      <c r="EU28" s="86">
        <v>-0.16747496451083713</v>
      </c>
      <c r="EV28" s="86">
        <v>-4.8535361722185068E-2</v>
      </c>
      <c r="EW28" s="87">
        <v>0.469281530390046</v>
      </c>
      <c r="FA28" s="85">
        <v>-0.18233083441891446</v>
      </c>
      <c r="FB28" s="86">
        <v>-0.69404409199161454</v>
      </c>
      <c r="FC28" s="86">
        <v>-0.41631654442953514</v>
      </c>
      <c r="FD28" s="86">
        <v>-1.4484278862553088E-2</v>
      </c>
      <c r="FE28" s="86">
        <v>-7.2492624236446646E-2</v>
      </c>
      <c r="FF28" s="86">
        <v>-0.23729324185612838</v>
      </c>
      <c r="FG28" s="86">
        <v>-0.17170794552157859</v>
      </c>
      <c r="FH28" s="86">
        <v>5.2191678606446017E-2</v>
      </c>
      <c r="FI28" s="87">
        <v>0.46664563923971725</v>
      </c>
      <c r="FM28" s="85">
        <v>-0.1829345686019116</v>
      </c>
      <c r="FN28" s="86">
        <v>-0.69468389767633332</v>
      </c>
      <c r="FO28" s="86">
        <v>-0.41088594778481663</v>
      </c>
      <c r="FP28" s="86">
        <v>-7.0308187407854744E-2</v>
      </c>
      <c r="FQ28" s="86">
        <v>-7.3548383739336518E-2</v>
      </c>
      <c r="FR28" s="86">
        <v>-0.23514294061894955</v>
      </c>
      <c r="FS28" s="86">
        <v>-0.17853435810679008</v>
      </c>
      <c r="FT28" s="86">
        <v>5.6553800540897294E-2</v>
      </c>
      <c r="FU28" s="87">
        <v>0.46303812581927456</v>
      </c>
      <c r="FY28" s="85">
        <v>-0.18342385273685075</v>
      </c>
      <c r="FZ28" s="86">
        <v>-0.69519348300930983</v>
      </c>
      <c r="GA28" s="86">
        <v>-0.41099687011242514</v>
      </c>
      <c r="GB28" s="86">
        <v>-7.1002693592938496E-2</v>
      </c>
      <c r="GC28" s="86">
        <v>-7.4402123330637338E-2</v>
      </c>
      <c r="GD28" s="86">
        <v>-0.23338186044303616</v>
      </c>
      <c r="GE28" s="86">
        <v>-0.18338953043975681</v>
      </c>
      <c r="GF28" s="86">
        <v>-6.1150412488804415E-2</v>
      </c>
      <c r="GG28" s="87">
        <v>0.46013915300316188</v>
      </c>
      <c r="GK28" s="85">
        <v>-0.18381734155696902</v>
      </c>
      <c r="GL28" s="86">
        <v>-0.69561915978329258</v>
      </c>
      <c r="GM28" s="86">
        <v>-0.40824209925397514</v>
      </c>
      <c r="GN28" s="86">
        <v>-8.662449670040151E-2</v>
      </c>
      <c r="GO28" s="86">
        <v>-7.4908763022186214E-2</v>
      </c>
      <c r="GP28" s="86">
        <v>-0.2321059036664363</v>
      </c>
      <c r="GQ28" s="86">
        <v>-0.18766280440426061</v>
      </c>
      <c r="GR28" s="86">
        <v>-6.364694257991034E-2</v>
      </c>
      <c r="GS28" s="87">
        <v>0.45761011757002634</v>
      </c>
      <c r="GW28" s="85">
        <v>-0.1841414048843889</v>
      </c>
      <c r="GX28" s="86">
        <v>-0.69596990525305813</v>
      </c>
      <c r="GY28" s="86">
        <v>-0.40628475641120981</v>
      </c>
      <c r="GZ28" s="86">
        <v>-9.6308674982351503E-2</v>
      </c>
      <c r="HA28" s="86">
        <v>-7.5262149027972278E-2</v>
      </c>
      <c r="HB28" s="86">
        <v>-0.23109946491117894</v>
      </c>
      <c r="HC28" s="86">
        <v>-0.19133266581126623</v>
      </c>
      <c r="HD28" s="86">
        <v>-6.5804859877237262E-2</v>
      </c>
      <c r="HE28" s="87">
        <v>0.45537385462038865</v>
      </c>
      <c r="HI28" s="85">
        <v>-0.18440919147138787</v>
      </c>
      <c r="HJ28" s="86">
        <v>-0.69626137838704627</v>
      </c>
      <c r="HK28" s="86">
        <v>-0.39605025533595839</v>
      </c>
      <c r="HL28" s="86">
        <v>-0.13281433649148924</v>
      </c>
      <c r="HM28" s="86">
        <v>-7.5503616132297766E-2</v>
      </c>
      <c r="HN28" s="86">
        <v>-0.23030430877851268</v>
      </c>
      <c r="HO28" s="86">
        <v>-0.19445631952651712</v>
      </c>
      <c r="HP28" s="86">
        <v>-7.0296752682847977E-2</v>
      </c>
      <c r="HQ28" s="87">
        <v>-0.4530144876331586</v>
      </c>
      <c r="HU28" s="85">
        <v>-0.18462832994316489</v>
      </c>
      <c r="HV28" s="86">
        <v>-0.69648033603479775</v>
      </c>
      <c r="HW28" s="86">
        <v>-0.39245003898225544</v>
      </c>
      <c r="HX28" s="86">
        <v>-0.14332529097698099</v>
      </c>
      <c r="HY28" s="86">
        <v>-7.5886258681041638E-2</v>
      </c>
      <c r="HZ28" s="86">
        <v>-0.22948802605536364</v>
      </c>
      <c r="IA28" s="86">
        <v>-0.19722021640880236</v>
      </c>
      <c r="IB28" s="86">
        <v>-7.6560774813979229E-2</v>
      </c>
      <c r="IC28" s="87">
        <v>-0.45065231033313996</v>
      </c>
      <c r="IG28" s="85">
        <v>-0.18480664396907015</v>
      </c>
      <c r="IH28" s="86">
        <v>-0.69665951989860775</v>
      </c>
      <c r="II28" s="86">
        <v>-0.38962327735620916</v>
      </c>
      <c r="IJ28" s="86">
        <v>-0.15099003817074763</v>
      </c>
      <c r="IK28" s="86">
        <v>-7.6202218060809457E-2</v>
      </c>
      <c r="IL28" s="86">
        <v>-0.22881660325469363</v>
      </c>
      <c r="IM28" s="86">
        <v>-0.19955718466513345</v>
      </c>
      <c r="IN28" s="86">
        <v>-8.314925020267841E-2</v>
      </c>
      <c r="IO28" s="87">
        <v>-0.44833809125679946</v>
      </c>
      <c r="IS28" s="85">
        <v>-0.18495191900262908</v>
      </c>
      <c r="IT28" s="86">
        <v>-0.6968070741314818</v>
      </c>
      <c r="IU28" s="86">
        <v>-0.39719141383670997</v>
      </c>
      <c r="IV28" s="86">
        <v>-0.12990000690171294</v>
      </c>
      <c r="IW28" s="86">
        <v>-7.6464428467189219E-2</v>
      </c>
      <c r="IX28" s="86">
        <v>-0.22826336990718721</v>
      </c>
      <c r="IY28" s="86">
        <v>-0.20149863973281218</v>
      </c>
      <c r="IZ28" s="86">
        <v>-7.9573468873654546E-2</v>
      </c>
      <c r="JA28" s="87">
        <v>0.44803241451254067</v>
      </c>
      <c r="JE28" s="85">
        <v>-0.18507726889737047</v>
      </c>
      <c r="JF28" s="86">
        <v>-0.69695883033141193</v>
      </c>
      <c r="JG28" s="86">
        <v>-0.3981908279833008</v>
      </c>
      <c r="JH28" s="86">
        <v>-0.12716136901265884</v>
      </c>
      <c r="JI28" s="86">
        <v>-7.6427632091518746E-2</v>
      </c>
      <c r="JJ28" s="86">
        <v>-0.22801449266036214</v>
      </c>
      <c r="JK28" s="86">
        <v>-0.20291114621095888</v>
      </c>
      <c r="JL28" s="86">
        <v>-7.9064630396438407E-2</v>
      </c>
      <c r="JM28" s="87">
        <v>0.44722802154461766</v>
      </c>
      <c r="JQ28" s="85">
        <v>-0.18518288177130288</v>
      </c>
      <c r="JR28" s="86">
        <v>-0.6970908536402397</v>
      </c>
      <c r="JS28" s="86">
        <v>-0.3905384269132825</v>
      </c>
      <c r="JT28" s="86">
        <v>-0.14929427427846789</v>
      </c>
      <c r="JU28" s="86">
        <v>-7.6367033414610097E-2</v>
      </c>
      <c r="JV28" s="86">
        <v>-0.22782909867898893</v>
      </c>
      <c r="JW28" s="86">
        <v>-0.20406668598956829</v>
      </c>
      <c r="JX28" s="86">
        <v>-9.3019948333619054E-2</v>
      </c>
      <c r="JY28" s="87">
        <v>-0.44376644051300346</v>
      </c>
      <c r="KC28" s="85">
        <v>-0.18526703534843547</v>
      </c>
      <c r="KD28" s="86">
        <v>-0.69717879026142715</v>
      </c>
      <c r="KE28" s="86">
        <v>-0.38935613718454304</v>
      </c>
      <c r="KF28" s="86">
        <v>-0.15238592278325697</v>
      </c>
      <c r="KG28" s="86">
        <v>-7.6524409613369912E-2</v>
      </c>
      <c r="KH28" s="86">
        <v>-0.22750190947796659</v>
      </c>
      <c r="KI28" s="86">
        <v>-0.20523873281939306</v>
      </c>
      <c r="KJ28" s="86">
        <v>9.9094518693299535E-2</v>
      </c>
      <c r="KK28" s="87">
        <v>0.44186244899275984</v>
      </c>
      <c r="KO28" s="85">
        <v>-0.18533605088269581</v>
      </c>
      <c r="KP28" s="86">
        <v>-0.69725228591092148</v>
      </c>
      <c r="KQ28" s="86">
        <v>-0.38842106059383524</v>
      </c>
      <c r="KR28" s="86">
        <v>-0.15477344335769494</v>
      </c>
      <c r="KS28" s="86">
        <v>-7.6655697670398981E-2</v>
      </c>
      <c r="KT28" s="86">
        <v>-0.22723127473159804</v>
      </c>
      <c r="KU28" s="86">
        <v>-0.20620749698026036</v>
      </c>
      <c r="KV28" s="86">
        <v>0.10953493854124716</v>
      </c>
      <c r="KW28" s="87">
        <v>0.43890144244463597</v>
      </c>
      <c r="LA28" s="85">
        <v>-0.18539339728573295</v>
      </c>
      <c r="LB28" s="86">
        <v>-0.69731352842224337</v>
      </c>
      <c r="LC28" s="86">
        <v>-0.39656463317264357</v>
      </c>
      <c r="LD28" s="86">
        <v>-0.13254008886142232</v>
      </c>
      <c r="LE28" s="86">
        <v>-7.6763538096503006E-2</v>
      </c>
      <c r="LF28" s="86">
        <v>-0.22700723310362167</v>
      </c>
      <c r="LG28" s="86">
        <v>-0.20699377626084675</v>
      </c>
      <c r="LH28" s="86">
        <v>-8.3635793260433897E-2</v>
      </c>
      <c r="LI28" s="87">
        <v>0.44416939774814024</v>
      </c>
      <c r="LM28" s="85">
        <v>-0.18544506553867013</v>
      </c>
      <c r="LN28" s="86">
        <v>-0.69739497529951155</v>
      </c>
      <c r="LO28" s="86">
        <v>-0.39850751906193005</v>
      </c>
      <c r="LP28" s="86">
        <v>-0.12682488072287032</v>
      </c>
      <c r="LQ28" s="86">
        <v>-7.661780258087289E-2</v>
      </c>
      <c r="LR28" s="86">
        <v>-0.22701643426790175</v>
      </c>
      <c r="LS28" s="86">
        <v>-0.20733090195622025</v>
      </c>
      <c r="LT28" s="86">
        <v>-8.0575969945281337E-2</v>
      </c>
      <c r="LU28" s="87">
        <v>0.44437849186976552</v>
      </c>
      <c r="LY28" s="85">
        <v>-0.18548992199442688</v>
      </c>
      <c r="LZ28" s="86">
        <v>-0.69746896147560289</v>
      </c>
      <c r="MA28" s="86">
        <v>-0.39237433900767876</v>
      </c>
      <c r="MB28" s="86">
        <v>-0.14490015624381183</v>
      </c>
      <c r="MC28" s="86">
        <v>-7.6469967466547856E-2</v>
      </c>
      <c r="MD28" s="86">
        <v>-0.22704189895633844</v>
      </c>
      <c r="ME28" s="86">
        <v>-0.20759127468534458</v>
      </c>
      <c r="MF28" s="86">
        <v>-0.1052691638458588</v>
      </c>
      <c r="MG28" s="87">
        <v>0.43886836914629146</v>
      </c>
      <c r="MK28" s="85">
        <v>-0.18552611534206348</v>
      </c>
      <c r="ML28" s="86">
        <v>-0.69750886154438063</v>
      </c>
      <c r="MM28" s="86">
        <v>-0.39194052142324187</v>
      </c>
      <c r="MN28" s="86">
        <v>-0.14607538919582508</v>
      </c>
      <c r="MO28" s="86">
        <v>-7.6538064164758793E-2</v>
      </c>
      <c r="MP28" s="86">
        <v>-0.22690025097112029</v>
      </c>
      <c r="MQ28" s="86">
        <v>-0.20809502682625586</v>
      </c>
      <c r="MR28" s="86">
        <v>-0.10925453428155586</v>
      </c>
      <c r="MS28" s="87">
        <v>0.43763473847852025</v>
      </c>
    </row>
    <row r="29" spans="1:358" ht="14.45" x14ac:dyDescent="0.35">
      <c r="A29">
        <v>26</v>
      </c>
      <c r="B29" s="123">
        <v>4</v>
      </c>
      <c r="C29" s="37">
        <v>8</v>
      </c>
      <c r="D29" s="37">
        <v>6</v>
      </c>
      <c r="E29" s="37">
        <v>5</v>
      </c>
      <c r="F29" s="37">
        <v>8</v>
      </c>
      <c r="G29" s="37">
        <v>7</v>
      </c>
      <c r="H29" s="37">
        <v>9</v>
      </c>
      <c r="I29" s="37">
        <v>6</v>
      </c>
      <c r="J29" s="90">
        <v>7</v>
      </c>
    </row>
    <row r="30" spans="1:358" ht="14.45" x14ac:dyDescent="0.35">
      <c r="A30">
        <v>27</v>
      </c>
      <c r="B30" s="123">
        <v>2</v>
      </c>
      <c r="C30" s="37">
        <v>8</v>
      </c>
      <c r="D30" s="37">
        <v>3</v>
      </c>
      <c r="E30" s="37">
        <v>3</v>
      </c>
      <c r="F30" s="37">
        <v>7</v>
      </c>
      <c r="G30" s="37">
        <v>5</v>
      </c>
      <c r="H30" s="37">
        <v>5</v>
      </c>
      <c r="I30" s="37">
        <v>5</v>
      </c>
      <c r="J30" s="90">
        <v>7</v>
      </c>
      <c r="X30" t="s">
        <v>478</v>
      </c>
      <c r="AJ30" t="s">
        <v>478</v>
      </c>
      <c r="AV30" t="s">
        <v>478</v>
      </c>
      <c r="BH30" t="s">
        <v>478</v>
      </c>
      <c r="BT30" t="s">
        <v>478</v>
      </c>
      <c r="CF30" t="s">
        <v>478</v>
      </c>
      <c r="CR30" t="s">
        <v>478</v>
      </c>
      <c r="DD30" t="s">
        <v>478</v>
      </c>
      <c r="DP30" t="s">
        <v>478</v>
      </c>
      <c r="EB30" t="s">
        <v>478</v>
      </c>
      <c r="EN30" t="s">
        <v>478</v>
      </c>
      <c r="EZ30" t="s">
        <v>478</v>
      </c>
      <c r="FL30" t="s">
        <v>478</v>
      </c>
      <c r="FX30" t="s">
        <v>478</v>
      </c>
      <c r="GJ30" t="s">
        <v>478</v>
      </c>
      <c r="GV30" t="s">
        <v>478</v>
      </c>
      <c r="HH30" t="s">
        <v>478</v>
      </c>
      <c r="HT30" t="s">
        <v>478</v>
      </c>
      <c r="IF30" t="s">
        <v>478</v>
      </c>
      <c r="IR30" t="s">
        <v>478</v>
      </c>
      <c r="JD30" t="s">
        <v>478</v>
      </c>
      <c r="JP30" t="s">
        <v>478</v>
      </c>
      <c r="KB30" t="s">
        <v>478</v>
      </c>
      <c r="KN30" t="s">
        <v>478</v>
      </c>
      <c r="KZ30" t="s">
        <v>478</v>
      </c>
      <c r="LL30" t="s">
        <v>478</v>
      </c>
      <c r="LX30" t="s">
        <v>478</v>
      </c>
      <c r="MJ30" t="s">
        <v>478</v>
      </c>
    </row>
    <row r="31" spans="1:358" ht="14.45" x14ac:dyDescent="0.35">
      <c r="A31">
        <v>28</v>
      </c>
      <c r="B31" s="123">
        <v>2</v>
      </c>
      <c r="C31" s="37">
        <v>8</v>
      </c>
      <c r="D31" s="37">
        <v>1</v>
      </c>
      <c r="E31" s="37">
        <v>5</v>
      </c>
      <c r="F31" s="37">
        <v>6</v>
      </c>
      <c r="G31" s="37">
        <v>8</v>
      </c>
      <c r="H31" s="37">
        <v>7</v>
      </c>
      <c r="I31" s="37">
        <v>4</v>
      </c>
      <c r="J31" s="90">
        <v>8</v>
      </c>
      <c r="T31" s="32" t="s">
        <v>549</v>
      </c>
      <c r="U31" s="32"/>
      <c r="V31" s="32" t="s">
        <v>549</v>
      </c>
    </row>
    <row r="32" spans="1:358" x14ac:dyDescent="0.25">
      <c r="A32">
        <v>29</v>
      </c>
      <c r="B32" s="123">
        <v>5</v>
      </c>
      <c r="C32" s="37">
        <v>8</v>
      </c>
      <c r="D32" s="37">
        <v>3</v>
      </c>
      <c r="E32" s="37">
        <v>4</v>
      </c>
      <c r="F32" s="37">
        <v>7</v>
      </c>
      <c r="G32" s="37">
        <v>7</v>
      </c>
      <c r="H32" s="37">
        <v>1</v>
      </c>
      <c r="I32" s="37">
        <v>5</v>
      </c>
      <c r="J32" s="90">
        <v>7</v>
      </c>
      <c r="T32" s="32" t="s">
        <v>373</v>
      </c>
      <c r="V32" s="32" t="s">
        <v>373</v>
      </c>
      <c r="Y32" s="32">
        <v>1</v>
      </c>
      <c r="Z32" s="32">
        <f t="shared" ref="Z32:AG32" si="0">Y32+1</f>
        <v>2</v>
      </c>
      <c r="AA32" s="32">
        <f t="shared" si="0"/>
        <v>3</v>
      </c>
      <c r="AB32" s="32">
        <f t="shared" si="0"/>
        <v>4</v>
      </c>
      <c r="AC32" s="32">
        <f t="shared" si="0"/>
        <v>5</v>
      </c>
      <c r="AD32" s="32">
        <f t="shared" si="0"/>
        <v>6</v>
      </c>
      <c r="AE32" s="32">
        <f t="shared" si="0"/>
        <v>7</v>
      </c>
      <c r="AF32" s="32">
        <f t="shared" si="0"/>
        <v>8</v>
      </c>
      <c r="AG32" s="32">
        <f t="shared" si="0"/>
        <v>9</v>
      </c>
      <c r="AH32" s="32" t="s">
        <v>373</v>
      </c>
      <c r="AK32" s="32">
        <v>1</v>
      </c>
      <c r="AL32" s="32">
        <f>AK32+1</f>
        <v>2</v>
      </c>
      <c r="AM32" s="32">
        <f t="shared" ref="AM32:AS32" si="1">AL32+1</f>
        <v>3</v>
      </c>
      <c r="AN32" s="32">
        <f t="shared" si="1"/>
        <v>4</v>
      </c>
      <c r="AO32" s="32">
        <f t="shared" si="1"/>
        <v>5</v>
      </c>
      <c r="AP32" s="32">
        <f t="shared" si="1"/>
        <v>6</v>
      </c>
      <c r="AQ32" s="32">
        <f t="shared" si="1"/>
        <v>7</v>
      </c>
      <c r="AR32" s="32">
        <f t="shared" si="1"/>
        <v>8</v>
      </c>
      <c r="AS32" s="32">
        <f t="shared" si="1"/>
        <v>9</v>
      </c>
      <c r="AT32" s="32" t="s">
        <v>373</v>
      </c>
      <c r="AW32" s="32">
        <v>1</v>
      </c>
      <c r="AX32" s="32">
        <f>AW32+1</f>
        <v>2</v>
      </c>
      <c r="AY32" s="32">
        <f t="shared" ref="AY32:BE32" si="2">AX32+1</f>
        <v>3</v>
      </c>
      <c r="AZ32" s="32">
        <f t="shared" si="2"/>
        <v>4</v>
      </c>
      <c r="BA32" s="32">
        <f t="shared" si="2"/>
        <v>5</v>
      </c>
      <c r="BB32" s="32">
        <f t="shared" si="2"/>
        <v>6</v>
      </c>
      <c r="BC32" s="32">
        <f t="shared" si="2"/>
        <v>7</v>
      </c>
      <c r="BD32" s="32">
        <f t="shared" si="2"/>
        <v>8</v>
      </c>
      <c r="BE32" s="32">
        <f t="shared" si="2"/>
        <v>9</v>
      </c>
      <c r="BF32" s="32" t="s">
        <v>373</v>
      </c>
      <c r="BI32" s="32">
        <v>1</v>
      </c>
      <c r="BJ32" s="32">
        <f>BI32+1</f>
        <v>2</v>
      </c>
      <c r="BK32" s="32">
        <f t="shared" ref="BK32:BQ32" si="3">BJ32+1</f>
        <v>3</v>
      </c>
      <c r="BL32" s="32">
        <f t="shared" si="3"/>
        <v>4</v>
      </c>
      <c r="BM32" s="32">
        <f t="shared" si="3"/>
        <v>5</v>
      </c>
      <c r="BN32" s="32">
        <f t="shared" si="3"/>
        <v>6</v>
      </c>
      <c r="BO32" s="32">
        <f t="shared" si="3"/>
        <v>7</v>
      </c>
      <c r="BP32" s="32">
        <f t="shared" si="3"/>
        <v>8</v>
      </c>
      <c r="BQ32" s="32">
        <f t="shared" si="3"/>
        <v>9</v>
      </c>
      <c r="BR32" s="32" t="s">
        <v>373</v>
      </c>
      <c r="BU32" s="32">
        <v>1</v>
      </c>
      <c r="BV32" s="32">
        <f>BU32+1</f>
        <v>2</v>
      </c>
      <c r="BW32" s="32">
        <f t="shared" ref="BW32:CC32" si="4">BV32+1</f>
        <v>3</v>
      </c>
      <c r="BX32" s="32">
        <f t="shared" si="4"/>
        <v>4</v>
      </c>
      <c r="BY32" s="32">
        <f t="shared" si="4"/>
        <v>5</v>
      </c>
      <c r="BZ32" s="32">
        <f t="shared" si="4"/>
        <v>6</v>
      </c>
      <c r="CA32" s="32">
        <f t="shared" si="4"/>
        <v>7</v>
      </c>
      <c r="CB32" s="32">
        <f t="shared" si="4"/>
        <v>8</v>
      </c>
      <c r="CC32" s="32">
        <f t="shared" si="4"/>
        <v>9</v>
      </c>
      <c r="CD32" s="32" t="s">
        <v>373</v>
      </c>
      <c r="CG32" s="32">
        <v>1</v>
      </c>
      <c r="CH32" s="32">
        <f>CG32+1</f>
        <v>2</v>
      </c>
      <c r="CI32" s="32">
        <f t="shared" ref="CI32:CO32" si="5">CH32+1</f>
        <v>3</v>
      </c>
      <c r="CJ32" s="32">
        <f t="shared" si="5"/>
        <v>4</v>
      </c>
      <c r="CK32" s="32">
        <f t="shared" si="5"/>
        <v>5</v>
      </c>
      <c r="CL32" s="32">
        <f t="shared" si="5"/>
        <v>6</v>
      </c>
      <c r="CM32" s="32">
        <f t="shared" si="5"/>
        <v>7</v>
      </c>
      <c r="CN32" s="32">
        <f t="shared" si="5"/>
        <v>8</v>
      </c>
      <c r="CO32" s="32">
        <f t="shared" si="5"/>
        <v>9</v>
      </c>
      <c r="CP32" s="32" t="s">
        <v>373</v>
      </c>
      <c r="CS32" s="32">
        <v>1</v>
      </c>
      <c r="CT32" s="32">
        <f>CS32+1</f>
        <v>2</v>
      </c>
      <c r="CU32" s="32">
        <f t="shared" ref="CU32:DA32" si="6">CT32+1</f>
        <v>3</v>
      </c>
      <c r="CV32" s="32">
        <f t="shared" si="6"/>
        <v>4</v>
      </c>
      <c r="CW32" s="32">
        <f t="shared" si="6"/>
        <v>5</v>
      </c>
      <c r="CX32" s="32">
        <f t="shared" si="6"/>
        <v>6</v>
      </c>
      <c r="CY32" s="32">
        <f t="shared" si="6"/>
        <v>7</v>
      </c>
      <c r="CZ32" s="32">
        <f t="shared" si="6"/>
        <v>8</v>
      </c>
      <c r="DA32" s="32">
        <f t="shared" si="6"/>
        <v>9</v>
      </c>
      <c r="DB32" s="32" t="s">
        <v>373</v>
      </c>
      <c r="DE32" s="32">
        <v>1</v>
      </c>
      <c r="DF32" s="32">
        <f>DE32+1</f>
        <v>2</v>
      </c>
      <c r="DG32" s="32">
        <f t="shared" ref="DG32:DM32" si="7">DF32+1</f>
        <v>3</v>
      </c>
      <c r="DH32" s="32">
        <f t="shared" si="7"/>
        <v>4</v>
      </c>
      <c r="DI32" s="32">
        <f t="shared" si="7"/>
        <v>5</v>
      </c>
      <c r="DJ32" s="32">
        <f t="shared" si="7"/>
        <v>6</v>
      </c>
      <c r="DK32" s="32">
        <f t="shared" si="7"/>
        <v>7</v>
      </c>
      <c r="DL32" s="32">
        <f t="shared" si="7"/>
        <v>8</v>
      </c>
      <c r="DM32" s="32">
        <f t="shared" si="7"/>
        <v>9</v>
      </c>
      <c r="DN32" s="32" t="s">
        <v>373</v>
      </c>
      <c r="DQ32" s="32">
        <v>1</v>
      </c>
      <c r="DR32" s="32">
        <f>DQ32+1</f>
        <v>2</v>
      </c>
      <c r="DS32" s="32">
        <f t="shared" ref="DS32:DY32" si="8">DR32+1</f>
        <v>3</v>
      </c>
      <c r="DT32" s="32">
        <f t="shared" si="8"/>
        <v>4</v>
      </c>
      <c r="DU32" s="32">
        <f t="shared" si="8"/>
        <v>5</v>
      </c>
      <c r="DV32" s="32">
        <f t="shared" si="8"/>
        <v>6</v>
      </c>
      <c r="DW32" s="32">
        <f t="shared" si="8"/>
        <v>7</v>
      </c>
      <c r="DX32" s="32">
        <f t="shared" si="8"/>
        <v>8</v>
      </c>
      <c r="DY32" s="32">
        <f t="shared" si="8"/>
        <v>9</v>
      </c>
      <c r="DZ32" s="32" t="s">
        <v>373</v>
      </c>
      <c r="EC32" s="32">
        <v>1</v>
      </c>
      <c r="ED32" s="32">
        <f>EC32+1</f>
        <v>2</v>
      </c>
      <c r="EE32" s="32">
        <f t="shared" ref="EE32:EK32" si="9">ED32+1</f>
        <v>3</v>
      </c>
      <c r="EF32" s="32">
        <f t="shared" si="9"/>
        <v>4</v>
      </c>
      <c r="EG32" s="32">
        <f t="shared" si="9"/>
        <v>5</v>
      </c>
      <c r="EH32" s="32">
        <f t="shared" si="9"/>
        <v>6</v>
      </c>
      <c r="EI32" s="32">
        <f t="shared" si="9"/>
        <v>7</v>
      </c>
      <c r="EJ32" s="32">
        <f t="shared" si="9"/>
        <v>8</v>
      </c>
      <c r="EK32" s="32">
        <f t="shared" si="9"/>
        <v>9</v>
      </c>
      <c r="EL32" s="32" t="s">
        <v>373</v>
      </c>
      <c r="EO32" s="32">
        <v>1</v>
      </c>
      <c r="EP32" s="32">
        <f>EO32+1</f>
        <v>2</v>
      </c>
      <c r="EQ32" s="32">
        <f t="shared" ref="EQ32:EW32" si="10">EP32+1</f>
        <v>3</v>
      </c>
      <c r="ER32" s="32">
        <f t="shared" si="10"/>
        <v>4</v>
      </c>
      <c r="ES32" s="32">
        <f t="shared" si="10"/>
        <v>5</v>
      </c>
      <c r="ET32" s="32">
        <f t="shared" si="10"/>
        <v>6</v>
      </c>
      <c r="EU32" s="32">
        <f t="shared" si="10"/>
        <v>7</v>
      </c>
      <c r="EV32" s="32">
        <f t="shared" si="10"/>
        <v>8</v>
      </c>
      <c r="EW32" s="32">
        <f t="shared" si="10"/>
        <v>9</v>
      </c>
      <c r="EX32" s="32" t="s">
        <v>373</v>
      </c>
      <c r="FA32" s="32">
        <v>1</v>
      </c>
      <c r="FB32" s="32">
        <f>FA32+1</f>
        <v>2</v>
      </c>
      <c r="FC32" s="32">
        <f t="shared" ref="FC32:FI32" si="11">FB32+1</f>
        <v>3</v>
      </c>
      <c r="FD32" s="32">
        <f t="shared" si="11"/>
        <v>4</v>
      </c>
      <c r="FE32" s="32">
        <f t="shared" si="11"/>
        <v>5</v>
      </c>
      <c r="FF32" s="32">
        <f t="shared" si="11"/>
        <v>6</v>
      </c>
      <c r="FG32" s="32">
        <f t="shared" si="11"/>
        <v>7</v>
      </c>
      <c r="FH32" s="32">
        <f t="shared" si="11"/>
        <v>8</v>
      </c>
      <c r="FI32" s="32">
        <f t="shared" si="11"/>
        <v>9</v>
      </c>
      <c r="FJ32" s="32" t="s">
        <v>373</v>
      </c>
      <c r="FM32" s="32">
        <v>1</v>
      </c>
      <c r="FN32" s="32">
        <f>FM32+1</f>
        <v>2</v>
      </c>
      <c r="FO32" s="32">
        <f t="shared" ref="FO32:FU32" si="12">FN32+1</f>
        <v>3</v>
      </c>
      <c r="FP32" s="32">
        <f t="shared" si="12"/>
        <v>4</v>
      </c>
      <c r="FQ32" s="32">
        <f t="shared" si="12"/>
        <v>5</v>
      </c>
      <c r="FR32" s="32">
        <f t="shared" si="12"/>
        <v>6</v>
      </c>
      <c r="FS32" s="32">
        <f t="shared" si="12"/>
        <v>7</v>
      </c>
      <c r="FT32" s="32">
        <f t="shared" si="12"/>
        <v>8</v>
      </c>
      <c r="FU32" s="32">
        <f t="shared" si="12"/>
        <v>9</v>
      </c>
      <c r="FV32" s="32" t="s">
        <v>373</v>
      </c>
      <c r="FY32" s="32">
        <v>1</v>
      </c>
      <c r="FZ32" s="32">
        <f>FY32+1</f>
        <v>2</v>
      </c>
      <c r="GA32" s="32">
        <f t="shared" ref="GA32:GG32" si="13">FZ32+1</f>
        <v>3</v>
      </c>
      <c r="GB32" s="32">
        <f t="shared" si="13"/>
        <v>4</v>
      </c>
      <c r="GC32" s="32">
        <f t="shared" si="13"/>
        <v>5</v>
      </c>
      <c r="GD32" s="32">
        <f t="shared" si="13"/>
        <v>6</v>
      </c>
      <c r="GE32" s="32">
        <f t="shared" si="13"/>
        <v>7</v>
      </c>
      <c r="GF32" s="32">
        <f t="shared" si="13"/>
        <v>8</v>
      </c>
      <c r="GG32" s="32">
        <f t="shared" si="13"/>
        <v>9</v>
      </c>
      <c r="GH32" s="32" t="s">
        <v>373</v>
      </c>
      <c r="GK32" s="32">
        <v>1</v>
      </c>
      <c r="GL32" s="32">
        <f>GK32+1</f>
        <v>2</v>
      </c>
      <c r="GM32" s="32">
        <f t="shared" ref="GM32:GS32" si="14">GL32+1</f>
        <v>3</v>
      </c>
      <c r="GN32" s="32">
        <f t="shared" si="14"/>
        <v>4</v>
      </c>
      <c r="GO32" s="32">
        <f t="shared" si="14"/>
        <v>5</v>
      </c>
      <c r="GP32" s="32">
        <f t="shared" si="14"/>
        <v>6</v>
      </c>
      <c r="GQ32" s="32">
        <f t="shared" si="14"/>
        <v>7</v>
      </c>
      <c r="GR32" s="32">
        <f t="shared" si="14"/>
        <v>8</v>
      </c>
      <c r="GS32" s="32">
        <f t="shared" si="14"/>
        <v>9</v>
      </c>
      <c r="GT32" s="32" t="s">
        <v>373</v>
      </c>
      <c r="GW32" s="32">
        <v>1</v>
      </c>
      <c r="GX32" s="32">
        <f>GW32+1</f>
        <v>2</v>
      </c>
      <c r="GY32" s="32">
        <f t="shared" ref="GY32:HE32" si="15">GX32+1</f>
        <v>3</v>
      </c>
      <c r="GZ32" s="32">
        <f t="shared" si="15"/>
        <v>4</v>
      </c>
      <c r="HA32" s="32">
        <f t="shared" si="15"/>
        <v>5</v>
      </c>
      <c r="HB32" s="32">
        <f t="shared" si="15"/>
        <v>6</v>
      </c>
      <c r="HC32" s="32">
        <f t="shared" si="15"/>
        <v>7</v>
      </c>
      <c r="HD32" s="32">
        <f t="shared" si="15"/>
        <v>8</v>
      </c>
      <c r="HE32" s="32">
        <f t="shared" si="15"/>
        <v>9</v>
      </c>
      <c r="HF32" s="32" t="s">
        <v>373</v>
      </c>
      <c r="HI32" s="32">
        <v>1</v>
      </c>
      <c r="HJ32" s="32">
        <f>HI32+1</f>
        <v>2</v>
      </c>
      <c r="HK32" s="32">
        <f t="shared" ref="HK32:HQ32" si="16">HJ32+1</f>
        <v>3</v>
      </c>
      <c r="HL32" s="32">
        <f t="shared" si="16"/>
        <v>4</v>
      </c>
      <c r="HM32" s="32">
        <f t="shared" si="16"/>
        <v>5</v>
      </c>
      <c r="HN32" s="32">
        <f t="shared" si="16"/>
        <v>6</v>
      </c>
      <c r="HO32" s="32">
        <f t="shared" si="16"/>
        <v>7</v>
      </c>
      <c r="HP32" s="32">
        <f t="shared" si="16"/>
        <v>8</v>
      </c>
      <c r="HQ32" s="32">
        <f t="shared" si="16"/>
        <v>9</v>
      </c>
      <c r="HR32" s="32" t="s">
        <v>373</v>
      </c>
      <c r="HU32" s="32">
        <v>1</v>
      </c>
      <c r="HV32" s="32">
        <f>HU32+1</f>
        <v>2</v>
      </c>
      <c r="HW32" s="32">
        <f t="shared" ref="HW32:IC32" si="17">HV32+1</f>
        <v>3</v>
      </c>
      <c r="HX32" s="32">
        <f t="shared" si="17"/>
        <v>4</v>
      </c>
      <c r="HY32" s="32">
        <f t="shared" si="17"/>
        <v>5</v>
      </c>
      <c r="HZ32" s="32">
        <f t="shared" si="17"/>
        <v>6</v>
      </c>
      <c r="IA32" s="32">
        <f t="shared" si="17"/>
        <v>7</v>
      </c>
      <c r="IB32" s="32">
        <f t="shared" si="17"/>
        <v>8</v>
      </c>
      <c r="IC32" s="32">
        <f t="shared" si="17"/>
        <v>9</v>
      </c>
      <c r="ID32" s="32" t="s">
        <v>373</v>
      </c>
      <c r="IG32" s="32">
        <v>1</v>
      </c>
      <c r="IH32" s="32">
        <f>IG32+1</f>
        <v>2</v>
      </c>
      <c r="II32" s="32">
        <f t="shared" ref="II32:IO32" si="18">IH32+1</f>
        <v>3</v>
      </c>
      <c r="IJ32" s="32">
        <f t="shared" si="18"/>
        <v>4</v>
      </c>
      <c r="IK32" s="32">
        <f t="shared" si="18"/>
        <v>5</v>
      </c>
      <c r="IL32" s="32">
        <f t="shared" si="18"/>
        <v>6</v>
      </c>
      <c r="IM32" s="32">
        <f t="shared" si="18"/>
        <v>7</v>
      </c>
      <c r="IN32" s="32">
        <f t="shared" si="18"/>
        <v>8</v>
      </c>
      <c r="IO32" s="32">
        <f t="shared" si="18"/>
        <v>9</v>
      </c>
      <c r="IP32" s="32" t="s">
        <v>373</v>
      </c>
      <c r="IS32" s="32">
        <v>1</v>
      </c>
      <c r="IT32" s="32">
        <f>IS32+1</f>
        <v>2</v>
      </c>
      <c r="IU32" s="32">
        <f t="shared" ref="IU32:JA32" si="19">IT32+1</f>
        <v>3</v>
      </c>
      <c r="IV32" s="32">
        <f t="shared" si="19"/>
        <v>4</v>
      </c>
      <c r="IW32" s="32">
        <f t="shared" si="19"/>
        <v>5</v>
      </c>
      <c r="IX32" s="32">
        <f t="shared" si="19"/>
        <v>6</v>
      </c>
      <c r="IY32" s="32">
        <f t="shared" si="19"/>
        <v>7</v>
      </c>
      <c r="IZ32" s="32">
        <f t="shared" si="19"/>
        <v>8</v>
      </c>
      <c r="JA32" s="32">
        <f t="shared" si="19"/>
        <v>9</v>
      </c>
      <c r="JB32" s="32" t="s">
        <v>373</v>
      </c>
      <c r="JE32" s="32">
        <v>1</v>
      </c>
      <c r="JF32" s="32">
        <f>JE32+1</f>
        <v>2</v>
      </c>
      <c r="JG32" s="32">
        <f t="shared" ref="JG32:JM32" si="20">JF32+1</f>
        <v>3</v>
      </c>
      <c r="JH32" s="32">
        <f t="shared" si="20"/>
        <v>4</v>
      </c>
      <c r="JI32" s="32">
        <f t="shared" si="20"/>
        <v>5</v>
      </c>
      <c r="JJ32" s="32">
        <f t="shared" si="20"/>
        <v>6</v>
      </c>
      <c r="JK32" s="32">
        <f t="shared" si="20"/>
        <v>7</v>
      </c>
      <c r="JL32" s="32">
        <f t="shared" si="20"/>
        <v>8</v>
      </c>
      <c r="JM32" s="32">
        <f t="shared" si="20"/>
        <v>9</v>
      </c>
      <c r="JN32" s="32" t="s">
        <v>373</v>
      </c>
      <c r="JQ32" s="32">
        <v>1</v>
      </c>
      <c r="JR32" s="32">
        <f>JQ32+1</f>
        <v>2</v>
      </c>
      <c r="JS32" s="32">
        <f t="shared" ref="JS32:JY32" si="21">JR32+1</f>
        <v>3</v>
      </c>
      <c r="JT32" s="32">
        <f t="shared" si="21"/>
        <v>4</v>
      </c>
      <c r="JU32" s="32">
        <f t="shared" si="21"/>
        <v>5</v>
      </c>
      <c r="JV32" s="32">
        <f t="shared" si="21"/>
        <v>6</v>
      </c>
      <c r="JW32" s="32">
        <f t="shared" si="21"/>
        <v>7</v>
      </c>
      <c r="JX32" s="32">
        <f t="shared" si="21"/>
        <v>8</v>
      </c>
      <c r="JY32" s="32">
        <f t="shared" si="21"/>
        <v>9</v>
      </c>
      <c r="JZ32" s="32" t="s">
        <v>373</v>
      </c>
      <c r="KC32" s="32">
        <v>1</v>
      </c>
      <c r="KD32" s="32">
        <f>KC32+1</f>
        <v>2</v>
      </c>
      <c r="KE32" s="32">
        <f t="shared" ref="KE32:KK32" si="22">KD32+1</f>
        <v>3</v>
      </c>
      <c r="KF32" s="32">
        <f t="shared" si="22"/>
        <v>4</v>
      </c>
      <c r="KG32" s="32">
        <f t="shared" si="22"/>
        <v>5</v>
      </c>
      <c r="KH32" s="32">
        <f t="shared" si="22"/>
        <v>6</v>
      </c>
      <c r="KI32" s="32">
        <f t="shared" si="22"/>
        <v>7</v>
      </c>
      <c r="KJ32" s="32">
        <f t="shared" si="22"/>
        <v>8</v>
      </c>
      <c r="KK32" s="32">
        <f t="shared" si="22"/>
        <v>9</v>
      </c>
      <c r="KL32" s="32" t="s">
        <v>373</v>
      </c>
      <c r="KO32" s="32">
        <v>1</v>
      </c>
      <c r="KP32" s="32">
        <f>KO32+1</f>
        <v>2</v>
      </c>
      <c r="KQ32" s="32">
        <f t="shared" ref="KQ32:KW32" si="23">KP32+1</f>
        <v>3</v>
      </c>
      <c r="KR32" s="32">
        <f t="shared" si="23"/>
        <v>4</v>
      </c>
      <c r="KS32" s="32">
        <f t="shared" si="23"/>
        <v>5</v>
      </c>
      <c r="KT32" s="32">
        <f t="shared" si="23"/>
        <v>6</v>
      </c>
      <c r="KU32" s="32">
        <f t="shared" si="23"/>
        <v>7</v>
      </c>
      <c r="KV32" s="32">
        <f t="shared" si="23"/>
        <v>8</v>
      </c>
      <c r="KW32" s="32">
        <f t="shared" si="23"/>
        <v>9</v>
      </c>
      <c r="KX32" s="32" t="s">
        <v>373</v>
      </c>
      <c r="LA32" s="32">
        <v>1</v>
      </c>
      <c r="LB32" s="32">
        <f>LA32+1</f>
        <v>2</v>
      </c>
      <c r="LC32" s="32">
        <f t="shared" ref="LC32:LI32" si="24">LB32+1</f>
        <v>3</v>
      </c>
      <c r="LD32" s="32">
        <f t="shared" si="24"/>
        <v>4</v>
      </c>
      <c r="LE32" s="32">
        <f t="shared" si="24"/>
        <v>5</v>
      </c>
      <c r="LF32" s="32">
        <f t="shared" si="24"/>
        <v>6</v>
      </c>
      <c r="LG32" s="32">
        <f t="shared" si="24"/>
        <v>7</v>
      </c>
      <c r="LH32" s="32">
        <f t="shared" si="24"/>
        <v>8</v>
      </c>
      <c r="LI32" s="32">
        <f t="shared" si="24"/>
        <v>9</v>
      </c>
      <c r="LJ32" s="32" t="s">
        <v>373</v>
      </c>
      <c r="LM32" s="32">
        <v>1</v>
      </c>
      <c r="LN32" s="32">
        <f>LM32+1</f>
        <v>2</v>
      </c>
      <c r="LO32" s="32">
        <f t="shared" ref="LO32:LU32" si="25">LN32+1</f>
        <v>3</v>
      </c>
      <c r="LP32" s="32">
        <f t="shared" si="25"/>
        <v>4</v>
      </c>
      <c r="LQ32" s="32">
        <f t="shared" si="25"/>
        <v>5</v>
      </c>
      <c r="LR32" s="32">
        <f t="shared" si="25"/>
        <v>6</v>
      </c>
      <c r="LS32" s="32">
        <f t="shared" si="25"/>
        <v>7</v>
      </c>
      <c r="LT32" s="32">
        <f t="shared" si="25"/>
        <v>8</v>
      </c>
      <c r="LU32" s="32">
        <f t="shared" si="25"/>
        <v>9</v>
      </c>
      <c r="LV32" s="32" t="s">
        <v>373</v>
      </c>
      <c r="LY32" s="32">
        <v>1</v>
      </c>
      <c r="LZ32" s="32">
        <f>LY32+1</f>
        <v>2</v>
      </c>
      <c r="MA32" s="32">
        <f t="shared" ref="MA32:MG32" si="26">LZ32+1</f>
        <v>3</v>
      </c>
      <c r="MB32" s="32">
        <f t="shared" si="26"/>
        <v>4</v>
      </c>
      <c r="MC32" s="32">
        <f t="shared" si="26"/>
        <v>5</v>
      </c>
      <c r="MD32" s="32">
        <f t="shared" si="26"/>
        <v>6</v>
      </c>
      <c r="ME32" s="32">
        <f t="shared" si="26"/>
        <v>7</v>
      </c>
      <c r="MF32" s="32">
        <f t="shared" si="26"/>
        <v>8</v>
      </c>
      <c r="MG32" s="32">
        <f t="shared" si="26"/>
        <v>9</v>
      </c>
      <c r="MH32" s="32" t="s">
        <v>373</v>
      </c>
      <c r="MK32" s="32">
        <v>1</v>
      </c>
      <c r="ML32" s="32">
        <f>MK32+1</f>
        <v>2</v>
      </c>
      <c r="MM32" s="32">
        <f t="shared" ref="MM32:MS32" si="27">ML32+1</f>
        <v>3</v>
      </c>
      <c r="MN32" s="32">
        <f t="shared" si="27"/>
        <v>4</v>
      </c>
      <c r="MO32" s="32">
        <f t="shared" si="27"/>
        <v>5</v>
      </c>
      <c r="MP32" s="32">
        <f t="shared" si="27"/>
        <v>6</v>
      </c>
      <c r="MQ32" s="32">
        <f t="shared" si="27"/>
        <v>7</v>
      </c>
      <c r="MR32" s="32">
        <f t="shared" si="27"/>
        <v>8</v>
      </c>
      <c r="MS32" s="32">
        <f t="shared" si="27"/>
        <v>9</v>
      </c>
      <c r="MT32" s="32" t="s">
        <v>373</v>
      </c>
    </row>
    <row r="33" spans="1:358" x14ac:dyDescent="0.25">
      <c r="A33">
        <v>30</v>
      </c>
      <c r="B33" s="123">
        <v>2</v>
      </c>
      <c r="C33" s="37">
        <v>8</v>
      </c>
      <c r="D33" s="37">
        <v>2</v>
      </c>
      <c r="E33" s="37">
        <v>4</v>
      </c>
      <c r="F33" s="37">
        <v>6</v>
      </c>
      <c r="G33" s="37">
        <v>5</v>
      </c>
      <c r="H33" s="37">
        <v>5</v>
      </c>
      <c r="I33" s="37">
        <v>5</v>
      </c>
      <c r="J33" s="90">
        <v>8</v>
      </c>
      <c r="S33">
        <v>1</v>
      </c>
      <c r="T33" s="223">
        <f>[1]!RSquare($B$4:$J$123,S33)</f>
        <v>0.22255509403824322</v>
      </c>
      <c r="V33" s="220">
        <f t="array" ref="V33:V41">1-1/[1]!DIAG(MINVERSE(M6:U14))</f>
        <v>0.22255509403824469</v>
      </c>
      <c r="X33" t="str">
        <f>X6</f>
        <v>Expect</v>
      </c>
      <c r="Y33" s="217">
        <f t="shared" ref="Y33:AG33" si="28">IF(Y$19&gt;0,Y20*SQRT(Y$19),0)</f>
        <v>0.13505821974186621</v>
      </c>
      <c r="Z33" s="218">
        <f t="shared" si="28"/>
        <v>0.49378541661848846</v>
      </c>
      <c r="AA33" s="218">
        <f t="shared" si="28"/>
        <v>-0.12709617433067155</v>
      </c>
      <c r="AB33" s="218">
        <f t="shared" si="28"/>
        <v>0.15286710185366312</v>
      </c>
      <c r="AC33" s="218">
        <f t="shared" si="28"/>
        <v>0</v>
      </c>
      <c r="AD33" s="218">
        <f t="shared" si="28"/>
        <v>0</v>
      </c>
      <c r="AE33" s="218">
        <f t="shared" si="28"/>
        <v>0</v>
      </c>
      <c r="AF33" s="218">
        <f t="shared" si="28"/>
        <v>0</v>
      </c>
      <c r="AG33" s="219">
        <f t="shared" si="28"/>
        <v>0</v>
      </c>
      <c r="AH33" s="220">
        <f>SUMSQ(Y33:AG33)</f>
        <v>0.30158654874356705</v>
      </c>
      <c r="AJ33" t="str">
        <f>AJ6</f>
        <v>Expect</v>
      </c>
      <c r="AK33" s="217">
        <f>IF(AK$19&gt;0,AK20*SQRT(AK$19),0)</f>
        <v>0.13761990001078242</v>
      </c>
      <c r="AL33" s="218">
        <f t="shared" ref="AL33:AS33" si="29">IF(AL$19&gt;0,AL20*SQRT(AL$19),0)</f>
        <v>0.51313188173778601</v>
      </c>
      <c r="AM33" s="218">
        <f t="shared" si="29"/>
        <v>-0.14965031727098935</v>
      </c>
      <c r="AN33" s="218">
        <f t="shared" si="29"/>
        <v>0.17633157669388397</v>
      </c>
      <c r="AO33" s="218">
        <f t="shared" si="29"/>
        <v>0.1331510397443014</v>
      </c>
      <c r="AP33" s="218">
        <f t="shared" si="29"/>
        <v>-3.2037977931139903E-2</v>
      </c>
      <c r="AQ33" s="218">
        <f t="shared" si="29"/>
        <v>0</v>
      </c>
      <c r="AR33" s="218">
        <f t="shared" si="29"/>
        <v>0</v>
      </c>
      <c r="AS33" s="219">
        <f t="shared" si="29"/>
        <v>0</v>
      </c>
      <c r="AT33" s="220">
        <f>SUMSQ(AK33:AS33)</f>
        <v>0.35448723874830251</v>
      </c>
      <c r="AV33" t="str">
        <f>AV6</f>
        <v>Expect</v>
      </c>
      <c r="AW33" s="217">
        <f>IF(AW$19&gt;0,AW20*SQRT(AW$19),0)</f>
        <v>0.13995230069945458</v>
      </c>
      <c r="AX33" s="218">
        <f t="shared" ref="AX33:BE33" si="30">IF(AX$19&gt;0,AX20*SQRT(AX$19),0)</f>
        <v>0.52457425844194594</v>
      </c>
      <c r="AY33" s="218">
        <f t="shared" si="30"/>
        <v>-0.17116652258460305</v>
      </c>
      <c r="AZ33" s="218">
        <f t="shared" si="30"/>
        <v>0.18916113216341962</v>
      </c>
      <c r="BA33" s="218">
        <f t="shared" si="30"/>
        <v>0.17713844162444004</v>
      </c>
      <c r="BB33" s="218">
        <f t="shared" si="30"/>
        <v>-4.798495365726782E-2</v>
      </c>
      <c r="BC33" s="218">
        <f t="shared" si="30"/>
        <v>0</v>
      </c>
      <c r="BD33" s="218">
        <f t="shared" si="30"/>
        <v>0</v>
      </c>
      <c r="BE33" s="219">
        <f t="shared" si="30"/>
        <v>0</v>
      </c>
      <c r="BF33" s="220">
        <f>SUMSQ(AW33:BE33)</f>
        <v>0.39352529474466552</v>
      </c>
      <c r="BH33" t="str">
        <f>BH6</f>
        <v>Expect</v>
      </c>
      <c r="BI33" s="217">
        <f>IF(BI$19&gt;0,BI20*SQRT(BI$19),0)</f>
        <v>0.14221052284463284</v>
      </c>
      <c r="BJ33" s="218">
        <f t="shared" ref="BJ33:BQ33" si="31">IF(BJ$19&gt;0,BJ20*SQRT(BJ$19),0)</f>
        <v>0.53254748178257849</v>
      </c>
      <c r="BK33" s="218">
        <f t="shared" si="31"/>
        <v>-0.19137010989556513</v>
      </c>
      <c r="BL33" s="218">
        <f t="shared" si="31"/>
        <v>0.19585436017855726</v>
      </c>
      <c r="BM33" s="218">
        <f t="shared" si="31"/>
        <v>0.20256302930278472</v>
      </c>
      <c r="BN33" s="218">
        <f t="shared" si="31"/>
        <v>-5.7078632358148862E-2</v>
      </c>
      <c r="BO33" s="218">
        <f t="shared" si="31"/>
        <v>0</v>
      </c>
      <c r="BP33" s="218">
        <f t="shared" si="31"/>
        <v>0</v>
      </c>
      <c r="BQ33" s="219">
        <f t="shared" si="31"/>
        <v>0</v>
      </c>
      <c r="BR33" s="220">
        <f>SUMSQ(BI33:BQ33)</f>
        <v>0.42310185363529984</v>
      </c>
      <c r="BT33" t="str">
        <f>BT6</f>
        <v>Expect</v>
      </c>
      <c r="BU33" s="217">
        <f>IF(BU$19&gt;0,BU20*SQRT(BU$19),0)</f>
        <v>0.14430184304346316</v>
      </c>
      <c r="BV33" s="218">
        <f t="shared" ref="BV33:CC33" si="32">IF(BV$19&gt;0,BV20*SQRT(BV$19),0)</f>
        <v>0.53831505656426448</v>
      </c>
      <c r="BW33" s="218">
        <f t="shared" si="32"/>
        <v>-0.21098596210749587</v>
      </c>
      <c r="BX33" s="218">
        <f t="shared" si="32"/>
        <v>0.19758011660434091</v>
      </c>
      <c r="BY33" s="218">
        <f t="shared" si="32"/>
        <v>0.21867827934979453</v>
      </c>
      <c r="BZ33" s="218">
        <f t="shared" si="32"/>
        <v>-6.4025555410014298E-2</v>
      </c>
      <c r="CA33" s="218">
        <f t="shared" si="32"/>
        <v>7.3574931500217855E-3</v>
      </c>
      <c r="CB33" s="218">
        <f t="shared" si="32"/>
        <v>0</v>
      </c>
      <c r="CC33" s="219">
        <f t="shared" si="32"/>
        <v>0</v>
      </c>
      <c r="CD33" s="220">
        <f>SUMSQ(BU33:CC33)</f>
        <v>0.44613269502373837</v>
      </c>
      <c r="CF33" t="str">
        <f>CF6</f>
        <v>Expect</v>
      </c>
      <c r="CG33" s="217">
        <f>IF(CG$19&gt;0,CG20*SQRT(CG$19),0)</f>
        <v>0.14618286959676985</v>
      </c>
      <c r="CH33" s="218">
        <f t="shared" ref="CH33:CO33" si="33">IF(CH$19&gt;0,CH20*SQRT(CH$19),0)</f>
        <v>0.54269583946159861</v>
      </c>
      <c r="CI33" s="218">
        <f t="shared" si="33"/>
        <v>-0.2307341777391527</v>
      </c>
      <c r="CJ33" s="218">
        <f t="shared" si="33"/>
        <v>0.19414114843808217</v>
      </c>
      <c r="CK33" s="218">
        <f t="shared" si="33"/>
        <v>0.22948435053985516</v>
      </c>
      <c r="CL33" s="218">
        <f t="shared" si="33"/>
        <v>-6.9458714905252766E-2</v>
      </c>
      <c r="CM33" s="218">
        <f t="shared" si="33"/>
        <v>1.4133800762024281E-2</v>
      </c>
      <c r="CN33" s="218">
        <f t="shared" si="33"/>
        <v>0</v>
      </c>
      <c r="CO33" s="219">
        <f t="shared" si="33"/>
        <v>0</v>
      </c>
      <c r="CP33" s="220">
        <f>SUMSQ(CG33:CO33)</f>
        <v>0.46450459636926472</v>
      </c>
      <c r="CR33" t="str">
        <f>CR6</f>
        <v>Expect</v>
      </c>
      <c r="CS33" s="217">
        <f>IF(CS$19&gt;0,CS20*SQRT(CS$19),0)</f>
        <v>0.14778898791647202</v>
      </c>
      <c r="CT33" s="218">
        <f t="shared" ref="CT33:DA33" si="34">IF(CT$19&gt;0,CT20*SQRT(CT$19),0)</f>
        <v>0.54617358248258363</v>
      </c>
      <c r="CU33" s="218">
        <f t="shared" si="34"/>
        <v>-0.25098806100571247</v>
      </c>
      <c r="CV33" s="218">
        <f t="shared" si="34"/>
        <v>0.18470376372683464</v>
      </c>
      <c r="CW33" s="218">
        <f t="shared" si="34"/>
        <v>0.23725156938214007</v>
      </c>
      <c r="CX33" s="218">
        <f t="shared" si="34"/>
        <v>-7.3820210209056769E-2</v>
      </c>
      <c r="CY33" s="218">
        <f t="shared" si="34"/>
        <v>1.6199863055438125E-2</v>
      </c>
      <c r="CZ33" s="218">
        <f t="shared" si="34"/>
        <v>0</v>
      </c>
      <c r="DA33" s="219">
        <f t="shared" si="34"/>
        <v>0</v>
      </c>
      <c r="DB33" s="220">
        <f>SUMSQ(CS33:DA33)</f>
        <v>0.47925782042611298</v>
      </c>
      <c r="DD33" t="str">
        <f>DD6</f>
        <v>Expect</v>
      </c>
      <c r="DE33" s="217">
        <f>IF(DE$19&gt;0,DE20*SQRT(DE$19),0)</f>
        <v>0.1491375873585101</v>
      </c>
      <c r="DF33" s="218">
        <f t="shared" ref="DF33:DM33" si="35">IF(DF$19&gt;0,DF20*SQRT(DF$19),0)</f>
        <v>0.54897961031074816</v>
      </c>
      <c r="DG33" s="218">
        <f t="shared" si="35"/>
        <v>-0.2729977600129917</v>
      </c>
      <c r="DH33" s="218">
        <f t="shared" si="35"/>
        <v>0.16661111088350763</v>
      </c>
      <c r="DI33" s="218">
        <f t="shared" si="35"/>
        <v>0.24291046943222638</v>
      </c>
      <c r="DJ33" s="218">
        <f t="shared" si="35"/>
        <v>-7.7256945693250464E-2</v>
      </c>
      <c r="DK33" s="218">
        <f t="shared" si="35"/>
        <v>1.6504570011478398E-2</v>
      </c>
      <c r="DL33" s="218">
        <f t="shared" si="35"/>
        <v>0</v>
      </c>
      <c r="DM33" s="219">
        <f t="shared" si="35"/>
        <v>0</v>
      </c>
      <c r="DN33" s="220">
        <f>SUMSQ(DE33:DM33)</f>
        <v>0.49115420439090385</v>
      </c>
      <c r="DP33" t="str">
        <f>DP6</f>
        <v>Expect</v>
      </c>
      <c r="DQ33" s="217">
        <f>IF(DQ$19&gt;0,DQ20*SQRT(DQ$19),0)</f>
        <v>0.15026412436574088</v>
      </c>
      <c r="DR33" s="218">
        <f t="shared" ref="DR33:DY33" si="36">IF(DR$19&gt;0,DR20*SQRT(DR$19),0)</f>
        <v>0.55126347071302872</v>
      </c>
      <c r="DS33" s="218">
        <f t="shared" si="36"/>
        <v>-0.29670148164470506</v>
      </c>
      <c r="DT33" s="218">
        <f t="shared" si="36"/>
        <v>0.13624087727979758</v>
      </c>
      <c r="DU33" s="218">
        <f t="shared" si="36"/>
        <v>0.24707388713647657</v>
      </c>
      <c r="DV33" s="218">
        <f t="shared" si="36"/>
        <v>-7.9955706189403064E-2</v>
      </c>
      <c r="DW33" s="218">
        <f t="shared" si="36"/>
        <v>1.5956948887373524E-2</v>
      </c>
      <c r="DX33" s="218">
        <f t="shared" si="36"/>
        <v>0</v>
      </c>
      <c r="DY33" s="219">
        <f t="shared" si="36"/>
        <v>0</v>
      </c>
      <c r="DZ33" s="220">
        <f>SUMSQ(DQ33:DY33)</f>
        <v>0.50075711194087802</v>
      </c>
      <c r="EB33" t="str">
        <f>EB6</f>
        <v>Expect</v>
      </c>
      <c r="EC33" s="217">
        <f>IF(EC$19&gt;0,EC20*SQRT(EC$19),0)</f>
        <v>0.15120120576490845</v>
      </c>
      <c r="ED33" s="218">
        <f t="shared" ref="ED33:EK33" si="37">IF(ED$19&gt;0,ED20*SQRT(ED$19),0)</f>
        <v>0.55312527758497854</v>
      </c>
      <c r="EE33" s="218">
        <f t="shared" si="37"/>
        <v>-0.31848188730862376</v>
      </c>
      <c r="EF33" s="218">
        <f t="shared" si="37"/>
        <v>9.3297242727281987E-2</v>
      </c>
      <c r="EG33" s="218">
        <f t="shared" si="37"/>
        <v>0.25015818715295202</v>
      </c>
      <c r="EH33" s="218">
        <f t="shared" si="37"/>
        <v>-8.2086779043884353E-2</v>
      </c>
      <c r="EI33" s="218">
        <f t="shared" si="37"/>
        <v>-1.4981359238005807E-2</v>
      </c>
      <c r="EJ33" s="218">
        <f t="shared" si="37"/>
        <v>0</v>
      </c>
      <c r="EK33" s="219">
        <f t="shared" si="37"/>
        <v>0</v>
      </c>
      <c r="EL33" s="220">
        <f>SUMSQ(EC33:EK33)</f>
        <v>0.50848626439046707</v>
      </c>
      <c r="EN33" t="str">
        <f>EN6</f>
        <v>Expect</v>
      </c>
      <c r="EO33" s="217">
        <f>IF(EO$19&gt;0,EO20*SQRT(EO$19),0)</f>
        <v>0.15197635155338546</v>
      </c>
      <c r="EP33" s="218">
        <f t="shared" ref="EP33:EW33" si="38">IF(EP$19&gt;0,EP20*SQRT(EP$19),0)</f>
        <v>0.55463145648270329</v>
      </c>
      <c r="EQ33" s="218">
        <f t="shared" si="38"/>
        <v>-0.33371682358937121</v>
      </c>
      <c r="ER33" s="218">
        <f t="shared" si="38"/>
        <v>4.117807119243308E-2</v>
      </c>
      <c r="ES33" s="218">
        <f t="shared" si="38"/>
        <v>0.25245448218385452</v>
      </c>
      <c r="ET33" s="218">
        <f t="shared" si="38"/>
        <v>-8.3802287925320629E-2</v>
      </c>
      <c r="EU33" s="218">
        <f t="shared" si="38"/>
        <v>1.3808793709763765E-2</v>
      </c>
      <c r="EV33" s="218">
        <f t="shared" si="38"/>
        <v>0</v>
      </c>
      <c r="EW33" s="219">
        <f t="shared" si="38"/>
        <v>0</v>
      </c>
      <c r="EX33" s="220">
        <f>SUMSQ(EO33:EW33)</f>
        <v>0.51472218766526689</v>
      </c>
      <c r="EZ33" t="str">
        <f>EZ6</f>
        <v>Expect</v>
      </c>
      <c r="FA33" s="217">
        <f>IF(FA$19&gt;0,FA20*SQRT(FA$19),0)</f>
        <v>0.15262037694384561</v>
      </c>
      <c r="FB33" s="218">
        <f t="shared" ref="FB33:FI33" si="39">IF(FB$19&gt;0,FB20*SQRT(FB$19),0)</f>
        <v>0.55584910324858305</v>
      </c>
      <c r="FC33" s="218">
        <f t="shared" si="39"/>
        <v>-0.33874520359400773</v>
      </c>
      <c r="FD33" s="218">
        <f t="shared" si="39"/>
        <v>-2.761023667250434E-2</v>
      </c>
      <c r="FE33" s="218">
        <f t="shared" si="39"/>
        <v>0.25418203853003185</v>
      </c>
      <c r="FF33" s="218">
        <f t="shared" si="39"/>
        <v>-8.5213522777318557E-2</v>
      </c>
      <c r="FG33" s="218">
        <f t="shared" si="39"/>
        <v>1.2784310240939813E-2</v>
      </c>
      <c r="FH33" s="218">
        <f t="shared" si="39"/>
        <v>0</v>
      </c>
      <c r="FI33" s="219">
        <f t="shared" si="39"/>
        <v>0</v>
      </c>
      <c r="FJ33" s="220">
        <f>SUMSQ(FA33:FI33)</f>
        <v>0.51980513493153269</v>
      </c>
      <c r="FL33" t="str">
        <f>FL6</f>
        <v>Expect</v>
      </c>
      <c r="FM33" s="217">
        <f>IF(FM$19&gt;0,FM20*SQRT(FM$19),0)</f>
        <v>0.15315848798651838</v>
      </c>
      <c r="FN33" s="218">
        <f t="shared" ref="FN33:FU33" si="40">IF(FN$19&gt;0,FN20*SQRT(FN$19),0)</f>
        <v>0.5568586146886253</v>
      </c>
      <c r="FO33" s="218">
        <f t="shared" si="40"/>
        <v>-0.33440868569376642</v>
      </c>
      <c r="FP33" s="218">
        <f t="shared" si="40"/>
        <v>-7.546016742824789E-2</v>
      </c>
      <c r="FQ33" s="218">
        <f t="shared" si="40"/>
        <v>0.25548697240728369</v>
      </c>
      <c r="FR33" s="218">
        <f t="shared" si="40"/>
        <v>-8.6347800430774474E-2</v>
      </c>
      <c r="FS33" s="218">
        <f t="shared" si="40"/>
        <v>1.130868187561879E-2</v>
      </c>
      <c r="FT33" s="218">
        <f t="shared" si="40"/>
        <v>2.8759670186607575E-3</v>
      </c>
      <c r="FU33" s="219">
        <f t="shared" si="40"/>
        <v>0</v>
      </c>
      <c r="FV33" s="220">
        <f>SUMSQ(FM33:FU33)</f>
        <v>0.52393813831211222</v>
      </c>
      <c r="FX33" t="str">
        <f>FX6</f>
        <v>Expect</v>
      </c>
      <c r="FY33" s="217">
        <f>IF(FY$19&gt;0,FY20*SQRT(FY$19),0)</f>
        <v>0.15359860977795251</v>
      </c>
      <c r="FZ33" s="218">
        <f t="shared" ref="FZ33:GG33" si="41">IF(FZ$19&gt;0,FZ20*SQRT(FZ$19),0)</f>
        <v>0.55767891365489941</v>
      </c>
      <c r="GA33" s="218">
        <f t="shared" si="41"/>
        <v>-0.33632443755651392</v>
      </c>
      <c r="GB33" s="218">
        <f t="shared" si="41"/>
        <v>-7.8462469687363492E-2</v>
      </c>
      <c r="GC33" s="218">
        <f t="shared" si="41"/>
        <v>0.25651135204767833</v>
      </c>
      <c r="GD33" s="218">
        <f t="shared" si="41"/>
        <v>-8.7279472811948117E-2</v>
      </c>
      <c r="GE33" s="218">
        <f t="shared" si="41"/>
        <v>1.0167934000785708E-2</v>
      </c>
      <c r="GF33" s="218">
        <f t="shared" si="41"/>
        <v>-4.0940774095122113E-3</v>
      </c>
      <c r="GG33" s="219">
        <f t="shared" si="41"/>
        <v>0</v>
      </c>
      <c r="GH33" s="220">
        <f>SUMSQ(FY33:GG33)</f>
        <v>0.52740471856351334</v>
      </c>
      <c r="GJ33" t="str">
        <f>GJ6</f>
        <v>Expect</v>
      </c>
      <c r="GK33" s="217">
        <f>IF(GK$19&gt;0,GK20*SQRT(GK$19),0)</f>
        <v>0.15397896021661664</v>
      </c>
      <c r="GL33" s="218">
        <f t="shared" ref="GL33:GS33" si="42">IF(GL$19&gt;0,GL20*SQRT(GL$19),0)</f>
        <v>0.55837364858138339</v>
      </c>
      <c r="GM33" s="218">
        <f t="shared" si="42"/>
        <v>-0.33472751515178945</v>
      </c>
      <c r="GN33" s="218">
        <f t="shared" si="42"/>
        <v>-9.2986878888874969E-2</v>
      </c>
      <c r="GO33" s="218">
        <f t="shared" si="42"/>
        <v>0.25737500099471189</v>
      </c>
      <c r="GP33" s="218">
        <f t="shared" si="42"/>
        <v>-8.8106520514385139E-2</v>
      </c>
      <c r="GQ33" s="218">
        <f t="shared" si="42"/>
        <v>9.1314280762516981E-3</v>
      </c>
      <c r="GR33" s="218">
        <f t="shared" si="42"/>
        <v>-5.24838841833706E-3</v>
      </c>
      <c r="GS33" s="219">
        <f t="shared" si="42"/>
        <v>0</v>
      </c>
      <c r="GT33" s="220">
        <f>SUMSQ(GK33:GS33)</f>
        <v>0.53029529931854358</v>
      </c>
      <c r="GV33" t="str">
        <f>GV6</f>
        <v>Expect</v>
      </c>
      <c r="GW33" s="217">
        <f>IF(GW$19&gt;0,GW20*SQRT(GW$19),0)</f>
        <v>0.15429902892483485</v>
      </c>
      <c r="GX33" s="218">
        <f t="shared" ref="GX33:HE33" si="43">IF(GX$19&gt;0,GX20*SQRT(GX$19),0)</f>
        <v>0.55895796383702256</v>
      </c>
      <c r="GY33" s="218">
        <f t="shared" si="43"/>
        <v>-0.3337465205698904</v>
      </c>
      <c r="GZ33" s="218">
        <f t="shared" si="43"/>
        <v>-0.102387771298403</v>
      </c>
      <c r="HA33" s="218">
        <f t="shared" si="43"/>
        <v>0.25808559185836288</v>
      </c>
      <c r="HB33" s="218">
        <f t="shared" si="43"/>
        <v>-8.8802445028622959E-2</v>
      </c>
      <c r="HC33" s="218">
        <f t="shared" si="43"/>
        <v>8.2156516293236306E-3</v>
      </c>
      <c r="HD33" s="218">
        <f t="shared" si="43"/>
        <v>-6.1650509484222392E-3</v>
      </c>
      <c r="HE33" s="219">
        <f t="shared" si="43"/>
        <v>0</v>
      </c>
      <c r="HF33" s="220">
        <f>SUMSQ(GW33:HE33)</f>
        <v>0.53271174312077374</v>
      </c>
      <c r="HH33" t="str">
        <f>HH6</f>
        <v>Expect</v>
      </c>
      <c r="HI33" s="217">
        <f>IF(HI$19&gt;0,HI20*SQRT(HI$19),0)</f>
        <v>0.1545690374077929</v>
      </c>
      <c r="HJ33" s="218">
        <f t="shared" ref="HJ33:HQ33" si="44">IF(HJ$19&gt;0,HJ20*SQRT(HJ$19),0)</f>
        <v>0.55944939230025548</v>
      </c>
      <c r="HK33" s="218">
        <f t="shared" si="44"/>
        <v>-0.32398102222213948</v>
      </c>
      <c r="HL33" s="218">
        <f t="shared" si="44"/>
        <v>-0.13323278546885328</v>
      </c>
      <c r="HM33" s="218">
        <f t="shared" si="44"/>
        <v>0.25867471407496551</v>
      </c>
      <c r="HN33" s="218">
        <f t="shared" si="44"/>
        <v>-8.9391407057066205E-2</v>
      </c>
      <c r="HO33" s="218">
        <f t="shared" si="44"/>
        <v>7.4122313095982629E-3</v>
      </c>
      <c r="HP33" s="218">
        <f t="shared" si="44"/>
        <v>-7.033838260192448E-3</v>
      </c>
      <c r="HQ33" s="219">
        <f t="shared" si="44"/>
        <v>0</v>
      </c>
      <c r="HR33" s="220">
        <f>SUMSQ(HI33:HQ33)</f>
        <v>0.53459773516525344</v>
      </c>
      <c r="HT33" t="str">
        <f>HT6</f>
        <v>Expect</v>
      </c>
      <c r="HU33" s="217">
        <f>IF(HU$19&gt;0,HU20*SQRT(HU$19),0)</f>
        <v>0.15477193204429129</v>
      </c>
      <c r="HV33" s="218">
        <f t="shared" ref="HV33:IC33" si="45">IF(HV$19&gt;0,HV20*SQRT(HV$19),0)</f>
        <v>0.55982407215211905</v>
      </c>
      <c r="HW33" s="218">
        <f t="shared" si="45"/>
        <v>-0.32099422573190389</v>
      </c>
      <c r="HX33" s="218">
        <f t="shared" si="45"/>
        <v>-0.14292991454202778</v>
      </c>
      <c r="HY33" s="218">
        <f t="shared" si="45"/>
        <v>0.25910605056708108</v>
      </c>
      <c r="HZ33" s="218">
        <f t="shared" si="45"/>
        <v>-8.9848483365782619E-2</v>
      </c>
      <c r="IA33" s="218">
        <f t="shared" si="45"/>
        <v>6.7257112943790408E-3</v>
      </c>
      <c r="IB33" s="218">
        <f t="shared" si="45"/>
        <v>-7.6887862690739953E-3</v>
      </c>
      <c r="IC33" s="219">
        <f t="shared" si="45"/>
        <v>0</v>
      </c>
      <c r="ID33" s="220">
        <f>SUMSQ(HU33:IC33)</f>
        <v>0.53613664416422846</v>
      </c>
      <c r="IF33" t="str">
        <f>IF6</f>
        <v>Expect</v>
      </c>
      <c r="IG33" s="217">
        <f>IF(IG$19&gt;0,IG20*SQRT(IG$19),0)</f>
        <v>0.1549379930192997</v>
      </c>
      <c r="IH33" s="218">
        <f t="shared" ref="IH33:IO33" si="46">IF(IH$19&gt;0,IH20*SQRT(IH$19),0)</f>
        <v>0.56012743682780519</v>
      </c>
      <c r="II33" s="218">
        <f t="shared" si="46"/>
        <v>-0.31866093092595277</v>
      </c>
      <c r="IJ33" s="218">
        <f t="shared" si="46"/>
        <v>-0.15011495876999825</v>
      </c>
      <c r="IK33" s="218">
        <f t="shared" si="46"/>
        <v>0.25945439028064288</v>
      </c>
      <c r="IL33" s="218">
        <f t="shared" si="46"/>
        <v>-9.0233961050958225E-2</v>
      </c>
      <c r="IM33" s="218">
        <f t="shared" si="46"/>
        <v>6.139270508338332E-3</v>
      </c>
      <c r="IN33" s="218">
        <f t="shared" si="46"/>
        <v>-8.3206558686226458E-3</v>
      </c>
      <c r="IO33" s="219">
        <f t="shared" si="46"/>
        <v>0</v>
      </c>
      <c r="IP33" s="220">
        <f>SUMSQ(IG33:IO33)</f>
        <v>0.53739348923255315</v>
      </c>
      <c r="IR33" t="str">
        <f>IR6</f>
        <v>Expect</v>
      </c>
      <c r="IS33" s="217">
        <f>IF(IS$19&gt;0,IS20*SQRT(IS$19),0)</f>
        <v>0.15507399550038073</v>
      </c>
      <c r="IT33" s="218">
        <f t="shared" ref="IT33:JA33" si="47">IF(IT$19&gt;0,IT20*SQRT(IT$19),0)</f>
        <v>0.56037263929752246</v>
      </c>
      <c r="IU33" s="218">
        <f t="shared" si="47"/>
        <v>-0.32684255485819713</v>
      </c>
      <c r="IV33" s="218">
        <f t="shared" si="47"/>
        <v>-0.13388446374391302</v>
      </c>
      <c r="IW33" s="218">
        <f t="shared" si="47"/>
        <v>0.25973697075312702</v>
      </c>
      <c r="IX33" s="218">
        <f t="shared" si="47"/>
        <v>-9.0560063765521309E-2</v>
      </c>
      <c r="IY33" s="218">
        <f t="shared" si="47"/>
        <v>5.6479689253738433E-3</v>
      </c>
      <c r="IZ33" s="218">
        <f t="shared" si="47"/>
        <v>-8.4568624603469852E-3</v>
      </c>
      <c r="JA33" s="219">
        <f t="shared" si="47"/>
        <v>0</v>
      </c>
      <c r="JB33" s="220">
        <f>SUMSQ(IS33:JA33)</f>
        <v>0.53858438145283327</v>
      </c>
      <c r="JD33" t="str">
        <f>JD6</f>
        <v>Expect</v>
      </c>
      <c r="JE33" s="217">
        <f>IF(JE$19&gt;0,JE20*SQRT(JE$19),0)</f>
        <v>0.15521401190595593</v>
      </c>
      <c r="JF33" s="218">
        <f t="shared" ref="JF33:JM33" si="48">IF(JF$19&gt;0,JF20*SQRT(JF$19),0)</f>
        <v>0.56061812791351773</v>
      </c>
      <c r="JG33" s="218">
        <f t="shared" si="48"/>
        <v>-0.32826579364227609</v>
      </c>
      <c r="JH33" s="218">
        <f t="shared" si="48"/>
        <v>-0.13221729563131995</v>
      </c>
      <c r="JI33" s="218">
        <f t="shared" si="48"/>
        <v>0.26003160482861315</v>
      </c>
      <c r="JJ33" s="218">
        <f t="shared" si="48"/>
        <v>-9.0872759447341536E-2</v>
      </c>
      <c r="JK33" s="218">
        <f t="shared" si="48"/>
        <v>5.2321489709499687E-3</v>
      </c>
      <c r="JL33" s="218">
        <f t="shared" si="48"/>
        <v>-8.8484624471317358E-3</v>
      </c>
      <c r="JM33" s="219">
        <f t="shared" si="48"/>
        <v>0</v>
      </c>
      <c r="JN33" s="220">
        <f>SUMSQ(JE33:JM33)</f>
        <v>0.53960388396670378</v>
      </c>
      <c r="JP33" t="str">
        <f>JP6</f>
        <v>Expect</v>
      </c>
      <c r="JQ33" s="217">
        <f>IF(JQ$19&gt;0,JQ20*SQRT(JQ$19),0)</f>
        <v>0.15533542294000491</v>
      </c>
      <c r="JR33" s="218">
        <f t="shared" ref="JR33:JY33" si="49">IF(JR$19&gt;0,JR20*SQRT(JR$19),0)</f>
        <v>0.56082809518155152</v>
      </c>
      <c r="JS33" s="218">
        <f t="shared" si="49"/>
        <v>-0.32064608524455901</v>
      </c>
      <c r="JT33" s="218">
        <f t="shared" si="49"/>
        <v>-0.15061673441880633</v>
      </c>
      <c r="JU33" s="218">
        <f t="shared" si="49"/>
        <v>0.26028691830814243</v>
      </c>
      <c r="JV33" s="218">
        <f t="shared" si="49"/>
        <v>-9.1146407001449561E-2</v>
      </c>
      <c r="JW33" s="218">
        <f t="shared" si="49"/>
        <v>4.8753351271132797E-3</v>
      </c>
      <c r="JX33" s="218">
        <f t="shared" si="49"/>
        <v>-9.9043365711893906E-3</v>
      </c>
      <c r="JY33" s="219">
        <f t="shared" si="49"/>
        <v>0</v>
      </c>
      <c r="JZ33" s="220">
        <f>SUMSQ(JQ33:JY33)</f>
        <v>0.54033537076170446</v>
      </c>
      <c r="KB33" t="str">
        <f>KB6</f>
        <v>Expect</v>
      </c>
      <c r="KC33" s="217">
        <f>IF(KC$19&gt;0,KC20*SQRT(KC$19),0)</f>
        <v>0.15541500530945349</v>
      </c>
      <c r="KD33" s="218">
        <f t="shared" ref="KD33:KK33" si="50">IF(KD$19&gt;0,KD20*SQRT(KD$19),0)</f>
        <v>0.56096709539228418</v>
      </c>
      <c r="KE33" s="218">
        <f t="shared" si="50"/>
        <v>-0.31968244053131439</v>
      </c>
      <c r="KF33" s="218">
        <f t="shared" si="50"/>
        <v>-0.15360379682522307</v>
      </c>
      <c r="KG33" s="218">
        <f t="shared" si="50"/>
        <v>0.26044999203242469</v>
      </c>
      <c r="KH33" s="218">
        <f t="shared" si="50"/>
        <v>-9.1349162039658455E-2</v>
      </c>
      <c r="KI33" s="218">
        <f t="shared" si="50"/>
        <v>4.5682220948311709E-3</v>
      </c>
      <c r="KJ33" s="218">
        <f t="shared" si="50"/>
        <v>1.0401309447697472E-2</v>
      </c>
      <c r="KK33" s="219">
        <f t="shared" si="50"/>
        <v>0</v>
      </c>
      <c r="KL33" s="220">
        <f>SUMSQ(KC33:KK33)</f>
        <v>0.54093681881774758</v>
      </c>
      <c r="KN33" t="str">
        <f>KN6</f>
        <v>Expect</v>
      </c>
      <c r="KO33" s="217">
        <f>IF(KO$19&gt;0,KO20*SQRT(KO$19),0)</f>
        <v>0.15548054050033883</v>
      </c>
      <c r="KP33" s="218">
        <f t="shared" ref="KP33:KW33" si="51">IF(KP$19&gt;0,KP20*SQRT(KP$19),0)</f>
        <v>0.56107982537973244</v>
      </c>
      <c r="KQ33" s="218">
        <f t="shared" si="51"/>
        <v>-0.31892700874542534</v>
      </c>
      <c r="KR33" s="218">
        <f t="shared" si="51"/>
        <v>-0.15593680682314029</v>
      </c>
      <c r="KS33" s="218">
        <f t="shared" si="51"/>
        <v>0.2605843123315828</v>
      </c>
      <c r="KT33" s="218">
        <f t="shared" si="51"/>
        <v>-9.1521212166478461E-2</v>
      </c>
      <c r="KU33" s="218">
        <f t="shared" si="51"/>
        <v>4.3119205480574617E-3</v>
      </c>
      <c r="KV33" s="218">
        <f t="shared" si="51"/>
        <v>1.1096379521741449E-2</v>
      </c>
      <c r="KW33" s="219">
        <f t="shared" si="51"/>
        <v>0</v>
      </c>
      <c r="KX33" s="220">
        <f>SUMSQ(KO33:KW33)</f>
        <v>0.54143753195897915</v>
      </c>
      <c r="KZ33" t="str">
        <f>KZ6</f>
        <v>Expect</v>
      </c>
      <c r="LA33" s="217">
        <f>IF(LA$19&gt;0,LA20*SQRT(LA$19),0)</f>
        <v>0.15553518949753142</v>
      </c>
      <c r="LB33" s="218">
        <f t="shared" ref="LB33:LI33" si="52">IF(LB$19&gt;0,LB20*SQRT(LB$19),0)</f>
        <v>0.56117358027041886</v>
      </c>
      <c r="LC33" s="218">
        <f t="shared" si="52"/>
        <v>-0.32754789367834319</v>
      </c>
      <c r="LD33" s="218">
        <f t="shared" si="52"/>
        <v>-0.13823871304609425</v>
      </c>
      <c r="LE33" s="218">
        <f t="shared" si="52"/>
        <v>0.26069594413624497</v>
      </c>
      <c r="LF33" s="218">
        <f t="shared" si="52"/>
        <v>-9.1665453055347706E-2</v>
      </c>
      <c r="LG33" s="218">
        <f t="shared" si="52"/>
        <v>4.1030378973007505E-3</v>
      </c>
      <c r="LH33" s="218">
        <f t="shared" si="52"/>
        <v>-9.9164755974769838E-3</v>
      </c>
      <c r="LI33" s="219">
        <f t="shared" si="52"/>
        <v>0</v>
      </c>
      <c r="LJ33" s="220">
        <f>SUMSQ(LA33:LI33)</f>
        <v>0.54198464878450525</v>
      </c>
      <c r="LL33" t="str">
        <f>LL6</f>
        <v>Expect</v>
      </c>
      <c r="LM33" s="217">
        <f>IF(LM$19&gt;0,LM20*SQRT(LM$19),0)</f>
        <v>0.15560554932039442</v>
      </c>
      <c r="LN33" s="218">
        <f t="shared" ref="LN33:LU33" si="53">IF(LN$19&gt;0,LN20*SQRT(LN$19),0)</f>
        <v>0.56128602677731287</v>
      </c>
      <c r="LO33" s="218">
        <f t="shared" si="53"/>
        <v>-0.32975803863153952</v>
      </c>
      <c r="LP33" s="218">
        <f t="shared" si="53"/>
        <v>-0.13374617599713037</v>
      </c>
      <c r="LQ33" s="218">
        <f t="shared" si="53"/>
        <v>0.2608460556385121</v>
      </c>
      <c r="LR33" s="218">
        <f t="shared" si="53"/>
        <v>-9.1829593298939236E-2</v>
      </c>
      <c r="LS33" s="218">
        <f t="shared" si="53"/>
        <v>3.9457515415571428E-3</v>
      </c>
      <c r="LT33" s="218">
        <f t="shared" si="53"/>
        <v>-1.0014129421876761E-2</v>
      </c>
      <c r="LU33" s="219">
        <f t="shared" si="53"/>
        <v>0</v>
      </c>
      <c r="LV33" s="220">
        <f>SUMSQ(LM33:LU33)</f>
        <v>0.54247268516166347</v>
      </c>
      <c r="LX33" t="str">
        <f>LX6</f>
        <v>Expect</v>
      </c>
      <c r="LY33" s="217">
        <f>IF(LY$19&gt;0,LY20*SQRT(LY$19),0)</f>
        <v>0.15566941572760046</v>
      </c>
      <c r="LZ33" s="218">
        <f t="shared" ref="LZ33:MG33" si="54">IF(LZ$19&gt;0,LZ20*SQRT(LZ$19),0)</f>
        <v>0.56138616466138713</v>
      </c>
      <c r="MA33" s="218">
        <f t="shared" si="54"/>
        <v>-0.32343016018667842</v>
      </c>
      <c r="MB33" s="218">
        <f t="shared" si="54"/>
        <v>-0.14857662981374326</v>
      </c>
      <c r="MC33" s="218">
        <f t="shared" si="54"/>
        <v>0.2609827239128984</v>
      </c>
      <c r="MD33" s="218">
        <f t="shared" si="54"/>
        <v>-9.1979823649746828E-2</v>
      </c>
      <c r="ME33" s="218">
        <f t="shared" si="54"/>
        <v>3.8069187888644745E-3</v>
      </c>
      <c r="MF33" s="218">
        <f t="shared" si="54"/>
        <v>-1.1575939227759223E-2</v>
      </c>
      <c r="MG33" s="219">
        <f t="shared" si="54"/>
        <v>0</v>
      </c>
      <c r="MH33" s="220">
        <f>SUMSQ(LY33:MG33)</f>
        <v>0.54279024145068955</v>
      </c>
      <c r="MJ33" t="str">
        <f>MJ6</f>
        <v>Expect</v>
      </c>
      <c r="MK33" s="217">
        <f>IF(MK$19&gt;0,MK20*SQRT(MK$19),0)</f>
        <v>0.15570420272187083</v>
      </c>
      <c r="ML33" s="218">
        <f t="shared" ref="ML33:MS33" si="55">IF(ML$19&gt;0,ML20*SQRT(ML$19),0)</f>
        <v>0.56144439993360984</v>
      </c>
      <c r="MM33" s="218">
        <f t="shared" si="55"/>
        <v>-0.3230894495215122</v>
      </c>
      <c r="MN33" s="218">
        <f t="shared" si="55"/>
        <v>-0.14974091279016288</v>
      </c>
      <c r="MO33" s="218">
        <f t="shared" si="55"/>
        <v>0.26105396868036446</v>
      </c>
      <c r="MP33" s="218">
        <f t="shared" si="55"/>
        <v>-9.2074533086317328E-2</v>
      </c>
      <c r="MQ33" s="218">
        <f t="shared" si="55"/>
        <v>3.6693356985163413E-3</v>
      </c>
      <c r="MR33" s="218">
        <f t="shared" si="55"/>
        <v>-1.1886713509430671E-2</v>
      </c>
      <c r="MS33" s="219">
        <f t="shared" si="55"/>
        <v>0</v>
      </c>
      <c r="MT33" s="220">
        <f>SUMSQ(MK33:MS33)</f>
        <v>0.5430543985067654</v>
      </c>
    </row>
    <row r="34" spans="1:358" x14ac:dyDescent="0.25">
      <c r="A34">
        <v>31</v>
      </c>
      <c r="B34" s="123">
        <v>6</v>
      </c>
      <c r="C34" s="37">
        <v>8</v>
      </c>
      <c r="D34" s="37">
        <v>3</v>
      </c>
      <c r="E34" s="37">
        <v>1</v>
      </c>
      <c r="F34" s="37">
        <v>6</v>
      </c>
      <c r="G34" s="37">
        <v>8</v>
      </c>
      <c r="H34" s="37">
        <v>4</v>
      </c>
      <c r="I34" s="37">
        <v>4</v>
      </c>
      <c r="J34" s="90">
        <v>6</v>
      </c>
      <c r="S34">
        <f>S33+1</f>
        <v>2</v>
      </c>
      <c r="T34" s="49">
        <f>[1]!RSquare($B$4:$J$123,S34)</f>
        <v>0.42973736986464678</v>
      </c>
      <c r="V34" s="221">
        <v>0.42973736986464572</v>
      </c>
      <c r="X34" t="str">
        <f t="shared" ref="X34:X41" si="56">X7</f>
        <v>Entertain</v>
      </c>
      <c r="Y34" s="36">
        <f t="shared" ref="Y34:AG34" si="57">IF(Y$19&gt;0,Y21*SQRT(Y$19),0)</f>
        <v>-0.62257027692394162</v>
      </c>
      <c r="Z34" s="37">
        <f t="shared" si="57"/>
        <v>-0.27818396721753097</v>
      </c>
      <c r="AA34" s="37">
        <f t="shared" si="57"/>
        <v>-0.14978898898111442</v>
      </c>
      <c r="AB34" s="37">
        <f t="shared" si="57"/>
        <v>-0.11874089128191288</v>
      </c>
      <c r="AC34" s="37">
        <f t="shared" si="57"/>
        <v>0</v>
      </c>
      <c r="AD34" s="37">
        <f t="shared" si="57"/>
        <v>0</v>
      </c>
      <c r="AE34" s="37">
        <f t="shared" si="57"/>
        <v>0</v>
      </c>
      <c r="AF34" s="37">
        <f t="shared" si="57"/>
        <v>0</v>
      </c>
      <c r="AG34" s="90">
        <f t="shared" si="57"/>
        <v>0</v>
      </c>
      <c r="AH34" s="221">
        <f t="shared" ref="AH34:AH41" si="58">SUMSQ(Y34:AG34)</f>
        <v>0.50151620980844513</v>
      </c>
      <c r="AJ34" t="str">
        <f t="shared" ref="AJ34:AJ41" si="59">AJ7</f>
        <v>Entertain</v>
      </c>
      <c r="AK34" s="36">
        <f t="shared" ref="AK34:AS34" si="60">IF(AK$19&gt;0,AK21*SQRT(AK$19),0)</f>
        <v>-0.63143496810725153</v>
      </c>
      <c r="AL34" s="37">
        <f t="shared" si="60"/>
        <v>-0.28793573909028991</v>
      </c>
      <c r="AM34" s="37">
        <f t="shared" si="60"/>
        <v>-0.15400134677402505</v>
      </c>
      <c r="AN34" s="37">
        <f t="shared" si="60"/>
        <v>-0.14085729057570637</v>
      </c>
      <c r="AO34" s="37">
        <f t="shared" si="60"/>
        <v>0.1593019219871758</v>
      </c>
      <c r="AP34" s="37">
        <f t="shared" si="60"/>
        <v>-1.2408976482855154E-2</v>
      </c>
      <c r="AQ34" s="37">
        <f t="shared" si="60"/>
        <v>0</v>
      </c>
      <c r="AR34" s="37">
        <f t="shared" si="60"/>
        <v>0</v>
      </c>
      <c r="AS34" s="90">
        <f t="shared" si="60"/>
        <v>0</v>
      </c>
      <c r="AT34" s="221">
        <f t="shared" ref="AT34:AT41" si="61">SUMSQ(AK34:AS34)</f>
        <v>0.55070538495678001</v>
      </c>
      <c r="AV34" t="str">
        <f t="shared" ref="AV34:AV41" si="62">AV7</f>
        <v>Entertain</v>
      </c>
      <c r="AW34" s="36">
        <f t="shared" ref="AW34:BE34" si="63">IF(AW$19&gt;0,AW21*SQRT(AW$19),0)</f>
        <v>-0.63918762170175425</v>
      </c>
      <c r="AX34" s="37">
        <f t="shared" si="63"/>
        <v>-0.29289376096086012</v>
      </c>
      <c r="AY34" s="37">
        <f t="shared" si="63"/>
        <v>-0.15451777327909116</v>
      </c>
      <c r="AZ34" s="37">
        <f t="shared" si="63"/>
        <v>-0.1555852245186532</v>
      </c>
      <c r="BA34" s="37">
        <f t="shared" si="63"/>
        <v>0.21055393671377862</v>
      </c>
      <c r="BB34" s="37">
        <f t="shared" si="63"/>
        <v>-8.2339144289786427E-3</v>
      </c>
      <c r="BC34" s="37">
        <f t="shared" si="63"/>
        <v>0</v>
      </c>
      <c r="BD34" s="37">
        <f t="shared" si="63"/>
        <v>0</v>
      </c>
      <c r="BE34" s="90">
        <f t="shared" si="63"/>
        <v>0</v>
      </c>
      <c r="BF34" s="221">
        <f t="shared" ref="BF34:BF41" si="64">SUMSQ(AW34:BE34)</f>
        <v>0.58683083290668425</v>
      </c>
      <c r="BH34" t="str">
        <f t="shared" ref="BH34:BH41" si="65">BH7</f>
        <v>Entertain</v>
      </c>
      <c r="BI34" s="36">
        <f t="shared" ref="BI34:BQ34" si="66">IF(BI$19&gt;0,BI21*SQRT(BI$19),0)</f>
        <v>-0.64567246758431041</v>
      </c>
      <c r="BJ34" s="37">
        <f t="shared" si="66"/>
        <v>-0.29510185313713444</v>
      </c>
      <c r="BK34" s="37">
        <f t="shared" si="66"/>
        <v>-0.15433562141624968</v>
      </c>
      <c r="BL34" s="37">
        <f t="shared" si="66"/>
        <v>-0.16710444052123255</v>
      </c>
      <c r="BM34" s="37">
        <f t="shared" si="66"/>
        <v>0.24159413786044751</v>
      </c>
      <c r="BN34" s="37">
        <f t="shared" si="66"/>
        <v>-5.0702294909643029E-3</v>
      </c>
      <c r="BO34" s="37">
        <f t="shared" si="66"/>
        <v>0</v>
      </c>
      <c r="BP34" s="37">
        <f t="shared" si="66"/>
        <v>0</v>
      </c>
      <c r="BQ34" s="90">
        <f t="shared" si="66"/>
        <v>0</v>
      </c>
      <c r="BR34" s="221">
        <f t="shared" ref="BR34:BR41" si="67">SUMSQ(BI34:BQ34)</f>
        <v>0.61411485187686143</v>
      </c>
      <c r="BT34" t="str">
        <f t="shared" ref="BT34:BT41" si="68">BT7</f>
        <v>Entertain</v>
      </c>
      <c r="BU34" s="36">
        <f t="shared" ref="BU34:CC34" si="69">IF(BU$19&gt;0,BU21*SQRT(BU$19),0)</f>
        <v>-0.65113115915582653</v>
      </c>
      <c r="BV34" s="37">
        <f t="shared" si="69"/>
        <v>-0.2957747688101286</v>
      </c>
      <c r="BW34" s="37">
        <f t="shared" si="69"/>
        <v>-0.15295086631679455</v>
      </c>
      <c r="BX34" s="37">
        <f t="shared" si="69"/>
        <v>-0.17739685778981232</v>
      </c>
      <c r="BY34" s="37">
        <f t="shared" si="69"/>
        <v>0.26240757588734276</v>
      </c>
      <c r="BZ34" s="37">
        <f t="shared" si="69"/>
        <v>-4.4886477359166897E-3</v>
      </c>
      <c r="CA34" s="37">
        <f t="shared" si="69"/>
        <v>1.1815849784255232E-2</v>
      </c>
      <c r="CB34" s="37">
        <f t="shared" si="69"/>
        <v>0</v>
      </c>
      <c r="CC34" s="90">
        <f t="shared" si="69"/>
        <v>0</v>
      </c>
      <c r="CD34" s="221">
        <f t="shared" ref="CD34:CD41" si="70">SUMSQ(BU34:CC34)</f>
        <v>0.63533561109674486</v>
      </c>
      <c r="CF34" t="str">
        <f t="shared" ref="CF34:CF41" si="71">CF7</f>
        <v>Entertain</v>
      </c>
      <c r="CG34" s="36">
        <f t="shared" ref="CG34:CO34" si="72">IF(CG$19&gt;0,CG21*SQRT(CG$19),0)</f>
        <v>-0.6557244792732374</v>
      </c>
      <c r="CH34" s="37">
        <f t="shared" si="72"/>
        <v>-0.29567407266041879</v>
      </c>
      <c r="CI34" s="37">
        <f t="shared" si="72"/>
        <v>-0.14937295368253467</v>
      </c>
      <c r="CJ34" s="37">
        <f t="shared" si="72"/>
        <v>-0.18788427386102766</v>
      </c>
      <c r="CK34" s="37">
        <f t="shared" si="72"/>
        <v>0.27709052129171757</v>
      </c>
      <c r="CL34" s="37">
        <f t="shared" si="72"/>
        <v>-5.2012345853763922E-3</v>
      </c>
      <c r="CM34" s="37">
        <f t="shared" si="72"/>
        <v>2.3637435617613046E-2</v>
      </c>
      <c r="CN34" s="37">
        <f t="shared" si="72"/>
        <v>0</v>
      </c>
      <c r="CO34" s="90">
        <f t="shared" si="72"/>
        <v>0</v>
      </c>
      <c r="CP34" s="221">
        <f t="shared" ref="CP34:CP41" si="73">SUMSQ(CG34:CO34)</f>
        <v>0.65237546781139188</v>
      </c>
      <c r="CR34" t="str">
        <f t="shared" ref="CR34:CR41" si="74">CR7</f>
        <v>Entertain</v>
      </c>
      <c r="CS34" s="36">
        <f t="shared" ref="CS34:DA34" si="75">IF(CS$19&gt;0,CS21*SQRT(CS$19),0)</f>
        <v>-0.65952624050981579</v>
      </c>
      <c r="CT34" s="37">
        <f t="shared" si="75"/>
        <v>-0.29536305866166657</v>
      </c>
      <c r="CU34" s="37">
        <f t="shared" si="75"/>
        <v>-0.14227059085460975</v>
      </c>
      <c r="CV34" s="37">
        <f t="shared" si="75"/>
        <v>-0.19950233424377206</v>
      </c>
      <c r="CW34" s="37">
        <f t="shared" si="75"/>
        <v>0.28799113764092493</v>
      </c>
      <c r="CX34" s="37">
        <f t="shared" si="75"/>
        <v>-6.2068756407673478E-3</v>
      </c>
      <c r="CY34" s="37">
        <f t="shared" si="75"/>
        <v>2.9065285305357964E-2</v>
      </c>
      <c r="CZ34" s="37">
        <f t="shared" si="75"/>
        <v>0</v>
      </c>
      <c r="DA34" s="90">
        <f t="shared" si="75"/>
        <v>0</v>
      </c>
      <c r="DB34" s="221">
        <f t="shared" ref="DB34:DB41" si="76">SUMSQ(CS34:DA34)</f>
        <v>0.66607851220863601</v>
      </c>
      <c r="DD34" t="str">
        <f t="shared" ref="DD34:DD41" si="77">DD7</f>
        <v>Entertain</v>
      </c>
      <c r="DE34" s="36">
        <f t="shared" ref="DE34:DM34" si="78">IF(DE$19&gt;0,DE21*SQRT(DE$19),0)</f>
        <v>-0.66265078585578141</v>
      </c>
      <c r="DF34" s="37">
        <f t="shared" si="78"/>
        <v>-0.29497184642346169</v>
      </c>
      <c r="DG34" s="37">
        <f t="shared" si="78"/>
        <v>-0.1291660259442021</v>
      </c>
      <c r="DH34" s="37">
        <f t="shared" si="78"/>
        <v>-0.2132077431503567</v>
      </c>
      <c r="DI34" s="37">
        <f t="shared" si="78"/>
        <v>0.29622083641551911</v>
      </c>
      <c r="DJ34" s="37">
        <f t="shared" si="78"/>
        <v>-7.2926300326627645E-3</v>
      </c>
      <c r="DK34" s="37">
        <f t="shared" si="78"/>
        <v>3.2333901055767431E-2</v>
      </c>
      <c r="DL34" s="37">
        <f t="shared" si="78"/>
        <v>0</v>
      </c>
      <c r="DM34" s="90">
        <f t="shared" si="78"/>
        <v>0</v>
      </c>
      <c r="DN34" s="221">
        <f t="shared" ref="DN34:DN41" si="79">SUMSQ(DE34:DM34)</f>
        <v>0.67710130571222493</v>
      </c>
      <c r="DP34" t="str">
        <f t="shared" ref="DP34:DP41" si="80">DP7</f>
        <v>Entertain</v>
      </c>
      <c r="DQ34" s="36">
        <f t="shared" ref="DQ34:DY34" si="81">IF(DQ$19&gt;0,DQ21*SQRT(DQ$19),0)</f>
        <v>-0.66521015456861976</v>
      </c>
      <c r="DR34" s="37">
        <f t="shared" si="81"/>
        <v>-0.29455663491333262</v>
      </c>
      <c r="DS34" s="37">
        <f t="shared" si="81"/>
        <v>-0.10714877105472947</v>
      </c>
      <c r="DT34" s="37">
        <f t="shared" si="81"/>
        <v>-0.2290470226266024</v>
      </c>
      <c r="DU34" s="37">
        <f t="shared" si="81"/>
        <v>0.30249729677711162</v>
      </c>
      <c r="DV34" s="37">
        <f t="shared" si="81"/>
        <v>-8.3557284751522073E-3</v>
      </c>
      <c r="DW34" s="37">
        <f t="shared" si="81"/>
        <v>3.4566954515805541E-2</v>
      </c>
      <c r="DX34" s="37">
        <f t="shared" si="81"/>
        <v>0</v>
      </c>
      <c r="DY34" s="90">
        <f t="shared" si="81"/>
        <v>0</v>
      </c>
      <c r="DZ34" s="221">
        <f t="shared" ref="DZ34:DZ41" si="82">SUMSQ(DQ34:DY34)</f>
        <v>0.68598086572563166</v>
      </c>
      <c r="EB34" t="str">
        <f t="shared" ref="EB34:EB41" si="83">EB7</f>
        <v>Entertain</v>
      </c>
      <c r="EC34" s="36">
        <f t="shared" ref="EC34:EK34" si="84">IF(EC$19&gt;0,EC21*SQRT(EC$19),0)</f>
        <v>-0.66730454664692229</v>
      </c>
      <c r="ED34" s="37">
        <f t="shared" si="84"/>
        <v>-0.29415483645476709</v>
      </c>
      <c r="EE34" s="37">
        <f t="shared" si="84"/>
        <v>-7.5989712182918043E-2</v>
      </c>
      <c r="EF34" s="37">
        <f t="shared" si="84"/>
        <v>-0.24437274773769038</v>
      </c>
      <c r="EG34" s="37">
        <f t="shared" si="84"/>
        <v>0.30732063894296058</v>
      </c>
      <c r="EH34" s="37">
        <f t="shared" si="84"/>
        <v>-9.3609755837727546E-3</v>
      </c>
      <c r="EI34" s="37">
        <f t="shared" si="84"/>
        <v>-3.6236235048661532E-2</v>
      </c>
      <c r="EJ34" s="37">
        <f t="shared" si="84"/>
        <v>0</v>
      </c>
      <c r="EK34" s="90">
        <f t="shared" si="84"/>
        <v>0</v>
      </c>
      <c r="EL34" s="221">
        <f t="shared" ref="EL34:EL41" si="85">SUMSQ(EC34:EK34)</f>
        <v>0.6931615696945882</v>
      </c>
      <c r="EN34" t="str">
        <f t="shared" ref="EN34:EN41" si="86">EN7</f>
        <v>Entertain</v>
      </c>
      <c r="EO34" s="36">
        <f t="shared" ref="EO34:EW34" si="87">IF(EO$19&gt;0,EO21*SQRT(EO$19),0)</f>
        <v>-0.66902069760326111</v>
      </c>
      <c r="EP34" s="37">
        <f t="shared" si="87"/>
        <v>-0.29379714390294165</v>
      </c>
      <c r="EQ34" s="37">
        <f t="shared" si="87"/>
        <v>-3.804845135727742E-2</v>
      </c>
      <c r="ER34" s="37">
        <f t="shared" si="87"/>
        <v>-0.25563762586613492</v>
      </c>
      <c r="ES34" s="37">
        <f t="shared" si="87"/>
        <v>0.31105642569336056</v>
      </c>
      <c r="ET34" s="37">
        <f t="shared" si="87"/>
        <v>-1.0318019366312674E-2</v>
      </c>
      <c r="EU34" s="37">
        <f t="shared" si="87"/>
        <v>3.7588635027963585E-2</v>
      </c>
      <c r="EV34" s="37">
        <f t="shared" si="87"/>
        <v>0</v>
      </c>
      <c r="EW34" s="90">
        <f t="shared" si="87"/>
        <v>0</v>
      </c>
      <c r="EX34" s="221">
        <f t="shared" ref="EX34:EX41" si="88">SUMSQ(EO34:EW34)</f>
        <v>0.6989792029682792</v>
      </c>
      <c r="EZ34" t="str">
        <f t="shared" ref="EZ34:EZ41" si="89">EZ7</f>
        <v>Entertain</v>
      </c>
      <c r="FA34" s="36">
        <f t="shared" ref="FA34:FI34" si="90">IF(FA$19&gt;0,FA21*SQRT(FA$19),0)</f>
        <v>-0.67042832480511305</v>
      </c>
      <c r="FB34" s="37">
        <f t="shared" si="90"/>
        <v>-0.29348086938247603</v>
      </c>
      <c r="FC34" s="37">
        <f t="shared" si="90"/>
        <v>1.3088756795897893E-2</v>
      </c>
      <c r="FD34" s="37">
        <f t="shared" si="90"/>
        <v>-0.26020179387576042</v>
      </c>
      <c r="FE34" s="37">
        <f t="shared" si="90"/>
        <v>0.31397106084686716</v>
      </c>
      <c r="FF34" s="37">
        <f t="shared" si="90"/>
        <v>-1.1210283811676259E-2</v>
      </c>
      <c r="FG34" s="37">
        <f t="shared" si="90"/>
        <v>3.8534192359955304E-2</v>
      </c>
      <c r="FH34" s="37">
        <f t="shared" si="90"/>
        <v>0</v>
      </c>
      <c r="FI34" s="90">
        <f t="shared" si="90"/>
        <v>0</v>
      </c>
      <c r="FJ34" s="221">
        <f t="shared" ref="FJ34:FJ41" si="91">SUMSQ(FA34:FI34)</f>
        <v>0.70366982997838956</v>
      </c>
      <c r="FL34" t="str">
        <f t="shared" ref="FL34:FL41" si="92">FL7</f>
        <v>Entertain</v>
      </c>
      <c r="FM34" s="36">
        <f t="shared" ref="FM34:FU34" si="93">IF(FM$19&gt;0,FM21*SQRT(FM$19),0)</f>
        <v>-0.67157898089512602</v>
      </c>
      <c r="FN34" s="37">
        <f t="shared" si="93"/>
        <v>-0.29318701298569894</v>
      </c>
      <c r="FO34" s="37">
        <f t="shared" si="93"/>
        <v>4.8284748816040605E-2</v>
      </c>
      <c r="FP34" s="37">
        <f t="shared" si="93"/>
        <v>-0.25778798794677199</v>
      </c>
      <c r="FQ34" s="37">
        <f t="shared" si="93"/>
        <v>0.3162382306238069</v>
      </c>
      <c r="FR34" s="37">
        <f t="shared" si="93"/>
        <v>-1.19864721442853E-2</v>
      </c>
      <c r="FS34" s="37">
        <f t="shared" si="93"/>
        <v>3.9721266502688382E-2</v>
      </c>
      <c r="FT34" s="37">
        <f t="shared" si="93"/>
        <v>2.7522349127655004E-4</v>
      </c>
      <c r="FU34" s="90">
        <f t="shared" si="93"/>
        <v>0</v>
      </c>
      <c r="FV34" s="221">
        <f t="shared" ref="FV34:FV41" si="94">SUMSQ(FM34:FU34)</f>
        <v>0.70749116464457518</v>
      </c>
      <c r="FX34" t="str">
        <f t="shared" ref="FX34:FX41" si="95">FX7</f>
        <v>Entertain</v>
      </c>
      <c r="FY34" s="36">
        <f t="shared" ref="FY34:GG34" si="96">IF(FY$19&gt;0,FY21*SQRT(FY$19),0)</f>
        <v>-0.67251496447550541</v>
      </c>
      <c r="FZ34" s="37">
        <f t="shared" si="96"/>
        <v>-0.29294560090563559</v>
      </c>
      <c r="GA34" s="37">
        <f t="shared" si="96"/>
        <v>4.8743274553786693E-2</v>
      </c>
      <c r="GB34" s="37">
        <f t="shared" si="96"/>
        <v>-0.25907201984295136</v>
      </c>
      <c r="GC34" s="37">
        <f t="shared" si="96"/>
        <v>0.31804940839646917</v>
      </c>
      <c r="GD34" s="37">
        <f t="shared" si="96"/>
        <v>-1.2646375989529089E-2</v>
      </c>
      <c r="GE34" s="37">
        <f t="shared" si="96"/>
        <v>4.0613058743433038E-2</v>
      </c>
      <c r="GF34" s="37">
        <f t="shared" si="96"/>
        <v>-2.4675760777540347E-4</v>
      </c>
      <c r="GG34" s="90">
        <f t="shared" si="96"/>
        <v>0</v>
      </c>
      <c r="GH34" s="221">
        <f t="shared" ref="GH34:GH41" si="97">SUMSQ(FY34:GG34)</f>
        <v>0.71055255925001382</v>
      </c>
      <c r="GJ34" t="str">
        <f t="shared" ref="GJ34:GJ41" si="98">GJ7</f>
        <v>Entertain</v>
      </c>
      <c r="GK34" s="36">
        <f t="shared" ref="GK34:GS34" si="99">IF(GK$19&gt;0,GK21*SQRT(GK$19),0)</f>
        <v>-0.67326497378617045</v>
      </c>
      <c r="GL34" s="37">
        <f t="shared" si="99"/>
        <v>-0.29269729457732097</v>
      </c>
      <c r="GM34" s="37">
        <f t="shared" si="99"/>
        <v>5.8960405528759648E-2</v>
      </c>
      <c r="GN34" s="37">
        <f t="shared" si="99"/>
        <v>-0.25813833482586684</v>
      </c>
      <c r="GO34" s="37">
        <f t="shared" si="99"/>
        <v>0.31951005730226689</v>
      </c>
      <c r="GP34" s="37">
        <f t="shared" si="99"/>
        <v>-1.3149494310967708E-2</v>
      </c>
      <c r="GQ34" s="37">
        <f t="shared" si="99"/>
        <v>4.1519820506019059E-2</v>
      </c>
      <c r="GR34" s="37">
        <f t="shared" si="99"/>
        <v>-2.2147985548342389E-4</v>
      </c>
      <c r="GS34" s="90">
        <f t="shared" si="99"/>
        <v>0</v>
      </c>
      <c r="GT34" s="221">
        <f t="shared" ref="GT34:GT41" si="100">SUMSQ(GK34:GS34)</f>
        <v>0.71305269097307344</v>
      </c>
      <c r="GV34" t="str">
        <f t="shared" ref="GV34:GV41" si="101">GV7</f>
        <v>Entertain</v>
      </c>
      <c r="GW34" s="36">
        <f t="shared" ref="GW34:HE34" si="102">IF(GW$19&gt;0,GW21*SQRT(GW$19),0)</f>
        <v>-0.6738768772907886</v>
      </c>
      <c r="GX34" s="37">
        <f t="shared" si="102"/>
        <v>-0.29247469211835014</v>
      </c>
      <c r="GY34" s="37">
        <f t="shared" si="102"/>
        <v>6.5430414149657945E-2</v>
      </c>
      <c r="GZ34" s="37">
        <f t="shared" si="102"/>
        <v>-0.25758191083173165</v>
      </c>
      <c r="HA34" s="37">
        <f t="shared" si="102"/>
        <v>0.32069573055177314</v>
      </c>
      <c r="HB34" s="37">
        <f t="shared" si="102"/>
        <v>-1.3553157359930419E-2</v>
      </c>
      <c r="HC34" s="37">
        <f t="shared" si="102"/>
        <v>4.2332279170924116E-2</v>
      </c>
      <c r="HD34" s="37">
        <f t="shared" si="102"/>
        <v>-1.7039630631956754E-4</v>
      </c>
      <c r="HE34" s="90">
        <f t="shared" si="102"/>
        <v>0</v>
      </c>
      <c r="HF34" s="221">
        <f t="shared" ref="HF34:HF41" si="103">SUMSQ(GW34:HE34)</f>
        <v>0.71510256172369502</v>
      </c>
      <c r="HH34" t="str">
        <f t="shared" ref="HH34:HH41" si="104">HH7</f>
        <v>Entertain</v>
      </c>
      <c r="HI34" s="36">
        <f t="shared" ref="HI34:HQ34" si="105">IF(HI$19&gt;0,HI21*SQRT(HI$19),0)</f>
        <v>-0.67437811778967216</v>
      </c>
      <c r="HJ34" s="37">
        <f t="shared" si="105"/>
        <v>-0.29227640450761205</v>
      </c>
      <c r="HK34" s="37">
        <f t="shared" si="105"/>
        <v>8.9182804220036965E-2</v>
      </c>
      <c r="HL34" s="37">
        <f t="shared" si="105"/>
        <v>-0.25135738335630226</v>
      </c>
      <c r="HM34" s="37">
        <f t="shared" si="105"/>
        <v>0.3216639554583054</v>
      </c>
      <c r="HN34" s="37">
        <f t="shared" si="105"/>
        <v>-1.3878224392183138E-2</v>
      </c>
      <c r="HO34" s="37">
        <f t="shared" si="105"/>
        <v>4.3052174518134027E-2</v>
      </c>
      <c r="HP34" s="37">
        <f t="shared" si="105"/>
        <v>-8.267945522548507E-6</v>
      </c>
      <c r="HQ34" s="90">
        <f t="shared" si="105"/>
        <v>0</v>
      </c>
      <c r="HR34" s="221">
        <f t="shared" ref="HR34:HR41" si="106">SUMSQ(HI34:HQ34)</f>
        <v>0.71685924427417591</v>
      </c>
      <c r="HT34" t="str">
        <f t="shared" ref="HT34:HT41" si="107">HT7</f>
        <v>Entertain</v>
      </c>
      <c r="HU34" s="36">
        <f t="shared" ref="HU34:IC34" si="108">IF(HU$19&gt;0,HU21*SQRT(HU$19),0)</f>
        <v>-0.67480313358652055</v>
      </c>
      <c r="HV34" s="37">
        <f t="shared" si="108"/>
        <v>-0.2921688030224936</v>
      </c>
      <c r="HW34" s="37">
        <f t="shared" si="108"/>
        <v>9.6086506480335843E-2</v>
      </c>
      <c r="HX34" s="37">
        <f t="shared" si="108"/>
        <v>-0.24953257150354041</v>
      </c>
      <c r="HY34" s="37">
        <f t="shared" si="108"/>
        <v>0.32245491757331518</v>
      </c>
      <c r="HZ34" s="37">
        <f t="shared" si="108"/>
        <v>-1.4228954278226548E-2</v>
      </c>
      <c r="IA34" s="37">
        <f t="shared" si="108"/>
        <v>4.3602836482040268E-2</v>
      </c>
      <c r="IB34" s="37">
        <f t="shared" si="108"/>
        <v>2.5800939680707745E-4</v>
      </c>
      <c r="IC34" s="90">
        <f t="shared" si="108"/>
        <v>0</v>
      </c>
      <c r="ID34" s="221">
        <f t="shared" ref="ID34:ID41" si="109">SUMSQ(HU34:IC34)</f>
        <v>0.71830191045174319</v>
      </c>
      <c r="IF34" t="str">
        <f t="shared" ref="IF34:IF41" si="110">IF7</f>
        <v>Entertain</v>
      </c>
      <c r="IG34" s="36">
        <f t="shared" ref="IG34:IO34" si="111">IF(IG$19&gt;0,IG21*SQRT(IG$19),0)</f>
        <v>-0.67515092611994576</v>
      </c>
      <c r="IH34" s="37">
        <f t="shared" si="111"/>
        <v>-0.29208287792490123</v>
      </c>
      <c r="II34" s="37">
        <f t="shared" si="111"/>
        <v>0.1011666447645107</v>
      </c>
      <c r="IJ34" s="37">
        <f t="shared" si="111"/>
        <v>-0.24812572906168995</v>
      </c>
      <c r="IK34" s="37">
        <f t="shared" si="111"/>
        <v>0.3230987876289157</v>
      </c>
      <c r="IL34" s="37">
        <f t="shared" si="111"/>
        <v>-1.4529125224205845E-2</v>
      </c>
      <c r="IM34" s="37">
        <f t="shared" si="111"/>
        <v>4.4077802234001477E-2</v>
      </c>
      <c r="IN34" s="37">
        <f t="shared" si="111"/>
        <v>5.5745976152774739E-4</v>
      </c>
      <c r="IO34" s="90">
        <f t="shared" si="111"/>
        <v>0</v>
      </c>
      <c r="IP34" s="221">
        <f t="shared" ref="IP34:IP41" si="112">SUMSQ(IG34:IO34)</f>
        <v>0.71948933351103839</v>
      </c>
      <c r="IR34" t="str">
        <f t="shared" ref="IR34:IR41" si="113">IR7</f>
        <v>Entertain</v>
      </c>
      <c r="IS34" s="36">
        <f t="shared" ref="IS34:JA34" si="114">IF(IS$19&gt;0,IS21*SQRT(IS$19),0)</f>
        <v>-0.67543608106228692</v>
      </c>
      <c r="IT34" s="37">
        <f t="shared" si="114"/>
        <v>-0.29201460151312375</v>
      </c>
      <c r="IU34" s="37">
        <f t="shared" si="114"/>
        <v>8.7631214181743008E-2</v>
      </c>
      <c r="IV34" s="37">
        <f t="shared" si="114"/>
        <v>-0.25354469071512559</v>
      </c>
      <c r="IW34" s="37">
        <f t="shared" si="114"/>
        <v>0.32362487587792543</v>
      </c>
      <c r="IX34" s="37">
        <f t="shared" si="114"/>
        <v>-1.478628468656242E-2</v>
      </c>
      <c r="IY34" s="37">
        <f t="shared" si="114"/>
        <v>4.4483084641553615E-2</v>
      </c>
      <c r="IZ34" s="37">
        <f t="shared" si="114"/>
        <v>4.2628266759712309E-4</v>
      </c>
      <c r="JA34" s="90">
        <f t="shared" si="114"/>
        <v>0</v>
      </c>
      <c r="JB34" s="221">
        <f t="shared" ref="JB34:JB41" si="115">SUMSQ(IS34:JA34)</f>
        <v>0.72038118802441908</v>
      </c>
      <c r="JD34" t="str">
        <f t="shared" ref="JD34:JD41" si="116">JD7</f>
        <v>Entertain</v>
      </c>
      <c r="JE34" s="36">
        <f t="shared" ref="JE34:JM34" si="117">IF(JE$19&gt;0,JE21*SQRT(JE$19),0)</f>
        <v>-0.6756542257477709</v>
      </c>
      <c r="JF34" s="37">
        <f t="shared" si="117"/>
        <v>-0.29187953323195348</v>
      </c>
      <c r="JG34" s="37">
        <f t="shared" si="117"/>
        <v>8.6104910573057927E-2</v>
      </c>
      <c r="JH34" s="37">
        <f t="shared" si="117"/>
        <v>-0.25447819738906435</v>
      </c>
      <c r="JI34" s="37">
        <f t="shared" si="117"/>
        <v>0.32405374455588321</v>
      </c>
      <c r="JJ34" s="37">
        <f t="shared" si="117"/>
        <v>-1.4895725362300122E-2</v>
      </c>
      <c r="JK34" s="37">
        <f t="shared" si="117"/>
        <v>4.4896750711423385E-2</v>
      </c>
      <c r="JL34" s="37">
        <f t="shared" si="117"/>
        <v>4.195266327480164E-4</v>
      </c>
      <c r="JM34" s="90">
        <f t="shared" si="117"/>
        <v>0</v>
      </c>
      <c r="JN34" s="221">
        <f t="shared" ref="JN34:JN41" si="118">SUMSQ(JE34:JM34)</f>
        <v>0.7211241094835027</v>
      </c>
      <c r="JP34" t="str">
        <f t="shared" ref="JP34:JP41" si="119">JP7</f>
        <v>Entertain</v>
      </c>
      <c r="JQ34" s="36">
        <f t="shared" ref="JQ34:JY34" si="120">IF(JQ$19&gt;0,JQ21*SQRT(JQ$19),0)</f>
        <v>-0.67583600906756991</v>
      </c>
      <c r="JR34" s="37">
        <f t="shared" si="120"/>
        <v>-0.29175702657139568</v>
      </c>
      <c r="JS34" s="37">
        <f t="shared" si="120"/>
        <v>0.10070521581426541</v>
      </c>
      <c r="JT34" s="37">
        <f t="shared" si="120"/>
        <v>-0.24957998872091031</v>
      </c>
      <c r="JU34" s="37">
        <f t="shared" si="120"/>
        <v>0.32441433930721719</v>
      </c>
      <c r="JV34" s="37">
        <f t="shared" si="120"/>
        <v>-1.4980541575806068E-2</v>
      </c>
      <c r="JW34" s="37">
        <f t="shared" si="120"/>
        <v>4.5259331449033886E-2</v>
      </c>
      <c r="JX34" s="37">
        <f t="shared" si="120"/>
        <v>1.0948593525484322E-3</v>
      </c>
      <c r="JY34" s="90">
        <f t="shared" si="120"/>
        <v>0</v>
      </c>
      <c r="JZ34" s="221">
        <f t="shared" ref="JZ34:JZ41" si="121">SUMSQ(JQ34:JY34)</f>
        <v>0.72182687094254805</v>
      </c>
      <c r="KB34" t="str">
        <f t="shared" ref="KB34:KB41" si="122">KB7</f>
        <v>Entertain</v>
      </c>
      <c r="KC34" s="36">
        <f t="shared" ref="KC34:KK34" si="123">IF(KC$19&gt;0,KC21*SQRT(KC$19),0)</f>
        <v>-0.67600342223984422</v>
      </c>
      <c r="KD34" s="37">
        <f t="shared" si="123"/>
        <v>-0.29171951480316671</v>
      </c>
      <c r="KE34" s="37">
        <f t="shared" si="123"/>
        <v>0.10279417385865461</v>
      </c>
      <c r="KF34" s="37">
        <f t="shared" si="123"/>
        <v>-0.2490272916035679</v>
      </c>
      <c r="KG34" s="37">
        <f t="shared" si="123"/>
        <v>0.32472140251578346</v>
      </c>
      <c r="KH34" s="37">
        <f t="shared" si="123"/>
        <v>-1.5143872291652202E-2</v>
      </c>
      <c r="KI34" s="37">
        <f t="shared" si="123"/>
        <v>4.5516087791643733E-2</v>
      </c>
      <c r="KJ34" s="37">
        <f t="shared" si="123"/>
        <v>-1.4135206930610707E-3</v>
      </c>
      <c r="KK34" s="90">
        <f t="shared" si="123"/>
        <v>0</v>
      </c>
      <c r="KL34" s="221">
        <f t="shared" ref="KL34:KL41" si="124">SUMSQ(KC34:KK34)</f>
        <v>0.72240917474807742</v>
      </c>
      <c r="KN34" t="str">
        <f t="shared" ref="KN34:KN41" si="125">KN7</f>
        <v>Entertain</v>
      </c>
      <c r="KO34" s="36">
        <f t="shared" ref="KO34:KW34" si="126">IF(KO$19&gt;0,KO21*SQRT(KO$19),0)</f>
        <v>-0.67614158097687205</v>
      </c>
      <c r="KP34" s="37">
        <f t="shared" si="126"/>
        <v>-0.29168963640035628</v>
      </c>
      <c r="KQ34" s="37">
        <f t="shared" si="126"/>
        <v>0.10441966407285493</v>
      </c>
      <c r="KR34" s="37">
        <f t="shared" si="126"/>
        <v>-0.24859991741398829</v>
      </c>
      <c r="KS34" s="37">
        <f t="shared" si="126"/>
        <v>0.32497515696245755</v>
      </c>
      <c r="KT34" s="37">
        <f t="shared" si="126"/>
        <v>-1.5283067921874255E-2</v>
      </c>
      <c r="KU34" s="37">
        <f t="shared" si="126"/>
        <v>4.5732975411653339E-2</v>
      </c>
      <c r="KV34" s="37">
        <f t="shared" si="126"/>
        <v>-1.9541429408717549E-3</v>
      </c>
      <c r="KW34" s="90">
        <f t="shared" si="126"/>
        <v>0</v>
      </c>
      <c r="KX34" s="221">
        <f t="shared" ref="KX34:KX41" si="127">SUMSQ(KO34:KW34)</f>
        <v>0.72289341521512052</v>
      </c>
      <c r="KZ34" t="str">
        <f t="shared" ref="KZ34:KZ41" si="128">KZ7</f>
        <v>Entertain</v>
      </c>
      <c r="LA34" s="36">
        <f t="shared" ref="LA34:LI34" si="129">IF(LA$19&gt;0,LA21*SQRT(LA$19),0)</f>
        <v>-0.6762563686076849</v>
      </c>
      <c r="LB34" s="37">
        <f t="shared" si="129"/>
        <v>-0.29166456428688875</v>
      </c>
      <c r="LC34" s="37">
        <f t="shared" si="129"/>
        <v>9.001645540118329E-2</v>
      </c>
      <c r="LD34" s="37">
        <f t="shared" si="129"/>
        <v>-0.25420768427756008</v>
      </c>
      <c r="LE34" s="37">
        <f t="shared" si="129"/>
        <v>0.3251857784100235</v>
      </c>
      <c r="LF34" s="37">
        <f t="shared" si="129"/>
        <v>-1.5399323200911618E-2</v>
      </c>
      <c r="LG34" s="37">
        <f t="shared" si="129"/>
        <v>4.5913481982190356E-2</v>
      </c>
      <c r="LH34" s="37">
        <f t="shared" si="129"/>
        <v>6.8816445393078424E-4</v>
      </c>
      <c r="LI34" s="90">
        <f t="shared" si="129"/>
        <v>0</v>
      </c>
      <c r="LJ34" s="221">
        <f t="shared" ref="LJ34:LJ41" si="130">SUMSQ(LA34:LI34)</f>
        <v>0.72320685416509001</v>
      </c>
      <c r="LL34" t="str">
        <f t="shared" ref="LL34:LL41" si="131">LL7</f>
        <v>Entertain</v>
      </c>
      <c r="LM34" s="36">
        <f t="shared" ref="LM34:LU34" si="132">IF(LM$19&gt;0,LM21*SQRT(LM$19),0)</f>
        <v>-0.67633370372905111</v>
      </c>
      <c r="LN34" s="37">
        <f t="shared" si="132"/>
        <v>-0.29157115798277317</v>
      </c>
      <c r="LO34" s="37">
        <f t="shared" si="132"/>
        <v>8.6505649854413197E-2</v>
      </c>
      <c r="LP34" s="37">
        <f t="shared" si="132"/>
        <v>-0.25559647054652729</v>
      </c>
      <c r="LQ34" s="37">
        <f t="shared" si="132"/>
        <v>0.32535462189144626</v>
      </c>
      <c r="LR34" s="37">
        <f t="shared" si="132"/>
        <v>-1.5402290270232518E-2</v>
      </c>
      <c r="LS34" s="37">
        <f t="shared" si="132"/>
        <v>4.6118001609783445E-2</v>
      </c>
      <c r="LT34" s="37">
        <f t="shared" si="132"/>
        <v>5.4297097787597761E-4</v>
      </c>
      <c r="LU34" s="90">
        <f t="shared" si="132"/>
        <v>0</v>
      </c>
      <c r="LV34" s="221">
        <f t="shared" ref="LV34:LV41" si="133">SUMSQ(LM34:LU34)</f>
        <v>0.72347382760150458</v>
      </c>
      <c r="LX34" t="str">
        <f t="shared" ref="LX34:LX41" si="134">LX7</f>
        <v>Entertain</v>
      </c>
      <c r="LY34" s="36">
        <f t="shared" ref="LY34:MG34" si="135">IF(LY$19&gt;0,LY21*SQRT(LY$19),0)</f>
        <v>-0.67639986418028686</v>
      </c>
      <c r="LZ34" s="37">
        <f t="shared" si="135"/>
        <v>-0.29148347383948775</v>
      </c>
      <c r="MA34" s="37">
        <f t="shared" si="135"/>
        <v>9.8480790872273988E-2</v>
      </c>
      <c r="MB34" s="37">
        <f t="shared" si="135"/>
        <v>-0.25153266707806127</v>
      </c>
      <c r="MC34" s="37">
        <f t="shared" si="135"/>
        <v>0.32550232063279416</v>
      </c>
      <c r="MD34" s="37">
        <f t="shared" si="135"/>
        <v>-1.5399369127957753E-2</v>
      </c>
      <c r="ME34" s="37">
        <f t="shared" si="135"/>
        <v>4.6303733567095828E-2</v>
      </c>
      <c r="MF34" s="37">
        <f t="shared" si="135"/>
        <v>1.8300760438054661E-3</v>
      </c>
      <c r="MG34" s="90">
        <f t="shared" si="135"/>
        <v>0</v>
      </c>
      <c r="MH34" s="221">
        <f t="shared" ref="MH34:MH41" si="136">SUMSQ(LY34:MG34)</f>
        <v>0.72378282679032935</v>
      </c>
      <c r="MJ34" t="str">
        <f t="shared" ref="MJ34:MJ41" si="137">MJ7</f>
        <v>Entertain</v>
      </c>
      <c r="MK34" s="36">
        <f t="shared" ref="MK34:MS34" si="138">IF(MK$19&gt;0,MK21*SQRT(MK$19),0)</f>
        <v>-0.67647276197517148</v>
      </c>
      <c r="ML34" s="37">
        <f t="shared" si="138"/>
        <v>-0.2914677472648477</v>
      </c>
      <c r="MM34" s="37">
        <f t="shared" si="138"/>
        <v>9.9287927292333766E-2</v>
      </c>
      <c r="MN34" s="37">
        <f t="shared" si="138"/>
        <v>-0.25134725206144398</v>
      </c>
      <c r="MO34" s="37">
        <f t="shared" si="138"/>
        <v>0.32563645699544896</v>
      </c>
      <c r="MP34" s="37">
        <f t="shared" si="138"/>
        <v>-1.5475460313183326E-2</v>
      </c>
      <c r="MQ34" s="37">
        <f t="shared" si="138"/>
        <v>4.642285063900102E-2</v>
      </c>
      <c r="MR34" s="37">
        <f t="shared" si="138"/>
        <v>2.0557135281992259E-3</v>
      </c>
      <c r="MS34" s="90">
        <f t="shared" si="138"/>
        <v>0</v>
      </c>
      <c r="MT34" s="221">
        <f t="shared" ref="MT34:MT41" si="139">SUMSQ(MK34:MS34)</f>
        <v>0.72404027803082394</v>
      </c>
    </row>
    <row r="35" spans="1:358" x14ac:dyDescent="0.25">
      <c r="A35">
        <v>32</v>
      </c>
      <c r="B35" s="123">
        <v>2</v>
      </c>
      <c r="C35" s="37">
        <v>8</v>
      </c>
      <c r="D35" s="37">
        <v>1</v>
      </c>
      <c r="E35" s="37">
        <v>3</v>
      </c>
      <c r="F35" s="37">
        <v>7</v>
      </c>
      <c r="G35" s="37">
        <v>7</v>
      </c>
      <c r="H35" s="37">
        <v>4</v>
      </c>
      <c r="I35" s="37">
        <v>6</v>
      </c>
      <c r="J35" s="90">
        <v>7</v>
      </c>
      <c r="S35">
        <f t="shared" ref="S35:S41" si="140">S34+1</f>
        <v>3</v>
      </c>
      <c r="T35" s="49">
        <f>[1]!RSquare($B$4:$J$123,S35)</f>
        <v>0.60162449153938502</v>
      </c>
      <c r="V35" s="221">
        <v>0.60162449153938247</v>
      </c>
      <c r="X35" t="str">
        <f t="shared" si="56"/>
        <v>Comm</v>
      </c>
      <c r="Y35" s="36">
        <f t="shared" ref="Y35:AG35" si="141">IF(Y$19&gt;0,Y22*SQRT(Y$19),0)</f>
        <v>-0.73928569301937352</v>
      </c>
      <c r="Z35" s="37">
        <f t="shared" si="141"/>
        <v>0.30726288315648403</v>
      </c>
      <c r="AA35" s="37">
        <f t="shared" si="141"/>
        <v>-0.17662047095064787</v>
      </c>
      <c r="AB35" s="37">
        <f t="shared" si="141"/>
        <v>-0.12119615606600047</v>
      </c>
      <c r="AC35" s="37">
        <f t="shared" si="141"/>
        <v>0</v>
      </c>
      <c r="AD35" s="37">
        <f t="shared" si="141"/>
        <v>0</v>
      </c>
      <c r="AE35" s="37">
        <f t="shared" si="141"/>
        <v>0</v>
      </c>
      <c r="AF35" s="37">
        <f t="shared" si="141"/>
        <v>0</v>
      </c>
      <c r="AG35" s="90">
        <f t="shared" si="141"/>
        <v>0</v>
      </c>
      <c r="AH35" s="221">
        <f t="shared" si="58"/>
        <v>0.68683711427277361</v>
      </c>
      <c r="AJ35" t="str">
        <f t="shared" si="59"/>
        <v>Comm</v>
      </c>
      <c r="AK35" s="36">
        <f t="shared" ref="AK35:AS35" si="142">IF(AK$19&gt;0,AK22*SQRT(AK$19),0)</f>
        <v>-0.75360870022257531</v>
      </c>
      <c r="AL35" s="37">
        <f t="shared" si="142"/>
        <v>0.32296494372787754</v>
      </c>
      <c r="AM35" s="37">
        <f t="shared" si="142"/>
        <v>-0.19532717679396708</v>
      </c>
      <c r="AN35" s="37">
        <f t="shared" si="142"/>
        <v>-0.13874793153745213</v>
      </c>
      <c r="AO35" s="37">
        <f t="shared" si="142"/>
        <v>-1.7542873229176838E-2</v>
      </c>
      <c r="AP35" s="37">
        <f t="shared" si="142"/>
        <v>-2.9570090467217394E-2</v>
      </c>
      <c r="AQ35" s="37">
        <f t="shared" si="142"/>
        <v>0</v>
      </c>
      <c r="AR35" s="37">
        <f t="shared" si="142"/>
        <v>0</v>
      </c>
      <c r="AS35" s="90">
        <f t="shared" si="142"/>
        <v>0</v>
      </c>
      <c r="AT35" s="221">
        <f t="shared" si="61"/>
        <v>0.7308182650799081</v>
      </c>
      <c r="AV35" t="str">
        <f t="shared" si="62"/>
        <v>Comm</v>
      </c>
      <c r="AW35" s="36">
        <f t="shared" ref="AW35:BE35" si="143">IF(AW$19&gt;0,AW22*SQRT(AW$19),0)</f>
        <v>-0.76023942189577787</v>
      </c>
      <c r="AX35" s="37">
        <f t="shared" si="143"/>
        <v>0.3301437602584818</v>
      </c>
      <c r="AY35" s="37">
        <f t="shared" si="143"/>
        <v>-0.20421306722491597</v>
      </c>
      <c r="AZ35" s="37">
        <f t="shared" si="143"/>
        <v>-0.14764939132460803</v>
      </c>
      <c r="BA35" s="37">
        <f t="shared" si="143"/>
        <v>-2.4615532093783126E-2</v>
      </c>
      <c r="BB35" s="37">
        <f t="shared" si="143"/>
        <v>-5.4985526409644665E-2</v>
      </c>
      <c r="BC35" s="37">
        <f t="shared" si="143"/>
        <v>0</v>
      </c>
      <c r="BD35" s="37">
        <f t="shared" si="143"/>
        <v>0</v>
      </c>
      <c r="BE35" s="90">
        <f t="shared" si="143"/>
        <v>0</v>
      </c>
      <c r="BF35" s="221">
        <f t="shared" si="64"/>
        <v>0.75409153316077748</v>
      </c>
      <c r="BH35" t="str">
        <f t="shared" si="65"/>
        <v>Comm</v>
      </c>
      <c r="BI35" s="36">
        <f t="shared" ref="BI35:BQ35" si="144">IF(BI$19&gt;0,BI22*SQRT(BI$19),0)</f>
        <v>-0.76251810083690075</v>
      </c>
      <c r="BJ35" s="37">
        <f t="shared" si="144"/>
        <v>0.33362022682875447</v>
      </c>
      <c r="BK35" s="37">
        <f t="shared" si="144"/>
        <v>-0.20886886519038461</v>
      </c>
      <c r="BL35" s="37">
        <f t="shared" si="144"/>
        <v>-0.15393103399460992</v>
      </c>
      <c r="BM35" s="37">
        <f t="shared" si="144"/>
        <v>-3.4267950005031828E-2</v>
      </c>
      <c r="BN35" s="37">
        <f t="shared" si="144"/>
        <v>-6.7141281783836257E-2</v>
      </c>
      <c r="BO35" s="37">
        <f t="shared" si="144"/>
        <v>0</v>
      </c>
      <c r="BP35" s="37">
        <f t="shared" si="144"/>
        <v>0</v>
      </c>
      <c r="BQ35" s="90">
        <f t="shared" si="144"/>
        <v>0</v>
      </c>
      <c r="BR35" s="221">
        <f t="shared" si="67"/>
        <v>0.76573952004287615</v>
      </c>
      <c r="BT35" t="str">
        <f t="shared" si="68"/>
        <v>Comm</v>
      </c>
      <c r="BU35" s="36">
        <f t="shared" ref="BU35:CC35" si="145">IF(BU$19&gt;0,BU22*SQRT(BU$19),0)</f>
        <v>-0.76253917077567313</v>
      </c>
      <c r="BV35" s="37">
        <f t="shared" si="145"/>
        <v>0.3351898832218248</v>
      </c>
      <c r="BW35" s="37">
        <f t="shared" si="145"/>
        <v>-0.2100290744776592</v>
      </c>
      <c r="BX35" s="37">
        <f t="shared" si="145"/>
        <v>-0.15992973434006216</v>
      </c>
      <c r="BY35" s="37">
        <f t="shared" si="145"/>
        <v>-4.4545711688655065E-2</v>
      </c>
      <c r="BZ35" s="37">
        <f t="shared" si="145"/>
        <v>-7.2088342254594887E-2</v>
      </c>
      <c r="CA35" s="37">
        <f t="shared" si="145"/>
        <v>-2.1264509084606236E-2</v>
      </c>
      <c r="CB35" s="37">
        <f t="shared" si="145"/>
        <v>0</v>
      </c>
      <c r="CC35" s="90">
        <f t="shared" si="145"/>
        <v>0</v>
      </c>
      <c r="CD35" s="221">
        <f t="shared" si="70"/>
        <v>0.77114120569901023</v>
      </c>
      <c r="CF35" t="str">
        <f t="shared" si="71"/>
        <v>Comm</v>
      </c>
      <c r="CG35" s="36">
        <f t="shared" ref="CG35:CO35" si="146">IF(CG$19&gt;0,CG22*SQRT(CG$19),0)</f>
        <v>-0.76149418489009679</v>
      </c>
      <c r="CH35" s="37">
        <f t="shared" si="146"/>
        <v>0.33583154054596115</v>
      </c>
      <c r="CI35" s="37">
        <f t="shared" si="146"/>
        <v>-0.20770586521570431</v>
      </c>
      <c r="CJ35" s="37">
        <f t="shared" si="146"/>
        <v>-0.16747309029984081</v>
      </c>
      <c r="CK35" s="37">
        <f t="shared" si="146"/>
        <v>-5.4130654085114041E-2</v>
      </c>
      <c r="CL35" s="37">
        <f t="shared" si="146"/>
        <v>-7.3381173140845607E-2</v>
      </c>
      <c r="CM35" s="37">
        <f t="shared" si="146"/>
        <v>-4.6950260794935507E-2</v>
      </c>
      <c r="CN35" s="37">
        <f t="shared" si="146"/>
        <v>0</v>
      </c>
      <c r="CO35" s="90">
        <f t="shared" si="146"/>
        <v>0</v>
      </c>
      <c r="CP35" s="221">
        <f t="shared" si="73"/>
        <v>0.77436443093841079</v>
      </c>
      <c r="CR35" t="str">
        <f t="shared" si="74"/>
        <v>Comm</v>
      </c>
      <c r="CS35" s="36">
        <f t="shared" ref="CS35:DA35" si="147">IF(CS$19&gt;0,CS22*SQRT(CS$19),0)</f>
        <v>-0.76030957151136946</v>
      </c>
      <c r="CT35" s="37">
        <f t="shared" si="147"/>
        <v>0.33624433150404148</v>
      </c>
      <c r="CU35" s="37">
        <f t="shared" si="147"/>
        <v>-0.20157610451196448</v>
      </c>
      <c r="CV35" s="37">
        <f t="shared" si="147"/>
        <v>-0.17793319764488896</v>
      </c>
      <c r="CW35" s="37">
        <f t="shared" si="147"/>
        <v>-6.2432984762503745E-2</v>
      </c>
      <c r="CX35" s="37">
        <f t="shared" si="147"/>
        <v>-7.3407688024766965E-2</v>
      </c>
      <c r="CY35" s="37">
        <f t="shared" si="147"/>
        <v>-6.0641323527328088E-2</v>
      </c>
      <c r="CZ35" s="37">
        <f t="shared" si="147"/>
        <v>0</v>
      </c>
      <c r="DA35" s="90">
        <f t="shared" si="147"/>
        <v>0</v>
      </c>
      <c r="DB35" s="221">
        <f t="shared" si="76"/>
        <v>0.7763879801013982</v>
      </c>
      <c r="DD35" t="str">
        <f t="shared" si="77"/>
        <v>Comm</v>
      </c>
      <c r="DE35" s="36">
        <f t="shared" ref="DE35:DM35" si="148">IF(DE$19&gt;0,DE22*SQRT(DE$19),0)</f>
        <v>-0.75918080540237087</v>
      </c>
      <c r="DF35" s="37">
        <f t="shared" si="148"/>
        <v>0.33654015534857773</v>
      </c>
      <c r="DG35" s="37">
        <f t="shared" si="148"/>
        <v>-0.18968240069244277</v>
      </c>
      <c r="DH35" s="37">
        <f t="shared" si="148"/>
        <v>-0.19271156083225124</v>
      </c>
      <c r="DI35" s="37">
        <f t="shared" si="148"/>
        <v>-6.9479102742301804E-2</v>
      </c>
      <c r="DJ35" s="37">
        <f t="shared" si="148"/>
        <v>-7.2862760482420297E-2</v>
      </c>
      <c r="DK35" s="37">
        <f t="shared" si="148"/>
        <v>-6.9104008614794349E-2</v>
      </c>
      <c r="DL35" s="37">
        <f t="shared" si="148"/>
        <v>0</v>
      </c>
      <c r="DM35" s="90">
        <f t="shared" si="148"/>
        <v>0</v>
      </c>
      <c r="DN35" s="221">
        <f t="shared" si="79"/>
        <v>0.77764362185391567</v>
      </c>
      <c r="DP35" t="str">
        <f t="shared" si="80"/>
        <v>Comm</v>
      </c>
      <c r="DQ35" s="36">
        <f t="shared" ref="DQ35:DY35" si="149">IF(DQ$19&gt;0,DQ22*SQRT(DQ$19),0)</f>
        <v>-0.75815686939169791</v>
      </c>
      <c r="DR35" s="37">
        <f t="shared" si="149"/>
        <v>0.33675504034406395</v>
      </c>
      <c r="DS35" s="37">
        <f t="shared" si="149"/>
        <v>-0.16928560203526571</v>
      </c>
      <c r="DT35" s="37">
        <f t="shared" si="149"/>
        <v>-0.21234981384314564</v>
      </c>
      <c r="DU35" s="37">
        <f t="shared" si="149"/>
        <v>-7.5402012465578233E-2</v>
      </c>
      <c r="DV35" s="37">
        <f t="shared" si="149"/>
        <v>-7.2071917650851414E-2</v>
      </c>
      <c r="DW35" s="37">
        <f t="shared" si="149"/>
        <v>-7.4524684254717782E-2</v>
      </c>
      <c r="DX35" s="37">
        <f t="shared" si="149"/>
        <v>0</v>
      </c>
      <c r="DY35" s="90">
        <f t="shared" si="149"/>
        <v>0</v>
      </c>
      <c r="DZ35" s="221">
        <f t="shared" si="82"/>
        <v>0.77838960765960896</v>
      </c>
      <c r="EB35" t="str">
        <f t="shared" si="83"/>
        <v>Comm</v>
      </c>
      <c r="EC35" s="36">
        <f t="shared" ref="EC35:EK35" si="150">IF(EC$19&gt;0,EC22*SQRT(EC$19),0)</f>
        <v>-0.75724950624827558</v>
      </c>
      <c r="ED35" s="37">
        <f t="shared" si="150"/>
        <v>0.33691046316693257</v>
      </c>
      <c r="EE35" s="37">
        <f t="shared" si="150"/>
        <v>-0.13971784494742362</v>
      </c>
      <c r="EF35" s="37">
        <f t="shared" si="150"/>
        <v>-0.23398137101236127</v>
      </c>
      <c r="EG35" s="37">
        <f t="shared" si="150"/>
        <v>-8.0357705647483166E-2</v>
      </c>
      <c r="EH35" s="37">
        <f t="shared" si="150"/>
        <v>-7.1199439898846861E-2</v>
      </c>
      <c r="EI35" s="37">
        <f t="shared" si="150"/>
        <v>7.8024535184128135E-2</v>
      </c>
      <c r="EJ35" s="37">
        <f t="shared" si="150"/>
        <v>0</v>
      </c>
      <c r="EK35" s="90">
        <f t="shared" si="150"/>
        <v>0</v>
      </c>
      <c r="EL35" s="221">
        <f t="shared" si="85"/>
        <v>0.77881838227172706</v>
      </c>
      <c r="EN35" t="str">
        <f t="shared" si="86"/>
        <v>Comm</v>
      </c>
      <c r="EO35" s="36">
        <f t="shared" ref="EO35:EW35" si="151">IF(EO$19&gt;0,EO22*SQRT(EO$19),0)</f>
        <v>-0.75646278654278765</v>
      </c>
      <c r="EP35" s="37">
        <f t="shared" si="151"/>
        <v>0.33702857029125305</v>
      </c>
      <c r="EQ35" s="37">
        <f t="shared" si="151"/>
        <v>-0.10268833613155594</v>
      </c>
      <c r="ER35" s="37">
        <f t="shared" si="151"/>
        <v>-0.25325734457159588</v>
      </c>
      <c r="ES35" s="37">
        <f t="shared" si="151"/>
        <v>-8.4491690697036964E-2</v>
      </c>
      <c r="ET35" s="37">
        <f t="shared" si="151"/>
        <v>-7.0332446274389546E-2</v>
      </c>
      <c r="EU35" s="37">
        <f t="shared" si="151"/>
        <v>-8.0282513745915343E-2</v>
      </c>
      <c r="EV35" s="37">
        <f t="shared" si="151"/>
        <v>0</v>
      </c>
      <c r="EW35" s="90">
        <f t="shared" si="151"/>
        <v>0</v>
      </c>
      <c r="EX35" s="221">
        <f t="shared" si="88"/>
        <v>0.77903916238271542</v>
      </c>
      <c r="EZ35" t="str">
        <f t="shared" si="89"/>
        <v>Comm</v>
      </c>
      <c r="FA35" s="36">
        <f t="shared" ref="FA35:FI35" si="152">IF(FA$19&gt;0,FA22*SQRT(FA$19),0)</f>
        <v>-0.75578641734791263</v>
      </c>
      <c r="FB35" s="37">
        <f t="shared" si="152"/>
        <v>0.33712191219948917</v>
      </c>
      <c r="FC35" s="37">
        <f t="shared" si="152"/>
        <v>-5.1062242415402685E-2</v>
      </c>
      <c r="FD35" s="37">
        <f t="shared" si="152"/>
        <v>-0.26897647262468027</v>
      </c>
      <c r="FE35" s="37">
        <f t="shared" si="152"/>
        <v>-8.7928960286127358E-2</v>
      </c>
      <c r="FF35" s="37">
        <f t="shared" si="152"/>
        <v>-6.9520216585419486E-2</v>
      </c>
      <c r="FG35" s="37">
        <f t="shared" si="152"/>
        <v>-8.1669613916495201E-2</v>
      </c>
      <c r="FH35" s="37">
        <f t="shared" si="152"/>
        <v>0</v>
      </c>
      <c r="FI35" s="90">
        <f t="shared" si="152"/>
        <v>0</v>
      </c>
      <c r="FJ35" s="221">
        <f t="shared" si="91"/>
        <v>0.77905447616709056</v>
      </c>
      <c r="FL35" t="str">
        <f t="shared" si="92"/>
        <v>Comm</v>
      </c>
      <c r="FM35" s="36">
        <f t="shared" ref="FM35:FU35" si="153">IF(FM$19&gt;0,FM22*SQRT(FM$19),0)</f>
        <v>-0.75518868115259186</v>
      </c>
      <c r="FN35" s="37">
        <f t="shared" si="153"/>
        <v>0.33717600954735388</v>
      </c>
      <c r="FO35" s="37">
        <f t="shared" si="153"/>
        <v>-1.4439374659265383E-2</v>
      </c>
      <c r="FP35" s="37">
        <f t="shared" si="153"/>
        <v>-0.27382665431041936</v>
      </c>
      <c r="FQ35" s="37">
        <f t="shared" si="153"/>
        <v>-9.0799195238108102E-2</v>
      </c>
      <c r="FR35" s="37">
        <f t="shared" si="153"/>
        <v>-6.876930547915204E-2</v>
      </c>
      <c r="FS35" s="37">
        <f t="shared" si="153"/>
        <v>-8.2425612550218602E-2</v>
      </c>
      <c r="FT35" s="37">
        <f t="shared" si="153"/>
        <v>-1.0243709006396337E-2</v>
      </c>
      <c r="FU35" s="90">
        <f t="shared" si="153"/>
        <v>0</v>
      </c>
      <c r="FV35" s="221">
        <f t="shared" si="94"/>
        <v>0.77905976411711642</v>
      </c>
      <c r="FX35" t="str">
        <f t="shared" si="95"/>
        <v>Comm</v>
      </c>
      <c r="FY35" s="36">
        <f t="shared" ref="FY35:GG35" si="154">IF(FY$19&gt;0,FY22*SQRT(FY$19),0)</f>
        <v>-0.75469568043526492</v>
      </c>
      <c r="FZ35" s="37">
        <f t="shared" si="154"/>
        <v>0.33721970474874197</v>
      </c>
      <c r="GA35" s="37">
        <f t="shared" si="154"/>
        <v>-1.4223759235817843E-2</v>
      </c>
      <c r="GB35" s="37">
        <f t="shared" si="154"/>
        <v>-0.27421665533932427</v>
      </c>
      <c r="GC35" s="37">
        <f t="shared" si="154"/>
        <v>-9.3131617332742223E-2</v>
      </c>
      <c r="GD35" s="37">
        <f t="shared" si="154"/>
        <v>-6.8140577453271678E-2</v>
      </c>
      <c r="GE35" s="37">
        <f t="shared" si="154"/>
        <v>-8.296246099457294E-2</v>
      </c>
      <c r="GF35" s="37">
        <f t="shared" si="154"/>
        <v>1.4181487000408137E-2</v>
      </c>
      <c r="GG35" s="90">
        <f t="shared" si="154"/>
        <v>0</v>
      </c>
      <c r="GH35" s="221">
        <f t="shared" si="97"/>
        <v>0.77908030968125697</v>
      </c>
      <c r="GJ35" t="str">
        <f t="shared" si="98"/>
        <v>Comm</v>
      </c>
      <c r="GK35" s="36">
        <f t="shared" ref="GK35:GS35" si="155">IF(GK$19&gt;0,GK22*SQRT(GK$19),0)</f>
        <v>-0.75429424489423513</v>
      </c>
      <c r="GL35" s="37">
        <f t="shared" si="155"/>
        <v>0.33727003452653198</v>
      </c>
      <c r="GM35" s="37">
        <f t="shared" si="155"/>
        <v>-3.6780717280351168E-3</v>
      </c>
      <c r="GN35" s="37">
        <f t="shared" si="155"/>
        <v>-0.27481357811884838</v>
      </c>
      <c r="GO35" s="37">
        <f t="shared" si="155"/>
        <v>-9.4971701262595021E-2</v>
      </c>
      <c r="GP35" s="37">
        <f t="shared" si="155"/>
        <v>-6.7661209744974068E-2</v>
      </c>
      <c r="GQ35" s="37">
        <f t="shared" si="155"/>
        <v>-8.3206218384404326E-2</v>
      </c>
      <c r="GR35" s="37">
        <f t="shared" si="155"/>
        <v>1.7878357777176397E-2</v>
      </c>
      <c r="GS35" s="90">
        <f t="shared" si="155"/>
        <v>0</v>
      </c>
      <c r="GT35" s="221">
        <f t="shared" si="100"/>
        <v>0.77908748879972012</v>
      </c>
      <c r="GV35" t="str">
        <f t="shared" si="101"/>
        <v>Comm</v>
      </c>
      <c r="GW35" s="36">
        <f t="shared" ref="GW35:HE35" si="156">IF(GW$19&gt;0,GW22*SQRT(GW$19),0)</f>
        <v>-0.75395817711965563</v>
      </c>
      <c r="GX35" s="37">
        <f t="shared" si="156"/>
        <v>0.33731071673125484</v>
      </c>
      <c r="GY35" s="37">
        <f t="shared" si="156"/>
        <v>2.9457345613066403E-3</v>
      </c>
      <c r="GZ35" s="37">
        <f t="shared" si="156"/>
        <v>-0.2750321492884264</v>
      </c>
      <c r="HA35" s="37">
        <f t="shared" si="156"/>
        <v>-9.6470398058010151E-2</v>
      </c>
      <c r="HB35" s="37">
        <f t="shared" si="156"/>
        <v>-6.7270727463084781E-2</v>
      </c>
      <c r="HC35" s="37">
        <f t="shared" si="156"/>
        <v>-8.3324522378786584E-2</v>
      </c>
      <c r="HD35" s="37">
        <f t="shared" si="156"/>
        <v>2.0700747272603882E-2</v>
      </c>
      <c r="HE35" s="90">
        <f t="shared" si="156"/>
        <v>0</v>
      </c>
      <c r="HF35" s="221">
        <f t="shared" si="103"/>
        <v>0.77908619840384441</v>
      </c>
      <c r="HH35" t="str">
        <f t="shared" si="104"/>
        <v>Comm</v>
      </c>
      <c r="HI35" s="36">
        <f t="shared" ref="HI35:HQ35" si="157">IF(HI$19&gt;0,HI22*SQRT(HI$19),0)</f>
        <v>-0.75367630396546981</v>
      </c>
      <c r="HJ35" s="37">
        <f t="shared" si="157"/>
        <v>0.3373439232974294</v>
      </c>
      <c r="HK35" s="37">
        <f t="shared" si="157"/>
        <v>2.8280663012743984E-2</v>
      </c>
      <c r="HL35" s="37">
        <f t="shared" si="157"/>
        <v>-0.27377746095993516</v>
      </c>
      <c r="HM35" s="37">
        <f t="shared" si="157"/>
        <v>-9.7695107452739197E-2</v>
      </c>
      <c r="HN35" s="37">
        <f t="shared" si="157"/>
        <v>-6.6952941778229219E-2</v>
      </c>
      <c r="HO35" s="37">
        <f t="shared" si="157"/>
        <v>-8.3346168611539845E-2</v>
      </c>
      <c r="HP35" s="37">
        <f t="shared" si="157"/>
        <v>2.2978436323844633E-2</v>
      </c>
      <c r="HQ35" s="90">
        <f t="shared" si="157"/>
        <v>0</v>
      </c>
      <c r="HR35" s="221">
        <f t="shared" si="106"/>
        <v>0.77908441056593591</v>
      </c>
      <c r="HT35" t="str">
        <f t="shared" si="107"/>
        <v>Comm</v>
      </c>
      <c r="HU35" s="36">
        <f t="shared" ref="HU35:IC35" si="158">IF(HU$19&gt;0,HU22*SQRT(HU$19),0)</f>
        <v>-0.75344155184866857</v>
      </c>
      <c r="HV35" s="37">
        <f t="shared" si="158"/>
        <v>0.33736085556284184</v>
      </c>
      <c r="HW35" s="37">
        <f t="shared" si="158"/>
        <v>3.5617207171612195E-2</v>
      </c>
      <c r="HX35" s="37">
        <f t="shared" si="158"/>
        <v>-0.27308913611219737</v>
      </c>
      <c r="HY35" s="37">
        <f t="shared" si="158"/>
        <v>-9.8756559228675794E-2</v>
      </c>
      <c r="HZ35" s="37">
        <f t="shared" si="158"/>
        <v>-6.6644453462474634E-2</v>
      </c>
      <c r="IA35" s="37">
        <f t="shared" si="158"/>
        <v>-8.3469298835833497E-2</v>
      </c>
      <c r="IB35" s="37">
        <f t="shared" si="158"/>
        <v>2.4259063113715219E-2</v>
      </c>
      <c r="IC35" s="90">
        <f t="shared" si="158"/>
        <v>0</v>
      </c>
      <c r="ID35" s="221">
        <f t="shared" si="109"/>
        <v>0.77908274778673403</v>
      </c>
      <c r="IF35" t="str">
        <f t="shared" si="110"/>
        <v>Comm</v>
      </c>
      <c r="IG35" s="36">
        <f t="shared" ref="IG35:IO35" si="159">IF(IG$19&gt;0,IG22*SQRT(IG$19),0)</f>
        <v>-0.75324751667810219</v>
      </c>
      <c r="IH35" s="37">
        <f t="shared" si="159"/>
        <v>0.33737394872852949</v>
      </c>
      <c r="II35" s="37">
        <f t="shared" si="159"/>
        <v>4.1008768549884493E-2</v>
      </c>
      <c r="IJ35" s="37">
        <f t="shared" si="159"/>
        <v>-0.27247385667857238</v>
      </c>
      <c r="IK35" s="37">
        <f t="shared" si="159"/>
        <v>-9.9624119013838081E-2</v>
      </c>
      <c r="IL35" s="37">
        <f t="shared" si="159"/>
        <v>-6.6388104145952059E-2</v>
      </c>
      <c r="IM35" s="37">
        <f t="shared" si="159"/>
        <v>-8.3551015256138741E-2</v>
      </c>
      <c r="IN35" s="37">
        <f t="shared" si="159"/>
        <v>2.5340498828132382E-2</v>
      </c>
      <c r="IO35" s="90">
        <f t="shared" si="159"/>
        <v>0</v>
      </c>
      <c r="IP35" s="221">
        <f t="shared" si="112"/>
        <v>0.77908198282624874</v>
      </c>
      <c r="IR35" t="str">
        <f t="shared" si="113"/>
        <v>Comm</v>
      </c>
      <c r="IS35" s="36">
        <f t="shared" ref="IS35:JA35" si="160">IF(IS$19&gt;0,IS22*SQRT(IS$19),0)</f>
        <v>-0.75308708749623365</v>
      </c>
      <c r="IT35" s="37">
        <f t="shared" si="160"/>
        <v>0.33738412300355897</v>
      </c>
      <c r="IU35" s="37">
        <f t="shared" si="160"/>
        <v>2.6116950250077358E-2</v>
      </c>
      <c r="IV35" s="37">
        <f t="shared" si="160"/>
        <v>-0.27437085950376555</v>
      </c>
      <c r="IW35" s="37">
        <f t="shared" si="160"/>
        <v>-0.10033396802142405</v>
      </c>
      <c r="IX35" s="37">
        <f t="shared" si="160"/>
        <v>-6.6175263726066288E-2</v>
      </c>
      <c r="IY35" s="37">
        <f t="shared" si="160"/>
        <v>-8.3618792682168888E-2</v>
      </c>
      <c r="IZ35" s="37">
        <f t="shared" si="160"/>
        <v>2.6250254140966007E-2</v>
      </c>
      <c r="JA35" s="90">
        <f t="shared" si="160"/>
        <v>0</v>
      </c>
      <c r="JB35" s="221">
        <f t="shared" si="115"/>
        <v>0.7790569204438681</v>
      </c>
      <c r="JD35" t="str">
        <f t="shared" si="116"/>
        <v>Comm</v>
      </c>
      <c r="JE35" s="36">
        <f t="shared" ref="JE35:JM35" si="161">IF(JE$19&gt;0,JE22*SQRT(JE$19),0)</f>
        <v>-0.75294645610443478</v>
      </c>
      <c r="JF35" s="37">
        <f t="shared" si="161"/>
        <v>0.33739743473286071</v>
      </c>
      <c r="JG35" s="37">
        <f t="shared" si="161"/>
        <v>2.4296148786227698E-2</v>
      </c>
      <c r="JH35" s="37">
        <f t="shared" si="161"/>
        <v>-0.27462113255376119</v>
      </c>
      <c r="JI35" s="37">
        <f t="shared" si="161"/>
        <v>-0.10085450102623265</v>
      </c>
      <c r="JJ35" s="37">
        <f t="shared" si="161"/>
        <v>-6.6051628329213005E-2</v>
      </c>
      <c r="JK35" s="37">
        <f t="shared" si="161"/>
        <v>-8.3494315103056979E-2</v>
      </c>
      <c r="JL35" s="37">
        <f t="shared" si="161"/>
        <v>2.7507241881777625E-2</v>
      </c>
      <c r="JM35" s="90">
        <f t="shared" si="161"/>
        <v>0</v>
      </c>
      <c r="JN35" s="221">
        <f t="shared" si="118"/>
        <v>0.77903486100815755</v>
      </c>
      <c r="JP35" t="str">
        <f t="shared" si="119"/>
        <v>Comm</v>
      </c>
      <c r="JQ35" s="36">
        <f t="shared" ref="JQ35:JY35" si="162">IF(JQ$19&gt;0,JQ22*SQRT(JQ$19),0)</f>
        <v>-0.75282697245117924</v>
      </c>
      <c r="JR35" s="37">
        <f t="shared" si="162"/>
        <v>0.3374096975200338</v>
      </c>
      <c r="JS35" s="37">
        <f t="shared" si="162"/>
        <v>3.9986450080286597E-2</v>
      </c>
      <c r="JT35" s="37">
        <f t="shared" si="162"/>
        <v>-0.27288948854353567</v>
      </c>
      <c r="JU35" s="37">
        <f t="shared" si="162"/>
        <v>-0.10128358461720484</v>
      </c>
      <c r="JV35" s="37">
        <f t="shared" si="162"/>
        <v>-6.5954134567149547E-2</v>
      </c>
      <c r="JW35" s="37">
        <f t="shared" si="162"/>
        <v>-8.3351099196471296E-2</v>
      </c>
      <c r="JX35" s="37">
        <f t="shared" si="162"/>
        <v>2.8625098554705179E-2</v>
      </c>
      <c r="JY35" s="90">
        <f t="shared" si="162"/>
        <v>0</v>
      </c>
      <c r="JZ35" s="221">
        <f t="shared" si="121"/>
        <v>0.77903645796208376</v>
      </c>
      <c r="KB35" t="str">
        <f t="shared" si="122"/>
        <v>Comm</v>
      </c>
      <c r="KC35" s="36">
        <f t="shared" ref="KC35:KK35" si="163">IF(KC$19&gt;0,KC22*SQRT(KC$19),0)</f>
        <v>-0.75273165088115168</v>
      </c>
      <c r="KD35" s="37">
        <f t="shared" si="163"/>
        <v>0.33741530920730889</v>
      </c>
      <c r="KE35" s="37">
        <f t="shared" si="163"/>
        <v>4.2176725274951282E-2</v>
      </c>
      <c r="KF35" s="37">
        <f t="shared" si="163"/>
        <v>-0.27263267117554707</v>
      </c>
      <c r="KG35" s="37">
        <f t="shared" si="163"/>
        <v>-0.10169754165419609</v>
      </c>
      <c r="KH35" s="37">
        <f t="shared" si="163"/>
        <v>-6.5827540545871505E-2</v>
      </c>
      <c r="KI35" s="37">
        <f t="shared" si="163"/>
        <v>-8.3370501438168834E-2</v>
      </c>
      <c r="KJ35" s="37">
        <f t="shared" si="163"/>
        <v>-2.9178736226777587E-2</v>
      </c>
      <c r="KK35" s="90">
        <f t="shared" si="163"/>
        <v>0</v>
      </c>
      <c r="KL35" s="221">
        <f t="shared" si="124"/>
        <v>0.77903917290362912</v>
      </c>
      <c r="KN35" t="str">
        <f t="shared" si="125"/>
        <v>Comm</v>
      </c>
      <c r="KO35" s="36">
        <f t="shared" ref="KO35:KW35" si="164">IF(KO$19&gt;0,KO22*SQRT(KO$19),0)</f>
        <v>-0.75265274074657096</v>
      </c>
      <c r="KP35" s="37">
        <f t="shared" si="164"/>
        <v>0.33741985901036015</v>
      </c>
      <c r="KQ35" s="37">
        <f t="shared" si="164"/>
        <v>4.3874484595636351E-2</v>
      </c>
      <c r="KR35" s="37">
        <f t="shared" si="164"/>
        <v>-0.272426321097615</v>
      </c>
      <c r="KS35" s="37">
        <f t="shared" si="164"/>
        <v>-0.10203785421712104</v>
      </c>
      <c r="KT35" s="37">
        <f t="shared" si="164"/>
        <v>-6.5722676816986278E-2</v>
      </c>
      <c r="KU35" s="37">
        <f t="shared" si="164"/>
        <v>-8.338391846234533E-2</v>
      </c>
      <c r="KV35" s="37">
        <f t="shared" si="164"/>
        <v>-2.9625690452274409E-2</v>
      </c>
      <c r="KW35" s="90">
        <f t="shared" si="164"/>
        <v>0</v>
      </c>
      <c r="KX35" s="221">
        <f t="shared" si="127"/>
        <v>0.77904113356734328</v>
      </c>
      <c r="KZ35" t="str">
        <f t="shared" si="128"/>
        <v>Comm</v>
      </c>
      <c r="LA35" s="36">
        <f t="shared" ref="LA35:LI35" si="165">IF(LA$19&gt;0,LA22*SQRT(LA$19),0)</f>
        <v>-0.75258684057602598</v>
      </c>
      <c r="LB35" s="37">
        <f t="shared" si="165"/>
        <v>0.3374235215522578</v>
      </c>
      <c r="LC35" s="37">
        <f t="shared" si="165"/>
        <v>2.8146520243604319E-2</v>
      </c>
      <c r="LD35" s="37">
        <f t="shared" si="165"/>
        <v>-0.27449749527617073</v>
      </c>
      <c r="LE35" s="37">
        <f t="shared" si="165"/>
        <v>-0.10232037871958817</v>
      </c>
      <c r="LF35" s="37">
        <f t="shared" si="165"/>
        <v>-6.5635425600002767E-2</v>
      </c>
      <c r="LG35" s="37">
        <f t="shared" si="165"/>
        <v>-8.3405964054669129E-2</v>
      </c>
      <c r="LH35" s="37">
        <f t="shared" si="165"/>
        <v>3.0052622029789842E-2</v>
      </c>
      <c r="LI35" s="90">
        <f t="shared" si="165"/>
        <v>0</v>
      </c>
      <c r="LJ35" s="221">
        <f t="shared" si="130"/>
        <v>0.77901987094541436</v>
      </c>
      <c r="LL35" t="str">
        <f t="shared" si="131"/>
        <v>Comm</v>
      </c>
      <c r="LM35" s="36">
        <f t="shared" ref="LM35:LU35" si="166">IF(LM$19&gt;0,LM22*SQRT(LM$19),0)</f>
        <v>-0.75252501805863514</v>
      </c>
      <c r="LN35" s="37">
        <f t="shared" si="166"/>
        <v>0.33743078294901929</v>
      </c>
      <c r="LO35" s="37">
        <f t="shared" si="166"/>
        <v>2.4247131578864319E-2</v>
      </c>
      <c r="LP35" s="37">
        <f t="shared" si="166"/>
        <v>-0.2749019925370868</v>
      </c>
      <c r="LQ35" s="37">
        <f t="shared" si="166"/>
        <v>-0.1024870590632903</v>
      </c>
      <c r="LR35" s="37">
        <f t="shared" si="166"/>
        <v>-6.5614258200119374E-2</v>
      </c>
      <c r="LS35" s="37">
        <f t="shared" si="166"/>
        <v>-8.325848171396584E-2</v>
      </c>
      <c r="LT35" s="37">
        <f t="shared" si="166"/>
        <v>3.0800921054753492E-2</v>
      </c>
      <c r="LU35" s="90">
        <f t="shared" si="166"/>
        <v>0</v>
      </c>
      <c r="LV35" s="221">
        <f t="shared" si="133"/>
        <v>0.77900196464613081</v>
      </c>
      <c r="LX35" t="str">
        <f t="shared" si="134"/>
        <v>Comm</v>
      </c>
      <c r="LY35" s="36">
        <f t="shared" ref="LY35:MG35" si="167">IF(LY$19&gt;0,LY22*SQRT(LY$19),0)</f>
        <v>-0.75247108212107938</v>
      </c>
      <c r="LZ35" s="37">
        <f t="shared" si="167"/>
        <v>0.33743854467303508</v>
      </c>
      <c r="MA35" s="37">
        <f t="shared" si="167"/>
        <v>3.7079819820140858E-2</v>
      </c>
      <c r="MB35" s="37">
        <f t="shared" si="167"/>
        <v>-0.27353073762079155</v>
      </c>
      <c r="MC35" s="37">
        <f t="shared" si="167"/>
        <v>-0.10262551410175605</v>
      </c>
      <c r="MD35" s="37">
        <f t="shared" si="167"/>
        <v>-6.5601214397795468E-2</v>
      </c>
      <c r="ME35" s="37">
        <f t="shared" si="167"/>
        <v>-8.310088657788206E-2</v>
      </c>
      <c r="MF35" s="37">
        <f t="shared" si="167"/>
        <v>3.1494694039553024E-2</v>
      </c>
      <c r="MG35" s="90">
        <f t="shared" si="167"/>
        <v>0</v>
      </c>
      <c r="MH35" s="221">
        <f t="shared" si="136"/>
        <v>0.77900466689858294</v>
      </c>
      <c r="MJ35" t="str">
        <f t="shared" si="137"/>
        <v>Comm</v>
      </c>
      <c r="MK35" s="36">
        <f t="shared" ref="MK35:MS35" si="168">IF(MK$19&gt;0,MK22*SQRT(MK$19),0)</f>
        <v>-0.75242920461328899</v>
      </c>
      <c r="ML35" s="37">
        <f t="shared" si="168"/>
        <v>0.33744103319943708</v>
      </c>
      <c r="MM35" s="37">
        <f t="shared" si="168"/>
        <v>3.7912948857775033E-2</v>
      </c>
      <c r="MN35" s="37">
        <f t="shared" si="168"/>
        <v>-0.27344966351414957</v>
      </c>
      <c r="MO35" s="37">
        <f t="shared" si="168"/>
        <v>-0.10280355769088728</v>
      </c>
      <c r="MP35" s="37">
        <f t="shared" si="168"/>
        <v>-6.5546298737859318E-2</v>
      </c>
      <c r="MQ35" s="37">
        <f t="shared" si="168"/>
        <v>-8.3104927239807808E-2</v>
      </c>
      <c r="MR35" s="37">
        <f t="shared" si="168"/>
        <v>3.1747624533420227E-2</v>
      </c>
      <c r="MS35" s="90">
        <f t="shared" si="168"/>
        <v>0</v>
      </c>
      <c r="MT35" s="221">
        <f t="shared" si="139"/>
        <v>0.77900749835596905</v>
      </c>
    </row>
    <row r="36" spans="1:358" x14ac:dyDescent="0.25">
      <c r="A36">
        <v>33</v>
      </c>
      <c r="B36" s="123">
        <v>4</v>
      </c>
      <c r="C36" s="37">
        <v>8</v>
      </c>
      <c r="D36" s="37">
        <v>2</v>
      </c>
      <c r="E36" s="37">
        <v>4</v>
      </c>
      <c r="F36" s="37">
        <v>6</v>
      </c>
      <c r="G36" s="37">
        <v>6</v>
      </c>
      <c r="H36" s="37">
        <v>1</v>
      </c>
      <c r="I36" s="37">
        <v>4</v>
      </c>
      <c r="J36" s="90">
        <v>6</v>
      </c>
      <c r="S36">
        <f t="shared" si="140"/>
        <v>4</v>
      </c>
      <c r="T36" s="49">
        <f>[1]!RSquare($B$4:$J$123,S36)</f>
        <v>0.2089676392860346</v>
      </c>
      <c r="V36" s="221">
        <v>0.20896763928603368</v>
      </c>
      <c r="X36" t="str">
        <f t="shared" si="56"/>
        <v>Expert</v>
      </c>
      <c r="Y36" s="36">
        <f t="shared" ref="Y36:AG36" si="169">IF(Y$19&gt;0,Y23*SQRT(Y$19),0)</f>
        <v>-0.29141373447535601</v>
      </c>
      <c r="Z36" s="37">
        <f t="shared" si="169"/>
        <v>4.8882694748191798E-2</v>
      </c>
      <c r="AA36" s="37">
        <f t="shared" si="169"/>
        <v>5.8429189741658193E-2</v>
      </c>
      <c r="AB36" s="37">
        <f t="shared" si="169"/>
        <v>0.44679006909275287</v>
      </c>
      <c r="AC36" s="37">
        <f t="shared" si="169"/>
        <v>0</v>
      </c>
      <c r="AD36" s="37">
        <f t="shared" si="169"/>
        <v>0</v>
      </c>
      <c r="AE36" s="37">
        <f t="shared" si="169"/>
        <v>0</v>
      </c>
      <c r="AF36" s="37">
        <f t="shared" si="169"/>
        <v>0</v>
      </c>
      <c r="AG36" s="90">
        <f t="shared" si="169"/>
        <v>0</v>
      </c>
      <c r="AH36" s="221">
        <f t="shared" si="58"/>
        <v>0.29034681854049177</v>
      </c>
      <c r="AJ36" t="str">
        <f t="shared" si="59"/>
        <v>Expert</v>
      </c>
      <c r="AK36" s="36">
        <f t="shared" ref="AK36:AS36" si="170">IF(AK$19&gt;0,AK23*SQRT(AK$19),0)</f>
        <v>-0.29677745485293217</v>
      </c>
      <c r="AL36" s="37">
        <f t="shared" si="170"/>
        <v>4.6813624278569464E-2</v>
      </c>
      <c r="AM36" s="37">
        <f t="shared" si="170"/>
        <v>5.0766734120560514E-2</v>
      </c>
      <c r="AN36" s="37">
        <f t="shared" si="170"/>
        <v>0.50771260507446869</v>
      </c>
      <c r="AO36" s="37">
        <f t="shared" si="170"/>
        <v>-5.1061059404278681E-3</v>
      </c>
      <c r="AP36" s="37">
        <f t="shared" si="170"/>
        <v>-1.1698077964287745E-2</v>
      </c>
      <c r="AQ36" s="37">
        <f t="shared" si="170"/>
        <v>0</v>
      </c>
      <c r="AR36" s="37">
        <f t="shared" si="170"/>
        <v>0</v>
      </c>
      <c r="AS36" s="90">
        <f t="shared" si="170"/>
        <v>0</v>
      </c>
      <c r="AT36" s="221">
        <f t="shared" si="61"/>
        <v>0.35078064111778379</v>
      </c>
      <c r="AV36" t="str">
        <f t="shared" si="62"/>
        <v>Expert</v>
      </c>
      <c r="AW36" s="36">
        <f t="shared" ref="AW36:BE36" si="171">IF(AW$19&gt;0,AW23*SQRT(AW$19),0)</f>
        <v>-0.30165877838456978</v>
      </c>
      <c r="AX36" s="37">
        <f t="shared" si="171"/>
        <v>4.7746435841542173E-2</v>
      </c>
      <c r="AY36" s="37">
        <f t="shared" si="171"/>
        <v>4.5775154642735065E-2</v>
      </c>
      <c r="AZ36" s="37">
        <f t="shared" si="171"/>
        <v>0.54887102048930969</v>
      </c>
      <c r="BA36" s="37">
        <f t="shared" si="171"/>
        <v>-5.2754209440820802E-3</v>
      </c>
      <c r="BB36" s="37">
        <f t="shared" si="171"/>
        <v>-1.4239750973749474E-2</v>
      </c>
      <c r="BC36" s="37">
        <f t="shared" si="171"/>
        <v>0</v>
      </c>
      <c r="BD36" s="37">
        <f t="shared" si="171"/>
        <v>0</v>
      </c>
      <c r="BE36" s="90">
        <f t="shared" si="171"/>
        <v>0</v>
      </c>
      <c r="BF36" s="221">
        <f t="shared" si="64"/>
        <v>0.39686310320151563</v>
      </c>
      <c r="BH36" t="str">
        <f t="shared" si="65"/>
        <v>Expert</v>
      </c>
      <c r="BI36" s="36">
        <f t="shared" ref="BI36:BQ36" si="172">IF(BI$19&gt;0,BI23*SQRT(BI$19),0)</f>
        <v>-0.30588516072172783</v>
      </c>
      <c r="BJ36" s="37">
        <f t="shared" si="172"/>
        <v>4.9999603171036848E-2</v>
      </c>
      <c r="BK36" s="37">
        <f t="shared" si="172"/>
        <v>3.9132407346006322E-2</v>
      </c>
      <c r="BL36" s="37">
        <f t="shared" si="172"/>
        <v>0.57855382841888159</v>
      </c>
      <c r="BM36" s="37">
        <f t="shared" si="172"/>
        <v>-6.9675810015162806E-3</v>
      </c>
      <c r="BN36" s="37">
        <f t="shared" si="172"/>
        <v>-1.280997903924396E-2</v>
      </c>
      <c r="BO36" s="37">
        <f t="shared" si="172"/>
        <v>0</v>
      </c>
      <c r="BP36" s="37">
        <f t="shared" si="172"/>
        <v>0</v>
      </c>
      <c r="BQ36" s="90">
        <f t="shared" si="172"/>
        <v>0</v>
      </c>
      <c r="BR36" s="221">
        <f t="shared" si="67"/>
        <v>0.43253421229785544</v>
      </c>
      <c r="BT36" t="str">
        <f t="shared" si="68"/>
        <v>Expert</v>
      </c>
      <c r="BU36" s="36">
        <f t="shared" ref="BU36:CC36" si="173">IF(BU$19&gt;0,BU23*SQRT(BU$19),0)</f>
        <v>-0.3094879551443061</v>
      </c>
      <c r="BV36" s="37">
        <f t="shared" si="173"/>
        <v>5.2750356487723776E-2</v>
      </c>
      <c r="BW36" s="37">
        <f t="shared" si="173"/>
        <v>2.8267832737026214E-2</v>
      </c>
      <c r="BX36" s="37">
        <f t="shared" si="173"/>
        <v>0.60083465926069435</v>
      </c>
      <c r="BY36" s="37">
        <f t="shared" si="173"/>
        <v>-8.7499839548033278E-3</v>
      </c>
      <c r="BZ36" s="37">
        <f t="shared" si="173"/>
        <v>-1.0743653002306711E-2</v>
      </c>
      <c r="CA36" s="37">
        <f t="shared" si="173"/>
        <v>-5.7587096347719588E-3</v>
      </c>
      <c r="CB36" s="37">
        <f t="shared" si="173"/>
        <v>0</v>
      </c>
      <c r="CC36" s="90">
        <f t="shared" si="173"/>
        <v>0</v>
      </c>
      <c r="CD36" s="221">
        <f t="shared" si="70"/>
        <v>0.46059190366125002</v>
      </c>
      <c r="CF36" t="str">
        <f t="shared" si="71"/>
        <v>Expert</v>
      </c>
      <c r="CG36" s="36">
        <f t="shared" ref="CG36:CO36" si="174">IF(CG$19&gt;0,CG23*SQRT(CG$19),0)</f>
        <v>-0.31252186439541352</v>
      </c>
      <c r="CH36" s="37">
        <f t="shared" si="174"/>
        <v>5.5579802107591711E-2</v>
      </c>
      <c r="CI36" s="37">
        <f t="shared" si="174"/>
        <v>9.7925929426291441E-3</v>
      </c>
      <c r="CJ36" s="37">
        <f t="shared" si="174"/>
        <v>0.61791745523436759</v>
      </c>
      <c r="CK36" s="37">
        <f t="shared" si="174"/>
        <v>-1.009778127593646E-2</v>
      </c>
      <c r="CL36" s="37">
        <f t="shared" si="174"/>
        <v>-8.7825964510902226E-3</v>
      </c>
      <c r="CM36" s="37">
        <f t="shared" si="174"/>
        <v>-1.09225353590897E-2</v>
      </c>
      <c r="CN36" s="37">
        <f t="shared" si="174"/>
        <v>0</v>
      </c>
      <c r="CO36" s="90">
        <f t="shared" si="174"/>
        <v>0</v>
      </c>
      <c r="CP36" s="221">
        <f t="shared" si="73"/>
        <v>0.48297530745315087</v>
      </c>
      <c r="CR36" t="str">
        <f t="shared" si="74"/>
        <v>Expert</v>
      </c>
      <c r="CS36" s="36">
        <f t="shared" ref="CS36:DA36" si="175">IF(CS$19&gt;0,CS23*SQRT(CS$19),0)</f>
        <v>-0.31501288802984329</v>
      </c>
      <c r="CT36" s="37">
        <f t="shared" si="175"/>
        <v>5.8135388210863531E-2</v>
      </c>
      <c r="CU36" s="37">
        <f t="shared" si="175"/>
        <v>-1.9709208859569331E-2</v>
      </c>
      <c r="CV36" s="37">
        <f t="shared" si="175"/>
        <v>0.63054876937086823</v>
      </c>
      <c r="CW36" s="37">
        <f t="shared" si="175"/>
        <v>-1.0945999665880326E-2</v>
      </c>
      <c r="CX36" s="37">
        <f t="shared" si="175"/>
        <v>-7.0914267655608175E-3</v>
      </c>
      <c r="CY36" s="37">
        <f t="shared" si="175"/>
        <v>-1.256393043391823E-2</v>
      </c>
      <c r="CZ36" s="37">
        <f t="shared" si="175"/>
        <v>0</v>
      </c>
      <c r="DA36" s="90">
        <f t="shared" si="175"/>
        <v>0</v>
      </c>
      <c r="DB36" s="221">
        <f t="shared" si="76"/>
        <v>0.5009210020465219</v>
      </c>
      <c r="DD36" t="str">
        <f t="shared" si="77"/>
        <v>Expert</v>
      </c>
      <c r="DE36" s="36">
        <f t="shared" ref="DE36:DM36" si="176">IF(DE$19&gt;0,DE23*SQRT(DE$19),0)</f>
        <v>-0.31705317823820628</v>
      </c>
      <c r="DF36" s="37">
        <f t="shared" si="176"/>
        <v>6.0367531661574769E-2</v>
      </c>
      <c r="DG36" s="37">
        <f t="shared" si="176"/>
        <v>-6.5958816831474573E-2</v>
      </c>
      <c r="DH36" s="37">
        <f t="shared" si="176"/>
        <v>0.63760023460788073</v>
      </c>
      <c r="DI36" s="37">
        <f t="shared" si="176"/>
        <v>-1.1492505924491674E-2</v>
      </c>
      <c r="DJ36" s="37">
        <f t="shared" si="176"/>
        <v>-5.7198003435772922E-3</v>
      </c>
      <c r="DK36" s="37">
        <f t="shared" si="176"/>
        <v>-1.2898059405601028E-2</v>
      </c>
      <c r="DL36" s="37">
        <f t="shared" si="176"/>
        <v>0</v>
      </c>
      <c r="DM36" s="90">
        <f t="shared" si="176"/>
        <v>0</v>
      </c>
      <c r="DN36" s="221">
        <f t="shared" si="79"/>
        <v>0.51538273514451693</v>
      </c>
      <c r="DP36" t="str">
        <f t="shared" si="80"/>
        <v>Expert</v>
      </c>
      <c r="DQ36" s="36">
        <f t="shared" ref="DQ36:DY36" si="177">IF(DQ$19&gt;0,DQ23*SQRT(DQ$19),0)</f>
        <v>-0.3187287046256117</v>
      </c>
      <c r="DR36" s="37">
        <f t="shared" si="177"/>
        <v>6.2292131981166385E-2</v>
      </c>
      <c r="DS36" s="37">
        <f t="shared" si="177"/>
        <v>-0.13438278396363632</v>
      </c>
      <c r="DT36" s="37">
        <f t="shared" si="177"/>
        <v>0.63501724685765171</v>
      </c>
      <c r="DU36" s="37">
        <f t="shared" si="177"/>
        <v>-1.1852808929473461E-2</v>
      </c>
      <c r="DV36" s="37">
        <f t="shared" si="177"/>
        <v>-4.6256674804435417E-3</v>
      </c>
      <c r="DW36" s="37">
        <f t="shared" si="177"/>
        <v>-1.2567061727414923E-2</v>
      </c>
      <c r="DX36" s="37">
        <f t="shared" si="177"/>
        <v>0</v>
      </c>
      <c r="DY36" s="90">
        <f t="shared" si="177"/>
        <v>0</v>
      </c>
      <c r="DZ36" s="221">
        <f t="shared" si="82"/>
        <v>0.52709375021118754</v>
      </c>
      <c r="EB36" t="str">
        <f t="shared" si="83"/>
        <v>Expert</v>
      </c>
      <c r="EC36" s="36">
        <f t="shared" ref="EC36:EK36" si="178">IF(EC$19&gt;0,EC23*SQRT(EC$19),0)</f>
        <v>-0.32010936203046669</v>
      </c>
      <c r="ED36" s="37">
        <f t="shared" si="178"/>
        <v>6.3940693995358774E-2</v>
      </c>
      <c r="EE36" s="37">
        <f t="shared" si="178"/>
        <v>-0.22093001133872261</v>
      </c>
      <c r="EF36" s="37">
        <f t="shared" si="178"/>
        <v>0.61711782300443618</v>
      </c>
      <c r="EG36" s="37">
        <f t="shared" si="178"/>
        <v>-1.2088740614681109E-2</v>
      </c>
      <c r="EH36" s="37">
        <f t="shared" si="178"/>
        <v>-3.7589916701246903E-3</v>
      </c>
      <c r="EI36" s="37">
        <f t="shared" si="178"/>
        <v>1.187612899829197E-2</v>
      </c>
      <c r="EJ36" s="37">
        <f t="shared" si="178"/>
        <v>0</v>
      </c>
      <c r="EK36" s="90">
        <f t="shared" si="178"/>
        <v>0</v>
      </c>
      <c r="EL36" s="221">
        <f t="shared" si="85"/>
        <v>0.53650420349603223</v>
      </c>
      <c r="EN36" t="str">
        <f t="shared" si="86"/>
        <v>Expert</v>
      </c>
      <c r="EO36" s="36">
        <f t="shared" ref="EO36:EW36" si="179">IF(EO$19&gt;0,EO23*SQRT(EO$19),0)</f>
        <v>-0.3212318723707831</v>
      </c>
      <c r="EP36" s="37">
        <f t="shared" si="179"/>
        <v>6.5332934745017002E-2</v>
      </c>
      <c r="EQ36" s="37">
        <f t="shared" si="179"/>
        <v>-0.315113092091032</v>
      </c>
      <c r="ER36" s="37">
        <f t="shared" si="179"/>
        <v>0.58039520187099214</v>
      </c>
      <c r="ES36" s="37">
        <f t="shared" si="179"/>
        <v>-1.2229790218353891E-2</v>
      </c>
      <c r="ET36" s="37">
        <f t="shared" si="179"/>
        <v>-3.0825160619449695E-3</v>
      </c>
      <c r="EU36" s="37">
        <f t="shared" si="179"/>
        <v>-1.1006142627598605E-2</v>
      </c>
      <c r="EV36" s="37">
        <f t="shared" si="179"/>
        <v>0</v>
      </c>
      <c r="EW36" s="90">
        <f t="shared" si="179"/>
        <v>0</v>
      </c>
      <c r="EX36" s="221">
        <f t="shared" si="88"/>
        <v>0.54389336420087275</v>
      </c>
      <c r="EZ36" t="str">
        <f t="shared" si="89"/>
        <v>Expert</v>
      </c>
      <c r="FA36" s="36">
        <f t="shared" ref="FA36:FI36" si="180">IF(FA$19&gt;0,FA23*SQRT(FA$19),0)</f>
        <v>-0.3221158557724364</v>
      </c>
      <c r="FB36" s="37">
        <f t="shared" si="180"/>
        <v>6.6482623390195505E-2</v>
      </c>
      <c r="FC36" s="37">
        <f t="shared" si="180"/>
        <v>-0.42576506890347399</v>
      </c>
      <c r="FD36" s="37">
        <f t="shared" si="180"/>
        <v>0.51021368515952958</v>
      </c>
      <c r="FE36" s="37">
        <f t="shared" si="180"/>
        <v>-1.2314214492683086E-2</v>
      </c>
      <c r="FF36" s="37">
        <f t="shared" si="180"/>
        <v>-2.5508448969332543E-3</v>
      </c>
      <c r="FG36" s="37">
        <f t="shared" si="180"/>
        <v>-1.0314916818507124E-2</v>
      </c>
      <c r="FH36" s="37">
        <f t="shared" si="180"/>
        <v>0</v>
      </c>
      <c r="FI36" s="90">
        <f t="shared" si="180"/>
        <v>0</v>
      </c>
      <c r="FJ36" s="221">
        <f t="shared" si="91"/>
        <v>0.55003700637253172</v>
      </c>
      <c r="FL36" t="str">
        <f t="shared" si="92"/>
        <v>Expert</v>
      </c>
      <c r="FM36" s="36">
        <f t="shared" ref="FM36:FU36" si="181">IF(FM$19&gt;0,FM23*SQRT(FM$19),0)</f>
        <v>-0.32286730750151099</v>
      </c>
      <c r="FN36" s="37">
        <f t="shared" si="181"/>
        <v>6.7475883976431519E-2</v>
      </c>
      <c r="FO36" s="37">
        <f t="shared" si="181"/>
        <v>-0.49308269401446941</v>
      </c>
      <c r="FP36" s="37">
        <f t="shared" si="181"/>
        <v>0.45037567227903808</v>
      </c>
      <c r="FQ36" s="37">
        <f t="shared" si="181"/>
        <v>-1.2377687174304763E-2</v>
      </c>
      <c r="FR36" s="37">
        <f t="shared" si="181"/>
        <v>-2.1098599030286926E-3</v>
      </c>
      <c r="FS36" s="37">
        <f t="shared" si="181"/>
        <v>-9.0993308936755252E-3</v>
      </c>
      <c r="FT36" s="37">
        <f t="shared" si="181"/>
        <v>-1.5249978588318411E-3</v>
      </c>
      <c r="FU36" s="90">
        <f t="shared" si="181"/>
        <v>0</v>
      </c>
      <c r="FV36" s="221">
        <f t="shared" si="94"/>
        <v>0.5550078645788159</v>
      </c>
      <c r="FX36" t="str">
        <f t="shared" si="95"/>
        <v>Expert</v>
      </c>
      <c r="FY36" s="36">
        <f t="shared" ref="FY36:GG36" si="182">IF(FY$19&gt;0,FY23*SQRT(FY$19),0)</f>
        <v>-0.32347557323247</v>
      </c>
      <c r="FZ36" s="37">
        <f t="shared" si="182"/>
        <v>6.8289007795687862E-2</v>
      </c>
      <c r="GA36" s="37">
        <f t="shared" si="182"/>
        <v>-0.49551849061789865</v>
      </c>
      <c r="GB36" s="37">
        <f t="shared" si="182"/>
        <v>0.45066581326908806</v>
      </c>
      <c r="GC36" s="37">
        <f t="shared" si="182"/>
        <v>-1.2413972032721017E-2</v>
      </c>
      <c r="GD36" s="37">
        <f t="shared" si="182"/>
        <v>-1.7563422498339495E-3</v>
      </c>
      <c r="GE36" s="37">
        <f t="shared" si="182"/>
        <v>-8.1963923084920724E-3</v>
      </c>
      <c r="GF36" s="37">
        <f t="shared" si="182"/>
        <v>2.2781558000501811E-3</v>
      </c>
      <c r="GG36" s="90">
        <f t="shared" si="182"/>
        <v>0</v>
      </c>
      <c r="GH36" s="221">
        <f t="shared" si="97"/>
        <v>0.5581676471379754</v>
      </c>
      <c r="GJ36" t="str">
        <f t="shared" si="98"/>
        <v>Expert</v>
      </c>
      <c r="GK36" s="36">
        <f t="shared" ref="GK36:GS36" si="183">IF(GK$19&gt;0,GK23*SQRT(GK$19),0)</f>
        <v>-0.32383287297504981</v>
      </c>
      <c r="GL36" s="37">
        <f t="shared" si="183"/>
        <v>6.8846576527828149E-2</v>
      </c>
      <c r="GM36" s="37">
        <f t="shared" si="183"/>
        <v>-0.51392678746090326</v>
      </c>
      <c r="GN36" s="37">
        <f t="shared" si="183"/>
        <v>0.4320395881495781</v>
      </c>
      <c r="GO36" s="37">
        <f t="shared" si="183"/>
        <v>-1.2502568718059721E-2</v>
      </c>
      <c r="GP36" s="37">
        <f t="shared" si="183"/>
        <v>-1.4356679170508255E-3</v>
      </c>
      <c r="GQ36" s="37">
        <f t="shared" si="183"/>
        <v>-7.410706823849823E-3</v>
      </c>
      <c r="GR36" s="37">
        <f t="shared" si="183"/>
        <v>3.027736268259799E-3</v>
      </c>
      <c r="GS36" s="90">
        <f t="shared" si="183"/>
        <v>0</v>
      </c>
      <c r="GT36" s="221">
        <f t="shared" si="100"/>
        <v>0.56060899044667523</v>
      </c>
      <c r="GV36" t="str">
        <f t="shared" si="101"/>
        <v>Expert</v>
      </c>
      <c r="GW36" s="36">
        <f t="shared" ref="GW36:HE36" si="184">IF(GW$19&gt;0,GW23*SQRT(GW$19),0)</f>
        <v>-0.32410258316133705</v>
      </c>
      <c r="GX36" s="37">
        <f t="shared" si="184"/>
        <v>6.9288176360536621E-2</v>
      </c>
      <c r="GY36" s="37">
        <f t="shared" si="184"/>
        <v>-0.52532837753034656</v>
      </c>
      <c r="GZ36" s="37">
        <f t="shared" si="184"/>
        <v>0.42006534519237188</v>
      </c>
      <c r="HA36" s="37">
        <f t="shared" si="184"/>
        <v>-1.2592596422634767E-2</v>
      </c>
      <c r="HB36" s="37">
        <f t="shared" si="184"/>
        <v>-1.1577624961904875E-3</v>
      </c>
      <c r="HC36" s="37">
        <f t="shared" si="184"/>
        <v>-6.7129282116121626E-3</v>
      </c>
      <c r="HD36" s="37">
        <f t="shared" si="184"/>
        <v>3.6639669299591317E-3</v>
      </c>
      <c r="HE36" s="90">
        <f t="shared" si="184"/>
        <v>0</v>
      </c>
      <c r="HF36" s="221">
        <f t="shared" si="103"/>
        <v>0.56248653622297207</v>
      </c>
      <c r="HH36" t="str">
        <f t="shared" si="104"/>
        <v>Expert</v>
      </c>
      <c r="HI36" s="36">
        <f t="shared" ref="HI36:HQ36" si="185">IF(HI$19&gt;0,HI23*SQRT(HI$19),0)</f>
        <v>-0.32430393957403453</v>
      </c>
      <c r="HJ36" s="37">
        <f t="shared" si="185"/>
        <v>6.9636950822056967E-2</v>
      </c>
      <c r="HK36" s="37">
        <f t="shared" si="185"/>
        <v>-0.56278357791783673</v>
      </c>
      <c r="HL36" s="37">
        <f t="shared" si="185"/>
        <v>0.3712465540785968</v>
      </c>
      <c r="HM36" s="37">
        <f t="shared" si="185"/>
        <v>-1.2681366435744372E-2</v>
      </c>
      <c r="HN36" s="37">
        <f t="shared" si="185"/>
        <v>-9.1658875021492954E-4</v>
      </c>
      <c r="HO36" s="37">
        <f t="shared" si="185"/>
        <v>-6.1002403734268813E-3</v>
      </c>
      <c r="HP36" s="37">
        <f t="shared" si="185"/>
        <v>4.3390988340405705E-3</v>
      </c>
      <c r="HQ36" s="90">
        <f t="shared" si="185"/>
        <v>0</v>
      </c>
      <c r="HR36" s="221">
        <f t="shared" si="106"/>
        <v>0.56478940753318685</v>
      </c>
      <c r="HT36" t="str">
        <f t="shared" si="107"/>
        <v>Expert</v>
      </c>
      <c r="HU36" s="36">
        <f t="shared" ref="HU36:IC36" si="186">IF(HU$19&gt;0,HU23*SQRT(HU$19),0)</f>
        <v>-0.32458666691899662</v>
      </c>
      <c r="HV36" s="37">
        <f t="shared" si="186"/>
        <v>7.0019363130818135E-2</v>
      </c>
      <c r="HW36" s="37">
        <f t="shared" si="186"/>
        <v>-0.57358724684285645</v>
      </c>
      <c r="HX36" s="37">
        <f t="shared" si="186"/>
        <v>0.35664645041095611</v>
      </c>
      <c r="HY36" s="37">
        <f t="shared" si="186"/>
        <v>-1.2681261443325887E-2</v>
      </c>
      <c r="HZ36" s="37">
        <f t="shared" si="186"/>
        <v>-7.5471608459491192E-4</v>
      </c>
      <c r="IA36" s="37">
        <f t="shared" si="186"/>
        <v>-5.5336033690286035E-3</v>
      </c>
      <c r="IB36" s="37">
        <f t="shared" si="186"/>
        <v>4.909251130686838E-3</v>
      </c>
      <c r="IC36" s="90">
        <f t="shared" si="186"/>
        <v>0</v>
      </c>
      <c r="ID36" s="221">
        <f t="shared" si="109"/>
        <v>0.56667434138740358</v>
      </c>
      <c r="IF36" t="str">
        <f t="shared" si="110"/>
        <v>Expert</v>
      </c>
      <c r="IG36" s="36">
        <f t="shared" ref="IG36:IO36" si="187">IF(IG$19&gt;0,IG23*SQRT(IG$19),0)</f>
        <v>-0.3248179342303541</v>
      </c>
      <c r="IH36" s="37">
        <f t="shared" si="187"/>
        <v>7.0332957107293134E-2</v>
      </c>
      <c r="II36" s="37">
        <f t="shared" si="187"/>
        <v>-0.58138906402688106</v>
      </c>
      <c r="IJ36" s="37">
        <f t="shared" si="187"/>
        <v>0.34573853955142625</v>
      </c>
      <c r="IK36" s="37">
        <f t="shared" si="187"/>
        <v>-1.2676560358183649E-2</v>
      </c>
      <c r="IL36" s="37">
        <f t="shared" si="187"/>
        <v>-6.219944477914522E-4</v>
      </c>
      <c r="IM36" s="37">
        <f t="shared" si="187"/>
        <v>-5.049310215706519E-3</v>
      </c>
      <c r="IN36" s="37">
        <f t="shared" si="187"/>
        <v>5.4815107520890076E-3</v>
      </c>
      <c r="IO36" s="90">
        <f t="shared" si="187"/>
        <v>0</v>
      </c>
      <c r="IP36" s="221">
        <f t="shared" si="112"/>
        <v>0.56821842130772438</v>
      </c>
      <c r="IR36" t="str">
        <f t="shared" si="113"/>
        <v>Expert</v>
      </c>
      <c r="IS36" s="36">
        <f t="shared" ref="IS36:JA36" si="188">IF(IS$19&gt;0,IS23*SQRT(IS$19),0)</f>
        <v>-0.32500711756235995</v>
      </c>
      <c r="IT36" s="37">
        <f t="shared" si="188"/>
        <v>7.0589927982618914E-2</v>
      </c>
      <c r="IU36" s="37">
        <f t="shared" si="188"/>
        <v>-0.56240292173489337</v>
      </c>
      <c r="IV36" s="37">
        <f t="shared" si="188"/>
        <v>0.37619245067598406</v>
      </c>
      <c r="IW36" s="37">
        <f t="shared" si="188"/>
        <v>-1.266865631523318E-2</v>
      </c>
      <c r="IX36" s="37">
        <f t="shared" si="188"/>
        <v>-5.130886113801572E-4</v>
      </c>
      <c r="IY36" s="37">
        <f t="shared" si="188"/>
        <v>-4.6438102322629137E-3</v>
      </c>
      <c r="IZ36" s="37">
        <f t="shared" si="188"/>
        <v>5.5213215596354257E-3</v>
      </c>
      <c r="JA36" s="90">
        <f t="shared" si="188"/>
        <v>0</v>
      </c>
      <c r="JB36" s="221">
        <f t="shared" si="115"/>
        <v>0.56864317879832704</v>
      </c>
      <c r="JD36" t="str">
        <f t="shared" si="116"/>
        <v>Expert</v>
      </c>
      <c r="JE36" s="36">
        <f t="shared" ref="JE36:JM36" si="189">IF(JE$19&gt;0,JE23*SQRT(JE$19),0)</f>
        <v>-0.32503227410051355</v>
      </c>
      <c r="JF36" s="37">
        <f t="shared" si="189"/>
        <v>7.0694941645299339E-2</v>
      </c>
      <c r="JG36" s="37">
        <f t="shared" si="189"/>
        <v>-0.56011970338787387</v>
      </c>
      <c r="JH36" s="37">
        <f t="shared" si="189"/>
        <v>0.37985021311852418</v>
      </c>
      <c r="JI36" s="37">
        <f t="shared" si="189"/>
        <v>-1.2756952491374334E-2</v>
      </c>
      <c r="JJ36" s="37">
        <f t="shared" si="189"/>
        <v>-3.6457338811959254E-4</v>
      </c>
      <c r="JK36" s="37">
        <f t="shared" si="189"/>
        <v>-4.343900113206416E-3</v>
      </c>
      <c r="JL36" s="37">
        <f t="shared" si="189"/>
        <v>5.8172045367844592E-3</v>
      </c>
      <c r="JM36" s="90">
        <f t="shared" si="189"/>
        <v>0</v>
      </c>
      <c r="JN36" s="221">
        <f t="shared" si="118"/>
        <v>0.56887960259813053</v>
      </c>
      <c r="JP36" t="str">
        <f t="shared" si="119"/>
        <v>Expert</v>
      </c>
      <c r="JQ36" s="36">
        <f t="shared" ref="JQ36:JY36" si="190">IF(JQ$19&gt;0,JQ23*SQRT(JQ$19),0)</f>
        <v>-0.32503443493775103</v>
      </c>
      <c r="JR36" s="37">
        <f t="shared" si="190"/>
        <v>7.0767656501745074E-2</v>
      </c>
      <c r="JS36" s="37">
        <f t="shared" si="190"/>
        <v>-0.5811531668106581</v>
      </c>
      <c r="JT36" s="37">
        <f t="shared" si="190"/>
        <v>0.34807621313721532</v>
      </c>
      <c r="JU36" s="37">
        <f t="shared" si="190"/>
        <v>-1.2841971641625528E-2</v>
      </c>
      <c r="JV36" s="37">
        <f t="shared" si="190"/>
        <v>-2.3242657270665005E-4</v>
      </c>
      <c r="JW36" s="37">
        <f t="shared" si="190"/>
        <v>-4.0923027022903465E-3</v>
      </c>
      <c r="JX36" s="37">
        <f t="shared" si="190"/>
        <v>6.8807611754317837E-3</v>
      </c>
      <c r="JY36" s="90">
        <f t="shared" si="190"/>
        <v>0</v>
      </c>
      <c r="JZ36" s="221">
        <f t="shared" si="121"/>
        <v>0.56978056062156934</v>
      </c>
      <c r="KB36" t="str">
        <f t="shared" si="122"/>
        <v>Expert</v>
      </c>
      <c r="KC36" s="36">
        <f t="shared" ref="KC36:KK36" si="191">IF(KC$19&gt;0,KC23*SQRT(KC$19),0)</f>
        <v>-0.32514413985264873</v>
      </c>
      <c r="KD36" s="37">
        <f t="shared" si="191"/>
        <v>7.0916858349151651E-2</v>
      </c>
      <c r="KE36" s="37">
        <f t="shared" si="191"/>
        <v>-0.58434975860078453</v>
      </c>
      <c r="KF36" s="37">
        <f t="shared" si="191"/>
        <v>0.34361891210427442</v>
      </c>
      <c r="KG36" s="37">
        <f t="shared" si="191"/>
        <v>-1.2832595051539948E-2</v>
      </c>
      <c r="KH36" s="37">
        <f t="shared" si="191"/>
        <v>-1.6888603152828349E-4</v>
      </c>
      <c r="KI36" s="37">
        <f t="shared" si="191"/>
        <v>-3.8387520517041752E-3</v>
      </c>
      <c r="KJ36" s="37">
        <f t="shared" si="191"/>
        <v>-7.3741808153956478E-3</v>
      </c>
      <c r="KK36" s="90">
        <f t="shared" si="191"/>
        <v>0</v>
      </c>
      <c r="KL36" s="221">
        <f t="shared" si="124"/>
        <v>0.57052032818941378</v>
      </c>
      <c r="KN36" t="str">
        <f t="shared" si="125"/>
        <v>Expert</v>
      </c>
      <c r="KO36" s="36">
        <f t="shared" ref="KO36:KW36" si="192">IF(KO$19&gt;0,KO23*SQRT(KO$19),0)</f>
        <v>-0.32523388714219736</v>
      </c>
      <c r="KP36" s="37">
        <f t="shared" si="192"/>
        <v>7.1039023726859996E-2</v>
      </c>
      <c r="KQ36" s="37">
        <f t="shared" si="192"/>
        <v>-0.58682678549821954</v>
      </c>
      <c r="KR36" s="37">
        <f t="shared" si="192"/>
        <v>0.34014676367727115</v>
      </c>
      <c r="KS36" s="37">
        <f t="shared" si="192"/>
        <v>-1.2823217072408029E-2</v>
      </c>
      <c r="KT36" s="37">
        <f t="shared" si="192"/>
        <v>-1.1639892305133648E-4</v>
      </c>
      <c r="KU36" s="37">
        <f t="shared" si="192"/>
        <v>-3.6281687691380152E-3</v>
      </c>
      <c r="KV36" s="37">
        <f t="shared" si="192"/>
        <v>-8.1040408858435199E-3</v>
      </c>
      <c r="KW36" s="90">
        <f t="shared" si="192"/>
        <v>0</v>
      </c>
      <c r="KX36" s="221">
        <f t="shared" si="127"/>
        <v>0.57113240878807581</v>
      </c>
      <c r="KZ36" t="str">
        <f t="shared" si="128"/>
        <v>Expert</v>
      </c>
      <c r="LA36" s="36">
        <f t="shared" ref="LA36:LI36" si="193">IF(LA$19&gt;0,LA23*SQRT(LA$19),0)</f>
        <v>-0.32530803110839163</v>
      </c>
      <c r="LB36" s="37">
        <f t="shared" si="193"/>
        <v>7.1140297640139863E-2</v>
      </c>
      <c r="LC36" s="37">
        <f t="shared" si="193"/>
        <v>-0.56659180932056863</v>
      </c>
      <c r="LD36" s="37">
        <f t="shared" si="193"/>
        <v>0.3724117363302985</v>
      </c>
      <c r="LE36" s="37">
        <f t="shared" si="193"/>
        <v>-1.2815504360949746E-2</v>
      </c>
      <c r="LF36" s="37">
        <f t="shared" si="193"/>
        <v>-7.2380586149167203E-5</v>
      </c>
      <c r="LG36" s="37">
        <f t="shared" si="193"/>
        <v>-3.4566511519154189E-3</v>
      </c>
      <c r="LH36" s="37">
        <f t="shared" si="193"/>
        <v>6.7257255275667603E-3</v>
      </c>
      <c r="LI36" s="90">
        <f t="shared" si="193"/>
        <v>0</v>
      </c>
      <c r="LJ36" s="221">
        <f t="shared" si="130"/>
        <v>0.57082446300968226</v>
      </c>
      <c r="LL36" t="str">
        <f t="shared" si="131"/>
        <v>Expert</v>
      </c>
      <c r="LM36" s="36">
        <f t="shared" ref="LM36:LU36" si="194">IF(LM$19&gt;0,LM23*SQRT(LM$19),0)</f>
        <v>-0.32524372950275043</v>
      </c>
      <c r="LN36" s="37">
        <f t="shared" si="194"/>
        <v>7.1119149979950044E-2</v>
      </c>
      <c r="LO36" s="37">
        <f t="shared" si="194"/>
        <v>-0.56114514100430524</v>
      </c>
      <c r="LP36" s="37">
        <f t="shared" si="194"/>
        <v>0.38013665114611894</v>
      </c>
      <c r="LQ36" s="37">
        <f t="shared" si="194"/>
        <v>-1.2897516682596607E-2</v>
      </c>
      <c r="LR36" s="37">
        <f t="shared" si="194"/>
        <v>1.97613520685624E-5</v>
      </c>
      <c r="LS36" s="37">
        <f t="shared" si="194"/>
        <v>-3.3730183790695754E-3</v>
      </c>
      <c r="LT36" s="37">
        <f t="shared" si="194"/>
        <v>6.7606863637594194E-3</v>
      </c>
      <c r="LU36" s="90">
        <f t="shared" si="194"/>
        <v>0</v>
      </c>
      <c r="LV36" s="221">
        <f t="shared" si="133"/>
        <v>0.57045259035224016</v>
      </c>
      <c r="LX36" t="str">
        <f t="shared" si="134"/>
        <v>Expert</v>
      </c>
      <c r="LY36" s="36">
        <f t="shared" ref="LY36:MG36" si="195">IF(LY$19&gt;0,LY23*SQRT(LY$19),0)</f>
        <v>-0.3251715002592635</v>
      </c>
      <c r="LZ36" s="37">
        <f t="shared" si="195"/>
        <v>7.1087548281530702E-2</v>
      </c>
      <c r="MA36" s="37">
        <f t="shared" si="195"/>
        <v>-0.57822527013598013</v>
      </c>
      <c r="MB36" s="37">
        <f t="shared" si="195"/>
        <v>0.35418486956310619</v>
      </c>
      <c r="MC36" s="37">
        <f t="shared" si="195"/>
        <v>-1.2977253345799727E-2</v>
      </c>
      <c r="MD36" s="37">
        <f t="shared" si="195"/>
        <v>1.0469047808078748E-4</v>
      </c>
      <c r="ME36" s="37">
        <f t="shared" si="195"/>
        <v>-3.3046219173680025E-3</v>
      </c>
      <c r="MF36" s="37">
        <f t="shared" si="195"/>
        <v>8.4550659443009338E-3</v>
      </c>
      <c r="MG36" s="90">
        <f t="shared" si="195"/>
        <v>0</v>
      </c>
      <c r="MH36" s="221">
        <f t="shared" si="136"/>
        <v>0.57083215768343731</v>
      </c>
      <c r="MJ36" t="str">
        <f t="shared" si="137"/>
        <v>Expert</v>
      </c>
      <c r="MK36" s="36">
        <f t="shared" ref="MK36:MS36" si="196">IF(MK$19&gt;0,MK23*SQRT(MK$19),0)</f>
        <v>-0.32521692789676687</v>
      </c>
      <c r="ML36" s="37">
        <f t="shared" si="196"/>
        <v>7.1150014790755778E-2</v>
      </c>
      <c r="MM36" s="37">
        <f t="shared" si="196"/>
        <v>-0.57948104290449765</v>
      </c>
      <c r="MN36" s="37">
        <f t="shared" si="196"/>
        <v>0.35250750071577441</v>
      </c>
      <c r="MO36" s="37">
        <f t="shared" si="196"/>
        <v>-1.297182413653206E-2</v>
      </c>
      <c r="MP36" s="37">
        <f t="shared" si="196"/>
        <v>1.3274662583054813E-4</v>
      </c>
      <c r="MQ36" s="37">
        <f t="shared" si="196"/>
        <v>-3.1919971187972657E-3</v>
      </c>
      <c r="MR36" s="37">
        <f t="shared" si="196"/>
        <v>8.7770761210738801E-3</v>
      </c>
      <c r="MS36" s="90">
        <f t="shared" si="196"/>
        <v>0</v>
      </c>
      <c r="MT36" s="221">
        <f t="shared" si="139"/>
        <v>0.57114370369583889</v>
      </c>
    </row>
    <row r="37" spans="1:358" x14ac:dyDescent="0.25">
      <c r="A37">
        <v>34</v>
      </c>
      <c r="B37" s="123">
        <v>3</v>
      </c>
      <c r="C37" s="37">
        <v>9</v>
      </c>
      <c r="D37" s="37">
        <v>6</v>
      </c>
      <c r="E37" s="37">
        <v>3</v>
      </c>
      <c r="F37" s="37">
        <v>6</v>
      </c>
      <c r="G37" s="37">
        <v>5</v>
      </c>
      <c r="H37" s="37">
        <v>9</v>
      </c>
      <c r="I37" s="37">
        <v>5</v>
      </c>
      <c r="J37" s="90">
        <v>8</v>
      </c>
      <c r="S37">
        <f t="shared" si="140"/>
        <v>5</v>
      </c>
      <c r="T37" s="49">
        <f>[1]!RSquare($B$4:$J$123,S37)</f>
        <v>0.23261043587168681</v>
      </c>
      <c r="V37" s="221">
        <v>0.23261043587168506</v>
      </c>
      <c r="X37" t="str">
        <f t="shared" si="56"/>
        <v>Motivate</v>
      </c>
      <c r="Y37" s="36">
        <f t="shared" ref="Y37:AG37" si="197">IF(Y$19&gt;0,Y24*SQRT(Y$19),0)</f>
        <v>-0.46432370390661637</v>
      </c>
      <c r="Z37" s="37">
        <f t="shared" si="197"/>
        <v>-1.0296228784464154E-2</v>
      </c>
      <c r="AA37" s="37">
        <f t="shared" si="197"/>
        <v>0.32928269738589372</v>
      </c>
      <c r="AB37" s="37">
        <f t="shared" si="197"/>
        <v>6.5571165634756038E-3</v>
      </c>
      <c r="AC37" s="37">
        <f t="shared" si="197"/>
        <v>0</v>
      </c>
      <c r="AD37" s="37">
        <f t="shared" si="197"/>
        <v>0</v>
      </c>
      <c r="AE37" s="37">
        <f t="shared" si="197"/>
        <v>0</v>
      </c>
      <c r="AF37" s="37">
        <f t="shared" si="197"/>
        <v>0</v>
      </c>
      <c r="AG37" s="90">
        <f t="shared" si="197"/>
        <v>0</v>
      </c>
      <c r="AH37" s="221">
        <f t="shared" si="58"/>
        <v>0.32417260491209826</v>
      </c>
      <c r="AJ37" t="str">
        <f t="shared" si="59"/>
        <v>Motivate</v>
      </c>
      <c r="AK37" s="36">
        <f t="shared" ref="AK37:AS37" si="198">IF(AK$19&gt;0,AK24*SQRT(AK$19),0)</f>
        <v>-0.47462032151263783</v>
      </c>
      <c r="AL37" s="37">
        <f t="shared" si="198"/>
        <v>-6.9500559200947991E-3</v>
      </c>
      <c r="AM37" s="37">
        <f t="shared" si="198"/>
        <v>0.36791987438698986</v>
      </c>
      <c r="AN37" s="37">
        <f t="shared" si="198"/>
        <v>1.7877031732876785E-2</v>
      </c>
      <c r="AO37" s="37">
        <f t="shared" si="198"/>
        <v>-4.2348182116097158E-2</v>
      </c>
      <c r="AP37" s="37">
        <f t="shared" si="198"/>
        <v>-4.8169083519661385E-2</v>
      </c>
      <c r="AQ37" s="37">
        <f t="shared" si="198"/>
        <v>0</v>
      </c>
      <c r="AR37" s="37">
        <f t="shared" si="198"/>
        <v>0</v>
      </c>
      <c r="AS37" s="90">
        <f t="shared" si="198"/>
        <v>0</v>
      </c>
      <c r="AT37" s="221">
        <f t="shared" si="61"/>
        <v>0.36511100423823106</v>
      </c>
      <c r="AV37" t="str">
        <f t="shared" si="62"/>
        <v>Motivate</v>
      </c>
      <c r="AW37" s="36">
        <f t="shared" ref="AW37:BE37" si="199">IF(AW$19&gt;0,AW24*SQRT(AW$19),0)</f>
        <v>-0.47816060456541554</v>
      </c>
      <c r="AX37" s="37">
        <f t="shared" si="199"/>
        <v>-1.3348874261890943E-3</v>
      </c>
      <c r="AY37" s="37">
        <f t="shared" si="199"/>
        <v>0.38491224230008669</v>
      </c>
      <c r="AZ37" s="37">
        <f t="shared" si="199"/>
        <v>2.4932310098680507E-2</v>
      </c>
      <c r="BA37" s="37">
        <f t="shared" si="199"/>
        <v>-4.1828535874213806E-2</v>
      </c>
      <c r="BB37" s="37">
        <f t="shared" si="199"/>
        <v>-8.4337087584826068E-2</v>
      </c>
      <c r="BC37" s="37">
        <f t="shared" si="199"/>
        <v>0</v>
      </c>
      <c r="BD37" s="37">
        <f t="shared" si="199"/>
        <v>0</v>
      </c>
      <c r="BE37" s="90">
        <f t="shared" si="199"/>
        <v>0</v>
      </c>
      <c r="BF37" s="221">
        <f t="shared" si="64"/>
        <v>0.38628077079781276</v>
      </c>
      <c r="BH37" t="str">
        <f t="shared" si="65"/>
        <v>Motivate</v>
      </c>
      <c r="BI37" s="36">
        <f t="shared" ref="BI37:BQ37" si="200">IF(BI$19&gt;0,BI24*SQRT(BI$19),0)</f>
        <v>-0.47940463488562818</v>
      </c>
      <c r="BJ37" s="37">
        <f t="shared" si="200"/>
        <v>4.5619673293651819E-3</v>
      </c>
      <c r="BK37" s="37">
        <f t="shared" si="200"/>
        <v>0.3920626436028935</v>
      </c>
      <c r="BL37" s="37">
        <f t="shared" si="200"/>
        <v>3.0616079786696341E-2</v>
      </c>
      <c r="BM37" s="37">
        <f t="shared" si="200"/>
        <v>-3.7666564600419714E-2</v>
      </c>
      <c r="BN37" s="37">
        <f t="shared" si="200"/>
        <v>-0.10481203810619866</v>
      </c>
      <c r="BO37" s="37">
        <f t="shared" si="200"/>
        <v>0</v>
      </c>
      <c r="BP37" s="37">
        <f t="shared" si="200"/>
        <v>0</v>
      </c>
      <c r="BQ37" s="90">
        <f t="shared" si="200"/>
        <v>0</v>
      </c>
      <c r="BR37" s="221">
        <f t="shared" si="67"/>
        <v>0.39690440976690433</v>
      </c>
      <c r="BT37" t="str">
        <f t="shared" si="68"/>
        <v>Motivate</v>
      </c>
      <c r="BU37" s="36">
        <f t="shared" ref="BU37:CC37" si="201">IF(BU$19&gt;0,BU24*SQRT(BU$19),0)</f>
        <v>-0.47955514675867494</v>
      </c>
      <c r="BV37" s="37">
        <f t="shared" si="201"/>
        <v>1.0053512681909828E-2</v>
      </c>
      <c r="BW37" s="37">
        <f t="shared" si="201"/>
        <v>0.39397902617346103</v>
      </c>
      <c r="BX37" s="37">
        <f t="shared" si="201"/>
        <v>3.7796443689072062E-2</v>
      </c>
      <c r="BY37" s="37">
        <f t="shared" si="201"/>
        <v>-3.2810487968592927E-2</v>
      </c>
      <c r="BZ37" s="37">
        <f t="shared" si="201"/>
        <v>-0.11928591280483625</v>
      </c>
      <c r="CA37" s="37">
        <f t="shared" si="201"/>
        <v>2.8659042558685476E-2</v>
      </c>
      <c r="CB37" s="37">
        <f t="shared" si="201"/>
        <v>0</v>
      </c>
      <c r="CC37" s="90">
        <f t="shared" si="201"/>
        <v>0</v>
      </c>
      <c r="CD37" s="221">
        <f t="shared" si="70"/>
        <v>0.40284925395491017</v>
      </c>
      <c r="CF37" t="str">
        <f t="shared" si="71"/>
        <v>Motivate</v>
      </c>
      <c r="CG37" s="36">
        <f t="shared" ref="CG37:CO37" si="202">IF(CG$19&gt;0,CG24*SQRT(CG$19),0)</f>
        <v>-0.47939191504968903</v>
      </c>
      <c r="CH37" s="37">
        <f t="shared" si="202"/>
        <v>1.4853006398292689E-2</v>
      </c>
      <c r="CI37" s="37">
        <f t="shared" si="202"/>
        <v>0.39316630221454746</v>
      </c>
      <c r="CJ37" s="37">
        <f t="shared" si="202"/>
        <v>4.9077416008860106E-2</v>
      </c>
      <c r="CK37" s="37">
        <f t="shared" si="202"/>
        <v>-2.8408546246858131E-2</v>
      </c>
      <c r="CL37" s="37">
        <f t="shared" si="202"/>
        <v>-0.13064046557749254</v>
      </c>
      <c r="CM37" s="37">
        <f t="shared" si="202"/>
        <v>5.6081915266613942E-2</v>
      </c>
      <c r="CN37" s="37">
        <f t="shared" si="202"/>
        <v>0</v>
      </c>
      <c r="CO37" s="90">
        <f t="shared" si="202"/>
        <v>0</v>
      </c>
      <c r="CP37" s="221">
        <f t="shared" si="73"/>
        <v>0.40804471193937908</v>
      </c>
      <c r="CR37" t="str">
        <f t="shared" si="74"/>
        <v>Motivate</v>
      </c>
      <c r="CS37" s="36">
        <f t="shared" ref="CS37:DA37" si="203">IF(CS$19&gt;0,CS24*SQRT(CS$19),0)</f>
        <v>-0.47941411406826523</v>
      </c>
      <c r="CT37" s="37">
        <f t="shared" si="203"/>
        <v>1.8781519801866473E-2</v>
      </c>
      <c r="CU37" s="37">
        <f t="shared" si="203"/>
        <v>0.39083999060651048</v>
      </c>
      <c r="CV37" s="37">
        <f t="shared" si="203"/>
        <v>6.6695755438613682E-2</v>
      </c>
      <c r="CW37" s="37">
        <f t="shared" si="203"/>
        <v>-2.4931593658816909E-2</v>
      </c>
      <c r="CX37" s="37">
        <f t="shared" si="203"/>
        <v>-0.14013297436698649</v>
      </c>
      <c r="CY37" s="37">
        <f t="shared" si="203"/>
        <v>6.8723204918490571E-2</v>
      </c>
      <c r="CZ37" s="37">
        <f t="shared" si="203"/>
        <v>0</v>
      </c>
      <c r="DA37" s="90">
        <f t="shared" si="203"/>
        <v>0</v>
      </c>
      <c r="DB37" s="221">
        <f t="shared" si="76"/>
        <v>0.41237657406632783</v>
      </c>
      <c r="DD37" t="str">
        <f t="shared" si="77"/>
        <v>Motivate</v>
      </c>
      <c r="DE37" s="36">
        <f t="shared" ref="DE37:DM37" si="204">IF(DE$19&gt;0,DE24*SQRT(DE$19),0)</f>
        <v>-0.47949652800339848</v>
      </c>
      <c r="DF37" s="37">
        <f t="shared" si="204"/>
        <v>2.1962811204640744E-2</v>
      </c>
      <c r="DG37" s="37">
        <f t="shared" si="204"/>
        <v>0.38534950510405364</v>
      </c>
      <c r="DH37" s="37">
        <f t="shared" si="204"/>
        <v>9.385897617341836E-2</v>
      </c>
      <c r="DI37" s="37">
        <f t="shared" si="204"/>
        <v>-2.2108454766140779E-2</v>
      </c>
      <c r="DJ37" s="37">
        <f t="shared" si="204"/>
        <v>-0.14807151310687264</v>
      </c>
      <c r="DK37" s="37">
        <f t="shared" si="204"/>
        <v>7.6383069762651065E-2</v>
      </c>
      <c r="DL37" s="37">
        <f t="shared" si="204"/>
        <v>0</v>
      </c>
      <c r="DM37" s="90">
        <f t="shared" si="204"/>
        <v>0</v>
      </c>
      <c r="DN37" s="221">
        <f t="shared" si="79"/>
        <v>0.41595136404785715</v>
      </c>
      <c r="DP37" t="str">
        <f t="shared" si="80"/>
        <v>Motivate</v>
      </c>
      <c r="DQ37" s="36">
        <f t="shared" ref="DQ37:DY37" si="205">IF(DQ$19&gt;0,DQ24*SQRT(DQ$19),0)</f>
        <v>-0.47960233740002223</v>
      </c>
      <c r="DR37" s="37">
        <f t="shared" si="205"/>
        <v>2.4542635434627789E-2</v>
      </c>
      <c r="DS37" s="37">
        <f t="shared" si="205"/>
        <v>0.37356748257803685</v>
      </c>
      <c r="DT37" s="37">
        <f t="shared" si="205"/>
        <v>0.13335920200533122</v>
      </c>
      <c r="DU37" s="37">
        <f t="shared" si="205"/>
        <v>-1.9796033235711118E-2</v>
      </c>
      <c r="DV37" s="37">
        <f t="shared" si="205"/>
        <v>-0.15470484879994201</v>
      </c>
      <c r="DW37" s="37">
        <f t="shared" si="205"/>
        <v>8.1425465932462776E-2</v>
      </c>
      <c r="DX37" s="37">
        <f t="shared" si="205"/>
        <v>0</v>
      </c>
      <c r="DY37" s="90">
        <f t="shared" si="205"/>
        <v>0</v>
      </c>
      <c r="DZ37" s="221">
        <f t="shared" si="82"/>
        <v>0.41891366346923337</v>
      </c>
      <c r="EB37" t="str">
        <f t="shared" si="83"/>
        <v>Motivate</v>
      </c>
      <c r="EC37" s="36">
        <f t="shared" ref="EC37:EK37" si="206">IF(EC$19&gt;0,EC24*SQRT(EC$19),0)</f>
        <v>-0.47971965680352341</v>
      </c>
      <c r="ED37" s="37">
        <f t="shared" si="206"/>
        <v>2.6641370738421544E-2</v>
      </c>
      <c r="EE37" s="37">
        <f t="shared" si="206"/>
        <v>0.3524067011120996</v>
      </c>
      <c r="EF37" s="37">
        <f t="shared" si="206"/>
        <v>0.18222729903443396</v>
      </c>
      <c r="EG37" s="37">
        <f t="shared" si="206"/>
        <v>-1.7904970264266105E-2</v>
      </c>
      <c r="EH37" s="37">
        <f t="shared" si="206"/>
        <v>-0.16024988646739255</v>
      </c>
      <c r="EI37" s="37">
        <f t="shared" si="206"/>
        <v>-8.4876602512150401E-2</v>
      </c>
      <c r="EJ37" s="37">
        <f t="shared" si="206"/>
        <v>0</v>
      </c>
      <c r="EK37" s="90">
        <f t="shared" si="206"/>
        <v>0</v>
      </c>
      <c r="EL37" s="221">
        <f t="shared" si="85"/>
        <v>0.42144263498759205</v>
      </c>
      <c r="EN37" t="str">
        <f t="shared" si="86"/>
        <v>Motivate</v>
      </c>
      <c r="EO37" s="36">
        <f t="shared" ref="EO37:EW37" si="207">IF(EO$19&gt;0,EO24*SQRT(EO$19),0)</f>
        <v>-0.47985282287562447</v>
      </c>
      <c r="EP37" s="37">
        <f t="shared" si="207"/>
        <v>2.8352135977564315E-2</v>
      </c>
      <c r="EQ37" s="37">
        <f t="shared" si="207"/>
        <v>0.32069045033119775</v>
      </c>
      <c r="ER37" s="37">
        <f t="shared" si="207"/>
        <v>0.23385581735179667</v>
      </c>
      <c r="ES37" s="37">
        <f t="shared" si="207"/>
        <v>-1.639181819268138E-2</v>
      </c>
      <c r="ET37" s="37">
        <f t="shared" si="207"/>
        <v>-0.16490386268897625</v>
      </c>
      <c r="EU37" s="37">
        <f t="shared" si="207"/>
        <v>8.7358011587384071E-2</v>
      </c>
      <c r="EV37" s="37">
        <f t="shared" si="207"/>
        <v>0</v>
      </c>
      <c r="EW37" s="90">
        <f t="shared" si="207"/>
        <v>0</v>
      </c>
      <c r="EX37" s="221">
        <f t="shared" si="88"/>
        <v>0.42368688130100718</v>
      </c>
      <c r="EZ37" t="str">
        <f t="shared" si="89"/>
        <v>Motivate</v>
      </c>
      <c r="FA37" s="36">
        <f t="shared" ref="FA37:FI37" si="208">IF(FA$19&gt;0,FA24*SQRT(FA$19),0)</f>
        <v>-0.48000906688447309</v>
      </c>
      <c r="FB37" s="37">
        <f t="shared" si="208"/>
        <v>2.9755349014835238E-2</v>
      </c>
      <c r="FC37" s="37">
        <f t="shared" si="208"/>
        <v>0.26874772107661521</v>
      </c>
      <c r="FD37" s="37">
        <f t="shared" si="208"/>
        <v>0.29208502866641811</v>
      </c>
      <c r="FE37" s="37">
        <f t="shared" si="208"/>
        <v>-1.5204750433388637E-2</v>
      </c>
      <c r="FF37" s="37">
        <f t="shared" si="208"/>
        <v>-0.16882505785148688</v>
      </c>
      <c r="FG37" s="37">
        <f t="shared" si="208"/>
        <v>8.9452330099387453E-2</v>
      </c>
      <c r="FH37" s="37">
        <f t="shared" si="208"/>
        <v>0</v>
      </c>
      <c r="FI37" s="90">
        <f t="shared" si="208"/>
        <v>0</v>
      </c>
      <c r="FJ37" s="221">
        <f t="shared" si="91"/>
        <v>0.42556789059574296</v>
      </c>
      <c r="FL37" t="str">
        <f t="shared" si="92"/>
        <v>Motivate</v>
      </c>
      <c r="FM37" s="36">
        <f t="shared" ref="FM37:FU37" si="209">IF(FM$19&gt;0,FM24*SQRT(FM$19),0)</f>
        <v>-0.48015877434480569</v>
      </c>
      <c r="FN37" s="37">
        <f t="shared" si="209"/>
        <v>3.0917235786369533E-2</v>
      </c>
      <c r="FO37" s="37">
        <f t="shared" si="209"/>
        <v>0.22723528664111495</v>
      </c>
      <c r="FP37" s="37">
        <f t="shared" si="209"/>
        <v>0.32554186322130141</v>
      </c>
      <c r="FQ37" s="37">
        <f t="shared" si="209"/>
        <v>-1.4214971422496985E-2</v>
      </c>
      <c r="FR37" s="37">
        <f t="shared" si="209"/>
        <v>-0.17210928824381719</v>
      </c>
      <c r="FS37" s="37">
        <f t="shared" si="209"/>
        <v>9.07072777111739E-2</v>
      </c>
      <c r="FT37" s="37">
        <f t="shared" si="209"/>
        <v>-6.9377538927388694E-3</v>
      </c>
      <c r="FU37" s="90">
        <f t="shared" si="209"/>
        <v>0</v>
      </c>
      <c r="FV37" s="221">
        <f t="shared" si="94"/>
        <v>0.42722131942462616</v>
      </c>
      <c r="FX37" t="str">
        <f t="shared" si="95"/>
        <v>Motivate</v>
      </c>
      <c r="FY37" s="36">
        <f t="shared" ref="FY37:GG37" si="210">IF(FY$19&gt;0,FY24*SQRT(FY$19),0)</f>
        <v>-0.48030430336077673</v>
      </c>
      <c r="FZ37" s="37">
        <f t="shared" si="210"/>
        <v>3.1861768335064017E-2</v>
      </c>
      <c r="GA37" s="37">
        <f t="shared" si="210"/>
        <v>0.22716075336032951</v>
      </c>
      <c r="GB37" s="37">
        <f t="shared" si="210"/>
        <v>0.32618569555405141</v>
      </c>
      <c r="GC37" s="37">
        <f t="shared" si="210"/>
        <v>-1.3430487036912252E-2</v>
      </c>
      <c r="GD37" s="37">
        <f t="shared" si="210"/>
        <v>-0.17484069153114773</v>
      </c>
      <c r="GE37" s="37">
        <f t="shared" si="210"/>
        <v>9.1843299014422855E-2</v>
      </c>
      <c r="GF37" s="37">
        <f t="shared" si="210"/>
        <v>9.2757509588983923E-3</v>
      </c>
      <c r="GG37" s="90">
        <f t="shared" si="210"/>
        <v>0</v>
      </c>
      <c r="GH37" s="221">
        <f t="shared" si="97"/>
        <v>0.42897738848647399</v>
      </c>
      <c r="GJ37" t="str">
        <f t="shared" si="98"/>
        <v>Motivate</v>
      </c>
      <c r="GK37" s="36">
        <f t="shared" ref="GK37:GS37" si="211">IF(GK$19&gt;0,GK24*SQRT(GK$19),0)</f>
        <v>-0.48050544988881794</v>
      </c>
      <c r="GL37" s="37">
        <f t="shared" si="211"/>
        <v>3.2638309967683583E-2</v>
      </c>
      <c r="GM37" s="37">
        <f t="shared" si="211"/>
        <v>0.21455715558019711</v>
      </c>
      <c r="GN37" s="37">
        <f t="shared" si="211"/>
        <v>0.33491904921804694</v>
      </c>
      <c r="GO37" s="37">
        <f t="shared" si="211"/>
        <v>-1.2857843136385471E-2</v>
      </c>
      <c r="GP37" s="37">
        <f t="shared" si="211"/>
        <v>-0.17715897580625362</v>
      </c>
      <c r="GQ37" s="37">
        <f t="shared" si="211"/>
        <v>9.3367247957322513E-2</v>
      </c>
      <c r="GR37" s="37">
        <f t="shared" si="211"/>
        <v>1.1218227813731753E-2</v>
      </c>
      <c r="GS37" s="90">
        <f t="shared" si="211"/>
        <v>0</v>
      </c>
      <c r="GT37" s="221">
        <f t="shared" si="100"/>
        <v>0.43055020765543295</v>
      </c>
      <c r="GV37" t="str">
        <f t="shared" si="101"/>
        <v>Motivate</v>
      </c>
      <c r="GW37" s="36">
        <f t="shared" ref="GW37:HE37" si="212">IF(GW$19&gt;0,GW24*SQRT(GW$19),0)</f>
        <v>-0.48069703075237746</v>
      </c>
      <c r="GX37" s="37">
        <f t="shared" si="212"/>
        <v>3.3280960118891242E-2</v>
      </c>
      <c r="GY37" s="37">
        <f t="shared" si="212"/>
        <v>0.20649543939221926</v>
      </c>
      <c r="GZ37" s="37">
        <f t="shared" si="212"/>
        <v>0.34025003721464858</v>
      </c>
      <c r="HA37" s="37">
        <f t="shared" si="212"/>
        <v>-1.239622588934778E-2</v>
      </c>
      <c r="HB37" s="37">
        <f t="shared" si="212"/>
        <v>-0.179106483454847</v>
      </c>
      <c r="HC37" s="37">
        <f t="shared" si="212"/>
        <v>9.4739250640450232E-2</v>
      </c>
      <c r="HD37" s="37">
        <f t="shared" si="212"/>
        <v>1.2493738330010339E-2</v>
      </c>
      <c r="HE37" s="90">
        <f t="shared" si="212"/>
        <v>0</v>
      </c>
      <c r="HF37" s="221">
        <f t="shared" si="103"/>
        <v>0.43195212993617671</v>
      </c>
      <c r="HH37" t="str">
        <f t="shared" si="104"/>
        <v>Motivate</v>
      </c>
      <c r="HI37" s="36">
        <f t="shared" ref="HI37:HQ37" si="213">IF(HI$19&gt;0,HI24*SQRT(HI$19),0)</f>
        <v>-0.48087629651721459</v>
      </c>
      <c r="HJ37" s="37">
        <f t="shared" si="213"/>
        <v>3.381526812397051E-2</v>
      </c>
      <c r="HK37" s="37">
        <f t="shared" si="213"/>
        <v>0.17433810170256361</v>
      </c>
      <c r="HL37" s="37">
        <f t="shared" si="213"/>
        <v>0.35768781598674815</v>
      </c>
      <c r="HM37" s="37">
        <f t="shared" si="213"/>
        <v>-1.2024198748422536E-2</v>
      </c>
      <c r="HN37" s="37">
        <f t="shared" si="213"/>
        <v>-0.18074532120809811</v>
      </c>
      <c r="HO37" s="37">
        <f t="shared" si="213"/>
        <v>9.5981779196410016E-2</v>
      </c>
      <c r="HP37" s="37">
        <f t="shared" si="213"/>
        <v>1.3298454631392124E-2</v>
      </c>
      <c r="HQ37" s="90">
        <f t="shared" si="213"/>
        <v>0</v>
      </c>
      <c r="HR37" s="221">
        <f t="shared" si="106"/>
        <v>0.43292263564848293</v>
      </c>
      <c r="HT37" t="str">
        <f t="shared" si="107"/>
        <v>Motivate</v>
      </c>
      <c r="HU37" s="36">
        <f t="shared" ref="HU37:IC37" si="214">IF(HU$19&gt;0,HU24*SQRT(HU$19),0)</f>
        <v>-0.48098421367089195</v>
      </c>
      <c r="HV37" s="37">
        <f t="shared" si="214"/>
        <v>3.4248896864119374E-2</v>
      </c>
      <c r="HW37" s="37">
        <f t="shared" si="214"/>
        <v>0.16484085542352672</v>
      </c>
      <c r="HX37" s="37">
        <f t="shared" si="214"/>
        <v>0.36231637970793362</v>
      </c>
      <c r="HY37" s="37">
        <f t="shared" si="214"/>
        <v>-1.1699137751233234E-2</v>
      </c>
      <c r="HZ37" s="37">
        <f t="shared" si="214"/>
        <v>-0.18209527238738926</v>
      </c>
      <c r="IA37" s="37">
        <f t="shared" si="214"/>
        <v>9.6544395860625479E-2</v>
      </c>
      <c r="IB37" s="37">
        <f t="shared" si="214"/>
        <v>1.3599369590732503E-2</v>
      </c>
      <c r="IC37" s="90">
        <f t="shared" si="214"/>
        <v>0</v>
      </c>
      <c r="ID37" s="221">
        <f t="shared" si="109"/>
        <v>0.4337657886337572</v>
      </c>
      <c r="IF37" t="str">
        <f t="shared" si="110"/>
        <v>Motivate</v>
      </c>
      <c r="IG37" s="36">
        <f t="shared" ref="IG37:IO37" si="215">IF(IG$19&gt;0,IG24*SQRT(IG$19),0)</f>
        <v>-0.4810819123434103</v>
      </c>
      <c r="IH37" s="37">
        <f t="shared" si="215"/>
        <v>3.4605681736598511E-2</v>
      </c>
      <c r="II37" s="37">
        <f t="shared" si="215"/>
        <v>0.15778884905088561</v>
      </c>
      <c r="IJ37" s="37">
        <f t="shared" si="215"/>
        <v>0.36559100818228368</v>
      </c>
      <c r="IK37" s="37">
        <f t="shared" si="215"/>
        <v>-1.1444164566670476E-2</v>
      </c>
      <c r="IL37" s="37">
        <f t="shared" si="215"/>
        <v>-0.18322200030007715</v>
      </c>
      <c r="IM37" s="37">
        <f t="shared" si="215"/>
        <v>9.7029005457656095E-2</v>
      </c>
      <c r="IN37" s="37">
        <f t="shared" si="215"/>
        <v>1.3764929170904635E-2</v>
      </c>
      <c r="IO37" s="90">
        <f t="shared" si="215"/>
        <v>0</v>
      </c>
      <c r="IP37" s="221">
        <f t="shared" si="112"/>
        <v>0.43449683721276167</v>
      </c>
      <c r="IR37" t="str">
        <f t="shared" si="113"/>
        <v>Motivate</v>
      </c>
      <c r="IS37" s="36">
        <f t="shared" ref="IS37:JA37" si="216">IF(IS$19&gt;0,IS24*SQRT(IS$19),0)</f>
        <v>-0.48116958264522897</v>
      </c>
      <c r="IT37" s="37">
        <f t="shared" si="216"/>
        <v>3.4899888179037948E-2</v>
      </c>
      <c r="IU37" s="37">
        <f t="shared" si="216"/>
        <v>0.17757084897879882</v>
      </c>
      <c r="IV37" s="37">
        <f t="shared" si="216"/>
        <v>0.35689854445681352</v>
      </c>
      <c r="IW37" s="37">
        <f t="shared" si="216"/>
        <v>-1.1245038674538629E-2</v>
      </c>
      <c r="IX37" s="37">
        <f t="shared" si="216"/>
        <v>-0.18416299005178322</v>
      </c>
      <c r="IY37" s="37">
        <f t="shared" si="216"/>
        <v>9.7443046262238292E-2</v>
      </c>
      <c r="IZ37" s="37">
        <f t="shared" si="216"/>
        <v>1.4179493566525753E-2</v>
      </c>
      <c r="JA37" s="90">
        <f t="shared" si="216"/>
        <v>0</v>
      </c>
      <c r="JB37" s="221">
        <f t="shared" si="115"/>
        <v>0.43538881000260965</v>
      </c>
      <c r="JD37" t="str">
        <f t="shared" si="116"/>
        <v>Motivate</v>
      </c>
      <c r="JE37" s="36">
        <f t="shared" ref="JE37:JM37" si="217">IF(JE$19&gt;0,JE24*SQRT(JE$19),0)</f>
        <v>-0.4813035635615634</v>
      </c>
      <c r="JF37" s="37">
        <f t="shared" si="217"/>
        <v>3.5158573124173767E-2</v>
      </c>
      <c r="JG37" s="37">
        <f t="shared" si="217"/>
        <v>0.17989386799389906</v>
      </c>
      <c r="JH37" s="37">
        <f t="shared" si="217"/>
        <v>0.35598011094443599</v>
      </c>
      <c r="JI37" s="37">
        <f t="shared" si="217"/>
        <v>-1.1097906200186379E-2</v>
      </c>
      <c r="JJ37" s="37">
        <f t="shared" si="217"/>
        <v>-0.18497487022047246</v>
      </c>
      <c r="JK37" s="37">
        <f t="shared" si="217"/>
        <v>9.8348274222576734E-2</v>
      </c>
      <c r="JL37" s="37">
        <f t="shared" si="217"/>
        <v>1.4519480639730324E-2</v>
      </c>
      <c r="JM37" s="90">
        <f t="shared" si="217"/>
        <v>0</v>
      </c>
      <c r="JN37" s="221">
        <f t="shared" si="118"/>
        <v>0.43619495318672247</v>
      </c>
      <c r="JP37" t="str">
        <f t="shared" si="119"/>
        <v>Motivate</v>
      </c>
      <c r="JQ37" s="36">
        <f t="shared" ref="JQ37:JY37" si="218">IF(JQ$19&gt;0,JQ24*SQRT(JQ$19),0)</f>
        <v>-0.48142766133163489</v>
      </c>
      <c r="JR37" s="37">
        <f t="shared" si="218"/>
        <v>3.5379166405823878E-2</v>
      </c>
      <c r="JS37" s="37">
        <f t="shared" si="218"/>
        <v>0.15917201563084046</v>
      </c>
      <c r="JT37" s="37">
        <f t="shared" si="218"/>
        <v>0.36560840634684755</v>
      </c>
      <c r="JU37" s="37">
        <f t="shared" si="218"/>
        <v>-1.098185168489935E-2</v>
      </c>
      <c r="JV37" s="37">
        <f t="shared" si="218"/>
        <v>-0.1856698303079907</v>
      </c>
      <c r="JW37" s="37">
        <f t="shared" si="218"/>
        <v>9.9200445097482853E-2</v>
      </c>
      <c r="JX37" s="37">
        <f t="shared" si="218"/>
        <v>1.4256062598492892E-2</v>
      </c>
      <c r="JY37" s="90">
        <f t="shared" si="218"/>
        <v>0</v>
      </c>
      <c r="JZ37" s="221">
        <f t="shared" si="121"/>
        <v>0.43666736644366244</v>
      </c>
      <c r="KB37" t="str">
        <f t="shared" si="122"/>
        <v>Motivate</v>
      </c>
      <c r="KC37" s="36">
        <f t="shared" ref="KC37:KK37" si="219">IF(KC$19&gt;0,KC24*SQRT(KC$19),0)</f>
        <v>-0.48148723970166896</v>
      </c>
      <c r="KD37" s="37">
        <f t="shared" si="219"/>
        <v>3.5553752590616883E-2</v>
      </c>
      <c r="KE37" s="37">
        <f t="shared" si="219"/>
        <v>0.15630424984418062</v>
      </c>
      <c r="KF37" s="37">
        <f t="shared" si="219"/>
        <v>0.36694713053335121</v>
      </c>
      <c r="KG37" s="37">
        <f t="shared" si="219"/>
        <v>-1.0876988817960887E-2</v>
      </c>
      <c r="KH37" s="37">
        <f t="shared" si="219"/>
        <v>-0.1862393002107893</v>
      </c>
      <c r="KI37" s="37">
        <f t="shared" si="219"/>
        <v>9.9471240117035842E-2</v>
      </c>
      <c r="KJ37" s="37">
        <f t="shared" si="219"/>
        <v>-1.4158911708928299E-2</v>
      </c>
      <c r="KK37" s="90">
        <f t="shared" si="219"/>
        <v>0</v>
      </c>
      <c r="KL37" s="221">
        <f t="shared" si="124"/>
        <v>0.43707363466477228</v>
      </c>
      <c r="KN37" t="str">
        <f t="shared" si="125"/>
        <v>Motivate</v>
      </c>
      <c r="KO37" s="36">
        <f t="shared" ref="KO37:KW37" si="220">IF(KO$19&gt;0,KO24*SQRT(KO$19),0)</f>
        <v>-0.48153943690881101</v>
      </c>
      <c r="KP37" s="37">
        <f t="shared" si="220"/>
        <v>3.5698577539925579E-2</v>
      </c>
      <c r="KQ37" s="37">
        <f t="shared" si="220"/>
        <v>0.15407624364634556</v>
      </c>
      <c r="KR37" s="37">
        <f t="shared" si="220"/>
        <v>0.36798157640341417</v>
      </c>
      <c r="KS37" s="37">
        <f t="shared" si="220"/>
        <v>-1.0795211489386843E-2</v>
      </c>
      <c r="KT37" s="37">
        <f t="shared" si="220"/>
        <v>-0.18671564953401001</v>
      </c>
      <c r="KU37" s="37">
        <f t="shared" si="220"/>
        <v>9.9708466172887367E-2</v>
      </c>
      <c r="KV37" s="37">
        <f t="shared" si="220"/>
        <v>-1.3845414751851429E-2</v>
      </c>
      <c r="KW37" s="90">
        <f t="shared" si="220"/>
        <v>0</v>
      </c>
      <c r="KX37" s="221">
        <f t="shared" si="127"/>
        <v>0.43741729127354712</v>
      </c>
      <c r="KZ37" t="str">
        <f t="shared" si="128"/>
        <v>Motivate</v>
      </c>
      <c r="LA37" s="36">
        <f t="shared" ref="LA37:LI37" si="221">IF(LA$19&gt;0,LA24*SQRT(LA$19),0)</f>
        <v>-0.48158399327243973</v>
      </c>
      <c r="LB37" s="37">
        <f t="shared" si="221"/>
        <v>3.5819301346798949E-2</v>
      </c>
      <c r="LC37" s="37">
        <f t="shared" si="221"/>
        <v>0.17501818779591749</v>
      </c>
      <c r="LD37" s="37">
        <f t="shared" si="221"/>
        <v>0.35890319789221353</v>
      </c>
      <c r="LE37" s="37">
        <f t="shared" si="221"/>
        <v>-1.0728167953043257E-2</v>
      </c>
      <c r="LF37" s="37">
        <f t="shared" si="221"/>
        <v>-0.18711381166506391</v>
      </c>
      <c r="LG37" s="37">
        <f t="shared" si="221"/>
        <v>9.9904610803253177E-2</v>
      </c>
      <c r="LH37" s="37">
        <f t="shared" si="221"/>
        <v>1.4960966257300038E-2</v>
      </c>
      <c r="LI37" s="90">
        <f t="shared" si="221"/>
        <v>0</v>
      </c>
      <c r="LJ37" s="221">
        <f t="shared" si="130"/>
        <v>0.43798047031638565</v>
      </c>
      <c r="LL37" t="str">
        <f t="shared" si="131"/>
        <v>Motivate</v>
      </c>
      <c r="LM37" s="36">
        <f t="shared" ref="LM37:LU37" si="222">IF(LM$19&gt;0,LM24*SQRT(LM$19),0)</f>
        <v>-0.48168049826971521</v>
      </c>
      <c r="LN37" s="37">
        <f t="shared" si="222"/>
        <v>3.5934283508999486E-2</v>
      </c>
      <c r="LO37" s="37">
        <f t="shared" si="222"/>
        <v>0.18000097870506582</v>
      </c>
      <c r="LP37" s="37">
        <f t="shared" si="222"/>
        <v>0.35663063649428417</v>
      </c>
      <c r="LQ37" s="37">
        <f t="shared" si="222"/>
        <v>-1.0695118522108983E-2</v>
      </c>
      <c r="LR37" s="37">
        <f t="shared" si="222"/>
        <v>-0.18747582244370789</v>
      </c>
      <c r="LS37" s="37">
        <f t="shared" si="222"/>
        <v>0.10061614600229735</v>
      </c>
      <c r="LT37" s="37">
        <f t="shared" si="222"/>
        <v>1.5189005635910222E-2</v>
      </c>
      <c r="LU37" s="90">
        <f t="shared" si="222"/>
        <v>0</v>
      </c>
      <c r="LV37" s="221">
        <f t="shared" si="133"/>
        <v>0.43850902265547598</v>
      </c>
      <c r="LX37" t="str">
        <f t="shared" si="134"/>
        <v>Motivate</v>
      </c>
      <c r="LY37" s="36">
        <f t="shared" ref="LY37:MG37" si="223">IF(LY$19&gt;0,LY24*SQRT(LY$19),0)</f>
        <v>-0.48177241032466056</v>
      </c>
      <c r="LZ37" s="37">
        <f t="shared" si="223"/>
        <v>3.6036174920355456E-2</v>
      </c>
      <c r="MA37" s="37">
        <f t="shared" si="223"/>
        <v>0.16303684712202199</v>
      </c>
      <c r="MB37" s="37">
        <f t="shared" si="223"/>
        <v>0.36456216957589282</v>
      </c>
      <c r="MC37" s="37">
        <f t="shared" si="223"/>
        <v>-1.0672772553561033E-2</v>
      </c>
      <c r="MD37" s="37">
        <f t="shared" si="223"/>
        <v>-0.18779748213723371</v>
      </c>
      <c r="ME37" s="37">
        <f t="shared" si="223"/>
        <v>0.10130656272991506</v>
      </c>
      <c r="MF37" s="37">
        <f t="shared" si="223"/>
        <v>1.4265263168640029E-2</v>
      </c>
      <c r="MG37" s="90">
        <f t="shared" si="223"/>
        <v>0</v>
      </c>
      <c r="MH37" s="221">
        <f t="shared" si="136"/>
        <v>0.43873817001478055</v>
      </c>
      <c r="MJ37" t="str">
        <f t="shared" si="137"/>
        <v>Motivate</v>
      </c>
      <c r="MK37" s="36">
        <f t="shared" ref="MK37:MS37" si="224">IF(MK$19&gt;0,MK24*SQRT(MK$19),0)</f>
        <v>-0.48180268557279093</v>
      </c>
      <c r="ML37" s="37">
        <f t="shared" si="224"/>
        <v>3.6113412429429309E-2</v>
      </c>
      <c r="MM37" s="37">
        <f t="shared" si="224"/>
        <v>0.16195606616023625</v>
      </c>
      <c r="MN37" s="37">
        <f t="shared" si="224"/>
        <v>0.36510022133563769</v>
      </c>
      <c r="MO37" s="37">
        <f t="shared" si="224"/>
        <v>-1.063350830692244E-2</v>
      </c>
      <c r="MP37" s="37">
        <f t="shared" si="224"/>
        <v>-0.18805374217536858</v>
      </c>
      <c r="MQ37" s="37">
        <f t="shared" si="224"/>
        <v>0.10144440486059968</v>
      </c>
      <c r="MR37" s="37">
        <f t="shared" si="224"/>
        <v>1.414125214407813E-2</v>
      </c>
      <c r="MS37" s="90">
        <f t="shared" si="224"/>
        <v>0</v>
      </c>
      <c r="MT37" s="221">
        <f t="shared" si="139"/>
        <v>0.43893416910267924</v>
      </c>
    </row>
    <row r="38" spans="1:358" x14ac:dyDescent="0.25">
      <c r="A38">
        <v>35</v>
      </c>
      <c r="B38" s="123">
        <v>2</v>
      </c>
      <c r="C38" s="37">
        <v>8</v>
      </c>
      <c r="D38" s="37">
        <v>2</v>
      </c>
      <c r="E38" s="37">
        <v>3</v>
      </c>
      <c r="F38" s="37">
        <v>8</v>
      </c>
      <c r="G38" s="37">
        <v>9</v>
      </c>
      <c r="H38" s="37">
        <v>3</v>
      </c>
      <c r="I38" s="37">
        <v>5</v>
      </c>
      <c r="J38" s="90">
        <v>7</v>
      </c>
      <c r="S38">
        <f t="shared" si="140"/>
        <v>6</v>
      </c>
      <c r="T38" s="49">
        <f>[1]!RSquare($B$4:$J$123,S38)</f>
        <v>0.11017437918575945</v>
      </c>
      <c r="V38" s="221">
        <v>0.11017437918575779</v>
      </c>
      <c r="X38" t="str">
        <f t="shared" si="56"/>
        <v>Caring</v>
      </c>
      <c r="Y38" s="36">
        <f t="shared" ref="Y38:AG38" si="225">IF(Y$19&gt;0,Y25*SQRT(Y$19),0)</f>
        <v>-0.22101506400189802</v>
      </c>
      <c r="Z38" s="37">
        <f t="shared" si="225"/>
        <v>-7.8787961332618117E-3</v>
      </c>
      <c r="AA38" s="37">
        <f t="shared" si="225"/>
        <v>0.36612499252746666</v>
      </c>
      <c r="AB38" s="37">
        <f t="shared" si="225"/>
        <v>-8.9620826069494952E-2</v>
      </c>
      <c r="AC38" s="37">
        <f t="shared" si="225"/>
        <v>0</v>
      </c>
      <c r="AD38" s="37">
        <f t="shared" si="225"/>
        <v>0</v>
      </c>
      <c r="AE38" s="37">
        <f t="shared" si="225"/>
        <v>0</v>
      </c>
      <c r="AF38" s="37">
        <f t="shared" si="225"/>
        <v>0</v>
      </c>
      <c r="AG38" s="90">
        <f t="shared" si="225"/>
        <v>0</v>
      </c>
      <c r="AH38" s="221">
        <f t="shared" si="58"/>
        <v>0.19098913656288877</v>
      </c>
      <c r="AJ38" t="str">
        <f t="shared" si="59"/>
        <v>Caring</v>
      </c>
      <c r="AK38" s="36">
        <f t="shared" ref="AK38:AS38" si="226">IF(AK$19&gt;0,AK25*SQRT(AK$19),0)</f>
        <v>-0.22488683779941185</v>
      </c>
      <c r="AL38" s="37">
        <f t="shared" si="226"/>
        <v>-3.3069901175001777E-3</v>
      </c>
      <c r="AM38" s="37">
        <f t="shared" si="226"/>
        <v>0.40323085306097695</v>
      </c>
      <c r="AN38" s="37">
        <f t="shared" si="226"/>
        <v>-8.9639298514338966E-2</v>
      </c>
      <c r="AO38" s="37">
        <f t="shared" si="226"/>
        <v>5.7462011893340645E-2</v>
      </c>
      <c r="AP38" s="37">
        <f t="shared" si="226"/>
        <v>-4.8472802326673441E-2</v>
      </c>
      <c r="AQ38" s="37">
        <f t="shared" si="226"/>
        <v>0</v>
      </c>
      <c r="AR38" s="37">
        <f t="shared" si="226"/>
        <v>0</v>
      </c>
      <c r="AS38" s="90">
        <f t="shared" si="226"/>
        <v>0</v>
      </c>
      <c r="AT38" s="221">
        <f t="shared" si="61"/>
        <v>0.22686684607371332</v>
      </c>
      <c r="AV38" t="str">
        <f t="shared" si="62"/>
        <v>Caring</v>
      </c>
      <c r="AW38" s="36">
        <f t="shared" ref="AW38:BE38" si="227">IF(AW$19&gt;0,AW25*SQRT(AW$19),0)</f>
        <v>-0.22582478530255543</v>
      </c>
      <c r="AX38" s="37">
        <f t="shared" si="227"/>
        <v>2.1071142476895817E-3</v>
      </c>
      <c r="AY38" s="37">
        <f t="shared" si="227"/>
        <v>0.4175961113052713</v>
      </c>
      <c r="AZ38" s="37">
        <f t="shared" si="227"/>
        <v>-8.4216650658714892E-2</v>
      </c>
      <c r="BA38" s="37">
        <f t="shared" si="227"/>
        <v>7.9512284303779449E-2</v>
      </c>
      <c r="BB38" s="37">
        <f t="shared" si="227"/>
        <v>-7.9294851897224905E-2</v>
      </c>
      <c r="BC38" s="37">
        <f t="shared" si="227"/>
        <v>0</v>
      </c>
      <c r="BD38" s="37">
        <f t="shared" si="227"/>
        <v>0</v>
      </c>
      <c r="BE38" s="90">
        <f t="shared" si="227"/>
        <v>0</v>
      </c>
      <c r="BF38" s="221">
        <f t="shared" si="64"/>
        <v>0.24509010690546251</v>
      </c>
      <c r="BH38" t="str">
        <f t="shared" si="65"/>
        <v>Caring</v>
      </c>
      <c r="BI38" s="36">
        <f t="shared" ref="BI38:BQ38" si="228">IF(BI$19&gt;0,BI25*SQRT(BI$19),0)</f>
        <v>-0.22593044376972224</v>
      </c>
      <c r="BJ38" s="37">
        <f t="shared" si="228"/>
        <v>7.113023923469363E-3</v>
      </c>
      <c r="BK38" s="37">
        <f t="shared" si="228"/>
        <v>0.42319053653976485</v>
      </c>
      <c r="BL38" s="37">
        <f t="shared" si="228"/>
        <v>-7.6702238294811001E-2</v>
      </c>
      <c r="BM38" s="37">
        <f t="shared" si="228"/>
        <v>8.9136683296226968E-2</v>
      </c>
      <c r="BN38" s="37">
        <f t="shared" si="228"/>
        <v>-9.7751713939230461E-2</v>
      </c>
      <c r="BO38" s="37">
        <f t="shared" si="228"/>
        <v>0</v>
      </c>
      <c r="BP38" s="37">
        <f t="shared" si="228"/>
        <v>0</v>
      </c>
      <c r="BQ38" s="90">
        <f t="shared" si="228"/>
        <v>0</v>
      </c>
      <c r="BR38" s="221">
        <f t="shared" si="67"/>
        <v>0.2535693699946765</v>
      </c>
      <c r="BT38" t="str">
        <f t="shared" si="68"/>
        <v>Caring</v>
      </c>
      <c r="BU38" s="36">
        <f t="shared" ref="BU38:CC38" si="229">IF(BU$19&gt;0,BU25*SQRT(BU$19),0)</f>
        <v>-0.22563992789844392</v>
      </c>
      <c r="BV38" s="37">
        <f t="shared" si="229"/>
        <v>1.1457339209589473E-2</v>
      </c>
      <c r="BW38" s="37">
        <f t="shared" si="229"/>
        <v>0.42455705977773167</v>
      </c>
      <c r="BX38" s="37">
        <f t="shared" si="229"/>
        <v>-6.6369026403454212E-2</v>
      </c>
      <c r="BY38" s="37">
        <f t="shared" si="229"/>
        <v>9.353104352738853E-2</v>
      </c>
      <c r="BZ38" s="37">
        <f t="shared" si="229"/>
        <v>-0.1113755612306933</v>
      </c>
      <c r="CA38" s="37">
        <f t="shared" si="229"/>
        <v>-2.6152411613062514E-2</v>
      </c>
      <c r="CB38" s="37">
        <f t="shared" si="229"/>
        <v>0</v>
      </c>
      <c r="CC38" s="90">
        <f t="shared" si="229"/>
        <v>0</v>
      </c>
      <c r="CD38" s="221">
        <f t="shared" si="70"/>
        <v>0.2575347127325866</v>
      </c>
      <c r="CF38" t="str">
        <f t="shared" si="71"/>
        <v>Caring</v>
      </c>
      <c r="CG38" s="36">
        <f t="shared" ref="CG38:CO38" si="230">IF(CG$19&gt;0,CG25*SQRT(CG$19),0)</f>
        <v>-0.22526412899375972</v>
      </c>
      <c r="CH38" s="37">
        <f t="shared" si="230"/>
        <v>1.5078027042219971E-2</v>
      </c>
      <c r="CI38" s="37">
        <f t="shared" si="230"/>
        <v>0.42446469921827767</v>
      </c>
      <c r="CJ38" s="37">
        <f t="shared" si="230"/>
        <v>-5.1623798787658333E-2</v>
      </c>
      <c r="CK38" s="37">
        <f t="shared" si="230"/>
        <v>9.6014294842337214E-2</v>
      </c>
      <c r="CL38" s="37">
        <f t="shared" si="230"/>
        <v>-0.12164416770845482</v>
      </c>
      <c r="CM38" s="37">
        <f t="shared" si="230"/>
        <v>-5.1547563277254189E-2</v>
      </c>
      <c r="CN38" s="37">
        <f t="shared" si="230"/>
        <v>0</v>
      </c>
      <c r="CO38" s="90">
        <f t="shared" si="230"/>
        <v>0</v>
      </c>
      <c r="CP38" s="221">
        <f t="shared" si="73"/>
        <v>0.26047977182591114</v>
      </c>
      <c r="CR38" t="str">
        <f t="shared" si="74"/>
        <v>Caring</v>
      </c>
      <c r="CS38" s="36">
        <f t="shared" ref="CS38:DA38" si="231">IF(CS$19&gt;0,CS25*SQRT(CS$19),0)</f>
        <v>-0.22499864232229108</v>
      </c>
      <c r="CT38" s="37">
        <f t="shared" si="231"/>
        <v>1.7951181680393141E-2</v>
      </c>
      <c r="CU38" s="37">
        <f t="shared" si="231"/>
        <v>0.42437528656126061</v>
      </c>
      <c r="CV38" s="37">
        <f t="shared" si="231"/>
        <v>-3.0640677550256946E-2</v>
      </c>
      <c r="CW38" s="37">
        <f t="shared" si="231"/>
        <v>9.8061028910198064E-2</v>
      </c>
      <c r="CX38" s="37">
        <f t="shared" si="231"/>
        <v>-0.12929693617631569</v>
      </c>
      <c r="CY38" s="37">
        <f t="shared" si="231"/>
        <v>-6.4365925056877077E-2</v>
      </c>
      <c r="CZ38" s="37">
        <f t="shared" si="231"/>
        <v>0</v>
      </c>
      <c r="DA38" s="90">
        <f t="shared" si="231"/>
        <v>0</v>
      </c>
      <c r="DB38" s="221">
        <f t="shared" si="76"/>
        <v>0.26245650433922413</v>
      </c>
      <c r="DD38" t="str">
        <f t="shared" si="77"/>
        <v>Caring</v>
      </c>
      <c r="DE38" s="36">
        <f t="shared" ref="DE38:DM38" si="232">IF(DE$19&gt;0,DE25*SQRT(DE$19),0)</f>
        <v>-0.22477792609608313</v>
      </c>
      <c r="DF38" s="37">
        <f t="shared" si="232"/>
        <v>2.0216519537519059E-2</v>
      </c>
      <c r="DG38" s="37">
        <f t="shared" si="232"/>
        <v>0.42336874060525881</v>
      </c>
      <c r="DH38" s="37">
        <f t="shared" si="232"/>
        <v>4.0522473434015551E-4</v>
      </c>
      <c r="DI38" s="37">
        <f t="shared" si="232"/>
        <v>9.9674786485867889E-2</v>
      </c>
      <c r="DJ38" s="37">
        <f t="shared" si="232"/>
        <v>-0.13504494460577599</v>
      </c>
      <c r="DK38" s="37">
        <f t="shared" si="232"/>
        <v>-7.3127666064391542E-2</v>
      </c>
      <c r="DL38" s="37">
        <f t="shared" si="232"/>
        <v>0</v>
      </c>
      <c r="DM38" s="90">
        <f t="shared" si="232"/>
        <v>0</v>
      </c>
      <c r="DN38" s="221">
        <f t="shared" si="79"/>
        <v>0.26369493411964096</v>
      </c>
      <c r="DP38" t="str">
        <f t="shared" si="80"/>
        <v>Caring</v>
      </c>
      <c r="DQ38" s="36">
        <f t="shared" ref="DQ38:DY38" si="233">IF(DQ$19&gt;0,DQ25*SQRT(DQ$19),0)</f>
        <v>-0.22458626624659841</v>
      </c>
      <c r="DR38" s="37">
        <f t="shared" si="233"/>
        <v>2.2010533789451149E-2</v>
      </c>
      <c r="DS38" s="37">
        <f t="shared" si="233"/>
        <v>0.4189028304330934</v>
      </c>
      <c r="DT38" s="37">
        <f t="shared" si="233"/>
        <v>4.514580486895016E-2</v>
      </c>
      <c r="DU38" s="37">
        <f t="shared" si="233"/>
        <v>0.10094103956360252</v>
      </c>
      <c r="DV38" s="37">
        <f t="shared" si="233"/>
        <v>-0.13937616761186458</v>
      </c>
      <c r="DW38" s="37">
        <f t="shared" si="233"/>
        <v>-7.9687771692516701E-2</v>
      </c>
      <c r="DX38" s="37">
        <f t="shared" si="233"/>
        <v>0</v>
      </c>
      <c r="DY38" s="90">
        <f t="shared" si="233"/>
        <v>0</v>
      </c>
      <c r="DZ38" s="221">
        <f t="shared" si="82"/>
        <v>0.26440613015007691</v>
      </c>
      <c r="EB38" t="str">
        <f t="shared" si="83"/>
        <v>Caring</v>
      </c>
      <c r="EC38" s="36">
        <f t="shared" ref="EC38:EK38" si="234">IF(EC$19&gt;0,EC25*SQRT(EC$19),0)</f>
        <v>-0.2244188650906157</v>
      </c>
      <c r="ED38" s="37">
        <f t="shared" si="234"/>
        <v>2.34390231277916E-2</v>
      </c>
      <c r="EE38" s="37">
        <f t="shared" si="234"/>
        <v>0.40707426931898694</v>
      </c>
      <c r="EF38" s="37">
        <f t="shared" si="234"/>
        <v>0.10120212159482372</v>
      </c>
      <c r="EG38" s="37">
        <f t="shared" si="234"/>
        <v>0.10192845593716003</v>
      </c>
      <c r="EH38" s="37">
        <f t="shared" si="234"/>
        <v>-0.1426378651198939</v>
      </c>
      <c r="EI38" s="37">
        <f t="shared" si="234"/>
        <v>8.4817942363947754E-2</v>
      </c>
      <c r="EJ38" s="37">
        <f t="shared" si="234"/>
        <v>0</v>
      </c>
      <c r="EK38" s="90">
        <f t="shared" si="234"/>
        <v>0</v>
      </c>
      <c r="EL38" s="221">
        <f t="shared" si="85"/>
        <v>0.26479359901317429</v>
      </c>
      <c r="EN38" t="str">
        <f t="shared" si="86"/>
        <v>Caring</v>
      </c>
      <c r="EO38" s="36">
        <f t="shared" ref="EO38:EW38" si="235">IF(EO$19&gt;0,EO25*SQRT(EO$19),0)</f>
        <v>-0.22427767232801377</v>
      </c>
      <c r="EP38" s="37">
        <f t="shared" si="235"/>
        <v>2.458141131229194E-2</v>
      </c>
      <c r="EQ38" s="37">
        <f t="shared" si="235"/>
        <v>0.38519172660587853</v>
      </c>
      <c r="ER38" s="37">
        <f t="shared" si="235"/>
        <v>0.16200990662737746</v>
      </c>
      <c r="ES38" s="37">
        <f t="shared" si="235"/>
        <v>0.10268719441693155</v>
      </c>
      <c r="ET38" s="37">
        <f t="shared" si="235"/>
        <v>-0.14508344143899787</v>
      </c>
      <c r="EU38" s="37">
        <f t="shared" si="235"/>
        <v>-8.9013389185857689E-2</v>
      </c>
      <c r="EV38" s="37">
        <f t="shared" si="235"/>
        <v>0</v>
      </c>
      <c r="EW38" s="90">
        <f t="shared" si="235"/>
        <v>0</v>
      </c>
      <c r="EX38" s="221">
        <f t="shared" si="88"/>
        <v>0.26504184450936219</v>
      </c>
      <c r="EZ38" t="str">
        <f t="shared" si="89"/>
        <v>Caring</v>
      </c>
      <c r="FA38" s="36">
        <f t="shared" ref="FA38:FI38" si="236">IF(FA$19&gt;0,FA25*SQRT(FA$19),0)</f>
        <v>-0.22416826532593612</v>
      </c>
      <c r="FB38" s="37">
        <f t="shared" si="236"/>
        <v>2.5504622267130985E-2</v>
      </c>
      <c r="FC38" s="37">
        <f t="shared" si="236"/>
        <v>0.34455673740241832</v>
      </c>
      <c r="FD38" s="37">
        <f t="shared" si="236"/>
        <v>0.23373857574620874</v>
      </c>
      <c r="FE38" s="37">
        <f t="shared" si="236"/>
        <v>0.10328786524642056</v>
      </c>
      <c r="FF38" s="37">
        <f t="shared" si="236"/>
        <v>-0.14691459073005869</v>
      </c>
      <c r="FG38" s="37">
        <f t="shared" si="236"/>
        <v>-9.2676874947907259E-2</v>
      </c>
      <c r="FH38" s="37">
        <f t="shared" si="236"/>
        <v>0</v>
      </c>
      <c r="FI38" s="90">
        <f t="shared" si="236"/>
        <v>0</v>
      </c>
      <c r="FJ38" s="221">
        <f t="shared" si="91"/>
        <v>0.26509624724414693</v>
      </c>
      <c r="FL38" t="str">
        <f t="shared" si="92"/>
        <v>Caring</v>
      </c>
      <c r="FM38" s="36">
        <f t="shared" ref="FM38:FU38" si="237">IF(FM$19&gt;0,FM25*SQRT(FM$19),0)</f>
        <v>-0.22407408807350046</v>
      </c>
      <c r="FN38" s="37">
        <f t="shared" si="237"/>
        <v>2.6256456403987313E-2</v>
      </c>
      <c r="FO38" s="37">
        <f t="shared" si="237"/>
        <v>0.30890939815736018</v>
      </c>
      <c r="FP38" s="37">
        <f t="shared" si="237"/>
        <v>0.27723259550759677</v>
      </c>
      <c r="FQ38" s="37">
        <f t="shared" si="237"/>
        <v>0.1037727243188407</v>
      </c>
      <c r="FR38" s="37">
        <f t="shared" si="237"/>
        <v>-0.14827152177195516</v>
      </c>
      <c r="FS38" s="37">
        <f t="shared" si="237"/>
        <v>-9.5638320554853967E-2</v>
      </c>
      <c r="FT38" s="37">
        <f t="shared" si="237"/>
        <v>9.2318026039392986E-3</v>
      </c>
      <c r="FU38" s="90">
        <f t="shared" si="237"/>
        <v>0</v>
      </c>
      <c r="FV38" s="221">
        <f t="shared" si="94"/>
        <v>0.26516666374968312</v>
      </c>
      <c r="FX38" t="str">
        <f t="shared" si="95"/>
        <v>Caring</v>
      </c>
      <c r="FY38" s="36">
        <f t="shared" ref="FY38:GG38" si="238">IF(FY$19&gt;0,FY25*SQRT(FY$19),0)</f>
        <v>-0.22400165942781919</v>
      </c>
      <c r="FZ38" s="37">
        <f t="shared" si="238"/>
        <v>2.6862507668536185E-2</v>
      </c>
      <c r="GA38" s="37">
        <f t="shared" si="238"/>
        <v>0.3078018874383448</v>
      </c>
      <c r="GB38" s="37">
        <f t="shared" si="238"/>
        <v>0.27748726106388166</v>
      </c>
      <c r="GC38" s="37">
        <f t="shared" si="238"/>
        <v>0.10416931081853251</v>
      </c>
      <c r="GD38" s="37">
        <f t="shared" si="238"/>
        <v>-0.14931854792158514</v>
      </c>
      <c r="GE38" s="37">
        <f t="shared" si="238"/>
        <v>-9.8192362754140255E-2</v>
      </c>
      <c r="GF38" s="37">
        <f t="shared" si="238"/>
        <v>-1.2511686700183787E-2</v>
      </c>
      <c r="GG38" s="90">
        <f t="shared" si="238"/>
        <v>0</v>
      </c>
      <c r="GH38" s="221">
        <f t="shared" si="97"/>
        <v>0.2655850761851441</v>
      </c>
      <c r="GJ38" t="str">
        <f t="shared" si="98"/>
        <v>Caring</v>
      </c>
      <c r="GK38" s="36">
        <f t="shared" ref="GK38:GS38" si="239">IF(GK$19&gt;0,GK25*SQRT(GK$19),0)</f>
        <v>-0.22398514015381907</v>
      </c>
      <c r="GL38" s="37">
        <f t="shared" si="239"/>
        <v>2.7366864609314853E-2</v>
      </c>
      <c r="GM38" s="37">
        <f t="shared" si="239"/>
        <v>0.29628348830581708</v>
      </c>
      <c r="GN38" s="37">
        <f t="shared" si="239"/>
        <v>0.28875970707901777</v>
      </c>
      <c r="GO38" s="37">
        <f t="shared" si="239"/>
        <v>0.10461801176017474</v>
      </c>
      <c r="GP38" s="37">
        <f t="shared" si="239"/>
        <v>-0.1501374122950421</v>
      </c>
      <c r="GQ38" s="37">
        <f t="shared" si="239"/>
        <v>-0.10104630333054647</v>
      </c>
      <c r="GR38" s="37">
        <f t="shared" si="239"/>
        <v>-1.5323474790568118E-2</v>
      </c>
      <c r="GS38" s="90">
        <f t="shared" si="239"/>
        <v>0</v>
      </c>
      <c r="GT38" s="221">
        <f t="shared" si="100"/>
        <v>0.2660156974150234</v>
      </c>
      <c r="GV38" t="str">
        <f t="shared" si="101"/>
        <v>Caring</v>
      </c>
      <c r="GW38" s="36">
        <f t="shared" ref="GW38:HE38" si="240">IF(GW$19&gt;0,GW25*SQRT(GW$19),0)</f>
        <v>-0.22398215897496673</v>
      </c>
      <c r="GX38" s="37">
        <f t="shared" si="240"/>
        <v>2.778391773691959E-2</v>
      </c>
      <c r="GY38" s="37">
        <f t="shared" si="240"/>
        <v>0.28873803550126487</v>
      </c>
      <c r="GZ38" s="37">
        <f t="shared" si="240"/>
        <v>0.29553458694426582</v>
      </c>
      <c r="HA38" s="37">
        <f t="shared" si="240"/>
        <v>0.10502340115714792</v>
      </c>
      <c r="HB38" s="37">
        <f t="shared" si="240"/>
        <v>-0.15078204908353945</v>
      </c>
      <c r="HC38" s="37">
        <f t="shared" si="240"/>
        <v>-0.10359372945883623</v>
      </c>
      <c r="HD38" s="37">
        <f t="shared" si="240"/>
        <v>-1.7268212904243154E-2</v>
      </c>
      <c r="HE38" s="90">
        <f t="shared" si="240"/>
        <v>0</v>
      </c>
      <c r="HF38" s="221">
        <f t="shared" si="103"/>
        <v>0.26644529192588962</v>
      </c>
      <c r="HH38" t="str">
        <f t="shared" si="104"/>
        <v>Caring</v>
      </c>
      <c r="HI38" s="36">
        <f t="shared" ref="HI38:HQ38" si="241">IF(HI$19&gt;0,HI25*SQRT(HI$19),0)</f>
        <v>-0.22398868570922251</v>
      </c>
      <c r="HJ38" s="37">
        <f t="shared" si="241"/>
        <v>2.8130887350549166E-2</v>
      </c>
      <c r="HK38" s="37">
        <f t="shared" si="241"/>
        <v>0.25994926780259342</v>
      </c>
      <c r="HL38" s="37">
        <f t="shared" si="241"/>
        <v>0.32006495826832049</v>
      </c>
      <c r="HM38" s="37">
        <f t="shared" si="241"/>
        <v>0.10538750677620341</v>
      </c>
      <c r="HN38" s="37">
        <f t="shared" si="241"/>
        <v>-0.15129362239671276</v>
      </c>
      <c r="HO38" s="37">
        <f t="shared" si="241"/>
        <v>-0.10586991946095145</v>
      </c>
      <c r="HP38" s="37">
        <f t="shared" si="241"/>
        <v>-1.866915031673045E-2</v>
      </c>
      <c r="HQ38" s="90">
        <f t="shared" si="241"/>
        <v>0</v>
      </c>
      <c r="HR38" s="221">
        <f t="shared" si="106"/>
        <v>0.26653074127392073</v>
      </c>
      <c r="HT38" t="str">
        <f t="shared" si="107"/>
        <v>Caring</v>
      </c>
      <c r="HU38" s="36">
        <f t="shared" ref="HU38:IC38" si="242">IF(HU$19&gt;0,HU25*SQRT(HU$19),0)</f>
        <v>-0.22396306187142606</v>
      </c>
      <c r="HV38" s="37">
        <f t="shared" si="242"/>
        <v>2.8402271221082753E-2</v>
      </c>
      <c r="HW38" s="37">
        <f t="shared" si="242"/>
        <v>0.25096924791794933</v>
      </c>
      <c r="HX38" s="37">
        <f t="shared" si="242"/>
        <v>0.32654254856301057</v>
      </c>
      <c r="HY38" s="37">
        <f t="shared" si="242"/>
        <v>0.10556944315104955</v>
      </c>
      <c r="HZ38" s="37">
        <f t="shared" si="242"/>
        <v>-0.15167856382081316</v>
      </c>
      <c r="IA38" s="37">
        <f t="shared" si="242"/>
        <v>-0.10727290722482295</v>
      </c>
      <c r="IB38" s="37">
        <f t="shared" si="242"/>
        <v>-1.9402390738954951E-2</v>
      </c>
      <c r="IC38" s="90">
        <f t="shared" si="242"/>
        <v>0</v>
      </c>
      <c r="ID38" s="221">
        <f t="shared" si="109"/>
        <v>0.26661696495668713</v>
      </c>
      <c r="IF38" t="str">
        <f t="shared" si="110"/>
        <v>Caring</v>
      </c>
      <c r="IG38" s="36">
        <f t="shared" ref="IG38:IO38" si="243">IF(IG$19&gt;0,IG25*SQRT(IG$19),0)</f>
        <v>-0.22394414963550185</v>
      </c>
      <c r="IH38" s="37">
        <f t="shared" si="243"/>
        <v>2.8624896161910687E-2</v>
      </c>
      <c r="II38" s="37">
        <f t="shared" si="243"/>
        <v>0.24423328542629563</v>
      </c>
      <c r="IJ38" s="37">
        <f t="shared" si="243"/>
        <v>0.33112321772211262</v>
      </c>
      <c r="IK38" s="37">
        <f t="shared" si="243"/>
        <v>0.10571699370494959</v>
      </c>
      <c r="IL38" s="37">
        <f t="shared" si="243"/>
        <v>-0.15197644493675236</v>
      </c>
      <c r="IM38" s="37">
        <f t="shared" si="243"/>
        <v>-0.1084795367050575</v>
      </c>
      <c r="IN38" s="37">
        <f t="shared" si="243"/>
        <v>-1.9972217014873478E-2</v>
      </c>
      <c r="IO38" s="90">
        <f t="shared" si="243"/>
        <v>0</v>
      </c>
      <c r="IP38" s="221">
        <f t="shared" si="112"/>
        <v>0.26670247177087542</v>
      </c>
      <c r="IR38" t="str">
        <f t="shared" si="113"/>
        <v>Caring</v>
      </c>
      <c r="IS38" s="36">
        <f t="shared" ref="IS38:JA38" si="244">IF(IS$19&gt;0,IS25*SQRT(IS$19),0)</f>
        <v>-0.22393042150861003</v>
      </c>
      <c r="IT38" s="37">
        <f t="shared" si="244"/>
        <v>2.8808129804001232E-2</v>
      </c>
      <c r="IU38" s="37">
        <f t="shared" si="244"/>
        <v>0.26168420215099814</v>
      </c>
      <c r="IV38" s="37">
        <f t="shared" si="244"/>
        <v>0.31761734849189421</v>
      </c>
      <c r="IW38" s="37">
        <f t="shared" si="244"/>
        <v>0.10583645830353343</v>
      </c>
      <c r="IX38" s="37">
        <f t="shared" si="244"/>
        <v>-0.15220785616823662</v>
      </c>
      <c r="IY38" s="37">
        <f t="shared" si="244"/>
        <v>-0.10950681461242091</v>
      </c>
      <c r="IZ38" s="37">
        <f t="shared" si="244"/>
        <v>-2.0519097249725077E-2</v>
      </c>
      <c r="JA38" s="90">
        <f t="shared" si="244"/>
        <v>0</v>
      </c>
      <c r="JB38" s="221">
        <f t="shared" si="115"/>
        <v>0.26711550692232278</v>
      </c>
      <c r="JD38" t="str">
        <f t="shared" si="116"/>
        <v>Caring</v>
      </c>
      <c r="JE38" s="36">
        <f t="shared" ref="JE38:JM38" si="245">IF(JE$19&gt;0,JE25*SQRT(JE$19),0)</f>
        <v>-0.22395916939847188</v>
      </c>
      <c r="JF38" s="37">
        <f t="shared" si="245"/>
        <v>2.8980727154266188E-2</v>
      </c>
      <c r="JG38" s="37">
        <f t="shared" si="245"/>
        <v>0.26361216085684513</v>
      </c>
      <c r="JH38" s="37">
        <f t="shared" si="245"/>
        <v>0.31587733832215026</v>
      </c>
      <c r="JI38" s="37">
        <f t="shared" si="245"/>
        <v>0.10609107117577495</v>
      </c>
      <c r="JJ38" s="37">
        <f t="shared" si="245"/>
        <v>-0.15241437033288638</v>
      </c>
      <c r="JK38" s="37">
        <f t="shared" si="245"/>
        <v>-0.11098630727794256</v>
      </c>
      <c r="JL38" s="37">
        <f t="shared" si="245"/>
        <v>-2.1120825075767291E-2</v>
      </c>
      <c r="JM38" s="90">
        <f t="shared" si="245"/>
        <v>0</v>
      </c>
      <c r="JN38" s="221">
        <f t="shared" si="118"/>
        <v>0.26751696164341343</v>
      </c>
      <c r="JP38" t="str">
        <f t="shared" si="119"/>
        <v>Caring</v>
      </c>
      <c r="JQ38" s="36">
        <f t="shared" ref="JQ38:JY38" si="246">IF(JQ$19&gt;0,JQ25*SQRT(JQ$19),0)</f>
        <v>-0.223989591401274</v>
      </c>
      <c r="JR38" s="37">
        <f t="shared" si="246"/>
        <v>2.9129293686622808E-2</v>
      </c>
      <c r="JS38" s="37">
        <f t="shared" si="246"/>
        <v>0.24497972520768632</v>
      </c>
      <c r="JT38" s="37">
        <f t="shared" si="246"/>
        <v>0.32997612046965064</v>
      </c>
      <c r="JU38" s="37">
        <f t="shared" si="246"/>
        <v>0.10632469149807024</v>
      </c>
      <c r="JV38" s="37">
        <f t="shared" si="246"/>
        <v>-0.15258602990016434</v>
      </c>
      <c r="JW38" s="37">
        <f t="shared" si="246"/>
        <v>-0.11234146936819614</v>
      </c>
      <c r="JX38" s="37">
        <f t="shared" si="246"/>
        <v>-2.1453497134759292E-2</v>
      </c>
      <c r="JY38" s="90">
        <f t="shared" si="246"/>
        <v>0</v>
      </c>
      <c r="JZ38" s="221">
        <f t="shared" si="121"/>
        <v>0.26758745347179624</v>
      </c>
      <c r="KB38" t="str">
        <f t="shared" si="122"/>
        <v>Caring</v>
      </c>
      <c r="KC38" s="36">
        <f t="shared" ref="KC38:KK38" si="247">IF(KC$19&gt;0,KC25*SQRT(KC$19),0)</f>
        <v>-0.22398376705880746</v>
      </c>
      <c r="KD38" s="37">
        <f t="shared" si="247"/>
        <v>2.9237852307861779E-2</v>
      </c>
      <c r="KE38" s="37">
        <f t="shared" si="247"/>
        <v>0.24221442393710593</v>
      </c>
      <c r="KF38" s="37">
        <f t="shared" si="247"/>
        <v>0.33179024502194909</v>
      </c>
      <c r="KG38" s="37">
        <f t="shared" si="247"/>
        <v>0.10639281732335075</v>
      </c>
      <c r="KH38" s="37">
        <f t="shared" si="247"/>
        <v>-0.15271000224428111</v>
      </c>
      <c r="KI38" s="37">
        <f t="shared" si="247"/>
        <v>-0.1130008992802039</v>
      </c>
      <c r="KJ38" s="37">
        <f t="shared" si="247"/>
        <v>2.1648755568719237E-2</v>
      </c>
      <c r="KK38" s="90">
        <f t="shared" si="247"/>
        <v>0</v>
      </c>
      <c r="KL38" s="221">
        <f t="shared" si="124"/>
        <v>0.26765382198759674</v>
      </c>
      <c r="KN38" t="str">
        <f t="shared" si="125"/>
        <v>Caring</v>
      </c>
      <c r="KO38" s="36">
        <f t="shared" ref="KO38:KW38" si="248">IF(KO$19&gt;0,KO25*SQRT(KO$19),0)</f>
        <v>-0.22397982705109967</v>
      </c>
      <c r="KP38" s="37">
        <f t="shared" si="248"/>
        <v>2.9327970352129581E-2</v>
      </c>
      <c r="KQ38" s="37">
        <f t="shared" si="248"/>
        <v>0.24005573614516099</v>
      </c>
      <c r="KR38" s="37">
        <f t="shared" si="248"/>
        <v>0.33317792538197222</v>
      </c>
      <c r="KS38" s="37">
        <f t="shared" si="248"/>
        <v>0.10644844850315349</v>
      </c>
      <c r="KT38" s="37">
        <f t="shared" si="248"/>
        <v>-0.15280850508231031</v>
      </c>
      <c r="KU38" s="37">
        <f t="shared" si="248"/>
        <v>-0.11356654863801603</v>
      </c>
      <c r="KV38" s="37">
        <f t="shared" si="248"/>
        <v>2.1723125094636205E-2</v>
      </c>
      <c r="KW38" s="90">
        <f t="shared" si="248"/>
        <v>0</v>
      </c>
      <c r="KX38" s="221">
        <f t="shared" si="127"/>
        <v>0.26771234573649311</v>
      </c>
      <c r="KZ38" t="str">
        <f t="shared" si="128"/>
        <v>Caring</v>
      </c>
      <c r="LA38" s="36">
        <f t="shared" ref="LA38:LI38" si="249">IF(LA$19&gt;0,LA25*SQRT(LA$19),0)</f>
        <v>-0.2239769463605851</v>
      </c>
      <c r="LB38" s="37">
        <f t="shared" si="249"/>
        <v>2.9403074229629445E-2</v>
      </c>
      <c r="LC38" s="37">
        <f t="shared" si="249"/>
        <v>0.2587243823619923</v>
      </c>
      <c r="LD38" s="37">
        <f t="shared" si="249"/>
        <v>0.31922613927516785</v>
      </c>
      <c r="LE38" s="37">
        <f t="shared" si="249"/>
        <v>0.10649548836580883</v>
      </c>
      <c r="LF38" s="37">
        <f t="shared" si="249"/>
        <v>-0.15288888742309989</v>
      </c>
      <c r="LG38" s="37">
        <f t="shared" si="249"/>
        <v>-0.11403496234661058</v>
      </c>
      <c r="LH38" s="37">
        <f t="shared" si="249"/>
        <v>-2.2251278748859109E-2</v>
      </c>
      <c r="LI38" s="90">
        <f t="shared" si="249"/>
        <v>0</v>
      </c>
      <c r="LJ38" s="221">
        <f t="shared" si="130"/>
        <v>0.26808924028338649</v>
      </c>
      <c r="LL38" t="str">
        <f t="shared" si="131"/>
        <v>Caring</v>
      </c>
      <c r="LM38" s="36">
        <f t="shared" ref="LM38:LU38" si="250">IF(LM$19&gt;0,LM25*SQRT(LM$19),0)</f>
        <v>-0.22401303781746518</v>
      </c>
      <c r="LN38" s="37">
        <f t="shared" si="250"/>
        <v>2.9486153117093235E-2</v>
      </c>
      <c r="LO38" s="37">
        <f t="shared" si="250"/>
        <v>0.263157484815914</v>
      </c>
      <c r="LP38" s="37">
        <f t="shared" si="250"/>
        <v>0.31565256596040153</v>
      </c>
      <c r="LQ38" s="37">
        <f t="shared" si="250"/>
        <v>0.10667883110686494</v>
      </c>
      <c r="LR38" s="37">
        <f t="shared" si="250"/>
        <v>-0.15296726855139015</v>
      </c>
      <c r="LS38" s="37">
        <f t="shared" si="250"/>
        <v>-0.11502335189798979</v>
      </c>
      <c r="LT38" s="37">
        <f t="shared" si="250"/>
        <v>-2.2549610129384962E-2</v>
      </c>
      <c r="LU38" s="90">
        <f t="shared" si="250"/>
        <v>0</v>
      </c>
      <c r="LV38" s="221">
        <f t="shared" si="133"/>
        <v>0.26845789320311358</v>
      </c>
      <c r="LX38" t="str">
        <f t="shared" si="134"/>
        <v>Caring</v>
      </c>
      <c r="LY38" s="36">
        <f t="shared" ref="LY38:MG38" si="251">IF(LY$19&gt;0,LY25*SQRT(LY$19),0)</f>
        <v>-0.22404917133436808</v>
      </c>
      <c r="LZ38" s="37">
        <f t="shared" si="251"/>
        <v>2.9560896242444318E-2</v>
      </c>
      <c r="MA38" s="37">
        <f t="shared" si="251"/>
        <v>0.2480680622846187</v>
      </c>
      <c r="MB38" s="37">
        <f t="shared" si="251"/>
        <v>0.3272672920769808</v>
      </c>
      <c r="MC38" s="37">
        <f t="shared" si="251"/>
        <v>0.10685290522347005</v>
      </c>
      <c r="MD38" s="37">
        <f t="shared" si="251"/>
        <v>-0.1530357602981261</v>
      </c>
      <c r="ME38" s="37">
        <f t="shared" si="251"/>
        <v>-0.11596586552446965</v>
      </c>
      <c r="MF38" s="37">
        <f t="shared" si="251"/>
        <v>-2.245200601633485E-2</v>
      </c>
      <c r="MG38" s="90">
        <f t="shared" si="251"/>
        <v>0</v>
      </c>
      <c r="MH38" s="221">
        <f t="shared" si="136"/>
        <v>0.26850318357703717</v>
      </c>
      <c r="MJ38" t="str">
        <f t="shared" si="137"/>
        <v>Caring</v>
      </c>
      <c r="MK38" s="36">
        <f t="shared" ref="MK38:MS38" si="252">IF(MK$19&gt;0,MK25*SQRT(MK$19),0)</f>
        <v>-0.22404815195886441</v>
      </c>
      <c r="ML38" s="37">
        <f t="shared" si="252"/>
        <v>2.9609129689696614E-2</v>
      </c>
      <c r="MM38" s="37">
        <f t="shared" si="252"/>
        <v>0.24702228709190907</v>
      </c>
      <c r="MN38" s="37">
        <f t="shared" si="252"/>
        <v>0.32796757053397024</v>
      </c>
      <c r="MO38" s="37">
        <f t="shared" si="252"/>
        <v>0.10688308940219521</v>
      </c>
      <c r="MP38" s="37">
        <f t="shared" si="252"/>
        <v>-0.15308574749369902</v>
      </c>
      <c r="MQ38" s="37">
        <f t="shared" si="252"/>
        <v>-0.11628372157355549</v>
      </c>
      <c r="MR38" s="37">
        <f t="shared" si="252"/>
        <v>-2.2502879253796435E-2</v>
      </c>
      <c r="MS38" s="90">
        <f t="shared" si="252"/>
        <v>0</v>
      </c>
      <c r="MT38" s="221">
        <f t="shared" si="139"/>
        <v>0.26854453696280534</v>
      </c>
    </row>
    <row r="39" spans="1:358" x14ac:dyDescent="0.25">
      <c r="A39">
        <v>36</v>
      </c>
      <c r="B39" s="123">
        <v>2</v>
      </c>
      <c r="C39" s="37">
        <v>8</v>
      </c>
      <c r="D39" s="37">
        <v>2</v>
      </c>
      <c r="E39" s="37">
        <v>3</v>
      </c>
      <c r="F39" s="37">
        <v>6</v>
      </c>
      <c r="G39" s="37">
        <v>5</v>
      </c>
      <c r="H39" s="37">
        <v>3</v>
      </c>
      <c r="I39" s="37">
        <v>5</v>
      </c>
      <c r="J39" s="90">
        <v>7</v>
      </c>
      <c r="S39">
        <f t="shared" si="140"/>
        <v>7</v>
      </c>
      <c r="T39" s="49">
        <f>[1]!RSquare($B$4:$J$123,S39)</f>
        <v>0.61889605945748039</v>
      </c>
      <c r="V39" s="221">
        <v>0.61889605945747794</v>
      </c>
      <c r="X39" t="str">
        <f t="shared" si="56"/>
        <v>Charisma</v>
      </c>
      <c r="Y39" s="36">
        <f t="shared" ref="Y39:AG39" si="253">IF(Y$19&gt;0,Y26*SQRT(Y$19),0)</f>
        <v>-0.7989370336917383</v>
      </c>
      <c r="Z39" s="37">
        <f t="shared" si="253"/>
        <v>0.19965559829446677</v>
      </c>
      <c r="AA39" s="37">
        <f t="shared" si="253"/>
        <v>-0.12609349710010379</v>
      </c>
      <c r="AB39" s="37">
        <f t="shared" si="253"/>
        <v>-1.2952069440509357E-2</v>
      </c>
      <c r="AC39" s="37">
        <f t="shared" si="253"/>
        <v>0</v>
      </c>
      <c r="AD39" s="37">
        <f t="shared" si="253"/>
        <v>0</v>
      </c>
      <c r="AE39" s="37">
        <f t="shared" si="253"/>
        <v>0</v>
      </c>
      <c r="AF39" s="37">
        <f t="shared" si="253"/>
        <v>0</v>
      </c>
      <c r="AG39" s="90">
        <f t="shared" si="253"/>
        <v>0</v>
      </c>
      <c r="AH39" s="221">
        <f t="shared" si="58"/>
        <v>0.69423006784820085</v>
      </c>
      <c r="AJ39" t="str">
        <f t="shared" si="59"/>
        <v>Charisma</v>
      </c>
      <c r="AK39" s="36">
        <f t="shared" ref="AK39:AS39" si="254">IF(AK$19&gt;0,AK26*SQRT(AK$19),0)</f>
        <v>-0.8112911105344871</v>
      </c>
      <c r="AL39" s="37">
        <f t="shared" si="254"/>
        <v>0.20730663702945215</v>
      </c>
      <c r="AM39" s="37">
        <f t="shared" si="254"/>
        <v>-0.13857020339007731</v>
      </c>
      <c r="AN39" s="37">
        <f t="shared" si="254"/>
        <v>-1.5828513659773603E-2</v>
      </c>
      <c r="AO39" s="37">
        <f t="shared" si="254"/>
        <v>-0.12076954785607644</v>
      </c>
      <c r="AP39" s="37">
        <f t="shared" si="254"/>
        <v>1.3770846321280804E-2</v>
      </c>
      <c r="AQ39" s="37">
        <f t="shared" si="254"/>
        <v>0</v>
      </c>
      <c r="AR39" s="37">
        <f t="shared" si="254"/>
        <v>0</v>
      </c>
      <c r="AS39" s="90">
        <f t="shared" si="254"/>
        <v>0</v>
      </c>
      <c r="AT39" s="221">
        <f t="shared" si="61"/>
        <v>0.73539647079875281</v>
      </c>
      <c r="AV39" t="str">
        <f t="shared" si="62"/>
        <v>Charisma</v>
      </c>
      <c r="AW39" s="36">
        <f t="shared" ref="AW39:BE39" si="255">IF(AW$19&gt;0,AW26*SQRT(AW$19),0)</f>
        <v>-0.81771507842316171</v>
      </c>
      <c r="AX39" s="37">
        <f t="shared" si="255"/>
        <v>0.21222158791092785</v>
      </c>
      <c r="AY39" s="37">
        <f t="shared" si="255"/>
        <v>-0.14301075617384762</v>
      </c>
      <c r="AZ39" s="37">
        <f t="shared" si="255"/>
        <v>-1.9786835016228452E-2</v>
      </c>
      <c r="BA39" s="37">
        <f t="shared" si="255"/>
        <v>-0.15583284413090873</v>
      </c>
      <c r="BB39" s="37">
        <f t="shared" si="255"/>
        <v>1.9522375200339896E-2</v>
      </c>
      <c r="BC39" s="37">
        <f t="shared" si="255"/>
        <v>0</v>
      </c>
      <c r="BD39" s="37">
        <f t="shared" si="255"/>
        <v>0</v>
      </c>
      <c r="BE39" s="90">
        <f t="shared" si="255"/>
        <v>0</v>
      </c>
      <c r="BF39" s="221">
        <f t="shared" si="64"/>
        <v>0.7592045455207993</v>
      </c>
      <c r="BH39" t="str">
        <f t="shared" si="65"/>
        <v>Charisma</v>
      </c>
      <c r="BI39" s="36">
        <f t="shared" ref="BI39:BQ39" si="256">IF(BI$19&gt;0,BI26*SQRT(BI$19),0)</f>
        <v>-0.82067912325108439</v>
      </c>
      <c r="BJ39" s="37">
        <f t="shared" si="256"/>
        <v>0.21607804449263324</v>
      </c>
      <c r="BK39" s="37">
        <f t="shared" si="256"/>
        <v>-0.14536728038204144</v>
      </c>
      <c r="BL39" s="37">
        <f t="shared" si="256"/>
        <v>-2.5114538125544178E-2</v>
      </c>
      <c r="BM39" s="37">
        <f t="shared" si="256"/>
        <v>-0.17451698549725383</v>
      </c>
      <c r="BN39" s="37">
        <f t="shared" si="256"/>
        <v>2.1497649174119372E-2</v>
      </c>
      <c r="BO39" s="37">
        <f t="shared" si="256"/>
        <v>0</v>
      </c>
      <c r="BP39" s="37">
        <f t="shared" si="256"/>
        <v>0</v>
      </c>
      <c r="BQ39" s="90">
        <f t="shared" si="256"/>
        <v>0</v>
      </c>
      <c r="BR39" s="221">
        <f t="shared" si="67"/>
        <v>0.77288465802992168</v>
      </c>
      <c r="BT39" t="str">
        <f t="shared" si="68"/>
        <v>Charisma</v>
      </c>
      <c r="BU39" s="36">
        <f t="shared" ref="BU39:CC39" si="257">IF(BU$19&gt;0,BU26*SQRT(BU$19),0)</f>
        <v>-0.82174502953151829</v>
      </c>
      <c r="BV39" s="37">
        <f t="shared" si="257"/>
        <v>0.2192027708587817</v>
      </c>
      <c r="BW39" s="37">
        <f t="shared" si="257"/>
        <v>-0.14622441708352391</v>
      </c>
      <c r="BX39" s="37">
        <f t="shared" si="257"/>
        <v>-3.1459301943854809E-2</v>
      </c>
      <c r="BY39" s="37">
        <f t="shared" si="257"/>
        <v>-0.18570803309705672</v>
      </c>
      <c r="BZ39" s="37">
        <f t="shared" si="257"/>
        <v>2.1627074185966669E-2</v>
      </c>
      <c r="CA39" s="37">
        <f t="shared" si="257"/>
        <v>1.0661169109935576E-2</v>
      </c>
      <c r="CB39" s="37">
        <f t="shared" si="257"/>
        <v>0</v>
      </c>
      <c r="CC39" s="90">
        <f t="shared" si="257"/>
        <v>0</v>
      </c>
      <c r="CD39" s="221">
        <f t="shared" si="70"/>
        <v>0.7807548805635478</v>
      </c>
      <c r="CF39" t="str">
        <f t="shared" si="71"/>
        <v>Charisma</v>
      </c>
      <c r="CG39" s="36">
        <f t="shared" ref="CG39:CO39" si="258">IF(CG$19&gt;0,CG26*SQRT(CG$19),0)</f>
        <v>-0.8217951222998684</v>
      </c>
      <c r="CH39" s="37">
        <f t="shared" si="258"/>
        <v>0.22175922006643639</v>
      </c>
      <c r="CI39" s="37">
        <f t="shared" si="258"/>
        <v>-0.14584449401118182</v>
      </c>
      <c r="CJ39" s="37">
        <f t="shared" si="258"/>
        <v>-3.9122111804696519E-2</v>
      </c>
      <c r="CK39" s="37">
        <f t="shared" si="258"/>
        <v>-0.19307924569531945</v>
      </c>
      <c r="CL39" s="37">
        <f t="shared" si="258"/>
        <v>2.0814134026930803E-2</v>
      </c>
      <c r="CM39" s="37">
        <f t="shared" si="258"/>
        <v>2.6516798491355451E-2</v>
      </c>
      <c r="CN39" s="37">
        <f t="shared" si="258"/>
        <v>0</v>
      </c>
      <c r="CO39" s="90">
        <f t="shared" si="258"/>
        <v>0</v>
      </c>
      <c r="CP39" s="221">
        <f t="shared" si="73"/>
        <v>0.7857414946815624</v>
      </c>
      <c r="CR39" t="str">
        <f t="shared" si="74"/>
        <v>Charisma</v>
      </c>
      <c r="CS39" s="36">
        <f t="shared" ref="CS39:DA39" si="259">IF(CS$19&gt;0,CS26*SQRT(CS$19),0)</f>
        <v>-0.82141448497486036</v>
      </c>
      <c r="CT39" s="37">
        <f t="shared" si="259"/>
        <v>0.22378489250131106</v>
      </c>
      <c r="CU39" s="37">
        <f t="shared" si="259"/>
        <v>-0.14414078336457004</v>
      </c>
      <c r="CV39" s="37">
        <f t="shared" si="259"/>
        <v>-4.849319532639567E-2</v>
      </c>
      <c r="CW39" s="37">
        <f t="shared" si="259"/>
        <v>-0.19837040954798046</v>
      </c>
      <c r="CX39" s="37">
        <f t="shared" si="259"/>
        <v>1.9823089498946428E-2</v>
      </c>
      <c r="CY39" s="37">
        <f t="shared" si="259"/>
        <v>3.5798172322283488E-2</v>
      </c>
      <c r="CZ39" s="37">
        <f t="shared" si="259"/>
        <v>0</v>
      </c>
      <c r="DA39" s="90">
        <f t="shared" si="259"/>
        <v>0</v>
      </c>
      <c r="DB39" s="221">
        <f t="shared" si="76"/>
        <v>0.78895487306338685</v>
      </c>
      <c r="DD39" t="str">
        <f t="shared" si="77"/>
        <v>Charisma</v>
      </c>
      <c r="DE39" s="36">
        <f t="shared" ref="DE39:DM39" si="260">IF(DE$19&gt;0,DE26*SQRT(DE$19),0)</f>
        <v>-0.82085600652763868</v>
      </c>
      <c r="DF39" s="37">
        <f t="shared" si="260"/>
        <v>0.22538384934167788</v>
      </c>
      <c r="DG39" s="37">
        <f t="shared" si="260"/>
        <v>-0.14023958698719746</v>
      </c>
      <c r="DH39" s="37">
        <f t="shared" si="260"/>
        <v>-6.0758867917216582E-2</v>
      </c>
      <c r="DI39" s="37">
        <f t="shared" si="260"/>
        <v>-0.20232765624677099</v>
      </c>
      <c r="DJ39" s="37">
        <f t="shared" si="260"/>
        <v>1.8948259402963311E-2</v>
      </c>
      <c r="DK39" s="37">
        <f t="shared" si="260"/>
        <v>4.159336894160414E-2</v>
      </c>
      <c r="DL39" s="37">
        <f t="shared" si="260"/>
        <v>0</v>
      </c>
      <c r="DM39" s="90">
        <f t="shared" si="260"/>
        <v>0</v>
      </c>
      <c r="DN39" s="221">
        <f t="shared" si="79"/>
        <v>0.79098677014212238</v>
      </c>
      <c r="DP39" t="str">
        <f t="shared" si="80"/>
        <v>Charisma</v>
      </c>
      <c r="DQ39" s="36">
        <f t="shared" ref="DQ39:DY39" si="261">IF(DQ$19&gt;0,DQ26*SQRT(DQ$19),0)</f>
        <v>-0.82023157660881407</v>
      </c>
      <c r="DR39" s="37">
        <f t="shared" si="261"/>
        <v>0.22664450387526908</v>
      </c>
      <c r="DS39" s="37">
        <f t="shared" si="261"/>
        <v>-0.13273164887176259</v>
      </c>
      <c r="DT39" s="37">
        <f t="shared" si="261"/>
        <v>-7.6822458354507697E-2</v>
      </c>
      <c r="DU39" s="37">
        <f t="shared" si="261"/>
        <v>-0.2053453312337519</v>
      </c>
      <c r="DV39" s="37">
        <f t="shared" si="261"/>
        <v>1.8235789946327061E-2</v>
      </c>
      <c r="DW39" s="37">
        <f t="shared" si="261"/>
        <v>4.5227179925594441E-2</v>
      </c>
      <c r="DX39" s="37">
        <f t="shared" si="261"/>
        <v>0</v>
      </c>
      <c r="DY39" s="90">
        <f t="shared" si="261"/>
        <v>0</v>
      </c>
      <c r="DZ39" s="221">
        <f t="shared" si="82"/>
        <v>0.79221169802138247</v>
      </c>
      <c r="EB39" t="str">
        <f t="shared" si="83"/>
        <v>Charisma</v>
      </c>
      <c r="EC39" s="36">
        <f t="shared" ref="EC39:EK39" si="262">IF(EC$19&gt;0,EC26*SQRT(EC$19),0)</f>
        <v>-0.81959871997698941</v>
      </c>
      <c r="ED39" s="37">
        <f t="shared" si="262"/>
        <v>0.22763745364231233</v>
      </c>
      <c r="EE39" s="37">
        <f t="shared" si="262"/>
        <v>-0.12063309010458116</v>
      </c>
      <c r="EF39" s="37">
        <f t="shared" si="262"/>
        <v>-9.5329253612816467E-2</v>
      </c>
      <c r="EG39" s="37">
        <f t="shared" si="262"/>
        <v>-0.20766921054287327</v>
      </c>
      <c r="EH39" s="37">
        <f t="shared" si="262"/>
        <v>1.7679027145310448E-2</v>
      </c>
      <c r="EI39" s="37">
        <f t="shared" si="262"/>
        <v>-4.746038767045304E-2</v>
      </c>
      <c r="EJ39" s="37">
        <f t="shared" si="262"/>
        <v>0</v>
      </c>
      <c r="EK39" s="90">
        <f t="shared" si="262"/>
        <v>0</v>
      </c>
      <c r="EL39" s="221">
        <f t="shared" si="85"/>
        <v>0.79289241851736658</v>
      </c>
      <c r="EN39" t="str">
        <f t="shared" si="86"/>
        <v>Charisma</v>
      </c>
      <c r="EO39" s="36">
        <f t="shared" ref="EO39:EW39" si="263">IF(EO$19&gt;0,EO26*SQRT(EO$19),0)</f>
        <v>-0.81898988070068601</v>
      </c>
      <c r="EP39" s="37">
        <f t="shared" si="263"/>
        <v>0.22841877546507622</v>
      </c>
      <c r="EQ39" s="37">
        <f t="shared" si="263"/>
        <v>-0.10403175337603562</v>
      </c>
      <c r="ER39" s="37">
        <f t="shared" si="263"/>
        <v>-0.1136258562886492</v>
      </c>
      <c r="ES39" s="37">
        <f t="shared" si="263"/>
        <v>-0.20946660731349842</v>
      </c>
      <c r="ET39" s="37">
        <f t="shared" si="263"/>
        <v>1.7263789798245145E-2</v>
      </c>
      <c r="EU39" s="37">
        <f t="shared" si="263"/>
        <v>4.875985098171582E-2</v>
      </c>
      <c r="EV39" s="37">
        <f t="shared" si="263"/>
        <v>0</v>
      </c>
      <c r="EW39" s="90">
        <f t="shared" si="263"/>
        <v>0</v>
      </c>
      <c r="EX39" s="221">
        <f t="shared" si="88"/>
        <v>0.79320482368829426</v>
      </c>
      <c r="EZ39" t="str">
        <f t="shared" si="89"/>
        <v>Charisma</v>
      </c>
      <c r="FA39" s="36">
        <f t="shared" ref="FA39:FI39" si="264">IF(FA$19&gt;0,FA26*SQRT(FA$19),0)</f>
        <v>-0.81842061772533048</v>
      </c>
      <c r="FB39" s="37">
        <f t="shared" si="264"/>
        <v>0.22903491557052399</v>
      </c>
      <c r="FC39" s="37">
        <f t="shared" si="264"/>
        <v>-7.9028507688881353E-2</v>
      </c>
      <c r="FD39" s="37">
        <f t="shared" si="264"/>
        <v>-0.13240915449326088</v>
      </c>
      <c r="FE39" s="37">
        <f t="shared" si="264"/>
        <v>-0.21085947803575919</v>
      </c>
      <c r="FF39" s="37">
        <f t="shared" si="264"/>
        <v>1.6946040829533975E-2</v>
      </c>
      <c r="FG39" s="37">
        <f t="shared" si="264"/>
        <v>4.9353032429740311E-2</v>
      </c>
      <c r="FH39" s="37">
        <f t="shared" si="264"/>
        <v>0</v>
      </c>
      <c r="FI39" s="90">
        <f t="shared" si="264"/>
        <v>0</v>
      </c>
      <c r="FJ39" s="221">
        <f t="shared" si="91"/>
        <v>0.79323159887678041</v>
      </c>
      <c r="FL39" t="str">
        <f t="shared" si="92"/>
        <v>Charisma</v>
      </c>
      <c r="FM39" s="36">
        <f t="shared" ref="FM39:FU39" si="265">IF(FM$19&gt;0,FM26*SQRT(FM$19),0)</f>
        <v>-0.81789051639265808</v>
      </c>
      <c r="FN39" s="37">
        <f t="shared" si="265"/>
        <v>0.22951867459729666</v>
      </c>
      <c r="FO39" s="37">
        <f t="shared" si="265"/>
        <v>-5.9857885605471374E-2</v>
      </c>
      <c r="FP39" s="37">
        <f t="shared" si="265"/>
        <v>-0.14225100668262328</v>
      </c>
      <c r="FQ39" s="37">
        <f t="shared" si="265"/>
        <v>-0.21193799265479152</v>
      </c>
      <c r="FR39" s="37">
        <f t="shared" si="265"/>
        <v>1.6684443777456461E-2</v>
      </c>
      <c r="FS39" s="37">
        <f t="shared" si="265"/>
        <v>4.9491907859248174E-2</v>
      </c>
      <c r="FT39" s="37">
        <f t="shared" si="265"/>
        <v>1.246529380412611E-2</v>
      </c>
      <c r="FU39" s="90">
        <f t="shared" si="265"/>
        <v>0</v>
      </c>
      <c r="FV39" s="221">
        <f t="shared" si="94"/>
        <v>0.79324295005320311</v>
      </c>
      <c r="FX39" t="str">
        <f t="shared" si="95"/>
        <v>Charisma</v>
      </c>
      <c r="FY39" s="36">
        <f t="shared" ref="FY39:GG39" si="266">IF(FY$19&gt;0,FY26*SQRT(FY$19),0)</f>
        <v>-0.81745145762133642</v>
      </c>
      <c r="FZ39" s="37">
        <f t="shared" si="266"/>
        <v>0.22991023085565732</v>
      </c>
      <c r="GA39" s="37">
        <f t="shared" si="266"/>
        <v>-5.9224800879889926E-2</v>
      </c>
      <c r="GB39" s="37">
        <f t="shared" si="266"/>
        <v>-0.14275669963433485</v>
      </c>
      <c r="GC39" s="37">
        <f t="shared" si="266"/>
        <v>-0.21282323866005812</v>
      </c>
      <c r="GD39" s="37">
        <f t="shared" si="266"/>
        <v>1.6484352744389644E-2</v>
      </c>
      <c r="GE39" s="37">
        <f t="shared" si="266"/>
        <v>4.9498125813314663E-2</v>
      </c>
      <c r="GF39" s="37">
        <f t="shared" si="266"/>
        <v>-1.7188922879561822E-2</v>
      </c>
      <c r="GG39" s="90">
        <f t="shared" si="266"/>
        <v>0</v>
      </c>
      <c r="GH39" s="221">
        <f t="shared" si="97"/>
        <v>0.79328364047704725</v>
      </c>
      <c r="GJ39" t="str">
        <f t="shared" si="98"/>
        <v>Charisma</v>
      </c>
      <c r="GK39" s="36">
        <f t="shared" ref="GK39:GS39" si="267">IF(GK$19&gt;0,GK26*SQRT(GK$19),0)</f>
        <v>-0.81709635286661964</v>
      </c>
      <c r="GL39" s="37">
        <f t="shared" si="267"/>
        <v>0.2302349308596161</v>
      </c>
      <c r="GM39" s="37">
        <f t="shared" si="267"/>
        <v>-5.3371566063261267E-2</v>
      </c>
      <c r="GN39" s="37">
        <f t="shared" si="267"/>
        <v>-0.14517183863878141</v>
      </c>
      <c r="GO39" s="37">
        <f t="shared" si="267"/>
        <v>-0.21355509520742907</v>
      </c>
      <c r="GP39" s="37">
        <f t="shared" si="267"/>
        <v>1.6255615017604131E-2</v>
      </c>
      <c r="GQ39" s="37">
        <f t="shared" si="267"/>
        <v>4.9062038133541548E-2</v>
      </c>
      <c r="GR39" s="37">
        <f t="shared" si="267"/>
        <v>-2.1551972967640425E-2</v>
      </c>
      <c r="GS39" s="90">
        <f t="shared" si="267"/>
        <v>0</v>
      </c>
      <c r="GT39" s="221">
        <f t="shared" si="100"/>
        <v>0.79331955488694272</v>
      </c>
      <c r="GV39" t="str">
        <f t="shared" si="101"/>
        <v>Charisma</v>
      </c>
      <c r="GW39" s="36">
        <f t="shared" ref="GW39:HE39" si="268">IF(GW$19&gt;0,GW26*SQRT(GW$19),0)</f>
        <v>-0.8168020092272843</v>
      </c>
      <c r="GX39" s="37">
        <f t="shared" si="268"/>
        <v>0.23050267474284897</v>
      </c>
      <c r="GY39" s="37">
        <f t="shared" si="268"/>
        <v>-4.9606762848133618E-2</v>
      </c>
      <c r="GZ39" s="37">
        <f t="shared" si="268"/>
        <v>-0.14661585554665291</v>
      </c>
      <c r="HA39" s="37">
        <f t="shared" si="268"/>
        <v>-0.21416363847056197</v>
      </c>
      <c r="HB39" s="37">
        <f t="shared" si="268"/>
        <v>1.6050211289438239E-2</v>
      </c>
      <c r="HC39" s="37">
        <f t="shared" si="268"/>
        <v>4.8558892325990109E-2</v>
      </c>
      <c r="HD39" s="37">
        <f t="shared" si="268"/>
        <v>-2.483015282770603E-2</v>
      </c>
      <c r="HE39" s="90">
        <f t="shared" si="268"/>
        <v>0</v>
      </c>
      <c r="HF39" s="221">
        <f t="shared" si="103"/>
        <v>0.79335222119804372</v>
      </c>
      <c r="HH39" t="str">
        <f t="shared" si="104"/>
        <v>Charisma</v>
      </c>
      <c r="HI39" s="36">
        <f t="shared" ref="HI39:HQ39" si="269">IF(HI$19&gt;0,HI26*SQRT(HI$19),0)</f>
        <v>-0.81655757833333253</v>
      </c>
      <c r="HJ39" s="37">
        <f t="shared" si="269"/>
        <v>0.23072446960020998</v>
      </c>
      <c r="HK39" s="37">
        <f t="shared" si="269"/>
        <v>-3.5694373912423652E-2</v>
      </c>
      <c r="HL39" s="37">
        <f t="shared" si="269"/>
        <v>-0.15061936454382263</v>
      </c>
      <c r="HM39" s="37">
        <f t="shared" si="269"/>
        <v>-0.21467088088894731</v>
      </c>
      <c r="HN39" s="37">
        <f t="shared" si="269"/>
        <v>1.5866062735577703E-2</v>
      </c>
      <c r="HO39" s="37">
        <f t="shared" si="269"/>
        <v>4.8013345699031262E-2</v>
      </c>
      <c r="HP39" s="37">
        <f t="shared" si="269"/>
        <v>-2.7435574262364773E-2</v>
      </c>
      <c r="HQ39" s="90">
        <f t="shared" si="269"/>
        <v>0</v>
      </c>
      <c r="HR39" s="221">
        <f t="shared" si="106"/>
        <v>0.79335365205916597</v>
      </c>
      <c r="HT39" t="str">
        <f t="shared" si="107"/>
        <v>Charisma</v>
      </c>
      <c r="HU39" s="36">
        <f t="shared" ref="HU39:IC39" si="270">IF(HU$19&gt;0,HU26*SQRT(HU$19),0)</f>
        <v>-0.81634786862276432</v>
      </c>
      <c r="HV39" s="37">
        <f t="shared" si="270"/>
        <v>0.23089952914132619</v>
      </c>
      <c r="HW39" s="37">
        <f t="shared" si="270"/>
        <v>-3.1403892808494642E-2</v>
      </c>
      <c r="HX39" s="37">
        <f t="shared" si="270"/>
        <v>-0.15164814710721247</v>
      </c>
      <c r="HY39" s="37">
        <f t="shared" si="270"/>
        <v>-0.21508684336543252</v>
      </c>
      <c r="HZ39" s="37">
        <f t="shared" si="270"/>
        <v>1.5792870135970204E-2</v>
      </c>
      <c r="IA39" s="37">
        <f t="shared" si="270"/>
        <v>4.783211342740927E-2</v>
      </c>
      <c r="IB39" s="37">
        <f t="shared" si="270"/>
        <v>-2.8891346039507489E-2</v>
      </c>
      <c r="IC39" s="90">
        <f t="shared" si="270"/>
        <v>0</v>
      </c>
      <c r="ID39" s="221">
        <f t="shared" si="109"/>
        <v>0.79335618605413905</v>
      </c>
      <c r="IF39" t="str">
        <f t="shared" si="110"/>
        <v>Charisma</v>
      </c>
      <c r="IG39" s="36">
        <f t="shared" ref="IG39:IO39" si="271">IF(IG$19&gt;0,IG26*SQRT(IG$19),0)</f>
        <v>-0.81617484397088258</v>
      </c>
      <c r="IH39" s="37">
        <f t="shared" si="271"/>
        <v>0.23104239582910047</v>
      </c>
      <c r="II39" s="37">
        <f t="shared" si="271"/>
        <v>-2.820961852457712E-2</v>
      </c>
      <c r="IJ39" s="37">
        <f t="shared" si="271"/>
        <v>-0.15234401686461779</v>
      </c>
      <c r="IK39" s="37">
        <f t="shared" si="271"/>
        <v>-0.21542931239520241</v>
      </c>
      <c r="IL39" s="37">
        <f t="shared" si="271"/>
        <v>1.5736433258338667E-2</v>
      </c>
      <c r="IM39" s="37">
        <f t="shared" si="271"/>
        <v>4.7648361603178521E-2</v>
      </c>
      <c r="IN39" s="37">
        <f t="shared" si="271"/>
        <v>-3.0110041180764359E-2</v>
      </c>
      <c r="IO39" s="90">
        <f t="shared" si="271"/>
        <v>0</v>
      </c>
      <c r="IP39" s="221">
        <f t="shared" si="112"/>
        <v>0.79336085156723279</v>
      </c>
      <c r="IR39" t="str">
        <f t="shared" si="113"/>
        <v>Charisma</v>
      </c>
      <c r="IS39" s="36">
        <f t="shared" ref="IS39:JA39" si="272">IF(IS$19&gt;0,IS26*SQRT(IS$19),0)</f>
        <v>-0.81603227580442628</v>
      </c>
      <c r="IT39" s="37">
        <f t="shared" si="272"/>
        <v>0.23115936458776193</v>
      </c>
      <c r="IU39" s="37">
        <f t="shared" si="272"/>
        <v>-3.6308348966995002E-2</v>
      </c>
      <c r="IV39" s="37">
        <f t="shared" si="272"/>
        <v>-0.15075557525523425</v>
      </c>
      <c r="IW39" s="37">
        <f t="shared" si="272"/>
        <v>-0.21571195629564568</v>
      </c>
      <c r="IX39" s="37">
        <f t="shared" si="272"/>
        <v>1.5693051068774735E-2</v>
      </c>
      <c r="IY39" s="37">
        <f t="shared" si="272"/>
        <v>4.7487159854224185E-2</v>
      </c>
      <c r="IZ39" s="37">
        <f t="shared" si="272"/>
        <v>-3.1137977687692154E-2</v>
      </c>
      <c r="JA39" s="90">
        <f t="shared" si="272"/>
        <v>0</v>
      </c>
      <c r="JB39" s="221">
        <f t="shared" si="115"/>
        <v>0.7933913906126564</v>
      </c>
      <c r="JD39" t="str">
        <f t="shared" si="116"/>
        <v>Charisma</v>
      </c>
      <c r="JE39" s="36">
        <f t="shared" ref="JE39:JM39" si="273">IF(JE$19&gt;0,JE26*SQRT(JE$19),0)</f>
        <v>-0.81592061998090626</v>
      </c>
      <c r="JF39" s="37">
        <f t="shared" si="273"/>
        <v>0.23126560622521286</v>
      </c>
      <c r="JG39" s="37">
        <f t="shared" si="273"/>
        <v>-3.7263269893418542E-2</v>
      </c>
      <c r="JH39" s="37">
        <f t="shared" si="273"/>
        <v>-0.1506061401533946</v>
      </c>
      <c r="JI39" s="37">
        <f t="shared" si="273"/>
        <v>-0.21595531711466198</v>
      </c>
      <c r="JJ39" s="37">
        <f t="shared" si="273"/>
        <v>1.5555742530155578E-2</v>
      </c>
      <c r="JK39" s="37">
        <f t="shared" si="273"/>
        <v>4.6958256820056936E-2</v>
      </c>
      <c r="JL39" s="37">
        <f t="shared" si="273"/>
        <v>-3.2526716097443086E-2</v>
      </c>
      <c r="JM39" s="90">
        <f t="shared" si="273"/>
        <v>0</v>
      </c>
      <c r="JN39" s="221">
        <f t="shared" si="118"/>
        <v>0.79342274472721608</v>
      </c>
      <c r="JP39" t="str">
        <f t="shared" si="119"/>
        <v>Charisma</v>
      </c>
      <c r="JQ39" s="36">
        <f t="shared" ref="JQ39:JY39" si="274">IF(JQ$19&gt;0,JQ26*SQRT(JQ$19),0)</f>
        <v>-0.81582731359434235</v>
      </c>
      <c r="JR39" s="37">
        <f t="shared" si="274"/>
        <v>0.2313564019072202</v>
      </c>
      <c r="JS39" s="37">
        <f t="shared" si="274"/>
        <v>-2.855467014270521E-2</v>
      </c>
      <c r="JT39" s="37">
        <f t="shared" si="274"/>
        <v>-0.15250157595903804</v>
      </c>
      <c r="JU39" s="37">
        <f t="shared" si="274"/>
        <v>-0.21616236379583631</v>
      </c>
      <c r="JV39" s="37">
        <f t="shared" si="274"/>
        <v>1.5428969633280864E-2</v>
      </c>
      <c r="JW39" s="37">
        <f t="shared" si="274"/>
        <v>4.6438379982727207E-2</v>
      </c>
      <c r="JX39" s="37">
        <f t="shared" si="274"/>
        <v>-3.3735205408919521E-2</v>
      </c>
      <c r="JY39" s="90">
        <f t="shared" si="274"/>
        <v>0</v>
      </c>
      <c r="JZ39" s="221">
        <f t="shared" si="121"/>
        <v>0.79343089801211586</v>
      </c>
      <c r="KB39" t="str">
        <f t="shared" si="122"/>
        <v>Charisma</v>
      </c>
      <c r="KC39" s="36">
        <f t="shared" ref="KC39:KK39" si="275">IF(KC$19&gt;0,KC26*SQRT(KC$19),0)</f>
        <v>-0.81574351514787591</v>
      </c>
      <c r="KD39" s="37">
        <f t="shared" si="275"/>
        <v>0.23142514510202022</v>
      </c>
      <c r="KE39" s="37">
        <f t="shared" si="275"/>
        <v>-2.7242993975570222E-2</v>
      </c>
      <c r="KF39" s="37">
        <f t="shared" si="275"/>
        <v>-0.15278567414666036</v>
      </c>
      <c r="KG39" s="37">
        <f t="shared" si="275"/>
        <v>-0.2163311769975175</v>
      </c>
      <c r="KH39" s="37">
        <f t="shared" si="275"/>
        <v>1.5407333357672361E-2</v>
      </c>
      <c r="KI39" s="37">
        <f t="shared" si="275"/>
        <v>4.6306823677476502E-2</v>
      </c>
      <c r="KJ39" s="37">
        <f t="shared" si="275"/>
        <v>3.4339625853296273E-2</v>
      </c>
      <c r="KK39" s="90">
        <f t="shared" si="275"/>
        <v>0</v>
      </c>
      <c r="KL39" s="221">
        <f t="shared" si="124"/>
        <v>0.7934408191216733</v>
      </c>
      <c r="KN39" t="str">
        <f t="shared" si="125"/>
        <v>Charisma</v>
      </c>
      <c r="KO39" s="36">
        <f t="shared" ref="KO39:KW39" si="276">IF(KO$19&gt;0,KO26*SQRT(KO$19),0)</f>
        <v>-0.81567467254845349</v>
      </c>
      <c r="KP39" s="37">
        <f t="shared" si="276"/>
        <v>0.23148205374654249</v>
      </c>
      <c r="KQ39" s="37">
        <f t="shared" si="276"/>
        <v>-2.6221118818531702E-2</v>
      </c>
      <c r="KR39" s="37">
        <f t="shared" si="276"/>
        <v>-0.15300389009839332</v>
      </c>
      <c r="KS39" s="37">
        <f t="shared" si="276"/>
        <v>-0.21647172346804469</v>
      </c>
      <c r="KT39" s="37">
        <f t="shared" si="276"/>
        <v>1.5390569628149872E-2</v>
      </c>
      <c r="KU39" s="37">
        <f t="shared" si="276"/>
        <v>4.6189150875964202E-2</v>
      </c>
      <c r="KV39" s="37">
        <f t="shared" si="276"/>
        <v>3.4816412156413484E-2</v>
      </c>
      <c r="KW39" s="90">
        <f t="shared" si="276"/>
        <v>0</v>
      </c>
      <c r="KX39" s="221">
        <f t="shared" si="127"/>
        <v>0.79344934700987313</v>
      </c>
      <c r="KZ39" t="str">
        <f t="shared" si="128"/>
        <v>Charisma</v>
      </c>
      <c r="LA39" s="36">
        <f t="shared" ref="LA39:LI39" si="277">IF(LA$19&gt;0,LA26*SQRT(LA$19),0)</f>
        <v>-0.81561732212599003</v>
      </c>
      <c r="LB39" s="37">
        <f t="shared" si="277"/>
        <v>0.23152938103538229</v>
      </c>
      <c r="LC39" s="37">
        <f t="shared" si="277"/>
        <v>-3.4914089884207966E-2</v>
      </c>
      <c r="LD39" s="37">
        <f t="shared" si="277"/>
        <v>-0.15135670684979036</v>
      </c>
      <c r="LE39" s="37">
        <f t="shared" si="277"/>
        <v>-0.21658890441073583</v>
      </c>
      <c r="LF39" s="37">
        <f t="shared" si="277"/>
        <v>1.5376355362806101E-2</v>
      </c>
      <c r="LG39" s="37">
        <f t="shared" si="277"/>
        <v>4.6102214583628912E-2</v>
      </c>
      <c r="LH39" s="37">
        <f t="shared" si="277"/>
        <v>-3.5323230494206916E-2</v>
      </c>
      <c r="LI39" s="90">
        <f t="shared" si="277"/>
        <v>0</v>
      </c>
      <c r="LJ39" s="221">
        <f t="shared" si="130"/>
        <v>0.79348564743560224</v>
      </c>
      <c r="LL39" t="str">
        <f t="shared" si="131"/>
        <v>Charisma</v>
      </c>
      <c r="LM39" s="36">
        <f t="shared" ref="LM39:LU39" si="278">IF(LM$19&gt;0,LM26*SQRT(LM$19),0)</f>
        <v>-0.81557711486186379</v>
      </c>
      <c r="LN39" s="37">
        <f t="shared" si="278"/>
        <v>0.23157768696379183</v>
      </c>
      <c r="LO39" s="37">
        <f t="shared" si="278"/>
        <v>-3.7090021182905421E-2</v>
      </c>
      <c r="LP39" s="37">
        <f t="shared" si="278"/>
        <v>-0.15090165985572873</v>
      </c>
      <c r="LQ39" s="37">
        <f t="shared" si="278"/>
        <v>-0.21669466483941072</v>
      </c>
      <c r="LR39" s="37">
        <f t="shared" si="278"/>
        <v>1.5270472857197648E-2</v>
      </c>
      <c r="LS39" s="37">
        <f t="shared" si="278"/>
        <v>4.5657803204154433E-2</v>
      </c>
      <c r="LT39" s="37">
        <f t="shared" si="278"/>
        <v>-3.6129209279139964E-2</v>
      </c>
      <c r="LU39" s="90">
        <f t="shared" si="278"/>
        <v>0</v>
      </c>
      <c r="LV39" s="221">
        <f t="shared" si="133"/>
        <v>0.79352095587217619</v>
      </c>
      <c r="LX39" t="str">
        <f t="shared" si="134"/>
        <v>Charisma</v>
      </c>
      <c r="LY39" s="36">
        <f t="shared" ref="LY39:MG39" si="279">IF(LY$19&gt;0,LY26*SQRT(LY$19),0)</f>
        <v>-0.81554268903253624</v>
      </c>
      <c r="LZ39" s="37">
        <f t="shared" si="279"/>
        <v>0.23162075384352249</v>
      </c>
      <c r="MA39" s="37">
        <f t="shared" si="279"/>
        <v>-3.003204543070364E-2</v>
      </c>
      <c r="MB39" s="37">
        <f t="shared" si="279"/>
        <v>-0.15245161491527665</v>
      </c>
      <c r="MC39" s="37">
        <f t="shared" si="279"/>
        <v>-0.21678747774835413</v>
      </c>
      <c r="MD39" s="37">
        <f t="shared" si="279"/>
        <v>1.5169767880970894E-2</v>
      </c>
      <c r="ME39" s="37">
        <f t="shared" si="279"/>
        <v>4.5214515711578675E-2</v>
      </c>
      <c r="MF39" s="37">
        <f t="shared" si="279"/>
        <v>-3.683440588111378E-2</v>
      </c>
      <c r="MG39" s="90">
        <f t="shared" si="279"/>
        <v>0</v>
      </c>
      <c r="MH39" s="221">
        <f t="shared" si="136"/>
        <v>0.79352952814219246</v>
      </c>
      <c r="MJ39" t="str">
        <f t="shared" si="137"/>
        <v>Charisma</v>
      </c>
      <c r="MK39" s="36">
        <f t="shared" ref="MK39:MS39" si="280">IF(MK$19&gt;0,MK26*SQRT(MK$19),0)</f>
        <v>-0.81550674952362578</v>
      </c>
      <c r="ML39" s="37">
        <f t="shared" si="280"/>
        <v>0.23165111933166385</v>
      </c>
      <c r="MM39" s="37">
        <f t="shared" si="280"/>
        <v>-2.9533149818760783E-2</v>
      </c>
      <c r="MN39" s="37">
        <f t="shared" si="280"/>
        <v>-0.1525724866010624</v>
      </c>
      <c r="MO39" s="37">
        <f t="shared" si="280"/>
        <v>-0.21686312151065623</v>
      </c>
      <c r="MP39" s="37">
        <f t="shared" si="280"/>
        <v>1.5161226134797215E-2</v>
      </c>
      <c r="MQ39" s="37">
        <f t="shared" si="280"/>
        <v>4.5143088812985711E-2</v>
      </c>
      <c r="MR39" s="37">
        <f t="shared" si="280"/>
        <v>-3.7103551816091353E-2</v>
      </c>
      <c r="MS39" s="90">
        <f t="shared" si="280"/>
        <v>0</v>
      </c>
      <c r="MT39" s="221">
        <f t="shared" si="139"/>
        <v>0.79353811848625366</v>
      </c>
    </row>
    <row r="40" spans="1:358" x14ac:dyDescent="0.25">
      <c r="A40">
        <v>37</v>
      </c>
      <c r="B40" s="123">
        <v>2</v>
      </c>
      <c r="C40" s="37">
        <v>8</v>
      </c>
      <c r="D40" s="37">
        <v>4</v>
      </c>
      <c r="E40" s="37">
        <v>2</v>
      </c>
      <c r="F40" s="37">
        <v>7</v>
      </c>
      <c r="G40" s="37">
        <v>7</v>
      </c>
      <c r="H40" s="37">
        <v>5</v>
      </c>
      <c r="I40" s="37">
        <v>5</v>
      </c>
      <c r="J40" s="90">
        <v>7</v>
      </c>
      <c r="S40">
        <f t="shared" si="140"/>
        <v>8</v>
      </c>
      <c r="T40" s="49">
        <f>[1]!RSquare($B$4:$J$123,S40)</f>
        <v>0.30865027032366354</v>
      </c>
      <c r="V40" s="221">
        <v>0.30865027032366443</v>
      </c>
      <c r="X40" t="str">
        <f t="shared" si="56"/>
        <v>Passion</v>
      </c>
      <c r="Y40" s="36">
        <f t="shared" ref="Y40:AG40" si="281">IF(Y$19&gt;0,Y27*SQRT(Y$19),0)</f>
        <v>-0.57684688002223616</v>
      </c>
      <c r="Z40" s="37">
        <f t="shared" si="281"/>
        <v>-2.4036785475536143E-2</v>
      </c>
      <c r="AA40" s="37">
        <f t="shared" si="281"/>
        <v>0.17981149685173803</v>
      </c>
      <c r="AB40" s="37">
        <f t="shared" si="281"/>
        <v>7.3040626190416041E-2</v>
      </c>
      <c r="AC40" s="37">
        <f t="shared" si="281"/>
        <v>0</v>
      </c>
      <c r="AD40" s="37">
        <f t="shared" si="281"/>
        <v>0</v>
      </c>
      <c r="AE40" s="37">
        <f t="shared" si="281"/>
        <v>0</v>
      </c>
      <c r="AF40" s="37">
        <f t="shared" si="281"/>
        <v>0</v>
      </c>
      <c r="AG40" s="90">
        <f t="shared" si="281"/>
        <v>0</v>
      </c>
      <c r="AH40" s="221">
        <f t="shared" si="58"/>
        <v>0.37099719752173577</v>
      </c>
      <c r="AJ40" t="str">
        <f t="shared" si="59"/>
        <v>Passion</v>
      </c>
      <c r="AK40" s="36">
        <f t="shared" ref="AK40:AS40" si="282">IF(AK$19&gt;0,AK27*SQRT(AK$19),0)</f>
        <v>-0.58251094360052758</v>
      </c>
      <c r="AL40" s="37">
        <f t="shared" si="282"/>
        <v>-2.1847230486075293E-2</v>
      </c>
      <c r="AM40" s="37">
        <f t="shared" si="282"/>
        <v>0.18868703199548109</v>
      </c>
      <c r="AN40" s="37">
        <f t="shared" si="282"/>
        <v>8.2244757325190279E-2</v>
      </c>
      <c r="AO40" s="37">
        <f t="shared" si="282"/>
        <v>7.1696533155924988E-2</v>
      </c>
      <c r="AP40" s="37">
        <f t="shared" si="282"/>
        <v>0.10451131682698026</v>
      </c>
      <c r="AQ40" s="37">
        <f t="shared" si="282"/>
        <v>0</v>
      </c>
      <c r="AR40" s="37">
        <f t="shared" si="282"/>
        <v>0</v>
      </c>
      <c r="AS40" s="90">
        <f t="shared" si="282"/>
        <v>0</v>
      </c>
      <c r="AT40" s="221">
        <f t="shared" si="61"/>
        <v>0.39822630525652003</v>
      </c>
      <c r="AV40" t="str">
        <f t="shared" si="62"/>
        <v>Passion</v>
      </c>
      <c r="AW40" s="36">
        <f t="shared" ref="AW40:BE40" si="283">IF(AW$19&gt;0,AW27*SQRT(AW$19),0)</f>
        <v>-0.58381390523591337</v>
      </c>
      <c r="AX40" s="37">
        <f t="shared" si="283"/>
        <v>-1.6954405834860818E-2</v>
      </c>
      <c r="AY40" s="37">
        <f t="shared" si="283"/>
        <v>0.19362474219160825</v>
      </c>
      <c r="AZ40" s="37">
        <f t="shared" si="283"/>
        <v>8.3067537823444171E-2</v>
      </c>
      <c r="BA40" s="37">
        <f t="shared" si="283"/>
        <v>7.634161055783617E-2</v>
      </c>
      <c r="BB40" s="37">
        <f t="shared" si="283"/>
        <v>0.17710591731789097</v>
      </c>
      <c r="BC40" s="37">
        <f t="shared" si="283"/>
        <v>0</v>
      </c>
      <c r="BD40" s="37">
        <f t="shared" si="283"/>
        <v>0</v>
      </c>
      <c r="BE40" s="90">
        <f t="shared" si="283"/>
        <v>0</v>
      </c>
      <c r="BF40" s="221">
        <f t="shared" si="64"/>
        <v>0.42271143190441329</v>
      </c>
      <c r="BH40" t="str">
        <f t="shared" si="65"/>
        <v>Passion</v>
      </c>
      <c r="BI40" s="36">
        <f t="shared" ref="BI40:BQ40" si="284">IF(BI$19&gt;0,BI27*SQRT(BI$19),0)</f>
        <v>-0.58640089983086252</v>
      </c>
      <c r="BJ40" s="37">
        <f t="shared" si="284"/>
        <v>-1.154956206458955E-2</v>
      </c>
      <c r="BK40" s="37">
        <f t="shared" si="284"/>
        <v>0.19961136441464883</v>
      </c>
      <c r="BL40" s="37">
        <f t="shared" si="284"/>
        <v>8.4155774534652603E-2</v>
      </c>
      <c r="BM40" s="37">
        <f t="shared" si="284"/>
        <v>8.1184064221266658E-2</v>
      </c>
      <c r="BN40" s="37">
        <f t="shared" si="284"/>
        <v>0.2139579655811335</v>
      </c>
      <c r="BO40" s="37">
        <f t="shared" si="284"/>
        <v>0</v>
      </c>
      <c r="BP40" s="37">
        <f t="shared" si="284"/>
        <v>0</v>
      </c>
      <c r="BQ40" s="90">
        <f t="shared" si="284"/>
        <v>0</v>
      </c>
      <c r="BR40" s="221">
        <f t="shared" si="67"/>
        <v>0.44329516221643439</v>
      </c>
      <c r="BT40" t="str">
        <f t="shared" si="68"/>
        <v>Passion</v>
      </c>
      <c r="BU40" s="36">
        <f t="shared" ref="BU40:CC40" si="285">IF(BU$19&gt;0,BU27*SQRT(BU$19),0)</f>
        <v>-0.58923798729925481</v>
      </c>
      <c r="BV40" s="37">
        <f t="shared" si="285"/>
        <v>-6.2081385570061133E-3</v>
      </c>
      <c r="BW40" s="37">
        <f t="shared" si="285"/>
        <v>0.20494288961703427</v>
      </c>
      <c r="BX40" s="37">
        <f t="shared" si="285"/>
        <v>8.6580049353180463E-2</v>
      </c>
      <c r="BY40" s="37">
        <f t="shared" si="285"/>
        <v>8.6431939239494049E-2</v>
      </c>
      <c r="BZ40" s="37">
        <f t="shared" si="285"/>
        <v>0.23657577735249632</v>
      </c>
      <c r="CA40" s="37">
        <f t="shared" si="285"/>
        <v>-5.7598651769835982E-3</v>
      </c>
      <c r="CB40" s="37">
        <f t="shared" si="285"/>
        <v>0</v>
      </c>
      <c r="CC40" s="90">
        <f t="shared" si="285"/>
        <v>0</v>
      </c>
      <c r="CD40" s="221">
        <f t="shared" si="70"/>
        <v>0.46020939420889329</v>
      </c>
      <c r="CF40" t="str">
        <f t="shared" si="71"/>
        <v>Passion</v>
      </c>
      <c r="CG40" s="36">
        <f t="shared" ref="CG40:CO40" si="286">IF(CG$19&gt;0,CG27*SQRT(CG$19),0)</f>
        <v>-0.59190507490920719</v>
      </c>
      <c r="CH40" s="37">
        <f t="shared" si="286"/>
        <v>-1.2862203206932192E-3</v>
      </c>
      <c r="CI40" s="37">
        <f t="shared" si="286"/>
        <v>0.20829940575553516</v>
      </c>
      <c r="CJ40" s="37">
        <f t="shared" si="286"/>
        <v>9.1590524707382645E-2</v>
      </c>
      <c r="CK40" s="37">
        <f t="shared" si="286"/>
        <v>9.1399721260807865E-2</v>
      </c>
      <c r="CL40" s="37">
        <f t="shared" si="286"/>
        <v>0.25189870530535291</v>
      </c>
      <c r="CM40" s="37">
        <f t="shared" si="286"/>
        <v>-1.2566956190882201E-2</v>
      </c>
      <c r="CN40" s="37">
        <f t="shared" si="286"/>
        <v>0</v>
      </c>
      <c r="CO40" s="90">
        <f t="shared" si="286"/>
        <v>0</v>
      </c>
      <c r="CP40" s="221">
        <f t="shared" si="73"/>
        <v>0.47409553388924025</v>
      </c>
      <c r="CR40" t="str">
        <f t="shared" si="74"/>
        <v>Passion</v>
      </c>
      <c r="CS40" s="36">
        <f t="shared" ref="CS40:DA40" si="287">IF(CS$19&gt;0,CS27*SQRT(CS$19),0)</f>
        <v>-0.59420626637733553</v>
      </c>
      <c r="CT40" s="37">
        <f t="shared" si="287"/>
        <v>2.8816216538536826E-3</v>
      </c>
      <c r="CU40" s="37">
        <f t="shared" si="287"/>
        <v>0.20857324888032636</v>
      </c>
      <c r="CV40" s="37">
        <f t="shared" si="287"/>
        <v>0.10035304840052815</v>
      </c>
      <c r="CW40" s="37">
        <f t="shared" si="287"/>
        <v>9.5656753571816092E-2</v>
      </c>
      <c r="CX40" s="37">
        <f t="shared" si="287"/>
        <v>0.26342011774680241</v>
      </c>
      <c r="CY40" s="37">
        <f t="shared" si="287"/>
        <v>-1.5960985869165289E-2</v>
      </c>
      <c r="CZ40" s="37">
        <f t="shared" si="287"/>
        <v>0</v>
      </c>
      <c r="DA40" s="90">
        <f t="shared" si="287"/>
        <v>0</v>
      </c>
      <c r="DB40" s="221">
        <f t="shared" si="76"/>
        <v>0.48545805122477637</v>
      </c>
      <c r="DD40" t="str">
        <f t="shared" si="77"/>
        <v>Passion</v>
      </c>
      <c r="DE40" s="36">
        <f t="shared" ref="DE40:DM40" si="288">IF(DE$19&gt;0,DE27*SQRT(DE$19),0)</f>
        <v>-0.59615189030097104</v>
      </c>
      <c r="DF40" s="37">
        <f t="shared" si="288"/>
        <v>6.3502108823944138E-3</v>
      </c>
      <c r="DG40" s="37">
        <f t="shared" si="288"/>
        <v>0.20470755901607099</v>
      </c>
      <c r="DH40" s="37">
        <f t="shared" si="288"/>
        <v>0.11452071950984877</v>
      </c>
      <c r="DI40" s="37">
        <f t="shared" si="288"/>
        <v>9.9324095010703342E-2</v>
      </c>
      <c r="DJ40" s="37">
        <f t="shared" si="288"/>
        <v>0.27217400907189648</v>
      </c>
      <c r="DK40" s="37">
        <f t="shared" si="288"/>
        <v>-1.7996342729440451E-2</v>
      </c>
      <c r="DL40" s="37">
        <f t="shared" si="288"/>
        <v>0</v>
      </c>
      <c r="DM40" s="90">
        <f t="shared" si="288"/>
        <v>0</v>
      </c>
      <c r="DN40" s="221">
        <f t="shared" si="79"/>
        <v>0.49472541681864302</v>
      </c>
      <c r="DP40" t="str">
        <f t="shared" si="80"/>
        <v>Passion</v>
      </c>
      <c r="DQ40" s="36">
        <f t="shared" ref="DQ40:DY40" si="289">IF(DQ$19&gt;0,DQ27*SQRT(DQ$19),0)</f>
        <v>-0.59778014572574434</v>
      </c>
      <c r="DR40" s="37">
        <f t="shared" si="289"/>
        <v>9.2255907703354522E-3</v>
      </c>
      <c r="DS40" s="37">
        <f t="shared" si="289"/>
        <v>0.19464209978786604</v>
      </c>
      <c r="DT40" s="37">
        <f t="shared" si="289"/>
        <v>0.13530615290159237</v>
      </c>
      <c r="DU40" s="37">
        <f t="shared" si="289"/>
        <v>0.10246438907727305</v>
      </c>
      <c r="DV40" s="37">
        <f t="shared" si="289"/>
        <v>0.27889350792183404</v>
      </c>
      <c r="DW40" s="37">
        <f t="shared" si="289"/>
        <v>-1.9349128393458998E-2</v>
      </c>
      <c r="DX40" s="37">
        <f t="shared" si="289"/>
        <v>0</v>
      </c>
      <c r="DY40" s="90">
        <f t="shared" si="289"/>
        <v>0</v>
      </c>
      <c r="DZ40" s="221">
        <f t="shared" si="82"/>
        <v>0.50227444473132399</v>
      </c>
      <c r="EB40" t="str">
        <f t="shared" si="83"/>
        <v>Passion</v>
      </c>
      <c r="EC40" s="36">
        <f t="shared" ref="EC40:EK40" si="290">IF(EC$19&gt;0,EC27*SQRT(EC$19),0)</f>
        <v>-0.59913595176847978</v>
      </c>
      <c r="ED40" s="37">
        <f t="shared" si="290"/>
        <v>1.1605057375476046E-2</v>
      </c>
      <c r="EE40" s="37">
        <f t="shared" si="290"/>
        <v>0.17712951721456716</v>
      </c>
      <c r="EF40" s="37">
        <f t="shared" si="290"/>
        <v>0.16059012040104778</v>
      </c>
      <c r="EG40" s="37">
        <f t="shared" si="290"/>
        <v>0.10514372267160542</v>
      </c>
      <c r="EH40" s="37">
        <f t="shared" si="290"/>
        <v>0.2841039593702212</v>
      </c>
      <c r="EI40" s="37">
        <f t="shared" si="290"/>
        <v>2.03283683441778E-2</v>
      </c>
      <c r="EJ40" s="37">
        <f t="shared" si="290"/>
        <v>0</v>
      </c>
      <c r="EK40" s="90">
        <f t="shared" si="290"/>
        <v>0</v>
      </c>
      <c r="EL40" s="221">
        <f t="shared" si="85"/>
        <v>0.50844612340391526</v>
      </c>
      <c r="EN40" t="str">
        <f t="shared" si="86"/>
        <v>Passion</v>
      </c>
      <c r="EO40" s="36">
        <f t="shared" ref="EO40:EW40" si="291">IF(EO$19&gt;0,EO27*SQRT(EO$19),0)</f>
        <v>-0.60026583840146586</v>
      </c>
      <c r="EP40" s="37">
        <f t="shared" si="291"/>
        <v>1.3566671279497499E-2</v>
      </c>
      <c r="EQ40" s="37">
        <f t="shared" si="291"/>
        <v>0.1524708279992612</v>
      </c>
      <c r="ER40" s="37">
        <f t="shared" si="291"/>
        <v>0.18632248260616052</v>
      </c>
      <c r="ES40" s="37">
        <f t="shared" si="291"/>
        <v>0.10743370312584015</v>
      </c>
      <c r="ET40" s="37">
        <f t="shared" si="291"/>
        <v>0.28821262645539442</v>
      </c>
      <c r="EU40" s="37">
        <f t="shared" si="291"/>
        <v>-2.1088131864830943E-2</v>
      </c>
      <c r="EV40" s="37">
        <f t="shared" si="291"/>
        <v>0</v>
      </c>
      <c r="EW40" s="90">
        <f t="shared" si="291"/>
        <v>0</v>
      </c>
      <c r="EX40" s="221">
        <f t="shared" si="88"/>
        <v>0.51351978015792044</v>
      </c>
      <c r="EZ40" t="str">
        <f t="shared" si="89"/>
        <v>Passion</v>
      </c>
      <c r="FA40" s="36">
        <f t="shared" ref="FA40:FI40" si="292">IF(FA$19&gt;0,FA27*SQRT(FA$19),0)</f>
        <v>-0.60121169475373437</v>
      </c>
      <c r="FB40" s="37">
        <f t="shared" si="292"/>
        <v>1.5185143276014147E-2</v>
      </c>
      <c r="FC40" s="37">
        <f t="shared" si="292"/>
        <v>0.11429191451434145</v>
      </c>
      <c r="FD40" s="37">
        <f t="shared" si="292"/>
        <v>0.21325962838903448</v>
      </c>
      <c r="FE40" s="37">
        <f t="shared" si="292"/>
        <v>0.10937539944686415</v>
      </c>
      <c r="FF40" s="37">
        <f t="shared" si="292"/>
        <v>0.29152548504865317</v>
      </c>
      <c r="FG40" s="37">
        <f t="shared" si="292"/>
        <v>-2.1491831396348349E-2</v>
      </c>
      <c r="FH40" s="37">
        <f t="shared" si="292"/>
        <v>0</v>
      </c>
      <c r="FI40" s="90">
        <f t="shared" si="292"/>
        <v>0</v>
      </c>
      <c r="FJ40" s="221">
        <f t="shared" si="91"/>
        <v>0.51764038656273581</v>
      </c>
      <c r="FL40" t="str">
        <f t="shared" si="92"/>
        <v>Passion</v>
      </c>
      <c r="FM40" s="36">
        <f t="shared" ref="FM40:FU40" si="293">IF(FM$19&gt;0,FM27*SQRT(FM$19),0)</f>
        <v>-0.6019951873523639</v>
      </c>
      <c r="FN40" s="37">
        <f t="shared" si="293"/>
        <v>1.6535951244065122E-2</v>
      </c>
      <c r="FO40" s="37">
        <f t="shared" si="293"/>
        <v>8.5626580554890058E-2</v>
      </c>
      <c r="FP40" s="37">
        <f t="shared" si="293"/>
        <v>0.22734399545071168</v>
      </c>
      <c r="FQ40" s="37">
        <f t="shared" si="293"/>
        <v>0.1109985882011378</v>
      </c>
      <c r="FR40" s="37">
        <f t="shared" si="293"/>
        <v>0.2941496950530782</v>
      </c>
      <c r="FS40" s="37">
        <f t="shared" si="293"/>
        <v>-2.2188991893513598E-2</v>
      </c>
      <c r="FT40" s="37">
        <f t="shared" si="293"/>
        <v>-1.2988009044828312E-3</v>
      </c>
      <c r="FU40" s="90">
        <f t="shared" si="293"/>
        <v>0</v>
      </c>
      <c r="FV40" s="221">
        <f t="shared" si="94"/>
        <v>0.52102761477147463</v>
      </c>
      <c r="FX40" t="str">
        <f t="shared" si="95"/>
        <v>Passion</v>
      </c>
      <c r="FY40" s="36">
        <f t="shared" ref="FY40:GG40" si="294">IF(FY$19&gt;0,FY27*SQRT(FY$19),0)</f>
        <v>-0.6026404376764517</v>
      </c>
      <c r="FZ40" s="37">
        <f t="shared" si="294"/>
        <v>1.7636180946268582E-2</v>
      </c>
      <c r="GA40" s="37">
        <f t="shared" si="294"/>
        <v>8.6278134632202422E-2</v>
      </c>
      <c r="GB40" s="37">
        <f t="shared" si="294"/>
        <v>0.22810010130976557</v>
      </c>
      <c r="GC40" s="37">
        <f t="shared" si="294"/>
        <v>0.11234636639308453</v>
      </c>
      <c r="GD40" s="37">
        <f t="shared" si="294"/>
        <v>0.29629746174591881</v>
      </c>
      <c r="GE40" s="37">
        <f t="shared" si="294"/>
        <v>-2.2647138531367142E-2</v>
      </c>
      <c r="GF40" s="37">
        <f t="shared" si="294"/>
        <v>1.6457756277572489E-3</v>
      </c>
      <c r="GG40" s="90">
        <f t="shared" si="294"/>
        <v>0</v>
      </c>
      <c r="GH40" s="221">
        <f t="shared" si="97"/>
        <v>0.52388959807425184</v>
      </c>
      <c r="GJ40" t="str">
        <f t="shared" si="98"/>
        <v>Passion</v>
      </c>
      <c r="GK40" s="36">
        <f t="shared" ref="GK40:GS40" si="295">IF(GK$19&gt;0,GK27*SQRT(GK$19),0)</f>
        <v>-0.60318760659948178</v>
      </c>
      <c r="GL40" s="37">
        <f t="shared" si="295"/>
        <v>1.8531201942829072E-2</v>
      </c>
      <c r="GM40" s="37">
        <f t="shared" si="295"/>
        <v>7.7889596963485339E-2</v>
      </c>
      <c r="GN40" s="37">
        <f t="shared" si="295"/>
        <v>0.23171257645152696</v>
      </c>
      <c r="GO40" s="37">
        <f t="shared" si="295"/>
        <v>0.11339862639192333</v>
      </c>
      <c r="GP40" s="37">
        <f t="shared" si="295"/>
        <v>0.29823421080790086</v>
      </c>
      <c r="GQ40" s="37">
        <f t="shared" si="295"/>
        <v>-2.3023701372730052E-2</v>
      </c>
      <c r="GR40" s="37">
        <f t="shared" si="295"/>
        <v>1.9417686651754921E-3</v>
      </c>
      <c r="GS40" s="90">
        <f t="shared" si="295"/>
        <v>0</v>
      </c>
      <c r="GT40" s="221">
        <f t="shared" si="100"/>
        <v>0.52627295585583211</v>
      </c>
      <c r="GV40" t="str">
        <f t="shared" si="101"/>
        <v>Passion</v>
      </c>
      <c r="GW40" s="36">
        <f t="shared" ref="GW40:HE40" si="296">IF(GW$19&gt;0,GW27*SQRT(GW$19),0)</f>
        <v>-0.60364445025697089</v>
      </c>
      <c r="GX40" s="37">
        <f t="shared" si="296"/>
        <v>1.9270474890000475E-2</v>
      </c>
      <c r="GY40" s="37">
        <f t="shared" si="296"/>
        <v>7.2587837273326919E-2</v>
      </c>
      <c r="GZ40" s="37">
        <f t="shared" si="296"/>
        <v>0.23390554608090608</v>
      </c>
      <c r="HA40" s="37">
        <f t="shared" si="296"/>
        <v>0.11425651696174781</v>
      </c>
      <c r="HB40" s="37">
        <f t="shared" si="296"/>
        <v>0.299870213694021</v>
      </c>
      <c r="HC40" s="37">
        <f t="shared" si="296"/>
        <v>-2.3346532350222236E-2</v>
      </c>
      <c r="HD40" s="37">
        <f t="shared" si="296"/>
        <v>2.1151827595842676E-3</v>
      </c>
      <c r="HE40" s="90">
        <f t="shared" si="296"/>
        <v>0</v>
      </c>
      <c r="HF40" s="221">
        <f t="shared" si="103"/>
        <v>0.52826500343596694</v>
      </c>
      <c r="HH40" t="str">
        <f t="shared" si="104"/>
        <v>Passion</v>
      </c>
      <c r="HI40" s="36">
        <f t="shared" ref="HI40:HQ40" si="297">IF(HI$19&gt;0,HI27*SQRT(HI$19),0)</f>
        <v>-0.60402722083395266</v>
      </c>
      <c r="HJ40" s="37">
        <f t="shared" si="297"/>
        <v>1.9883307623129738E-2</v>
      </c>
      <c r="HK40" s="37">
        <f t="shared" si="297"/>
        <v>5.0925717965346708E-2</v>
      </c>
      <c r="HL40" s="37">
        <f t="shared" si="297"/>
        <v>0.23978848301464134</v>
      </c>
      <c r="HM40" s="37">
        <f t="shared" si="297"/>
        <v>0.11495754176501921</v>
      </c>
      <c r="HN40" s="37">
        <f t="shared" si="297"/>
        <v>0.30125845875910962</v>
      </c>
      <c r="HO40" s="37">
        <f t="shared" si="297"/>
        <v>-2.3617637253643391E-2</v>
      </c>
      <c r="HP40" s="37">
        <f t="shared" si="297"/>
        <v>2.1227431652700171E-3</v>
      </c>
      <c r="HQ40" s="90">
        <f t="shared" si="297"/>
        <v>0</v>
      </c>
      <c r="HR40" s="221">
        <f t="shared" si="106"/>
        <v>0.52987036897773432</v>
      </c>
      <c r="HT40" t="str">
        <f t="shared" si="107"/>
        <v>Passion</v>
      </c>
      <c r="HU40" s="36">
        <f t="shared" ref="HU40:IC40" si="298">IF(HU$19&gt;0,HU27*SQRT(HU$19),0)</f>
        <v>-0.60433428639217901</v>
      </c>
      <c r="HV40" s="37">
        <f t="shared" si="298"/>
        <v>2.0386498543769033E-2</v>
      </c>
      <c r="HW40" s="37">
        <f t="shared" si="298"/>
        <v>4.4815331468944938E-2</v>
      </c>
      <c r="HX40" s="37">
        <f t="shared" si="298"/>
        <v>0.2413269885045484</v>
      </c>
      <c r="HY40" s="37">
        <f t="shared" si="298"/>
        <v>0.11561366543623453</v>
      </c>
      <c r="HZ40" s="37">
        <f t="shared" si="298"/>
        <v>0.3022826702599577</v>
      </c>
      <c r="IA40" s="37">
        <f t="shared" si="298"/>
        <v>-2.3888425024721875E-2</v>
      </c>
      <c r="IB40" s="37">
        <f t="shared" si="298"/>
        <v>1.9613056973199179E-3</v>
      </c>
      <c r="IC40" s="90">
        <f t="shared" si="298"/>
        <v>0</v>
      </c>
      <c r="ID40" s="221">
        <f t="shared" si="109"/>
        <v>0.53119850429265725</v>
      </c>
      <c r="IF40" t="str">
        <f t="shared" si="110"/>
        <v>Passion</v>
      </c>
      <c r="IG40" s="36">
        <f t="shared" ref="IG40:IO40" si="299">IF(IG$19&gt;0,IG27*SQRT(IG$19),0)</f>
        <v>-0.60458848882696592</v>
      </c>
      <c r="IH40" s="37">
        <f t="shared" si="299"/>
        <v>2.0798828658083308E-2</v>
      </c>
      <c r="II40" s="37">
        <f t="shared" si="299"/>
        <v>4.0308457162811895E-2</v>
      </c>
      <c r="IJ40" s="37">
        <f t="shared" si="299"/>
        <v>0.24237552105844584</v>
      </c>
      <c r="IK40" s="37">
        <f t="shared" si="299"/>
        <v>0.11615918304373313</v>
      </c>
      <c r="IL40" s="37">
        <f t="shared" si="299"/>
        <v>0.30313591578691113</v>
      </c>
      <c r="IM40" s="37">
        <f t="shared" si="299"/>
        <v>-2.4115659281665178E-2</v>
      </c>
      <c r="IN40" s="37">
        <f t="shared" si="299"/>
        <v>1.7499779955618979E-3</v>
      </c>
      <c r="IO40" s="90">
        <f t="shared" si="299"/>
        <v>0</v>
      </c>
      <c r="IP40" s="221">
        <f t="shared" si="112"/>
        <v>0.53229946371375303</v>
      </c>
      <c r="IR40" t="str">
        <f t="shared" si="113"/>
        <v>Passion</v>
      </c>
      <c r="IS40" s="36">
        <f t="shared" ref="IS40:JA40" si="300">IF(IS$19&gt;0,IS27*SQRT(IS$19),0)</f>
        <v>-0.60479926659533745</v>
      </c>
      <c r="IT40" s="37">
        <f t="shared" si="300"/>
        <v>2.1137216523256085E-2</v>
      </c>
      <c r="IU40" s="37">
        <f t="shared" si="300"/>
        <v>5.3661961630958696E-2</v>
      </c>
      <c r="IV40" s="37">
        <f t="shared" si="300"/>
        <v>0.24008540657512639</v>
      </c>
      <c r="IW40" s="37">
        <f t="shared" si="300"/>
        <v>0.11661329783390045</v>
      </c>
      <c r="IX40" s="37">
        <f t="shared" si="300"/>
        <v>0.30384875499070896</v>
      </c>
      <c r="IY40" s="37">
        <f t="shared" si="300"/>
        <v>-2.4303983329723649E-2</v>
      </c>
      <c r="IZ40" s="37">
        <f t="shared" si="300"/>
        <v>1.9374669061391183E-3</v>
      </c>
      <c r="JA40" s="90">
        <f t="shared" si="300"/>
        <v>0</v>
      </c>
      <c r="JB40" s="221">
        <f t="shared" si="115"/>
        <v>0.53326670789784103</v>
      </c>
      <c r="JD40" t="str">
        <f t="shared" si="116"/>
        <v>Passion</v>
      </c>
      <c r="JE40" s="36">
        <f t="shared" ref="JE40:JM40" si="301">IF(JE$19&gt;0,JE27*SQRT(JE$19),0)</f>
        <v>-0.60498740830471498</v>
      </c>
      <c r="JF40" s="37">
        <f t="shared" si="301"/>
        <v>2.1426769266706846E-2</v>
      </c>
      <c r="JG40" s="37">
        <f t="shared" si="301"/>
        <v>5.5209614121060152E-2</v>
      </c>
      <c r="JH40" s="37">
        <f t="shared" si="301"/>
        <v>0.23986917120815668</v>
      </c>
      <c r="JI40" s="37">
        <f t="shared" si="301"/>
        <v>0.1168977219947666</v>
      </c>
      <c r="JJ40" s="37">
        <f t="shared" si="301"/>
        <v>0.30459369668556813</v>
      </c>
      <c r="JK40" s="37">
        <f t="shared" si="301"/>
        <v>-2.4404329870377113E-2</v>
      </c>
      <c r="JL40" s="37">
        <f t="shared" si="301"/>
        <v>2.0090612405142586E-3</v>
      </c>
      <c r="JM40" s="90">
        <f t="shared" si="301"/>
        <v>0</v>
      </c>
      <c r="JN40" s="221">
        <f t="shared" si="118"/>
        <v>0.53409619654758478</v>
      </c>
      <c r="JP40" t="str">
        <f t="shared" si="119"/>
        <v>Passion</v>
      </c>
      <c r="JQ40" s="36">
        <f t="shared" ref="JQ40:JY40" si="302">IF(JQ$19&gt;0,JQ27*SQRT(JQ$19),0)</f>
        <v>-0.60514909565902253</v>
      </c>
      <c r="JR40" s="37">
        <f t="shared" si="302"/>
        <v>2.1671791620936777E-2</v>
      </c>
      <c r="JS40" s="37">
        <f t="shared" si="302"/>
        <v>4.1313506934203284E-2</v>
      </c>
      <c r="JT40" s="37">
        <f t="shared" si="302"/>
        <v>0.24264897627467075</v>
      </c>
      <c r="JU40" s="37">
        <f t="shared" si="302"/>
        <v>0.11712883482263177</v>
      </c>
      <c r="JV40" s="37">
        <f t="shared" si="302"/>
        <v>0.30524867242970732</v>
      </c>
      <c r="JW40" s="37">
        <f t="shared" si="302"/>
        <v>-2.4477984192325469E-2</v>
      </c>
      <c r="JX40" s="37">
        <f t="shared" si="302"/>
        <v>1.4124855142519227E-3</v>
      </c>
      <c r="JY40" s="90">
        <f t="shared" si="302"/>
        <v>0</v>
      </c>
      <c r="JZ40" s="221">
        <f t="shared" si="121"/>
        <v>0.53475750886379603</v>
      </c>
      <c r="KB40" t="str">
        <f t="shared" si="122"/>
        <v>Passion</v>
      </c>
      <c r="KC40" s="36">
        <f t="shared" ref="KC40:KK40" si="303">IF(KC$19&gt;0,KC27*SQRT(KC$19),0)</f>
        <v>-0.60527569123384917</v>
      </c>
      <c r="KD40" s="37">
        <f t="shared" si="303"/>
        <v>2.1870634030632056E-2</v>
      </c>
      <c r="KE40" s="37">
        <f t="shared" si="303"/>
        <v>3.9483142089967956E-2</v>
      </c>
      <c r="KF40" s="37">
        <f t="shared" si="303"/>
        <v>0.24306716873897211</v>
      </c>
      <c r="KG40" s="37">
        <f t="shared" si="303"/>
        <v>0.11740330199461912</v>
      </c>
      <c r="KH40" s="37">
        <f t="shared" si="303"/>
        <v>0.30568236014798428</v>
      </c>
      <c r="KI40" s="37">
        <f t="shared" si="303"/>
        <v>-2.4590178683946178E-2</v>
      </c>
      <c r="KJ40" s="37">
        <f t="shared" si="303"/>
        <v>-1.1385454955362782E-3</v>
      </c>
      <c r="KK40" s="90">
        <f t="shared" si="303"/>
        <v>0</v>
      </c>
      <c r="KL40" s="221">
        <f t="shared" si="124"/>
        <v>0.53530876785802783</v>
      </c>
      <c r="KN40" t="str">
        <f t="shared" si="125"/>
        <v>Passion</v>
      </c>
      <c r="KO40" s="36">
        <f t="shared" ref="KO40:KW40" si="304">IF(KO$19&gt;0,KO27*SQRT(KO$19),0)</f>
        <v>-0.60538112888744977</v>
      </c>
      <c r="KP40" s="37">
        <f t="shared" si="304"/>
        <v>2.2034738571589729E-2</v>
      </c>
      <c r="KQ40" s="37">
        <f t="shared" si="304"/>
        <v>3.8063177521971393E-2</v>
      </c>
      <c r="KR40" s="37">
        <f t="shared" si="304"/>
        <v>0.24338541416820653</v>
      </c>
      <c r="KS40" s="37">
        <f t="shared" si="304"/>
        <v>0.11763235859657654</v>
      </c>
      <c r="KT40" s="37">
        <f t="shared" si="304"/>
        <v>0.30604684909326502</v>
      </c>
      <c r="KU40" s="37">
        <f t="shared" si="304"/>
        <v>-2.4681514952672765E-2</v>
      </c>
      <c r="KV40" s="37">
        <f t="shared" si="304"/>
        <v>-6.43122908746071E-4</v>
      </c>
      <c r="KW40" s="90">
        <f t="shared" si="304"/>
        <v>0</v>
      </c>
      <c r="KX40" s="221">
        <f t="shared" si="127"/>
        <v>0.535768742646204</v>
      </c>
      <c r="KZ40" t="str">
        <f t="shared" si="128"/>
        <v>Passion</v>
      </c>
      <c r="LA40" s="36">
        <f t="shared" ref="LA40:LI40" si="305">IF(LA$19&gt;0,LA27*SQRT(LA$19),0)</f>
        <v>-0.60546913932537072</v>
      </c>
      <c r="LB40" s="37">
        <f t="shared" si="305"/>
        <v>2.2171346452471465E-2</v>
      </c>
      <c r="LC40" s="37">
        <f t="shared" si="305"/>
        <v>5.2065287863506463E-2</v>
      </c>
      <c r="LD40" s="37">
        <f t="shared" si="305"/>
        <v>0.24095261268424353</v>
      </c>
      <c r="LE40" s="37">
        <f t="shared" si="305"/>
        <v>0.11782303392498453</v>
      </c>
      <c r="LF40" s="37">
        <f t="shared" si="305"/>
        <v>0.30635198169465006</v>
      </c>
      <c r="LG40" s="37">
        <f t="shared" si="305"/>
        <v>-2.4756564813658333E-2</v>
      </c>
      <c r="LH40" s="37">
        <f t="shared" si="305"/>
        <v>1.8870269870712713E-3</v>
      </c>
      <c r="LI40" s="90">
        <f t="shared" si="305"/>
        <v>0</v>
      </c>
      <c r="LJ40" s="221">
        <f t="shared" si="130"/>
        <v>0.53620365542234372</v>
      </c>
      <c r="LL40" t="str">
        <f t="shared" si="131"/>
        <v>Passion</v>
      </c>
      <c r="LM40" s="36">
        <f t="shared" ref="LM40:LU40" si="306">IF(LM$19&gt;0,LM27*SQRT(LM$19),0)</f>
        <v>-0.60555510893362141</v>
      </c>
      <c r="LN40" s="37">
        <f t="shared" si="306"/>
        <v>2.2292732626143983E-2</v>
      </c>
      <c r="LO40" s="37">
        <f t="shared" si="306"/>
        <v>5.5324990226459252E-2</v>
      </c>
      <c r="LP40" s="37">
        <f t="shared" si="306"/>
        <v>0.24025783530297692</v>
      </c>
      <c r="LQ40" s="37">
        <f t="shared" si="306"/>
        <v>0.11789542235305624</v>
      </c>
      <c r="LR40" s="37">
        <f t="shared" si="306"/>
        <v>0.3067550430727069</v>
      </c>
      <c r="LS40" s="37">
        <f t="shared" si="306"/>
        <v>-2.4744413892213803E-2</v>
      </c>
      <c r="LT40" s="37">
        <f t="shared" si="306"/>
        <v>2.0513648598643568E-3</v>
      </c>
      <c r="LU40" s="90">
        <f t="shared" si="306"/>
        <v>0</v>
      </c>
      <c r="LV40" s="221">
        <f t="shared" si="133"/>
        <v>0.53659311903058238</v>
      </c>
      <c r="LX40" t="str">
        <f t="shared" si="134"/>
        <v>Passion</v>
      </c>
      <c r="LY40" s="36">
        <f t="shared" ref="LY40:MG40" si="307">IF(LY$19&gt;0,LY27*SQRT(LY$19),0)</f>
        <v>-0.60563231132866302</v>
      </c>
      <c r="LZ40" s="37">
        <f t="shared" si="307"/>
        <v>2.2398971402878682E-2</v>
      </c>
      <c r="MA40" s="37">
        <f t="shared" si="307"/>
        <v>4.3868966005200273E-2</v>
      </c>
      <c r="MB40" s="37">
        <f t="shared" si="307"/>
        <v>0.24253195959943041</v>
      </c>
      <c r="MC40" s="37">
        <f t="shared" si="307"/>
        <v>0.11795135375338159</v>
      </c>
      <c r="MD40" s="37">
        <f t="shared" si="307"/>
        <v>0.30712699494900292</v>
      </c>
      <c r="ME40" s="37">
        <f t="shared" si="307"/>
        <v>-2.4723470786746998E-2</v>
      </c>
      <c r="MF40" s="37">
        <f t="shared" si="307"/>
        <v>8.31560147043744E-4</v>
      </c>
      <c r="MG40" s="90">
        <f t="shared" si="307"/>
        <v>0</v>
      </c>
      <c r="MH40" s="221">
        <f t="shared" si="136"/>
        <v>0.53688990242939227</v>
      </c>
      <c r="MJ40" t="str">
        <f t="shared" si="137"/>
        <v>Passion</v>
      </c>
      <c r="MK40" s="36">
        <f t="shared" ref="MK40:MS40" si="308">IF(MK$19&gt;0,MK27*SQRT(MK$19),0)</f>
        <v>-0.60568902513169243</v>
      </c>
      <c r="ML40" s="37">
        <f t="shared" si="308"/>
        <v>2.248579708608146E-2</v>
      </c>
      <c r="MM40" s="37">
        <f t="shared" si="308"/>
        <v>4.3175406022097303E-2</v>
      </c>
      <c r="MN40" s="37">
        <f t="shared" si="308"/>
        <v>0.24270372214417266</v>
      </c>
      <c r="MO40" s="37">
        <f t="shared" si="308"/>
        <v>0.11807387743558483</v>
      </c>
      <c r="MP40" s="37">
        <f t="shared" si="308"/>
        <v>0.30732576705123421</v>
      </c>
      <c r="MQ40" s="37">
        <f t="shared" si="308"/>
        <v>-2.4770562059114019E-2</v>
      </c>
      <c r="MR40" s="37">
        <f t="shared" si="308"/>
        <v>6.2675699880780005E-4</v>
      </c>
      <c r="MS40" s="90">
        <f t="shared" si="308"/>
        <v>0</v>
      </c>
      <c r="MT40" s="221">
        <f t="shared" si="139"/>
        <v>0.53713855985874803</v>
      </c>
    </row>
    <row r="41" spans="1:358" x14ac:dyDescent="0.25">
      <c r="A41">
        <v>38</v>
      </c>
      <c r="B41" s="123">
        <v>5</v>
      </c>
      <c r="C41" s="37">
        <v>8</v>
      </c>
      <c r="D41" s="37">
        <v>5</v>
      </c>
      <c r="E41" s="37">
        <v>4</v>
      </c>
      <c r="F41" s="37">
        <v>7</v>
      </c>
      <c r="G41" s="37">
        <v>7</v>
      </c>
      <c r="H41" s="37">
        <v>7</v>
      </c>
      <c r="I41" s="37">
        <v>4</v>
      </c>
      <c r="J41" s="90">
        <v>7</v>
      </c>
      <c r="S41">
        <f t="shared" si="140"/>
        <v>9</v>
      </c>
      <c r="T41" s="174">
        <f>[1]!RSquare($B$4:$J$123,S41)</f>
        <v>0.33866076183733756</v>
      </c>
      <c r="V41" s="171">
        <v>0.33866076183733707</v>
      </c>
      <c r="X41" t="str">
        <f t="shared" si="56"/>
        <v>Friendly</v>
      </c>
      <c r="Y41" s="91">
        <f t="shared" ref="Y41:AG41" si="309">IF(Y$19&gt;0,Y28*SQRT(Y$19),0)</f>
        <v>-0.24750993672012844</v>
      </c>
      <c r="Z41" s="92">
        <f t="shared" si="309"/>
        <v>-0.5682433854272676</v>
      </c>
      <c r="AA41" s="92">
        <f t="shared" si="309"/>
        <v>-0.19054236440591507</v>
      </c>
      <c r="AB41" s="92">
        <f t="shared" si="309"/>
        <v>0.15735080761179293</v>
      </c>
      <c r="AC41" s="92">
        <f t="shared" si="309"/>
        <v>0</v>
      </c>
      <c r="AD41" s="92">
        <f t="shared" si="309"/>
        <v>0</v>
      </c>
      <c r="AE41" s="92">
        <f t="shared" si="309"/>
        <v>0</v>
      </c>
      <c r="AF41" s="92">
        <f t="shared" si="309"/>
        <v>0</v>
      </c>
      <c r="AG41" s="93">
        <f t="shared" si="309"/>
        <v>0</v>
      </c>
      <c r="AH41" s="171">
        <f t="shared" si="58"/>
        <v>0.44522738314652416</v>
      </c>
      <c r="AJ41" t="str">
        <f t="shared" si="59"/>
        <v>Friendly</v>
      </c>
      <c r="AK41" s="91">
        <f t="shared" ref="AK41:AS41" si="310">IF(AK$19&gt;0,AK28*SQRT(AK$19),0)</f>
        <v>-0.25491571591385737</v>
      </c>
      <c r="AL41" s="92">
        <f t="shared" si="310"/>
        <v>-0.61302619685543003</v>
      </c>
      <c r="AM41" s="92">
        <f t="shared" si="310"/>
        <v>-0.21189056828735031</v>
      </c>
      <c r="AN41" s="92">
        <f t="shared" si="310"/>
        <v>0.17142883191390978</v>
      </c>
      <c r="AO41" s="92">
        <f t="shared" si="310"/>
        <v>-1.6227438706606478E-2</v>
      </c>
      <c r="AP41" s="92">
        <f t="shared" si="310"/>
        <v>-3.5720937074958971E-2</v>
      </c>
      <c r="AQ41" s="92">
        <f t="shared" si="310"/>
        <v>0</v>
      </c>
      <c r="AR41" s="92">
        <f t="shared" si="310"/>
        <v>0</v>
      </c>
      <c r="AS41" s="93">
        <f t="shared" si="310"/>
        <v>0</v>
      </c>
      <c r="AT41" s="171">
        <f t="shared" si="61"/>
        <v>0.5166079127039005</v>
      </c>
      <c r="AV41" t="str">
        <f t="shared" si="62"/>
        <v>Friendly</v>
      </c>
      <c r="AW41" s="91">
        <f t="shared" ref="AW41:BE41" si="311">IF(AW$19&gt;0,AW28*SQRT(AW$19),0)</f>
        <v>-0.26163894375131092</v>
      </c>
      <c r="AX41" s="92">
        <f t="shared" si="311"/>
        <v>-0.64301633489663457</v>
      </c>
      <c r="AY41" s="92">
        <f t="shared" si="311"/>
        <v>-0.22244066843032431</v>
      </c>
      <c r="AZ41" s="92">
        <f t="shared" si="311"/>
        <v>0.1810868796906914</v>
      </c>
      <c r="BA41" s="92">
        <f t="shared" si="311"/>
        <v>-1.7524060336781774E-2</v>
      </c>
      <c r="BB41" s="92">
        <f t="shared" si="311"/>
        <v>-6.2995591015003682E-2</v>
      </c>
      <c r="BC41" s="92">
        <f t="shared" si="311"/>
        <v>0</v>
      </c>
      <c r="BD41" s="92">
        <f t="shared" si="311"/>
        <v>0</v>
      </c>
      <c r="BE41" s="93">
        <f t="shared" si="311"/>
        <v>0</v>
      </c>
      <c r="BF41" s="171">
        <f t="shared" si="64"/>
        <v>0.56847278997705974</v>
      </c>
      <c r="BH41" t="str">
        <f t="shared" si="65"/>
        <v>Friendly</v>
      </c>
      <c r="BI41" s="91">
        <f t="shared" ref="BI41:BQ41" si="312">IF(BI$19&gt;0,BI28*SQRT(BI$19),0)</f>
        <v>-0.26749197591654267</v>
      </c>
      <c r="BJ41" s="92">
        <f t="shared" si="312"/>
        <v>-0.66456103489328822</v>
      </c>
      <c r="BK41" s="92">
        <f t="shared" si="312"/>
        <v>-0.23024608377054387</v>
      </c>
      <c r="BL41" s="92">
        <f t="shared" si="312"/>
        <v>0.18716558340409437</v>
      </c>
      <c r="BM41" s="92">
        <f t="shared" si="312"/>
        <v>-2.0142673268388169E-2</v>
      </c>
      <c r="BN41" s="92">
        <f t="shared" si="312"/>
        <v>-7.6652766022784147E-2</v>
      </c>
      <c r="BO41" s="92">
        <f t="shared" si="312"/>
        <v>0</v>
      </c>
      <c r="BP41" s="92">
        <f t="shared" si="312"/>
        <v>0</v>
      </c>
      <c r="BQ41" s="93">
        <f t="shared" si="312"/>
        <v>0</v>
      </c>
      <c r="BR41" s="171">
        <f t="shared" si="67"/>
        <v>0.60751891480618248</v>
      </c>
      <c r="BT41" t="str">
        <f t="shared" si="68"/>
        <v>Friendly</v>
      </c>
      <c r="BU41" s="91">
        <f t="shared" ref="BU41:CC41" si="313">IF(BU$19&gt;0,BU28*SQRT(BU$19),0)</f>
        <v>-0.27259117757198548</v>
      </c>
      <c r="BV41" s="92">
        <f t="shared" si="313"/>
        <v>-0.68061687704673446</v>
      </c>
      <c r="BW41" s="92">
        <f t="shared" si="313"/>
        <v>-0.23764667761453603</v>
      </c>
      <c r="BX41" s="92">
        <f t="shared" si="313"/>
        <v>0.1896858446633117</v>
      </c>
      <c r="BY41" s="92">
        <f t="shared" si="313"/>
        <v>-2.3201168856735645E-2</v>
      </c>
      <c r="BZ41" s="92">
        <f t="shared" si="313"/>
        <v>-8.3852750127123024E-2</v>
      </c>
      <c r="CA41" s="92">
        <f t="shared" si="313"/>
        <v>-6.7650399334400774E-3</v>
      </c>
      <c r="CB41" s="92">
        <f t="shared" si="313"/>
        <v>0</v>
      </c>
      <c r="CC41" s="93">
        <f t="shared" si="313"/>
        <v>0</v>
      </c>
      <c r="CD41" s="171">
        <f t="shared" si="70"/>
        <v>0.63761729016329405</v>
      </c>
      <c r="CF41" t="str">
        <f t="shared" si="71"/>
        <v>Friendly</v>
      </c>
      <c r="CG41" s="91">
        <f t="shared" ref="CG41:CO41" si="314">IF(CG$19&gt;0,CG28*SQRT(CG$19),0)</f>
        <v>-0.27696249939241924</v>
      </c>
      <c r="CH41" s="92">
        <f t="shared" si="314"/>
        <v>-0.69282441275147277</v>
      </c>
      <c r="CI41" s="92">
        <f t="shared" si="314"/>
        <v>-0.24628630898846102</v>
      </c>
      <c r="CJ41" s="92">
        <f t="shared" si="314"/>
        <v>0.18788332379919123</v>
      </c>
      <c r="CK41" s="92">
        <f t="shared" si="314"/>
        <v>-2.6034307209625861E-2</v>
      </c>
      <c r="CL41" s="92">
        <f t="shared" si="314"/>
        <v>-8.7715964513647118E-2</v>
      </c>
      <c r="CM41" s="92">
        <f t="shared" si="314"/>
        <v>-1.4059572170834277E-2</v>
      </c>
      <c r="CN41" s="92">
        <f t="shared" si="314"/>
        <v>0</v>
      </c>
      <c r="CO41" s="93">
        <f t="shared" si="314"/>
        <v>0</v>
      </c>
      <c r="CP41" s="171">
        <f t="shared" si="73"/>
        <v>0.66124052948318179</v>
      </c>
      <c r="CR41" t="str">
        <f t="shared" si="74"/>
        <v>Friendly</v>
      </c>
      <c r="CS41" s="91">
        <f t="shared" ref="CS41:DA41" si="315">IF(CS$19&gt;0,CS28*SQRT(CS$19),0)</f>
        <v>-0.28056141940240908</v>
      </c>
      <c r="CT41" s="92">
        <f t="shared" si="315"/>
        <v>-0.70223696103775091</v>
      </c>
      <c r="CU41" s="92">
        <f t="shared" si="315"/>
        <v>-0.25729646862342781</v>
      </c>
      <c r="CV41" s="92">
        <f t="shared" si="315"/>
        <v>0.18052859321533082</v>
      </c>
      <c r="CW41" s="92">
        <f t="shared" si="315"/>
        <v>-2.8387977322822038E-2</v>
      </c>
      <c r="CX41" s="92">
        <f t="shared" si="315"/>
        <v>-9.0195062638257995E-2</v>
      </c>
      <c r="CY41" s="92">
        <f t="shared" si="315"/>
        <v>-1.8166526198796426E-2</v>
      </c>
      <c r="CZ41" s="92">
        <f t="shared" si="315"/>
        <v>0</v>
      </c>
      <c r="DA41" s="93">
        <f t="shared" si="315"/>
        <v>0</v>
      </c>
      <c r="DB41" s="171">
        <f t="shared" si="76"/>
        <v>0.67991455449395488</v>
      </c>
      <c r="DD41" t="str">
        <f t="shared" si="77"/>
        <v>Friendly</v>
      </c>
      <c r="DE41" s="91">
        <f t="shared" ref="DE41:DM41" si="316">IF(DE$19&gt;0,DE28*SQRT(DE$19),0)</f>
        <v>-0.28351080535353346</v>
      </c>
      <c r="DF41" s="92">
        <f t="shared" si="316"/>
        <v>-0.70955468192526006</v>
      </c>
      <c r="DG41" s="92">
        <f t="shared" si="316"/>
        <v>-0.27182229100031469</v>
      </c>
      <c r="DH41" s="92">
        <f t="shared" si="316"/>
        <v>0.16502508334007643</v>
      </c>
      <c r="DI41" s="92">
        <f t="shared" si="316"/>
        <v>-3.0358954151775343E-2</v>
      </c>
      <c r="DJ41" s="92">
        <f t="shared" si="316"/>
        <v>-9.1763348850509338E-2</v>
      </c>
      <c r="DK41" s="92">
        <f t="shared" si="316"/>
        <v>-2.1213901045608389E-2</v>
      </c>
      <c r="DL41" s="92">
        <f t="shared" si="316"/>
        <v>0</v>
      </c>
      <c r="DM41" s="93">
        <f t="shared" si="316"/>
        <v>0</v>
      </c>
      <c r="DN41" s="171">
        <f t="shared" si="79"/>
        <v>0.69475906729734782</v>
      </c>
      <c r="DP41" t="str">
        <f t="shared" si="80"/>
        <v>Friendly</v>
      </c>
      <c r="DQ41" s="91">
        <f t="shared" ref="DQ41:DY41" si="317">IF(DQ$19&gt;0,DQ28*SQRT(DQ$19),0)</f>
        <v>-0.28592774300633378</v>
      </c>
      <c r="DR41" s="92">
        <f t="shared" si="317"/>
        <v>-0.71528586496275581</v>
      </c>
      <c r="DS41" s="92">
        <f t="shared" si="317"/>
        <v>-0.28978159924572483</v>
      </c>
      <c r="DT41" s="92">
        <f t="shared" si="317"/>
        <v>0.13801783695012998</v>
      </c>
      <c r="DU41" s="92">
        <f t="shared" si="317"/>
        <v>-3.2000211014922939E-2</v>
      </c>
      <c r="DV41" s="92">
        <f t="shared" si="317"/>
        <v>-9.2736012163761802E-2</v>
      </c>
      <c r="DW41" s="92">
        <f t="shared" si="317"/>
        <v>-2.3694617742177872E-2</v>
      </c>
      <c r="DX41" s="92">
        <f t="shared" si="317"/>
        <v>0</v>
      </c>
      <c r="DY41" s="93">
        <f t="shared" si="317"/>
        <v>0</v>
      </c>
      <c r="DZ41" s="171">
        <f t="shared" si="82"/>
        <v>0.70659625778100121</v>
      </c>
      <c r="EB41" t="str">
        <f t="shared" si="83"/>
        <v>Friendly</v>
      </c>
      <c r="EC41" s="91">
        <f t="shared" ref="EC41:EK41" si="318">IF(EC$19&gt;0,EC28*SQRT(EC$19),0)</f>
        <v>-0.28790682536168466</v>
      </c>
      <c r="ED41" s="92">
        <f t="shared" si="318"/>
        <v>-0.71979588746330592</v>
      </c>
      <c r="EE41" s="92">
        <f t="shared" si="318"/>
        <v>-0.30770035975857035</v>
      </c>
      <c r="EF41" s="92">
        <f t="shared" si="318"/>
        <v>9.9342984425559416E-2</v>
      </c>
      <c r="EG41" s="92">
        <f t="shared" si="318"/>
        <v>-3.3368280033532982E-2</v>
      </c>
      <c r="EH41" s="92">
        <f t="shared" si="318"/>
        <v>-9.3318124716534584E-2</v>
      </c>
      <c r="EI41" s="92">
        <f t="shared" si="318"/>
        <v>2.5810256225839125E-2</v>
      </c>
      <c r="EJ41" s="92">
        <f t="shared" si="318"/>
        <v>0</v>
      </c>
      <c r="EK41" s="93">
        <f t="shared" si="318"/>
        <v>0</v>
      </c>
      <c r="EL41" s="171">
        <f t="shared" si="85"/>
        <v>0.71603288348851268</v>
      </c>
      <c r="EN41" t="str">
        <f t="shared" si="86"/>
        <v>Friendly</v>
      </c>
      <c r="EO41" s="91">
        <f t="shared" ref="EO41:EW41" si="319">IF(EO$19&gt;0,EO28*SQRT(EO$19),0)</f>
        <v>-0.28951888376742146</v>
      </c>
      <c r="EP41" s="92">
        <f t="shared" si="319"/>
        <v>-0.72335021277239298</v>
      </c>
      <c r="EQ41" s="92">
        <f t="shared" si="319"/>
        <v>-0.32106295438609933</v>
      </c>
      <c r="ER41" s="92">
        <f t="shared" si="319"/>
        <v>5.2110940710473092E-2</v>
      </c>
      <c r="ES41" s="92">
        <f t="shared" si="319"/>
        <v>-3.4523455968040059E-2</v>
      </c>
      <c r="ET41" s="92">
        <f t="shared" si="319"/>
        <v>-9.3649916216318213E-2</v>
      </c>
      <c r="EU41" s="92">
        <f t="shared" si="319"/>
        <v>-2.767805293629776E-2</v>
      </c>
      <c r="EV41" s="92">
        <f t="shared" si="319"/>
        <v>0</v>
      </c>
      <c r="EW41" s="93">
        <f t="shared" si="319"/>
        <v>0</v>
      </c>
      <c r="EX41" s="171">
        <f t="shared" si="88"/>
        <v>0.72358193563030593</v>
      </c>
      <c r="EZ41" t="str">
        <f t="shared" si="89"/>
        <v>Friendly</v>
      </c>
      <c r="FA41" s="91">
        <f t="shared" ref="FA41:FI41" si="320">IF(FA$19&gt;0,FA28*SQRT(FA$19),0)</f>
        <v>-0.29083049244824749</v>
      </c>
      <c r="FB41" s="92">
        <f t="shared" si="320"/>
        <v>-0.72616879801315326</v>
      </c>
      <c r="FC41" s="92">
        <f t="shared" si="320"/>
        <v>-0.32669122436468206</v>
      </c>
      <c r="FD41" s="92">
        <f t="shared" si="320"/>
        <v>-1.1258856892578219E-2</v>
      </c>
      <c r="FE41" s="92">
        <f t="shared" si="320"/>
        <v>-3.5488317054437842E-2</v>
      </c>
      <c r="FF41" s="92">
        <f t="shared" si="320"/>
        <v>-9.3841253096260846E-2</v>
      </c>
      <c r="FG41" s="92">
        <f t="shared" si="320"/>
        <v>-2.9120050876970664E-2</v>
      </c>
      <c r="FH41" s="92">
        <f t="shared" si="320"/>
        <v>0</v>
      </c>
      <c r="FI41" s="93">
        <f t="shared" si="320"/>
        <v>0</v>
      </c>
      <c r="FJ41" s="171">
        <f t="shared" si="91"/>
        <v>0.72967099527409052</v>
      </c>
      <c r="FL41" t="str">
        <f t="shared" si="92"/>
        <v>Friendly</v>
      </c>
      <c r="FM41" s="91">
        <f t="shared" ref="FM41:FU41" si="321">IF(FM$19&gt;0,FM28*SQRT(FM$19),0)</f>
        <v>-0.29191379340387874</v>
      </c>
      <c r="FN41" s="92">
        <f t="shared" si="321"/>
        <v>-0.72841946092544574</v>
      </c>
      <c r="FO41" s="92">
        <f t="shared" si="321"/>
        <v>-0.32357846719194233</v>
      </c>
      <c r="FP41" s="92">
        <f t="shared" si="321"/>
        <v>-5.4810107991463179E-2</v>
      </c>
      <c r="FQ41" s="92">
        <f t="shared" si="321"/>
        <v>-3.6270818345264431E-2</v>
      </c>
      <c r="FR41" s="92">
        <f t="shared" si="321"/>
        <v>-9.3929059632673131E-2</v>
      </c>
      <c r="FS41" s="92">
        <f t="shared" si="321"/>
        <v>-3.0845759036450392E-2</v>
      </c>
      <c r="FT41" s="92">
        <f t="shared" si="321"/>
        <v>1.1414036149366004E-3</v>
      </c>
      <c r="FU41" s="93">
        <f t="shared" si="321"/>
        <v>0</v>
      </c>
      <c r="FV41" s="171">
        <f t="shared" si="94"/>
        <v>0.73460675036234246</v>
      </c>
      <c r="FX41" t="str">
        <f t="shared" si="95"/>
        <v>Friendly</v>
      </c>
      <c r="FY41" s="91">
        <f t="shared" ref="FY41:GG41" si="322">IF(FY$19&gt;0,FY28*SQRT(FY$19),0)</f>
        <v>-0.29279355859176143</v>
      </c>
      <c r="FZ41" s="92">
        <f t="shared" si="322"/>
        <v>-0.7302359900042158</v>
      </c>
      <c r="GA41" s="92">
        <f t="shared" si="322"/>
        <v>-0.32464007939700651</v>
      </c>
      <c r="GB41" s="92">
        <f t="shared" si="322"/>
        <v>-5.5475421043617468E-2</v>
      </c>
      <c r="GC41" s="92">
        <f t="shared" si="322"/>
        <v>-3.690903605572303E-2</v>
      </c>
      <c r="GD41" s="92">
        <f t="shared" si="322"/>
        <v>-9.3988565123269516E-2</v>
      </c>
      <c r="GE41" s="92">
        <f t="shared" si="322"/>
        <v>-3.2173107890799045E-2</v>
      </c>
      <c r="GF41" s="92">
        <f t="shared" si="322"/>
        <v>-1.6932631743768788E-3</v>
      </c>
      <c r="GG41" s="93">
        <f t="shared" si="322"/>
        <v>0</v>
      </c>
      <c r="GH41" s="171">
        <f t="shared" si="97"/>
        <v>0.73867547586915006</v>
      </c>
      <c r="GJ41" t="str">
        <f t="shared" si="98"/>
        <v>Friendly</v>
      </c>
      <c r="GK41" s="91">
        <f t="shared" ref="GK41:GS41" si="323">IF(GK$19&gt;0,GK28*SQRT(GK$19),0)</f>
        <v>-0.29350421056258075</v>
      </c>
      <c r="GL41" s="92">
        <f t="shared" si="323"/>
        <v>-0.7317427255016089</v>
      </c>
      <c r="GM41" s="92">
        <f t="shared" si="323"/>
        <v>-0.32322378897904575</v>
      </c>
      <c r="GN41" s="92">
        <f t="shared" si="323"/>
        <v>-6.7787548030886796E-2</v>
      </c>
      <c r="GO41" s="92">
        <f t="shared" si="323"/>
        <v>-3.7339899816718577E-2</v>
      </c>
      <c r="GP41" s="92">
        <f t="shared" si="323"/>
        <v>-9.4142634966178584E-2</v>
      </c>
      <c r="GQ41" s="92">
        <f t="shared" si="323"/>
        <v>-3.3448900324547712E-2</v>
      </c>
      <c r="GR41" s="92">
        <f t="shared" si="323"/>
        <v>-2.1957126739142064E-3</v>
      </c>
      <c r="GS41" s="93">
        <f t="shared" si="323"/>
        <v>0</v>
      </c>
      <c r="GT41" s="171">
        <f t="shared" si="100"/>
        <v>0.7420416612962627</v>
      </c>
      <c r="GV41" t="str">
        <f t="shared" si="101"/>
        <v>Friendly</v>
      </c>
      <c r="GW41" s="91">
        <f t="shared" ref="GW41:HE41" si="324">IF(GW$19&gt;0,GW28*SQRT(GW$19),0)</f>
        <v>-0.29409016563080637</v>
      </c>
      <c r="GX41" s="92">
        <f t="shared" si="324"/>
        <v>-0.73298870779886804</v>
      </c>
      <c r="GY41" s="92">
        <f t="shared" si="324"/>
        <v>-0.32228802414852697</v>
      </c>
      <c r="GZ41" s="92">
        <f t="shared" si="324"/>
        <v>-7.5462170879608326E-2</v>
      </c>
      <c r="HA41" s="92">
        <f t="shared" si="324"/>
        <v>-3.7664313128624775E-2</v>
      </c>
      <c r="HB41" s="92">
        <f t="shared" si="324"/>
        <v>-9.4293578970995398E-2</v>
      </c>
      <c r="HC41" s="92">
        <f t="shared" si="324"/>
        <v>-3.4574158778631688E-2</v>
      </c>
      <c r="HD41" s="92">
        <f t="shared" si="324"/>
        <v>-2.6007839900595293E-3</v>
      </c>
      <c r="HE41" s="93">
        <f t="shared" si="324"/>
        <v>0</v>
      </c>
      <c r="HF41" s="171">
        <f t="shared" si="103"/>
        <v>0.74483759707605757</v>
      </c>
      <c r="HH41" t="str">
        <f t="shared" si="104"/>
        <v>Friendly</v>
      </c>
      <c r="HI41" s="91">
        <f t="shared" ref="HI41:HQ41" si="325">IF(HI$19&gt;0,HI28*SQRT(HI$19),0)</f>
        <v>-0.29457490598605657</v>
      </c>
      <c r="HJ41" s="92">
        <f t="shared" si="325"/>
        <v>-0.73402426130492704</v>
      </c>
      <c r="HK41" s="92">
        <f t="shared" si="325"/>
        <v>-0.31467943310778734</v>
      </c>
      <c r="HL41" s="92">
        <f t="shared" si="325"/>
        <v>-0.10416633555426387</v>
      </c>
      <c r="HM41" s="92">
        <f t="shared" si="325"/>
        <v>-3.7907959109405018E-2</v>
      </c>
      <c r="HN41" s="92">
        <f t="shared" si="325"/>
        <v>-9.443960208524689E-2</v>
      </c>
      <c r="HO41" s="92">
        <f t="shared" si="325"/>
        <v>-3.5559860491111477E-2</v>
      </c>
      <c r="HP41" s="92">
        <f t="shared" si="325"/>
        <v>-3.0546710513076774E-3</v>
      </c>
      <c r="HQ41" s="93">
        <f t="shared" si="325"/>
        <v>0</v>
      </c>
      <c r="HR41" s="171">
        <f t="shared" si="106"/>
        <v>0.74706944900401884</v>
      </c>
      <c r="HT41" t="str">
        <f t="shared" si="107"/>
        <v>Friendly</v>
      </c>
      <c r="HU41" s="91">
        <f t="shared" ref="HU41:IC41" si="326">IF(HU$19&gt;0,HU28*SQRT(HU$19),0)</f>
        <v>-0.29497240667754271</v>
      </c>
      <c r="HV41" s="92">
        <f t="shared" si="326"/>
        <v>-0.73483618520296468</v>
      </c>
      <c r="HW41" s="92">
        <f t="shared" si="326"/>
        <v>-0.31229264875804502</v>
      </c>
      <c r="HX41" s="92">
        <f t="shared" si="326"/>
        <v>-0.11251431287694305</v>
      </c>
      <c r="HY41" s="92">
        <f t="shared" si="326"/>
        <v>-3.8200021063404949E-2</v>
      </c>
      <c r="HZ41" s="92">
        <f t="shared" si="326"/>
        <v>-9.4461445539841898E-2</v>
      </c>
      <c r="IA41" s="92">
        <f t="shared" si="326"/>
        <v>-3.6339733223703957E-2</v>
      </c>
      <c r="IB41" s="92">
        <f t="shared" si="326"/>
        <v>-3.4950260496262901E-3</v>
      </c>
      <c r="IC41" s="93">
        <f t="shared" si="326"/>
        <v>0</v>
      </c>
      <c r="ID41" s="171">
        <f t="shared" si="109"/>
        <v>0.74889410657585243</v>
      </c>
      <c r="IF41" t="str">
        <f t="shared" si="110"/>
        <v>Friendly</v>
      </c>
      <c r="IG41" s="91">
        <f t="shared" ref="IG41:IO41" si="327">IF(IG$19&gt;0,IG28*SQRT(IG$19),0)</f>
        <v>-0.29529664783326925</v>
      </c>
      <c r="IH41" s="92">
        <f t="shared" si="327"/>
        <v>-0.73550011285490147</v>
      </c>
      <c r="II41" s="92">
        <f t="shared" si="327"/>
        <v>-0.31043231560749035</v>
      </c>
      <c r="IJ41" s="92">
        <f t="shared" si="327"/>
        <v>-0.11862119600456582</v>
      </c>
      <c r="IK41" s="92">
        <f t="shared" si="327"/>
        <v>-3.8441174538195601E-2</v>
      </c>
      <c r="IL41" s="92">
        <f t="shared" si="327"/>
        <v>-9.4480405805793755E-2</v>
      </c>
      <c r="IM41" s="92">
        <f t="shared" si="327"/>
        <v>-3.7007353623277756E-2</v>
      </c>
      <c r="IN41" s="92">
        <f t="shared" si="327"/>
        <v>-3.948814517786412E-3</v>
      </c>
      <c r="IO41" s="93">
        <f t="shared" si="327"/>
        <v>0</v>
      </c>
      <c r="IP41" s="171">
        <f t="shared" si="112"/>
        <v>0.75038914528551837</v>
      </c>
      <c r="IR41" t="str">
        <f t="shared" si="113"/>
        <v>Friendly</v>
      </c>
      <c r="IS41" s="91">
        <f t="shared" ref="IS41:JA41" si="328">IF(IS$19&gt;0,IS28*SQRT(IS$19),0)</f>
        <v>-0.29556150333120773</v>
      </c>
      <c r="IT41" s="92">
        <f t="shared" si="328"/>
        <v>-0.73604474065622083</v>
      </c>
      <c r="IU41" s="92">
        <f t="shared" si="328"/>
        <v>-0.3167669828153829</v>
      </c>
      <c r="IV41" s="92">
        <f t="shared" si="328"/>
        <v>-0.10212362483941598</v>
      </c>
      <c r="IW41" s="92">
        <f t="shared" si="328"/>
        <v>-3.8641024802493727E-2</v>
      </c>
      <c r="IX41" s="92">
        <f t="shared" si="328"/>
        <v>-9.4497315283633421E-2</v>
      </c>
      <c r="IY41" s="92">
        <f t="shared" si="328"/>
        <v>-3.7572110351102722E-2</v>
      </c>
      <c r="IZ41" s="92">
        <f t="shared" si="328"/>
        <v>-3.8998213492498573E-3</v>
      </c>
      <c r="JA41" s="93">
        <f t="shared" si="328"/>
        <v>0</v>
      </c>
      <c r="JB41" s="171">
        <f t="shared" si="115"/>
        <v>0.75173876212778257</v>
      </c>
      <c r="JD41" t="str">
        <f t="shared" si="116"/>
        <v>Friendly</v>
      </c>
      <c r="JE41" s="91">
        <f t="shared" ref="JE41:JM41" si="329">IF(JE$19&gt;0,JE28*SQRT(JE$19),0)</f>
        <v>-0.2957887041169035</v>
      </c>
      <c r="JF41" s="92">
        <f t="shared" si="329"/>
        <v>-0.73655503782174048</v>
      </c>
      <c r="JG41" s="92">
        <f t="shared" si="329"/>
        <v>-0.31774197509793561</v>
      </c>
      <c r="JH41" s="92">
        <f t="shared" si="329"/>
        <v>-0.10001927852965356</v>
      </c>
      <c r="JI41" s="92">
        <f t="shared" si="329"/>
        <v>-3.8680087236796418E-2</v>
      </c>
      <c r="JJ41" s="92">
        <f t="shared" si="329"/>
        <v>-9.4636712103475656E-2</v>
      </c>
      <c r="JK41" s="92">
        <f t="shared" si="329"/>
        <v>-3.8110960141506264E-2</v>
      </c>
      <c r="JL41" s="92">
        <f t="shared" si="329"/>
        <v>-4.0347501904909435E-3</v>
      </c>
      <c r="JM41" s="93">
        <f t="shared" si="329"/>
        <v>0</v>
      </c>
      <c r="JN41" s="171">
        <f t="shared" si="118"/>
        <v>0.75288908095888152</v>
      </c>
      <c r="JP41" t="str">
        <f t="shared" si="119"/>
        <v>Friendly</v>
      </c>
      <c r="JQ41" s="91">
        <f t="shared" ref="JQ41:JY41" si="330">IF(JQ$19&gt;0,JQ28*SQRT(JQ$19),0)</f>
        <v>-0.29598036568074632</v>
      </c>
      <c r="JR41" s="92">
        <f t="shared" si="330"/>
        <v>-0.73699272878665578</v>
      </c>
      <c r="JS41" s="92">
        <f t="shared" si="330"/>
        <v>-0.31179049488638005</v>
      </c>
      <c r="JT41" s="92">
        <f t="shared" si="330"/>
        <v>-0.11746803633227958</v>
      </c>
      <c r="JU41" s="92">
        <f t="shared" si="330"/>
        <v>-3.8698247349330257E-2</v>
      </c>
      <c r="JV41" s="92">
        <f t="shared" si="330"/>
        <v>-9.4770936380220216E-2</v>
      </c>
      <c r="JW41" s="92">
        <f t="shared" si="330"/>
        <v>-3.8579809072675358E-2</v>
      </c>
      <c r="JX41" s="92">
        <f t="shared" si="330"/>
        <v>-4.9166620642705399E-3</v>
      </c>
      <c r="JY41" s="93">
        <f t="shared" si="330"/>
        <v>0</v>
      </c>
      <c r="JZ41" s="171">
        <f t="shared" si="121"/>
        <v>0.75376637137839708</v>
      </c>
      <c r="KB41" t="str">
        <f t="shared" si="122"/>
        <v>Friendly</v>
      </c>
      <c r="KC41" s="91">
        <f t="shared" ref="KC41:KK41" si="331">IF(KC$19&gt;0,KC28*SQRT(KC$19),0)</f>
        <v>-0.29613466077030365</v>
      </c>
      <c r="KD41" s="92">
        <f t="shared" si="331"/>
        <v>-0.7373135438100199</v>
      </c>
      <c r="KE41" s="92">
        <f t="shared" si="331"/>
        <v>-0.31103420670732029</v>
      </c>
      <c r="KF41" s="92">
        <f t="shared" si="331"/>
        <v>-0.11994605440373096</v>
      </c>
      <c r="KG41" s="92">
        <f t="shared" si="331"/>
        <v>-3.8817758274059422E-2</v>
      </c>
      <c r="KH41" s="92">
        <f t="shared" si="331"/>
        <v>-9.4782763082828597E-2</v>
      </c>
      <c r="KI41" s="92">
        <f t="shared" si="331"/>
        <v>-3.89340354825536E-2</v>
      </c>
      <c r="KJ41" s="92">
        <f t="shared" si="331"/>
        <v>5.3309080898268791E-3</v>
      </c>
      <c r="KK41" s="93">
        <f t="shared" si="331"/>
        <v>0</v>
      </c>
      <c r="KL41" s="171">
        <f t="shared" si="124"/>
        <v>0.75449120113936563</v>
      </c>
      <c r="KN41" t="str">
        <f t="shared" si="125"/>
        <v>Friendly</v>
      </c>
      <c r="KO41" s="91">
        <f t="shared" ref="KO41:KW41" si="332">IF(KO$19&gt;0,KO28*SQRT(KO$19),0)</f>
        <v>-0.29626154359436957</v>
      </c>
      <c r="KP41" s="92">
        <f t="shared" si="332"/>
        <v>-0.7375793711618539</v>
      </c>
      <c r="KQ41" s="92">
        <f t="shared" si="332"/>
        <v>-0.31044181647873181</v>
      </c>
      <c r="KR41" s="92">
        <f t="shared" si="332"/>
        <v>-0.12186377054325144</v>
      </c>
      <c r="KS41" s="92">
        <f t="shared" si="332"/>
        <v>-3.8917316361514472E-2</v>
      </c>
      <c r="KT41" s="92">
        <f t="shared" si="332"/>
        <v>-9.4793787060393278E-2</v>
      </c>
      <c r="KU41" s="92">
        <f t="shared" si="332"/>
        <v>-3.9232051810927794E-2</v>
      </c>
      <c r="KV41" s="92">
        <f t="shared" si="332"/>
        <v>5.9817231257676389E-3</v>
      </c>
      <c r="KW41" s="93">
        <f t="shared" si="332"/>
        <v>0</v>
      </c>
      <c r="KX41" s="171">
        <f t="shared" si="127"/>
        <v>0.75509448544494928</v>
      </c>
      <c r="KZ41" t="str">
        <f t="shared" si="128"/>
        <v>Friendly</v>
      </c>
      <c r="LA41" s="91">
        <f t="shared" ref="LA41:LI41" si="333">IF(LA$19&gt;0,LA28*SQRT(LA$19),0)</f>
        <v>-0.29636703836334261</v>
      </c>
      <c r="LB41" s="92">
        <f t="shared" si="333"/>
        <v>-0.73780069439573615</v>
      </c>
      <c r="LC41" s="92">
        <f t="shared" si="333"/>
        <v>-0.31706259814694998</v>
      </c>
      <c r="LD41" s="92">
        <f t="shared" si="333"/>
        <v>-0.10439182223505239</v>
      </c>
      <c r="LE41" s="92">
        <f t="shared" si="333"/>
        <v>-3.8999521103812551E-2</v>
      </c>
      <c r="LF41" s="92">
        <f t="shared" si="333"/>
        <v>-9.480372557038251E-2</v>
      </c>
      <c r="LG41" s="92">
        <f t="shared" si="333"/>
        <v>-3.9478405271422046E-2</v>
      </c>
      <c r="LH41" s="92">
        <f t="shared" si="333"/>
        <v>-4.6103752116929608E-3</v>
      </c>
      <c r="LI41" s="93">
        <f t="shared" si="333"/>
        <v>0</v>
      </c>
      <c r="LJ41" s="171">
        <f t="shared" si="130"/>
        <v>0.75569813884305692</v>
      </c>
      <c r="LL41" t="str">
        <f t="shared" si="131"/>
        <v>Friendly</v>
      </c>
      <c r="LM41" s="91">
        <f t="shared" ref="LM41:LU41" si="334">IF(LM$19&gt;0,LM28*SQRT(LM$19),0)</f>
        <v>-0.29646094102823012</v>
      </c>
      <c r="LN41" s="92">
        <f t="shared" si="334"/>
        <v>-0.73804194037626258</v>
      </c>
      <c r="LO41" s="92">
        <f t="shared" si="334"/>
        <v>-0.31863465176614131</v>
      </c>
      <c r="LP41" s="92">
        <f t="shared" si="334"/>
        <v>-9.9909643663858211E-2</v>
      </c>
      <c r="LQ41" s="92">
        <f t="shared" si="334"/>
        <v>-3.8949734869946559E-2</v>
      </c>
      <c r="LR41" s="92">
        <f t="shared" si="334"/>
        <v>-9.4931171176525525E-2</v>
      </c>
      <c r="LS41" s="92">
        <f t="shared" si="334"/>
        <v>-3.972696183069626E-2</v>
      </c>
      <c r="LT41" s="92">
        <f t="shared" si="334"/>
        <v>-4.5325280918255993E-3</v>
      </c>
      <c r="LU41" s="93">
        <f t="shared" si="334"/>
        <v>0</v>
      </c>
      <c r="LV41" s="171">
        <f t="shared" si="133"/>
        <v>0.75623275792745837</v>
      </c>
      <c r="LX41" t="str">
        <f t="shared" si="134"/>
        <v>Friendly</v>
      </c>
      <c r="LY41" s="91">
        <f t="shared" ref="LY41:MG41" si="335">IF(LY$19&gt;0,LY28*SQRT(LY$19),0)</f>
        <v>-0.29654261474329663</v>
      </c>
      <c r="LZ41" s="92">
        <f t="shared" si="335"/>
        <v>-0.73825758841408906</v>
      </c>
      <c r="MA41" s="92">
        <f t="shared" si="335"/>
        <v>-0.3137553706119679</v>
      </c>
      <c r="MB41" s="92">
        <f t="shared" si="335"/>
        <v>-0.114160262062588</v>
      </c>
      <c r="MC41" s="92">
        <f t="shared" si="335"/>
        <v>-3.8895922932767051E-2</v>
      </c>
      <c r="MD41" s="92">
        <f t="shared" si="335"/>
        <v>-9.5054749645631237E-2</v>
      </c>
      <c r="ME41" s="92">
        <f t="shared" si="335"/>
        <v>-3.9951496251904042E-2</v>
      </c>
      <c r="MF41" s="92">
        <f t="shared" si="335"/>
        <v>-6.0494577435384403E-3</v>
      </c>
      <c r="MG41" s="93">
        <f t="shared" si="335"/>
        <v>0</v>
      </c>
      <c r="MH41" s="171">
        <f t="shared" si="136"/>
        <v>0.75661780347457197</v>
      </c>
      <c r="MJ41" t="str">
        <f t="shared" si="137"/>
        <v>Friendly</v>
      </c>
      <c r="MK41" s="91">
        <f t="shared" ref="MK41:MS41" si="336">IF(MK$19&gt;0,MK28*SQRT(MK$19),0)</f>
        <v>-0.29660943626276237</v>
      </c>
      <c r="ML41" s="92">
        <f t="shared" si="336"/>
        <v>-0.73839961826014178</v>
      </c>
      <c r="MM41" s="92">
        <f t="shared" si="336"/>
        <v>-0.31348925117453158</v>
      </c>
      <c r="MN41" s="92">
        <f t="shared" si="336"/>
        <v>-0.11510590204965425</v>
      </c>
      <c r="MO41" s="92">
        <f t="shared" si="336"/>
        <v>-3.89480382293549E-2</v>
      </c>
      <c r="MP41" s="92">
        <f t="shared" si="336"/>
        <v>-9.5062505166792724E-2</v>
      </c>
      <c r="MQ41" s="92">
        <f t="shared" si="336"/>
        <v>-4.0113582238518138E-2</v>
      </c>
      <c r="MR41" s="92">
        <f t="shared" si="336"/>
        <v>-6.3272657067600562E-3</v>
      </c>
      <c r="MS41" s="93">
        <f t="shared" si="336"/>
        <v>0</v>
      </c>
      <c r="MT41" s="171">
        <f t="shared" si="139"/>
        <v>0.75693899655730201</v>
      </c>
    </row>
    <row r="42" spans="1:358" x14ac:dyDescent="0.25">
      <c r="A42">
        <v>39</v>
      </c>
      <c r="B42" s="123">
        <v>1</v>
      </c>
      <c r="C42" s="37">
        <v>8</v>
      </c>
      <c r="D42" s="37">
        <v>3</v>
      </c>
      <c r="E42" s="37">
        <v>2</v>
      </c>
      <c r="F42" s="37">
        <v>7</v>
      </c>
      <c r="G42" s="37">
        <v>8</v>
      </c>
      <c r="H42" s="37">
        <v>4</v>
      </c>
      <c r="I42" s="37">
        <v>5</v>
      </c>
      <c r="J42" s="90">
        <v>8</v>
      </c>
    </row>
    <row r="43" spans="1:358" x14ac:dyDescent="0.25">
      <c r="A43">
        <v>40</v>
      </c>
      <c r="B43" s="123">
        <v>6</v>
      </c>
      <c r="C43" s="37">
        <v>8</v>
      </c>
      <c r="D43" s="37">
        <v>3</v>
      </c>
      <c r="E43" s="37">
        <v>3</v>
      </c>
      <c r="F43" s="37">
        <v>4</v>
      </c>
      <c r="G43" s="37">
        <v>6</v>
      </c>
      <c r="H43" s="37">
        <v>5</v>
      </c>
      <c r="I43" s="37">
        <v>5</v>
      </c>
      <c r="J43" s="90">
        <v>7</v>
      </c>
      <c r="AG43" t="s">
        <v>548</v>
      </c>
      <c r="AH43" s="222">
        <f>SUMXMY2(AH33:AH41,V33:V41)</f>
        <v>6.1115387323570011E-2</v>
      </c>
      <c r="AS43" t="s">
        <v>548</v>
      </c>
      <c r="AT43" s="222">
        <f>SUMXMY2(AT33:AT41,AH33:AH41)</f>
        <v>2.12990861113144E-2</v>
      </c>
      <c r="BE43" t="s">
        <v>548</v>
      </c>
      <c r="BF43" s="222">
        <f>SUMXMY2(BF33:BF41,AT33:AT41)</f>
        <v>1.0130813719441951E-2</v>
      </c>
      <c r="BQ43" t="s">
        <v>548</v>
      </c>
      <c r="BR43" s="222">
        <f>SUMXMY2(BR33:BR41,BF33:BF41)</f>
        <v>5.3474890530180721E-3</v>
      </c>
      <c r="CC43" t="s">
        <v>548</v>
      </c>
      <c r="CD43" s="222">
        <f>SUMXMY2(CD33:CD41,BR33:BR41)</f>
        <v>3.1021614907087332E-3</v>
      </c>
      <c r="CO43" t="s">
        <v>548</v>
      </c>
      <c r="CP43" s="222">
        <f>SUMXMY2(CP33:CP41,CD33:CD41)</f>
        <v>1.950704210440979E-3</v>
      </c>
      <c r="DA43" t="s">
        <v>548</v>
      </c>
      <c r="DB43" s="222">
        <f>SUMXMY2(DB33:DB41,CP33:CP41)</f>
        <v>1.2423980633221789E-3</v>
      </c>
      <c r="DM43" t="s">
        <v>548</v>
      </c>
      <c r="DN43" s="222">
        <f>SUMXMY2(DN33:DN41,DB33:DB41)</f>
        <v>7.9842935136092562E-4</v>
      </c>
      <c r="DY43" t="s">
        <v>548</v>
      </c>
      <c r="DZ43" s="222">
        <f>SUMXMY2(DZ33:DZ41,DN33:DN41)</f>
        <v>5.166551550968377E-4</v>
      </c>
      <c r="EK43" t="s">
        <v>548</v>
      </c>
      <c r="EL43" s="222">
        <f>SUMXMY2(EL33:EL41,DZ33:DZ41)</f>
        <v>3.341915176085944E-4</v>
      </c>
      <c r="EW43" t="s">
        <v>548</v>
      </c>
      <c r="EX43" s="222">
        <f>SUMXMY2(EX33:EX41,EL33:EL41)</f>
        <v>2.1530608120516706E-4</v>
      </c>
      <c r="FI43" t="s">
        <v>548</v>
      </c>
      <c r="FJ43" s="222">
        <f>SUMXMY2(FJ33:FJ41,EX33:EX41)</f>
        <v>1.4318082532911868E-4</v>
      </c>
      <c r="FU43" t="s">
        <v>548</v>
      </c>
      <c r="FV43" s="222">
        <f>SUMXMY2(FV33:FV41,FJ33:FJ41)</f>
        <v>9.4967682299193233E-5</v>
      </c>
      <c r="GG43" t="s">
        <v>548</v>
      </c>
      <c r="GH43" s="222">
        <f>SUMXMY2(GH33:GH41,FV33:FV41)</f>
        <v>5.9379942412829769E-5</v>
      </c>
      <c r="GS43" t="s">
        <v>548</v>
      </c>
      <c r="GT43" s="222">
        <f>SUMXMY2(GT33:GT41,GH33:GH41)</f>
        <v>4.0238407696106059E-5</v>
      </c>
      <c r="HE43" t="s">
        <v>548</v>
      </c>
      <c r="HF43" s="222">
        <f>SUMXMY2(HF33:HF41,GT33:GT41)</f>
        <v>2.7502865609953306E-5</v>
      </c>
      <c r="HQ43" t="s">
        <v>548</v>
      </c>
      <c r="HR43" s="222">
        <f>SUMXMY2(HR33:HR41,HF33:HF41)</f>
        <v>2.0453665569879526E-5</v>
      </c>
      <c r="IC43" t="s">
        <v>548</v>
      </c>
      <c r="ID43" s="222">
        <f>SUMXMY2(ID33:ID41,HR33:HR41)</f>
        <v>1.3814171577002184E-5</v>
      </c>
      <c r="IO43" t="s">
        <v>548</v>
      </c>
      <c r="IP43" s="222">
        <f>SUMXMY2(IP33:IP41,ID33:ID41)</f>
        <v>9.3628340304691448E-6</v>
      </c>
      <c r="JA43" t="s">
        <v>548</v>
      </c>
      <c r="JB43" s="222">
        <f>SUMXMY2(JB33:JB41,IP33:IP41)</f>
        <v>6.1188488622258971E-6</v>
      </c>
      <c r="JM43" t="s">
        <v>548</v>
      </c>
      <c r="JN43" s="222">
        <f>SUMXMY2(JN33:JN41,JB33:JB41)</f>
        <v>4.4710011420845061E-6</v>
      </c>
      <c r="JY43" t="s">
        <v>548</v>
      </c>
      <c r="JZ43" s="222">
        <f>SUMXMY2(JZ33:JZ41,JN33:JN41)</f>
        <v>3.2758568288430611E-6</v>
      </c>
      <c r="KK43" t="s">
        <v>548</v>
      </c>
      <c r="KL43" s="222">
        <f>SUMXMY2(KL33:KL41,JZ33:JZ41)</f>
        <v>2.2469026482894603E-6</v>
      </c>
      <c r="KW43" t="s">
        <v>548</v>
      </c>
      <c r="KX43" s="222">
        <f>SUMXMY2(KX33:KX41,KL33:KL41)</f>
        <v>1.5569753611226698E-6</v>
      </c>
      <c r="LI43" t="s">
        <v>548</v>
      </c>
      <c r="LJ43" s="222">
        <f>SUMXMY2(LJ33:LJ41,KX33:KX41)</f>
        <v>1.5069479002285075E-6</v>
      </c>
      <c r="LU43" t="s">
        <v>548</v>
      </c>
      <c r="LV43" s="222">
        <f>SUMXMY2(LV33:LV41,LJ33:LJ41)</f>
        <v>1.3020829337107864E-6</v>
      </c>
      <c r="MG43" t="s">
        <v>548</v>
      </c>
      <c r="MH43" s="222">
        <f>SUMXMY2(MH33:MH41,LV33:LV41)</f>
        <v>6.3137482969561741E-7</v>
      </c>
      <c r="MS43" t="s">
        <v>548</v>
      </c>
      <c r="MT43" s="222">
        <f>SUMXMY2(MT33:MT41,MH33:MH41)</f>
        <v>4.3832407905125671E-7</v>
      </c>
    </row>
    <row r="44" spans="1:358" x14ac:dyDescent="0.25">
      <c r="A44">
        <v>41</v>
      </c>
      <c r="B44" s="123">
        <v>4</v>
      </c>
      <c r="C44" s="37">
        <v>8</v>
      </c>
      <c r="D44" s="37">
        <v>3</v>
      </c>
      <c r="E44" s="37">
        <v>3</v>
      </c>
      <c r="F44" s="37">
        <v>9</v>
      </c>
      <c r="G44" s="37">
        <v>6</v>
      </c>
      <c r="H44" s="37">
        <v>4</v>
      </c>
      <c r="I44" s="37">
        <v>4</v>
      </c>
      <c r="J44" s="90">
        <v>7</v>
      </c>
    </row>
    <row r="45" spans="1:358" x14ac:dyDescent="0.25">
      <c r="A45">
        <v>42</v>
      </c>
      <c r="B45" s="123">
        <v>4</v>
      </c>
      <c r="C45" s="37">
        <v>8</v>
      </c>
      <c r="D45" s="37">
        <v>2</v>
      </c>
      <c r="E45" s="37">
        <v>3</v>
      </c>
      <c r="F45" s="37">
        <v>8</v>
      </c>
      <c r="G45" s="37">
        <v>5</v>
      </c>
      <c r="H45" s="37">
        <v>5</v>
      </c>
      <c r="I45" s="37">
        <v>5</v>
      </c>
      <c r="J45" s="90">
        <v>7</v>
      </c>
    </row>
    <row r="46" spans="1:358" x14ac:dyDescent="0.25">
      <c r="A46">
        <v>43</v>
      </c>
      <c r="B46" s="123">
        <v>3</v>
      </c>
      <c r="C46" s="37">
        <v>9</v>
      </c>
      <c r="D46" s="37">
        <v>7</v>
      </c>
      <c r="E46" s="37">
        <v>4</v>
      </c>
      <c r="F46" s="37">
        <v>8</v>
      </c>
      <c r="G46" s="37">
        <v>6</v>
      </c>
      <c r="H46" s="37">
        <v>10</v>
      </c>
      <c r="I46" s="37">
        <v>6</v>
      </c>
      <c r="J46" s="90">
        <v>8</v>
      </c>
    </row>
    <row r="47" spans="1:358" x14ac:dyDescent="0.25">
      <c r="A47">
        <v>44</v>
      </c>
      <c r="B47" s="123">
        <v>2</v>
      </c>
      <c r="C47" s="37">
        <v>9</v>
      </c>
      <c r="D47" s="37">
        <v>3</v>
      </c>
      <c r="E47" s="37">
        <v>4</v>
      </c>
      <c r="F47" s="37">
        <v>8</v>
      </c>
      <c r="G47" s="37">
        <v>8</v>
      </c>
      <c r="H47" s="37">
        <v>6</v>
      </c>
      <c r="I47" s="37">
        <v>7</v>
      </c>
      <c r="J47" s="90">
        <v>8</v>
      </c>
    </row>
    <row r="48" spans="1:358" x14ac:dyDescent="0.25">
      <c r="A48">
        <v>45</v>
      </c>
      <c r="B48" s="123">
        <v>5</v>
      </c>
      <c r="C48" s="37">
        <v>8</v>
      </c>
      <c r="D48" s="37">
        <v>1</v>
      </c>
      <c r="E48" s="37">
        <v>4</v>
      </c>
      <c r="F48" s="37">
        <v>7</v>
      </c>
      <c r="G48" s="37">
        <v>7</v>
      </c>
      <c r="H48" s="37">
        <v>1</v>
      </c>
      <c r="I48" s="37">
        <v>4</v>
      </c>
      <c r="J48" s="90">
        <v>8</v>
      </c>
    </row>
    <row r="49" spans="1:10" x14ac:dyDescent="0.25">
      <c r="A49">
        <v>46</v>
      </c>
      <c r="B49" s="123">
        <v>5</v>
      </c>
      <c r="C49" s="37">
        <v>8</v>
      </c>
      <c r="D49" s="37">
        <v>2</v>
      </c>
      <c r="E49" s="37">
        <v>3</v>
      </c>
      <c r="F49" s="37">
        <v>6</v>
      </c>
      <c r="G49" s="37">
        <v>7</v>
      </c>
      <c r="H49" s="37">
        <v>4</v>
      </c>
      <c r="I49" s="37">
        <v>4</v>
      </c>
      <c r="J49" s="90">
        <v>8</v>
      </c>
    </row>
    <row r="50" spans="1:10" x14ac:dyDescent="0.25">
      <c r="A50">
        <v>47</v>
      </c>
      <c r="B50" s="123">
        <v>3</v>
      </c>
      <c r="C50" s="37">
        <v>8</v>
      </c>
      <c r="D50" s="37">
        <v>1</v>
      </c>
      <c r="E50" s="37">
        <v>3</v>
      </c>
      <c r="F50" s="37">
        <v>5</v>
      </c>
      <c r="G50" s="37">
        <v>5</v>
      </c>
      <c r="H50" s="37">
        <v>1</v>
      </c>
      <c r="I50" s="37">
        <v>5</v>
      </c>
      <c r="J50" s="90">
        <v>7</v>
      </c>
    </row>
    <row r="51" spans="1:10" x14ac:dyDescent="0.25">
      <c r="A51">
        <v>48</v>
      </c>
      <c r="B51" s="123">
        <v>4</v>
      </c>
      <c r="C51" s="37">
        <v>9</v>
      </c>
      <c r="D51" s="37">
        <v>6</v>
      </c>
      <c r="E51" s="37">
        <v>3</v>
      </c>
      <c r="F51" s="37">
        <v>6</v>
      </c>
      <c r="G51" s="37">
        <v>4</v>
      </c>
      <c r="H51" s="37">
        <v>8</v>
      </c>
      <c r="I51" s="37">
        <v>5</v>
      </c>
      <c r="J51" s="90">
        <v>8</v>
      </c>
    </row>
    <row r="52" spans="1:10" x14ac:dyDescent="0.25">
      <c r="A52">
        <v>49</v>
      </c>
      <c r="B52" s="123">
        <v>3</v>
      </c>
      <c r="C52" s="37">
        <v>9</v>
      </c>
      <c r="D52" s="37">
        <v>4</v>
      </c>
      <c r="E52" s="37">
        <v>2</v>
      </c>
      <c r="F52" s="37">
        <v>7</v>
      </c>
      <c r="G52" s="37">
        <v>7</v>
      </c>
      <c r="H52" s="37">
        <v>2</v>
      </c>
      <c r="I52" s="37">
        <v>3</v>
      </c>
      <c r="J52" s="90">
        <v>8</v>
      </c>
    </row>
    <row r="53" spans="1:10" x14ac:dyDescent="0.25">
      <c r="A53">
        <v>50</v>
      </c>
      <c r="B53" s="123">
        <v>3</v>
      </c>
      <c r="C53" s="37">
        <v>8</v>
      </c>
      <c r="D53" s="37">
        <v>3</v>
      </c>
      <c r="E53" s="37">
        <v>4</v>
      </c>
      <c r="F53" s="37">
        <v>7</v>
      </c>
      <c r="G53" s="37">
        <v>7</v>
      </c>
      <c r="H53" s="37">
        <v>5</v>
      </c>
      <c r="I53" s="37">
        <v>4</v>
      </c>
      <c r="J53" s="90">
        <v>8</v>
      </c>
    </row>
    <row r="54" spans="1:10" x14ac:dyDescent="0.25">
      <c r="A54">
        <v>51</v>
      </c>
      <c r="B54" s="123">
        <v>3</v>
      </c>
      <c r="C54" s="37">
        <v>7</v>
      </c>
      <c r="D54" s="37">
        <v>1</v>
      </c>
      <c r="E54" s="37">
        <v>4</v>
      </c>
      <c r="F54" s="37">
        <v>6</v>
      </c>
      <c r="G54" s="37">
        <v>4</v>
      </c>
      <c r="H54" s="37">
        <v>1</v>
      </c>
      <c r="I54" s="37">
        <v>6</v>
      </c>
      <c r="J54" s="90">
        <v>7</v>
      </c>
    </row>
    <row r="55" spans="1:10" x14ac:dyDescent="0.25">
      <c r="A55">
        <v>52</v>
      </c>
      <c r="B55" s="123">
        <v>1</v>
      </c>
      <c r="C55" s="37">
        <v>8</v>
      </c>
      <c r="D55" s="37">
        <v>3</v>
      </c>
      <c r="E55" s="37">
        <v>4</v>
      </c>
      <c r="F55" s="37">
        <v>6</v>
      </c>
      <c r="G55" s="37">
        <v>3</v>
      </c>
      <c r="H55" s="37">
        <v>5</v>
      </c>
      <c r="I55" s="37">
        <v>4</v>
      </c>
      <c r="J55" s="90">
        <v>8</v>
      </c>
    </row>
    <row r="56" spans="1:10" x14ac:dyDescent="0.25">
      <c r="A56">
        <v>53</v>
      </c>
      <c r="B56" s="123">
        <v>4</v>
      </c>
      <c r="C56" s="37">
        <v>8</v>
      </c>
      <c r="D56" s="37">
        <v>6</v>
      </c>
      <c r="E56" s="37">
        <v>3</v>
      </c>
      <c r="F56" s="37">
        <v>7</v>
      </c>
      <c r="G56" s="37">
        <v>7</v>
      </c>
      <c r="H56" s="37">
        <v>8</v>
      </c>
      <c r="I56" s="37">
        <v>6</v>
      </c>
      <c r="J56" s="90">
        <v>7</v>
      </c>
    </row>
    <row r="57" spans="1:10" x14ac:dyDescent="0.25">
      <c r="A57">
        <v>54</v>
      </c>
      <c r="B57" s="123">
        <v>3</v>
      </c>
      <c r="C57" s="37">
        <v>8</v>
      </c>
      <c r="D57" s="37">
        <v>4</v>
      </c>
      <c r="E57" s="37">
        <v>3</v>
      </c>
      <c r="F57" s="37">
        <v>5</v>
      </c>
      <c r="G57" s="37">
        <v>8</v>
      </c>
      <c r="H57" s="37">
        <v>1</v>
      </c>
      <c r="I57" s="37">
        <v>3</v>
      </c>
      <c r="J57" s="90">
        <v>7</v>
      </c>
    </row>
    <row r="58" spans="1:10" x14ac:dyDescent="0.25">
      <c r="A58">
        <v>55</v>
      </c>
      <c r="B58" s="123">
        <v>2</v>
      </c>
      <c r="C58" s="37">
        <v>9</v>
      </c>
      <c r="D58" s="37">
        <v>5</v>
      </c>
      <c r="E58" s="37">
        <v>2</v>
      </c>
      <c r="F58" s="37">
        <v>8</v>
      </c>
      <c r="G58" s="37">
        <v>4</v>
      </c>
      <c r="H58" s="37">
        <v>5</v>
      </c>
      <c r="I58" s="37">
        <v>6</v>
      </c>
      <c r="J58" s="90">
        <v>8</v>
      </c>
    </row>
    <row r="59" spans="1:10" x14ac:dyDescent="0.25">
      <c r="A59">
        <v>56</v>
      </c>
      <c r="B59" s="123">
        <v>4</v>
      </c>
      <c r="C59" s="37">
        <v>8</v>
      </c>
      <c r="D59" s="37">
        <v>2</v>
      </c>
      <c r="E59" s="37">
        <v>3</v>
      </c>
      <c r="F59" s="37">
        <v>7</v>
      </c>
      <c r="G59" s="37">
        <v>4</v>
      </c>
      <c r="H59" s="37">
        <v>4</v>
      </c>
      <c r="I59" s="37">
        <v>4</v>
      </c>
      <c r="J59" s="90">
        <v>7</v>
      </c>
    </row>
    <row r="60" spans="1:10" x14ac:dyDescent="0.25">
      <c r="A60">
        <v>57</v>
      </c>
      <c r="B60" s="123">
        <v>4</v>
      </c>
      <c r="C60" s="37">
        <v>9</v>
      </c>
      <c r="D60" s="37">
        <v>1</v>
      </c>
      <c r="E60" s="37">
        <v>4</v>
      </c>
      <c r="F60" s="37">
        <v>7</v>
      </c>
      <c r="G60" s="37">
        <v>7</v>
      </c>
      <c r="H60" s="37">
        <v>1</v>
      </c>
      <c r="I60" s="37">
        <v>4</v>
      </c>
      <c r="J60" s="90">
        <v>8</v>
      </c>
    </row>
    <row r="61" spans="1:10" x14ac:dyDescent="0.25">
      <c r="A61">
        <v>58</v>
      </c>
      <c r="B61" s="123">
        <v>4</v>
      </c>
      <c r="C61" s="37">
        <v>8</v>
      </c>
      <c r="D61" s="37">
        <v>3</v>
      </c>
      <c r="E61" s="37">
        <v>3</v>
      </c>
      <c r="F61" s="37">
        <v>7</v>
      </c>
      <c r="G61" s="37">
        <v>6</v>
      </c>
      <c r="H61" s="37">
        <v>3</v>
      </c>
      <c r="I61" s="37">
        <v>4</v>
      </c>
      <c r="J61" s="90">
        <v>7</v>
      </c>
    </row>
    <row r="62" spans="1:10" x14ac:dyDescent="0.25">
      <c r="A62">
        <v>59</v>
      </c>
      <c r="B62" s="123">
        <v>5</v>
      </c>
      <c r="C62" s="37">
        <v>8</v>
      </c>
      <c r="D62" s="37">
        <v>3</v>
      </c>
      <c r="E62" s="37">
        <v>4</v>
      </c>
      <c r="F62" s="37">
        <v>8</v>
      </c>
      <c r="G62" s="37">
        <v>6</v>
      </c>
      <c r="H62" s="37">
        <v>5</v>
      </c>
      <c r="I62" s="37">
        <v>5</v>
      </c>
      <c r="J62" s="90">
        <v>7</v>
      </c>
    </row>
    <row r="63" spans="1:10" x14ac:dyDescent="0.25">
      <c r="A63">
        <v>60</v>
      </c>
      <c r="B63" s="123">
        <v>7</v>
      </c>
      <c r="C63" s="37">
        <v>8</v>
      </c>
      <c r="D63" s="37">
        <v>4</v>
      </c>
      <c r="E63" s="37">
        <v>4</v>
      </c>
      <c r="F63" s="37">
        <v>7</v>
      </c>
      <c r="G63" s="37">
        <v>7</v>
      </c>
      <c r="H63" s="37">
        <v>6</v>
      </c>
      <c r="I63" s="37">
        <v>6</v>
      </c>
      <c r="J63" s="90">
        <v>7</v>
      </c>
    </row>
    <row r="64" spans="1:10" x14ac:dyDescent="0.25">
      <c r="A64">
        <v>61</v>
      </c>
      <c r="B64" s="123">
        <v>4</v>
      </c>
      <c r="C64" s="37">
        <v>8</v>
      </c>
      <c r="D64" s="37">
        <v>3</v>
      </c>
      <c r="E64" s="37">
        <v>3</v>
      </c>
      <c r="F64" s="37">
        <v>7</v>
      </c>
      <c r="G64" s="37">
        <v>5</v>
      </c>
      <c r="H64" s="37">
        <v>6</v>
      </c>
      <c r="I64" s="37">
        <v>3</v>
      </c>
      <c r="J64" s="90">
        <v>7</v>
      </c>
    </row>
    <row r="65" spans="1:10" x14ac:dyDescent="0.25">
      <c r="A65">
        <v>62</v>
      </c>
      <c r="B65" s="123">
        <v>4</v>
      </c>
      <c r="C65" s="37">
        <v>8</v>
      </c>
      <c r="D65" s="37">
        <v>4</v>
      </c>
      <c r="E65" s="37">
        <v>4</v>
      </c>
      <c r="F65" s="37">
        <v>8</v>
      </c>
      <c r="G65" s="37">
        <v>5</v>
      </c>
      <c r="H65" s="37">
        <v>7</v>
      </c>
      <c r="I65" s="37">
        <v>4</v>
      </c>
      <c r="J65" s="90">
        <v>7</v>
      </c>
    </row>
    <row r="66" spans="1:10" x14ac:dyDescent="0.25">
      <c r="A66">
        <v>63</v>
      </c>
      <c r="B66" s="123">
        <v>3</v>
      </c>
      <c r="C66" s="37">
        <v>9</v>
      </c>
      <c r="D66" s="37">
        <v>4</v>
      </c>
      <c r="E66" s="37">
        <v>3</v>
      </c>
      <c r="F66" s="37">
        <v>8</v>
      </c>
      <c r="G66" s="37">
        <v>6</v>
      </c>
      <c r="H66" s="37">
        <v>4</v>
      </c>
      <c r="I66" s="37">
        <v>5</v>
      </c>
      <c r="J66" s="90">
        <v>8</v>
      </c>
    </row>
    <row r="67" spans="1:10" x14ac:dyDescent="0.25">
      <c r="A67">
        <v>64</v>
      </c>
      <c r="B67" s="123">
        <v>5</v>
      </c>
      <c r="C67" s="37">
        <v>8</v>
      </c>
      <c r="D67" s="37">
        <v>2</v>
      </c>
      <c r="E67" s="37">
        <v>3</v>
      </c>
      <c r="F67" s="37">
        <v>6</v>
      </c>
      <c r="G67" s="37">
        <v>4</v>
      </c>
      <c r="H67" s="37">
        <v>6</v>
      </c>
      <c r="I67" s="37">
        <v>4</v>
      </c>
      <c r="J67" s="90">
        <v>7</v>
      </c>
    </row>
    <row r="68" spans="1:10" x14ac:dyDescent="0.25">
      <c r="A68">
        <v>65</v>
      </c>
      <c r="B68" s="123">
        <v>7</v>
      </c>
      <c r="C68" s="37">
        <v>9</v>
      </c>
      <c r="D68" s="37">
        <v>7</v>
      </c>
      <c r="E68" s="37">
        <v>4</v>
      </c>
      <c r="F68" s="37">
        <v>8</v>
      </c>
      <c r="G68" s="37">
        <v>6</v>
      </c>
      <c r="H68" s="37">
        <v>10</v>
      </c>
      <c r="I68" s="37">
        <v>6</v>
      </c>
      <c r="J68" s="90">
        <v>7</v>
      </c>
    </row>
    <row r="69" spans="1:10" x14ac:dyDescent="0.25">
      <c r="A69">
        <v>66</v>
      </c>
      <c r="B69" s="123">
        <v>3</v>
      </c>
      <c r="C69" s="37">
        <v>8</v>
      </c>
      <c r="D69" s="37">
        <v>1</v>
      </c>
      <c r="E69" s="37">
        <v>3</v>
      </c>
      <c r="F69" s="37">
        <v>7</v>
      </c>
      <c r="G69" s="37">
        <v>6</v>
      </c>
      <c r="H69" s="37">
        <v>5</v>
      </c>
      <c r="I69" s="37">
        <v>5</v>
      </c>
      <c r="J69" s="90">
        <v>7</v>
      </c>
    </row>
    <row r="70" spans="1:10" x14ac:dyDescent="0.25">
      <c r="A70">
        <v>67</v>
      </c>
      <c r="B70" s="123">
        <v>4</v>
      </c>
      <c r="C70" s="37">
        <v>8</v>
      </c>
      <c r="D70" s="37">
        <v>5</v>
      </c>
      <c r="E70" s="37">
        <v>4</v>
      </c>
      <c r="F70" s="37">
        <v>7</v>
      </c>
      <c r="G70" s="37">
        <v>6</v>
      </c>
      <c r="H70" s="37">
        <v>9</v>
      </c>
      <c r="I70" s="37">
        <v>6</v>
      </c>
      <c r="J70" s="90">
        <v>7</v>
      </c>
    </row>
    <row r="71" spans="1:10" x14ac:dyDescent="0.25">
      <c r="A71">
        <v>68</v>
      </c>
      <c r="B71" s="123">
        <v>5</v>
      </c>
      <c r="C71" s="37">
        <v>8</v>
      </c>
      <c r="D71" s="37">
        <v>2</v>
      </c>
      <c r="E71" s="37">
        <v>3</v>
      </c>
      <c r="F71" s="37">
        <v>5</v>
      </c>
      <c r="G71" s="37">
        <v>7</v>
      </c>
      <c r="H71" s="37">
        <v>1</v>
      </c>
      <c r="I71" s="37">
        <v>5</v>
      </c>
      <c r="J71" s="90">
        <v>7</v>
      </c>
    </row>
    <row r="72" spans="1:10" x14ac:dyDescent="0.25">
      <c r="A72">
        <v>69</v>
      </c>
      <c r="B72" s="123">
        <v>4</v>
      </c>
      <c r="C72" s="37">
        <v>8</v>
      </c>
      <c r="D72" s="37">
        <v>6</v>
      </c>
      <c r="E72" s="37">
        <v>4</v>
      </c>
      <c r="F72" s="37">
        <v>8</v>
      </c>
      <c r="G72" s="37">
        <v>8</v>
      </c>
      <c r="H72" s="37">
        <v>9</v>
      </c>
      <c r="I72" s="37">
        <v>6</v>
      </c>
      <c r="J72" s="90">
        <v>7</v>
      </c>
    </row>
    <row r="73" spans="1:10" x14ac:dyDescent="0.25">
      <c r="A73">
        <v>70</v>
      </c>
      <c r="B73" s="123">
        <v>3</v>
      </c>
      <c r="C73" s="37">
        <v>8</v>
      </c>
      <c r="D73" s="37">
        <v>3</v>
      </c>
      <c r="E73" s="37">
        <v>4</v>
      </c>
      <c r="F73" s="37">
        <v>6</v>
      </c>
      <c r="G73" s="37">
        <v>4</v>
      </c>
      <c r="H73" s="37">
        <v>5</v>
      </c>
      <c r="I73" s="37">
        <v>5</v>
      </c>
      <c r="J73" s="90">
        <v>8</v>
      </c>
    </row>
    <row r="74" spans="1:10" x14ac:dyDescent="0.25">
      <c r="A74">
        <v>71</v>
      </c>
      <c r="B74" s="123">
        <v>6</v>
      </c>
      <c r="C74" s="37">
        <v>8</v>
      </c>
      <c r="D74" s="37">
        <v>5</v>
      </c>
      <c r="E74" s="37">
        <v>4</v>
      </c>
      <c r="F74" s="37">
        <v>7</v>
      </c>
      <c r="G74" s="37">
        <v>5</v>
      </c>
      <c r="H74" s="37">
        <v>6</v>
      </c>
      <c r="I74" s="37">
        <v>4</v>
      </c>
      <c r="J74" s="90">
        <v>7</v>
      </c>
    </row>
    <row r="75" spans="1:10" x14ac:dyDescent="0.25">
      <c r="A75">
        <v>72</v>
      </c>
      <c r="B75" s="123">
        <v>4</v>
      </c>
      <c r="C75" s="37">
        <v>8</v>
      </c>
      <c r="D75" s="37">
        <v>4</v>
      </c>
      <c r="E75" s="37">
        <v>4</v>
      </c>
      <c r="F75" s="37">
        <v>7</v>
      </c>
      <c r="G75" s="37">
        <v>7</v>
      </c>
      <c r="H75" s="37">
        <v>6</v>
      </c>
      <c r="I75" s="37">
        <v>4</v>
      </c>
      <c r="J75" s="90">
        <v>7</v>
      </c>
    </row>
    <row r="76" spans="1:10" x14ac:dyDescent="0.25">
      <c r="A76">
        <v>73</v>
      </c>
      <c r="B76" s="123">
        <v>4</v>
      </c>
      <c r="C76" s="37">
        <v>7</v>
      </c>
      <c r="D76" s="37">
        <v>3</v>
      </c>
      <c r="E76" s="37">
        <v>3</v>
      </c>
      <c r="F76" s="37">
        <v>6</v>
      </c>
      <c r="G76" s="37">
        <v>5</v>
      </c>
      <c r="H76" s="37">
        <v>5</v>
      </c>
      <c r="I76" s="37">
        <v>4</v>
      </c>
      <c r="J76" s="90">
        <v>7</v>
      </c>
    </row>
    <row r="77" spans="1:10" x14ac:dyDescent="0.25">
      <c r="A77">
        <v>74</v>
      </c>
      <c r="B77" s="123">
        <v>4</v>
      </c>
      <c r="C77" s="37">
        <v>8</v>
      </c>
      <c r="D77" s="37">
        <v>5</v>
      </c>
      <c r="E77" s="37">
        <v>4</v>
      </c>
      <c r="F77" s="37">
        <v>7</v>
      </c>
      <c r="G77" s="37">
        <v>8</v>
      </c>
      <c r="H77" s="37">
        <v>8</v>
      </c>
      <c r="I77" s="37">
        <v>5</v>
      </c>
      <c r="J77" s="90">
        <v>7</v>
      </c>
    </row>
    <row r="78" spans="1:10" x14ac:dyDescent="0.25">
      <c r="A78">
        <v>75</v>
      </c>
      <c r="B78" s="123">
        <v>3</v>
      </c>
      <c r="C78" s="37">
        <v>8</v>
      </c>
      <c r="D78" s="37">
        <v>2</v>
      </c>
      <c r="E78" s="37">
        <v>4</v>
      </c>
      <c r="F78" s="37">
        <v>6</v>
      </c>
      <c r="G78" s="37">
        <v>5</v>
      </c>
      <c r="H78" s="37">
        <v>5</v>
      </c>
      <c r="I78" s="37">
        <v>5</v>
      </c>
      <c r="J78" s="90">
        <v>8</v>
      </c>
    </row>
    <row r="79" spans="1:10" x14ac:dyDescent="0.25">
      <c r="A79">
        <v>76</v>
      </c>
      <c r="B79" s="123">
        <v>4</v>
      </c>
      <c r="C79" s="37">
        <v>8</v>
      </c>
      <c r="D79" s="37">
        <v>3</v>
      </c>
      <c r="E79" s="37">
        <v>1</v>
      </c>
      <c r="F79" s="37">
        <v>6</v>
      </c>
      <c r="G79" s="37">
        <v>4</v>
      </c>
      <c r="H79" s="37">
        <v>1</v>
      </c>
      <c r="I79" s="37">
        <v>4</v>
      </c>
      <c r="J79" s="90">
        <v>7</v>
      </c>
    </row>
    <row r="80" spans="1:10" x14ac:dyDescent="0.25">
      <c r="A80">
        <v>77</v>
      </c>
      <c r="B80" s="123">
        <v>4</v>
      </c>
      <c r="C80" s="37">
        <v>9</v>
      </c>
      <c r="D80" s="37">
        <v>6</v>
      </c>
      <c r="E80" s="37">
        <v>5</v>
      </c>
      <c r="F80" s="37">
        <v>8</v>
      </c>
      <c r="G80" s="37">
        <v>5</v>
      </c>
      <c r="H80" s="37">
        <v>9</v>
      </c>
      <c r="I80" s="37">
        <v>5</v>
      </c>
      <c r="J80" s="90">
        <v>8</v>
      </c>
    </row>
    <row r="81" spans="1:10" x14ac:dyDescent="0.25">
      <c r="A81">
        <v>78</v>
      </c>
      <c r="B81" s="123">
        <v>2</v>
      </c>
      <c r="C81" s="37">
        <v>9</v>
      </c>
      <c r="D81" s="37">
        <v>5</v>
      </c>
      <c r="E81" s="37">
        <v>2</v>
      </c>
      <c r="F81" s="37">
        <v>6</v>
      </c>
      <c r="G81" s="37">
        <v>7</v>
      </c>
      <c r="H81" s="37">
        <v>8</v>
      </c>
      <c r="I81" s="37">
        <v>5</v>
      </c>
      <c r="J81" s="90">
        <v>8</v>
      </c>
    </row>
    <row r="82" spans="1:10" x14ac:dyDescent="0.25">
      <c r="A82">
        <v>79</v>
      </c>
      <c r="B82" s="123">
        <v>4</v>
      </c>
      <c r="C82" s="37">
        <v>7</v>
      </c>
      <c r="D82" s="37">
        <v>2</v>
      </c>
      <c r="E82" s="37">
        <v>1</v>
      </c>
      <c r="F82" s="37">
        <v>6</v>
      </c>
      <c r="G82" s="37">
        <v>3</v>
      </c>
      <c r="H82" s="37">
        <v>1</v>
      </c>
      <c r="I82" s="37">
        <v>2</v>
      </c>
      <c r="J82" s="90">
        <v>7</v>
      </c>
    </row>
    <row r="83" spans="1:10" x14ac:dyDescent="0.25">
      <c r="A83">
        <v>80</v>
      </c>
      <c r="B83" s="123">
        <v>5</v>
      </c>
      <c r="C83" s="37">
        <v>8</v>
      </c>
      <c r="D83" s="37">
        <v>4</v>
      </c>
      <c r="E83" s="37">
        <v>3</v>
      </c>
      <c r="F83" s="37">
        <v>7</v>
      </c>
      <c r="G83" s="37">
        <v>5</v>
      </c>
      <c r="H83" s="37">
        <v>4</v>
      </c>
      <c r="I83" s="37">
        <v>5</v>
      </c>
      <c r="J83" s="90">
        <v>7</v>
      </c>
    </row>
    <row r="84" spans="1:10" x14ac:dyDescent="0.25">
      <c r="A84">
        <v>81</v>
      </c>
      <c r="B84" s="123">
        <v>4</v>
      </c>
      <c r="C84" s="37">
        <v>8</v>
      </c>
      <c r="D84" s="37">
        <v>5</v>
      </c>
      <c r="E84" s="37">
        <v>4</v>
      </c>
      <c r="F84" s="37">
        <v>7</v>
      </c>
      <c r="G84" s="37">
        <v>6</v>
      </c>
      <c r="H84" s="37">
        <v>8</v>
      </c>
      <c r="I84" s="37">
        <v>4</v>
      </c>
      <c r="J84" s="90">
        <v>7</v>
      </c>
    </row>
    <row r="85" spans="1:10" x14ac:dyDescent="0.25">
      <c r="A85">
        <v>82</v>
      </c>
      <c r="B85" s="123">
        <v>4</v>
      </c>
      <c r="C85" s="37">
        <v>8</v>
      </c>
      <c r="D85" s="37">
        <v>3</v>
      </c>
      <c r="E85" s="37">
        <v>4</v>
      </c>
      <c r="F85" s="37">
        <v>7</v>
      </c>
      <c r="G85" s="37">
        <v>6</v>
      </c>
      <c r="H85" s="37">
        <v>3</v>
      </c>
      <c r="I85" s="37">
        <v>7</v>
      </c>
      <c r="J85" s="90">
        <v>8</v>
      </c>
    </row>
    <row r="86" spans="1:10" x14ac:dyDescent="0.25">
      <c r="A86">
        <v>83</v>
      </c>
      <c r="B86" s="123">
        <v>5</v>
      </c>
      <c r="C86" s="37">
        <v>8</v>
      </c>
      <c r="D86" s="37">
        <v>3</v>
      </c>
      <c r="E86" s="37">
        <v>3</v>
      </c>
      <c r="F86" s="37">
        <v>7</v>
      </c>
      <c r="G86" s="37">
        <v>6</v>
      </c>
      <c r="H86" s="37">
        <v>1</v>
      </c>
      <c r="I86" s="37">
        <v>4</v>
      </c>
      <c r="J86" s="90">
        <v>7</v>
      </c>
    </row>
    <row r="87" spans="1:10" x14ac:dyDescent="0.25">
      <c r="A87">
        <v>84</v>
      </c>
      <c r="B87" s="123">
        <v>2</v>
      </c>
      <c r="C87" s="37">
        <v>9</v>
      </c>
      <c r="D87" s="37">
        <v>6</v>
      </c>
      <c r="E87" s="37">
        <v>4</v>
      </c>
      <c r="F87" s="37">
        <v>8</v>
      </c>
      <c r="G87" s="37">
        <v>6</v>
      </c>
      <c r="H87" s="37">
        <v>8</v>
      </c>
      <c r="I87" s="37">
        <v>5</v>
      </c>
      <c r="J87" s="90">
        <v>8</v>
      </c>
    </row>
    <row r="88" spans="1:10" x14ac:dyDescent="0.25">
      <c r="A88">
        <v>85</v>
      </c>
      <c r="B88" s="123">
        <v>5</v>
      </c>
      <c r="C88" s="37">
        <v>8</v>
      </c>
      <c r="D88" s="37">
        <v>4</v>
      </c>
      <c r="E88" s="37">
        <v>4</v>
      </c>
      <c r="F88" s="37">
        <v>7</v>
      </c>
      <c r="G88" s="37">
        <v>6</v>
      </c>
      <c r="H88" s="37">
        <v>5</v>
      </c>
      <c r="I88" s="37">
        <v>5</v>
      </c>
      <c r="J88" s="90">
        <v>7</v>
      </c>
    </row>
    <row r="89" spans="1:10" x14ac:dyDescent="0.25">
      <c r="A89">
        <v>86</v>
      </c>
      <c r="B89" s="123">
        <v>4</v>
      </c>
      <c r="C89" s="37">
        <v>8</v>
      </c>
      <c r="D89" s="37">
        <v>7</v>
      </c>
      <c r="E89" s="37">
        <v>5</v>
      </c>
      <c r="F89" s="37">
        <v>7</v>
      </c>
      <c r="G89" s="37">
        <v>6</v>
      </c>
      <c r="H89" s="37">
        <v>9</v>
      </c>
      <c r="I89" s="37">
        <v>6</v>
      </c>
      <c r="J89" s="90">
        <v>7</v>
      </c>
    </row>
    <row r="90" spans="1:10" x14ac:dyDescent="0.25">
      <c r="A90">
        <v>87</v>
      </c>
      <c r="B90" s="123">
        <v>5</v>
      </c>
      <c r="C90" s="37">
        <v>7</v>
      </c>
      <c r="D90" s="37">
        <v>2</v>
      </c>
      <c r="E90" s="37">
        <v>3</v>
      </c>
      <c r="F90" s="37">
        <v>5</v>
      </c>
      <c r="G90" s="37">
        <v>5</v>
      </c>
      <c r="H90" s="37">
        <v>1</v>
      </c>
      <c r="I90" s="37">
        <v>3</v>
      </c>
      <c r="J90" s="90">
        <v>7</v>
      </c>
    </row>
    <row r="91" spans="1:10" x14ac:dyDescent="0.25">
      <c r="A91">
        <v>88</v>
      </c>
      <c r="B91" s="123">
        <v>3</v>
      </c>
      <c r="C91" s="37">
        <v>8</v>
      </c>
      <c r="D91" s="37">
        <v>3</v>
      </c>
      <c r="E91" s="37">
        <v>2</v>
      </c>
      <c r="F91" s="37">
        <v>6</v>
      </c>
      <c r="G91" s="37">
        <v>6</v>
      </c>
      <c r="H91" s="37">
        <v>1</v>
      </c>
      <c r="I91" s="37">
        <v>5</v>
      </c>
      <c r="J91" s="90">
        <v>7</v>
      </c>
    </row>
    <row r="92" spans="1:10" x14ac:dyDescent="0.25">
      <c r="A92">
        <v>89</v>
      </c>
      <c r="B92" s="123">
        <v>2</v>
      </c>
      <c r="C92" s="37">
        <v>8</v>
      </c>
      <c r="D92" s="37">
        <v>4</v>
      </c>
      <c r="E92" s="37">
        <v>2</v>
      </c>
      <c r="F92" s="37">
        <v>7</v>
      </c>
      <c r="G92" s="37">
        <v>6</v>
      </c>
      <c r="H92" s="37">
        <v>5</v>
      </c>
      <c r="I92" s="37">
        <v>6</v>
      </c>
      <c r="J92" s="90">
        <v>7</v>
      </c>
    </row>
    <row r="93" spans="1:10" x14ac:dyDescent="0.25">
      <c r="A93">
        <v>90</v>
      </c>
      <c r="B93" s="123">
        <v>3</v>
      </c>
      <c r="C93" s="37">
        <v>8</v>
      </c>
      <c r="D93" s="37">
        <v>2</v>
      </c>
      <c r="E93" s="37">
        <v>4</v>
      </c>
      <c r="F93" s="37">
        <v>8</v>
      </c>
      <c r="G93" s="37">
        <v>7</v>
      </c>
      <c r="H93" s="37">
        <v>3</v>
      </c>
      <c r="I93" s="37">
        <v>5</v>
      </c>
      <c r="J93" s="90">
        <v>8</v>
      </c>
    </row>
    <row r="94" spans="1:10" x14ac:dyDescent="0.25">
      <c r="A94">
        <v>91</v>
      </c>
      <c r="B94" s="123">
        <v>5</v>
      </c>
      <c r="C94" s="37">
        <v>8</v>
      </c>
      <c r="D94" s="37">
        <v>3</v>
      </c>
      <c r="E94" s="37">
        <v>2</v>
      </c>
      <c r="F94" s="37">
        <v>5</v>
      </c>
      <c r="G94" s="37">
        <v>5</v>
      </c>
      <c r="H94" s="37">
        <v>5</v>
      </c>
      <c r="I94" s="37">
        <v>4</v>
      </c>
      <c r="J94" s="90">
        <v>7</v>
      </c>
    </row>
    <row r="95" spans="1:10" x14ac:dyDescent="0.25">
      <c r="A95">
        <v>92</v>
      </c>
      <c r="B95" s="123">
        <v>3</v>
      </c>
      <c r="C95" s="37">
        <v>8</v>
      </c>
      <c r="D95" s="37">
        <v>2</v>
      </c>
      <c r="E95" s="37">
        <v>4</v>
      </c>
      <c r="F95" s="37">
        <v>6</v>
      </c>
      <c r="G95" s="37">
        <v>6</v>
      </c>
      <c r="H95" s="37">
        <v>7</v>
      </c>
      <c r="I95" s="37">
        <v>4</v>
      </c>
      <c r="J95" s="90">
        <v>7</v>
      </c>
    </row>
    <row r="96" spans="1:10" x14ac:dyDescent="0.25">
      <c r="A96">
        <v>93</v>
      </c>
      <c r="B96" s="123">
        <v>3</v>
      </c>
      <c r="C96" s="37">
        <v>8</v>
      </c>
      <c r="D96" s="37">
        <v>2</v>
      </c>
      <c r="E96" s="37">
        <v>2</v>
      </c>
      <c r="F96" s="37">
        <v>7</v>
      </c>
      <c r="G96" s="37">
        <v>8</v>
      </c>
      <c r="H96" s="37">
        <v>1</v>
      </c>
      <c r="I96" s="37">
        <v>4</v>
      </c>
      <c r="J96" s="90">
        <v>7</v>
      </c>
    </row>
    <row r="97" spans="1:10" x14ac:dyDescent="0.25">
      <c r="A97">
        <v>94</v>
      </c>
      <c r="B97" s="123">
        <v>3</v>
      </c>
      <c r="C97" s="37">
        <v>8</v>
      </c>
      <c r="D97" s="37">
        <v>2</v>
      </c>
      <c r="E97" s="37">
        <v>2</v>
      </c>
      <c r="F97" s="37">
        <v>6</v>
      </c>
      <c r="G97" s="37">
        <v>4</v>
      </c>
      <c r="H97" s="37">
        <v>4</v>
      </c>
      <c r="I97" s="37">
        <v>5</v>
      </c>
      <c r="J97" s="90">
        <v>7</v>
      </c>
    </row>
    <row r="98" spans="1:10" x14ac:dyDescent="0.25">
      <c r="A98">
        <v>95</v>
      </c>
      <c r="B98" s="123">
        <v>4</v>
      </c>
      <c r="C98" s="37">
        <v>8</v>
      </c>
      <c r="D98" s="37">
        <v>3</v>
      </c>
      <c r="E98" s="37">
        <v>3</v>
      </c>
      <c r="F98" s="37">
        <v>5</v>
      </c>
      <c r="G98" s="37">
        <v>5</v>
      </c>
      <c r="H98" s="37">
        <v>1</v>
      </c>
      <c r="I98" s="37">
        <v>4</v>
      </c>
      <c r="J98" s="90">
        <v>8</v>
      </c>
    </row>
    <row r="99" spans="1:10" x14ac:dyDescent="0.25">
      <c r="A99">
        <v>96</v>
      </c>
      <c r="B99" s="123">
        <v>5</v>
      </c>
      <c r="C99" s="37">
        <v>8</v>
      </c>
      <c r="D99" s="37">
        <v>2</v>
      </c>
      <c r="E99" s="37">
        <v>3</v>
      </c>
      <c r="F99" s="37">
        <v>7</v>
      </c>
      <c r="G99" s="37">
        <v>6</v>
      </c>
      <c r="H99" s="37">
        <v>5</v>
      </c>
      <c r="I99" s="37">
        <v>4</v>
      </c>
      <c r="J99" s="90">
        <v>7</v>
      </c>
    </row>
    <row r="100" spans="1:10" x14ac:dyDescent="0.25">
      <c r="A100">
        <v>97</v>
      </c>
      <c r="B100" s="123">
        <v>4</v>
      </c>
      <c r="C100" s="37">
        <v>9</v>
      </c>
      <c r="D100" s="37">
        <v>2</v>
      </c>
      <c r="E100" s="37">
        <v>3</v>
      </c>
      <c r="F100" s="37">
        <v>7</v>
      </c>
      <c r="G100" s="37">
        <v>7</v>
      </c>
      <c r="H100" s="37">
        <v>6</v>
      </c>
      <c r="I100" s="37">
        <v>6</v>
      </c>
      <c r="J100" s="90">
        <v>6</v>
      </c>
    </row>
    <row r="101" spans="1:10" x14ac:dyDescent="0.25">
      <c r="A101">
        <v>98</v>
      </c>
      <c r="B101" s="123">
        <v>4</v>
      </c>
      <c r="C101" s="37">
        <v>8</v>
      </c>
      <c r="D101" s="37">
        <v>3</v>
      </c>
      <c r="E101" s="37">
        <v>3</v>
      </c>
      <c r="F101" s="37">
        <v>6</v>
      </c>
      <c r="G101" s="37">
        <v>6</v>
      </c>
      <c r="H101" s="37">
        <v>5</v>
      </c>
      <c r="I101" s="37">
        <v>5</v>
      </c>
      <c r="J101" s="90">
        <v>7</v>
      </c>
    </row>
    <row r="102" spans="1:10" x14ac:dyDescent="0.25">
      <c r="A102">
        <v>99</v>
      </c>
      <c r="B102" s="123">
        <v>3</v>
      </c>
      <c r="C102" s="37">
        <v>8</v>
      </c>
      <c r="D102" s="37">
        <v>3</v>
      </c>
      <c r="E102" s="37">
        <v>3</v>
      </c>
      <c r="F102" s="37">
        <v>7</v>
      </c>
      <c r="G102" s="37">
        <v>5</v>
      </c>
      <c r="H102" s="37">
        <v>3</v>
      </c>
      <c r="I102" s="37">
        <v>5</v>
      </c>
      <c r="J102" s="90">
        <v>7</v>
      </c>
    </row>
    <row r="103" spans="1:10" x14ac:dyDescent="0.25">
      <c r="A103">
        <v>100</v>
      </c>
      <c r="B103" s="123">
        <v>2</v>
      </c>
      <c r="C103" s="37">
        <v>8</v>
      </c>
      <c r="D103" s="37">
        <v>3</v>
      </c>
      <c r="E103" s="37">
        <v>2</v>
      </c>
      <c r="F103" s="37">
        <v>8</v>
      </c>
      <c r="G103" s="37">
        <v>8</v>
      </c>
      <c r="H103" s="37">
        <v>5</v>
      </c>
      <c r="I103" s="37">
        <v>4</v>
      </c>
      <c r="J103" s="90">
        <v>7</v>
      </c>
    </row>
    <row r="104" spans="1:10" x14ac:dyDescent="0.25">
      <c r="A104">
        <f>A103+1</f>
        <v>101</v>
      </c>
      <c r="B104" s="123">
        <v>5</v>
      </c>
      <c r="C104" s="37">
        <v>8</v>
      </c>
      <c r="D104" s="37">
        <v>1</v>
      </c>
      <c r="E104" s="37">
        <v>3</v>
      </c>
      <c r="F104" s="37">
        <v>6</v>
      </c>
      <c r="G104" s="37">
        <v>6</v>
      </c>
      <c r="H104" s="37">
        <v>4</v>
      </c>
      <c r="I104" s="37">
        <v>5</v>
      </c>
      <c r="J104" s="90">
        <v>7</v>
      </c>
    </row>
    <row r="105" spans="1:10" x14ac:dyDescent="0.25">
      <c r="A105">
        <f t="shared" ref="A105:A123" si="337">A104+1</f>
        <v>102</v>
      </c>
      <c r="B105" s="123">
        <v>6</v>
      </c>
      <c r="C105" s="37">
        <v>8</v>
      </c>
      <c r="D105" s="37">
        <v>3</v>
      </c>
      <c r="E105" s="37">
        <v>3</v>
      </c>
      <c r="F105" s="37">
        <v>6</v>
      </c>
      <c r="G105" s="37">
        <v>5</v>
      </c>
      <c r="H105" s="37">
        <v>4</v>
      </c>
      <c r="I105" s="37">
        <v>4</v>
      </c>
      <c r="J105" s="90">
        <v>7</v>
      </c>
    </row>
    <row r="106" spans="1:10" x14ac:dyDescent="0.25">
      <c r="A106">
        <f t="shared" si="337"/>
        <v>103</v>
      </c>
      <c r="B106" s="123">
        <v>5</v>
      </c>
      <c r="C106" s="37">
        <v>7</v>
      </c>
      <c r="D106" s="37">
        <v>3</v>
      </c>
      <c r="E106" s="37">
        <v>3</v>
      </c>
      <c r="F106" s="37">
        <v>7</v>
      </c>
      <c r="G106" s="37">
        <v>6</v>
      </c>
      <c r="H106" s="37">
        <v>6</v>
      </c>
      <c r="I106" s="37">
        <v>4</v>
      </c>
      <c r="J106" s="90">
        <v>7</v>
      </c>
    </row>
    <row r="107" spans="1:10" x14ac:dyDescent="0.25">
      <c r="A107">
        <f t="shared" si="337"/>
        <v>104</v>
      </c>
      <c r="B107" s="123">
        <v>4</v>
      </c>
      <c r="C107" s="37">
        <v>8</v>
      </c>
      <c r="D107" s="37">
        <v>3</v>
      </c>
      <c r="E107" s="37">
        <v>5</v>
      </c>
      <c r="F107" s="37">
        <v>6</v>
      </c>
      <c r="G107" s="37">
        <v>7</v>
      </c>
      <c r="H107" s="37">
        <v>2</v>
      </c>
      <c r="I107" s="37">
        <v>6</v>
      </c>
      <c r="J107" s="90">
        <v>6</v>
      </c>
    </row>
    <row r="108" spans="1:10" x14ac:dyDescent="0.25">
      <c r="A108">
        <f t="shared" si="337"/>
        <v>105</v>
      </c>
      <c r="B108" s="123">
        <v>3</v>
      </c>
      <c r="C108" s="37">
        <v>9</v>
      </c>
      <c r="D108" s="37">
        <v>3</v>
      </c>
      <c r="E108" s="37">
        <v>2</v>
      </c>
      <c r="F108" s="37">
        <v>6</v>
      </c>
      <c r="G108" s="37">
        <v>6</v>
      </c>
      <c r="H108" s="37">
        <v>5</v>
      </c>
      <c r="I108" s="37">
        <v>4</v>
      </c>
      <c r="J108" s="90">
        <v>8</v>
      </c>
    </row>
    <row r="109" spans="1:10" x14ac:dyDescent="0.25">
      <c r="A109">
        <f t="shared" si="337"/>
        <v>106</v>
      </c>
      <c r="B109" s="123">
        <v>4</v>
      </c>
      <c r="C109" s="37">
        <v>8</v>
      </c>
      <c r="D109" s="37">
        <v>5</v>
      </c>
      <c r="E109" s="37">
        <v>4</v>
      </c>
      <c r="F109" s="37">
        <v>7</v>
      </c>
      <c r="G109" s="37">
        <v>6</v>
      </c>
      <c r="H109" s="37">
        <v>7</v>
      </c>
      <c r="I109" s="37">
        <v>5</v>
      </c>
      <c r="J109" s="90">
        <v>8</v>
      </c>
    </row>
    <row r="110" spans="1:10" x14ac:dyDescent="0.25">
      <c r="A110">
        <f t="shared" si="337"/>
        <v>107</v>
      </c>
      <c r="B110" s="123">
        <v>5</v>
      </c>
      <c r="C110" s="37">
        <v>9</v>
      </c>
      <c r="D110" s="37">
        <v>7</v>
      </c>
      <c r="E110" s="37">
        <v>2</v>
      </c>
      <c r="F110" s="37">
        <v>5</v>
      </c>
      <c r="G110" s="37">
        <v>6</v>
      </c>
      <c r="H110" s="37">
        <v>8</v>
      </c>
      <c r="I110" s="37">
        <v>6</v>
      </c>
      <c r="J110" s="90">
        <v>8</v>
      </c>
    </row>
    <row r="111" spans="1:10" x14ac:dyDescent="0.25">
      <c r="A111">
        <f t="shared" si="337"/>
        <v>108</v>
      </c>
      <c r="B111" s="123">
        <v>5</v>
      </c>
      <c r="C111" s="37">
        <v>8</v>
      </c>
      <c r="D111" s="37">
        <v>2</v>
      </c>
      <c r="E111" s="37">
        <v>4</v>
      </c>
      <c r="F111" s="37">
        <v>6</v>
      </c>
      <c r="G111" s="37">
        <v>7</v>
      </c>
      <c r="H111" s="37">
        <v>3</v>
      </c>
      <c r="I111" s="37">
        <v>4</v>
      </c>
      <c r="J111" s="90">
        <v>7</v>
      </c>
    </row>
    <row r="112" spans="1:10" x14ac:dyDescent="0.25">
      <c r="A112">
        <f t="shared" si="337"/>
        <v>109</v>
      </c>
      <c r="B112" s="123">
        <v>4</v>
      </c>
      <c r="C112" s="37">
        <v>9</v>
      </c>
      <c r="D112" s="37">
        <v>4</v>
      </c>
      <c r="E112" s="37">
        <v>3</v>
      </c>
      <c r="F112" s="37">
        <v>7</v>
      </c>
      <c r="G112" s="37">
        <v>6</v>
      </c>
      <c r="H112" s="37">
        <v>4</v>
      </c>
      <c r="I112" s="37">
        <v>4</v>
      </c>
      <c r="J112" s="90">
        <v>8</v>
      </c>
    </row>
    <row r="113" spans="1:10" x14ac:dyDescent="0.25">
      <c r="A113">
        <f t="shared" si="337"/>
        <v>110</v>
      </c>
      <c r="B113" s="123">
        <v>4</v>
      </c>
      <c r="C113" s="37">
        <v>9</v>
      </c>
      <c r="D113" s="37">
        <v>5</v>
      </c>
      <c r="E113" s="37">
        <v>3</v>
      </c>
      <c r="F113" s="37">
        <v>8</v>
      </c>
      <c r="G113" s="37">
        <v>6</v>
      </c>
      <c r="H113" s="37">
        <v>8</v>
      </c>
      <c r="I113" s="37">
        <v>5</v>
      </c>
      <c r="J113" s="90">
        <v>7</v>
      </c>
    </row>
    <row r="114" spans="1:10" x14ac:dyDescent="0.25">
      <c r="A114">
        <f t="shared" si="337"/>
        <v>111</v>
      </c>
      <c r="B114" s="123">
        <v>4</v>
      </c>
      <c r="C114" s="37">
        <v>9</v>
      </c>
      <c r="D114" s="37">
        <v>2</v>
      </c>
      <c r="E114" s="37">
        <v>3</v>
      </c>
      <c r="F114" s="37">
        <v>7</v>
      </c>
      <c r="G114" s="37">
        <v>6</v>
      </c>
      <c r="H114" s="37">
        <v>4</v>
      </c>
      <c r="I114" s="37">
        <v>5</v>
      </c>
      <c r="J114" s="90">
        <v>8</v>
      </c>
    </row>
    <row r="115" spans="1:10" x14ac:dyDescent="0.25">
      <c r="A115">
        <f t="shared" si="337"/>
        <v>112</v>
      </c>
      <c r="B115" s="123">
        <v>4</v>
      </c>
      <c r="C115" s="37">
        <v>8</v>
      </c>
      <c r="D115" s="37">
        <v>6</v>
      </c>
      <c r="E115" s="37">
        <v>5</v>
      </c>
      <c r="F115" s="37">
        <v>7</v>
      </c>
      <c r="G115" s="37">
        <v>7</v>
      </c>
      <c r="H115" s="37">
        <v>8</v>
      </c>
      <c r="I115" s="37">
        <v>6</v>
      </c>
      <c r="J115" s="90">
        <v>8</v>
      </c>
    </row>
    <row r="116" spans="1:10" x14ac:dyDescent="0.25">
      <c r="A116">
        <f t="shared" si="337"/>
        <v>113</v>
      </c>
      <c r="B116" s="123">
        <v>3</v>
      </c>
      <c r="C116" s="37">
        <v>9</v>
      </c>
      <c r="D116" s="37">
        <v>8</v>
      </c>
      <c r="E116" s="37">
        <v>6</v>
      </c>
      <c r="F116" s="37">
        <v>8</v>
      </c>
      <c r="G116" s="37">
        <v>7</v>
      </c>
      <c r="H116" s="37">
        <v>10</v>
      </c>
      <c r="I116" s="37">
        <v>6</v>
      </c>
      <c r="J116" s="90">
        <v>7</v>
      </c>
    </row>
    <row r="117" spans="1:10" x14ac:dyDescent="0.25">
      <c r="A117">
        <f t="shared" si="337"/>
        <v>114</v>
      </c>
      <c r="B117" s="123">
        <v>2</v>
      </c>
      <c r="C117" s="37">
        <v>9</v>
      </c>
      <c r="D117" s="37">
        <v>7</v>
      </c>
      <c r="E117" s="37">
        <v>4</v>
      </c>
      <c r="F117" s="37">
        <v>6</v>
      </c>
      <c r="G117" s="37">
        <v>6</v>
      </c>
      <c r="H117" s="37">
        <v>9</v>
      </c>
      <c r="I117" s="37">
        <v>5</v>
      </c>
      <c r="J117" s="90">
        <v>7</v>
      </c>
    </row>
    <row r="118" spans="1:10" x14ac:dyDescent="0.25">
      <c r="A118">
        <f t="shared" si="337"/>
        <v>115</v>
      </c>
      <c r="B118" s="123">
        <v>4</v>
      </c>
      <c r="C118" s="37">
        <v>8</v>
      </c>
      <c r="D118" s="37">
        <v>2</v>
      </c>
      <c r="E118" s="37">
        <v>3</v>
      </c>
      <c r="F118" s="37">
        <v>7</v>
      </c>
      <c r="G118" s="37">
        <v>6</v>
      </c>
      <c r="H118" s="37">
        <v>3</v>
      </c>
      <c r="I118" s="37">
        <v>5</v>
      </c>
      <c r="J118" s="90">
        <v>7</v>
      </c>
    </row>
    <row r="119" spans="1:10" x14ac:dyDescent="0.25">
      <c r="A119">
        <f t="shared" si="337"/>
        <v>116</v>
      </c>
      <c r="B119" s="123">
        <v>5</v>
      </c>
      <c r="C119" s="37">
        <v>8</v>
      </c>
      <c r="D119" s="37">
        <v>5</v>
      </c>
      <c r="E119" s="37">
        <v>4</v>
      </c>
      <c r="F119" s="37">
        <v>6</v>
      </c>
      <c r="G119" s="37">
        <v>7</v>
      </c>
      <c r="H119" s="37">
        <v>8</v>
      </c>
      <c r="I119" s="37">
        <v>6</v>
      </c>
      <c r="J119" s="90">
        <v>7</v>
      </c>
    </row>
    <row r="120" spans="1:10" x14ac:dyDescent="0.25">
      <c r="A120">
        <f t="shared" si="337"/>
        <v>117</v>
      </c>
      <c r="B120" s="123">
        <v>4</v>
      </c>
      <c r="C120" s="37">
        <v>10</v>
      </c>
      <c r="D120" s="37">
        <v>6</v>
      </c>
      <c r="E120" s="37">
        <v>3</v>
      </c>
      <c r="F120" s="37">
        <v>6</v>
      </c>
      <c r="G120" s="37">
        <v>8</v>
      </c>
      <c r="H120" s="37">
        <v>8</v>
      </c>
      <c r="I120" s="37">
        <v>5</v>
      </c>
      <c r="J120" s="90">
        <v>8</v>
      </c>
    </row>
    <row r="121" spans="1:10" x14ac:dyDescent="0.25">
      <c r="A121">
        <f t="shared" si="337"/>
        <v>118</v>
      </c>
      <c r="B121" s="123">
        <v>5</v>
      </c>
      <c r="C121" s="37">
        <v>9</v>
      </c>
      <c r="D121" s="37">
        <v>5</v>
      </c>
      <c r="E121" s="37">
        <v>5</v>
      </c>
      <c r="F121" s="37">
        <v>8</v>
      </c>
      <c r="G121" s="37">
        <v>3</v>
      </c>
      <c r="H121" s="37">
        <v>8</v>
      </c>
      <c r="I121" s="37">
        <v>5</v>
      </c>
      <c r="J121" s="90">
        <v>7</v>
      </c>
    </row>
    <row r="122" spans="1:10" x14ac:dyDescent="0.25">
      <c r="A122">
        <f t="shared" si="337"/>
        <v>119</v>
      </c>
      <c r="B122" s="123">
        <v>3</v>
      </c>
      <c r="C122" s="37">
        <v>8</v>
      </c>
      <c r="D122" s="37">
        <v>2</v>
      </c>
      <c r="E122" s="37">
        <v>4</v>
      </c>
      <c r="F122" s="37">
        <v>7</v>
      </c>
      <c r="G122" s="37">
        <v>4</v>
      </c>
      <c r="H122" s="37">
        <v>1</v>
      </c>
      <c r="I122" s="37">
        <v>6</v>
      </c>
      <c r="J122" s="90">
        <v>8</v>
      </c>
    </row>
    <row r="123" spans="1:10" x14ac:dyDescent="0.25">
      <c r="A123">
        <f t="shared" si="337"/>
        <v>120</v>
      </c>
      <c r="B123" s="91">
        <v>5</v>
      </c>
      <c r="C123" s="92">
        <v>8</v>
      </c>
      <c r="D123" s="92">
        <v>1</v>
      </c>
      <c r="E123" s="92">
        <v>5</v>
      </c>
      <c r="F123" s="92">
        <v>5</v>
      </c>
      <c r="G123" s="92">
        <v>6</v>
      </c>
      <c r="H123" s="92">
        <v>1</v>
      </c>
      <c r="I123" s="92">
        <v>3</v>
      </c>
      <c r="J123" s="93">
        <v>8</v>
      </c>
    </row>
    <row r="124" spans="1:10" x14ac:dyDescent="0.25">
      <c r="B124" s="37"/>
      <c r="C124" s="37"/>
      <c r="D124" s="37"/>
      <c r="E124" s="37"/>
      <c r="F124" s="37"/>
      <c r="G124" s="37"/>
      <c r="H124" s="37"/>
      <c r="I124" s="37"/>
      <c r="J124" s="37"/>
    </row>
    <row r="125" spans="1:10" x14ac:dyDescent="0.25">
      <c r="B125" s="47" t="str">
        <f>B3</f>
        <v>Expect</v>
      </c>
      <c r="C125" s="47" t="str">
        <f t="shared" ref="C125:J125" si="338">C3</f>
        <v>Entertain</v>
      </c>
      <c r="D125" s="47" t="str">
        <f t="shared" si="338"/>
        <v>Comm</v>
      </c>
      <c r="E125" s="47" t="str">
        <f t="shared" si="338"/>
        <v>Expert</v>
      </c>
      <c r="F125" s="47" t="str">
        <f t="shared" si="338"/>
        <v>Motivate</v>
      </c>
      <c r="G125" s="47" t="str">
        <f t="shared" si="338"/>
        <v>Caring</v>
      </c>
      <c r="H125" s="47" t="str">
        <f t="shared" si="338"/>
        <v>Charisma</v>
      </c>
      <c r="I125" s="47" t="str">
        <f t="shared" si="338"/>
        <v>Passion</v>
      </c>
      <c r="J125" s="47" t="str">
        <f t="shared" si="338"/>
        <v>Friendly</v>
      </c>
    </row>
    <row r="126" spans="1:10" x14ac:dyDescent="0.25">
      <c r="A126" t="s">
        <v>48</v>
      </c>
      <c r="B126" s="156">
        <f>AVERAGE(B4:B123)</f>
        <v>3.7083333333333335</v>
      </c>
      <c r="C126" s="157">
        <f t="shared" ref="C126:J126" si="339">AVERAGE(C4:C123)</f>
        <v>8.1666666666666661</v>
      </c>
      <c r="D126" s="157">
        <f t="shared" si="339"/>
        <v>3.45</v>
      </c>
      <c r="E126" s="157">
        <f t="shared" si="339"/>
        <v>3.3833333333333333</v>
      </c>
      <c r="F126" s="157">
        <f t="shared" si="339"/>
        <v>6.708333333333333</v>
      </c>
      <c r="G126" s="157">
        <f t="shared" si="339"/>
        <v>6.0083333333333337</v>
      </c>
      <c r="H126" s="157">
        <f t="shared" si="339"/>
        <v>4.8416666666666668</v>
      </c>
      <c r="I126" s="157">
        <f t="shared" si="339"/>
        <v>4.7249999999999996</v>
      </c>
      <c r="J126" s="158">
        <f t="shared" si="339"/>
        <v>7.3</v>
      </c>
    </row>
    <row r="127" spans="1:10" x14ac:dyDescent="0.25">
      <c r="A127" t="s">
        <v>49</v>
      </c>
      <c r="B127" s="123">
        <f>STDEV(B4:B123)</f>
        <v>1.2662114027786242</v>
      </c>
      <c r="C127" s="37">
        <f t="shared" ref="C127:J127" si="340">STDEV(C4:C123)</f>
        <v>0.57002629061192933</v>
      </c>
      <c r="D127" s="37">
        <f t="shared" si="340"/>
        <v>1.6492932023224043</v>
      </c>
      <c r="E127" s="37">
        <f t="shared" si="340"/>
        <v>1.0140469991704575</v>
      </c>
      <c r="F127" s="37">
        <f t="shared" si="340"/>
        <v>0.95614626824273719</v>
      </c>
      <c r="G127" s="37">
        <f t="shared" si="340"/>
        <v>1.3688972027952755</v>
      </c>
      <c r="H127" s="37">
        <f t="shared" si="340"/>
        <v>2.5895583262266895</v>
      </c>
      <c r="I127" s="37">
        <f t="shared" si="340"/>
        <v>0.95233018071950515</v>
      </c>
      <c r="J127" s="90">
        <f t="shared" si="340"/>
        <v>0.58840333734179207</v>
      </c>
    </row>
    <row r="128" spans="1:10" x14ac:dyDescent="0.25">
      <c r="A128" t="s">
        <v>394</v>
      </c>
      <c r="B128" s="123">
        <f>SKEW(B4:B123)</f>
        <v>0.13857831473517168</v>
      </c>
      <c r="C128" s="37">
        <f t="shared" ref="C128:J128" si="341">SKEW(C4:C123)</f>
        <v>0.55879383518869019</v>
      </c>
      <c r="D128" s="37">
        <f t="shared" si="341"/>
        <v>0.60968237468969244</v>
      </c>
      <c r="E128" s="37">
        <f t="shared" si="341"/>
        <v>0.25011903407769448</v>
      </c>
      <c r="F128" s="37">
        <f t="shared" si="341"/>
        <v>3.0992568092345463E-2</v>
      </c>
      <c r="G128" s="37">
        <f t="shared" si="341"/>
        <v>-0.23512012357640227</v>
      </c>
      <c r="H128" s="37">
        <f t="shared" si="341"/>
        <v>4.7501040439116834E-2</v>
      </c>
      <c r="I128" s="37">
        <f t="shared" si="341"/>
        <v>-7.3874092896665661E-2</v>
      </c>
      <c r="J128" s="90">
        <f t="shared" si="341"/>
        <v>0.32217223907072601</v>
      </c>
    </row>
    <row r="129" spans="1:10" x14ac:dyDescent="0.25">
      <c r="A129" s="60" t="s">
        <v>395</v>
      </c>
      <c r="B129" s="91">
        <f>KURT(B4:B123)</f>
        <v>-7.5087531931202989E-2</v>
      </c>
      <c r="C129" s="92">
        <f t="shared" ref="C129:J129" si="342">KURT(C4:C123)</f>
        <v>1.2245729768528379</v>
      </c>
      <c r="D129" s="92">
        <f t="shared" si="342"/>
        <v>-0.37097323594953835</v>
      </c>
      <c r="E129" s="92">
        <f t="shared" si="342"/>
        <v>0.79048099823017459</v>
      </c>
      <c r="F129" s="92">
        <f t="shared" si="342"/>
        <v>-9.1985537444213339E-2</v>
      </c>
      <c r="G129" s="92">
        <f t="shared" si="342"/>
        <v>-0.42617618904263521</v>
      </c>
      <c r="H129" s="92">
        <f t="shared" si="342"/>
        <v>-0.92188768731537785</v>
      </c>
      <c r="I129" s="92">
        <f t="shared" si="342"/>
        <v>-0.24984145123189316</v>
      </c>
      <c r="J129" s="93">
        <f t="shared" si="342"/>
        <v>0.13488543363239947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/>
  <dimension ref="A1:W242"/>
  <sheetViews>
    <sheetView zoomScaleNormal="100" workbookViewId="0"/>
  </sheetViews>
  <sheetFormatPr defaultRowHeight="15" x14ac:dyDescent="0.25"/>
  <cols>
    <col min="12" max="12" width="9.42578125" customWidth="1"/>
  </cols>
  <sheetData>
    <row r="1" spans="1:21" ht="14.45" x14ac:dyDescent="0.35">
      <c r="A1" s="42" t="s">
        <v>545</v>
      </c>
      <c r="L1" t="s">
        <v>515</v>
      </c>
    </row>
    <row r="3" spans="1:21" ht="14.45" x14ac:dyDescent="0.35">
      <c r="A3" s="47"/>
      <c r="B3" s="47" t="s">
        <v>371</v>
      </c>
      <c r="C3" s="47" t="s">
        <v>372</v>
      </c>
      <c r="D3" s="47" t="s">
        <v>373</v>
      </c>
      <c r="E3" s="47" t="s">
        <v>374</v>
      </c>
      <c r="F3" s="47" t="s">
        <v>375</v>
      </c>
      <c r="G3" s="47" t="s">
        <v>376</v>
      </c>
      <c r="H3" s="47" t="s">
        <v>377</v>
      </c>
      <c r="I3" s="47" t="s">
        <v>378</v>
      </c>
      <c r="J3" s="47" t="s">
        <v>379</v>
      </c>
      <c r="L3" t="s">
        <v>496</v>
      </c>
    </row>
    <row r="4" spans="1:21" ht="14.45" x14ac:dyDescent="0.35">
      <c r="A4">
        <v>1</v>
      </c>
      <c r="B4" s="156">
        <v>2</v>
      </c>
      <c r="C4" s="157">
        <v>8</v>
      </c>
      <c r="D4" s="157">
        <v>1</v>
      </c>
      <c r="E4" s="157">
        <v>4</v>
      </c>
      <c r="F4" s="157">
        <v>7</v>
      </c>
      <c r="G4" s="157">
        <v>5</v>
      </c>
      <c r="H4" s="157">
        <v>4</v>
      </c>
      <c r="I4" s="157">
        <v>4</v>
      </c>
      <c r="J4" s="158">
        <v>8</v>
      </c>
    </row>
    <row r="5" spans="1:21" ht="14.45" x14ac:dyDescent="0.35">
      <c r="A5">
        <v>2</v>
      </c>
      <c r="B5" s="123">
        <v>4</v>
      </c>
      <c r="C5" s="37">
        <v>8</v>
      </c>
      <c r="D5" s="37">
        <v>5</v>
      </c>
      <c r="E5" s="37">
        <v>3</v>
      </c>
      <c r="F5" s="37">
        <v>7</v>
      </c>
      <c r="G5" s="37">
        <v>7</v>
      </c>
      <c r="H5" s="37">
        <v>7</v>
      </c>
      <c r="I5" s="37">
        <v>6</v>
      </c>
      <c r="J5" s="90">
        <v>6</v>
      </c>
      <c r="M5" t="str">
        <f t="array" ref="M5:U5">B3:J3</f>
        <v>Expect</v>
      </c>
      <c r="N5" t="str">
        <v>Entertain</v>
      </c>
      <c r="O5" t="str">
        <v>Comm</v>
      </c>
      <c r="P5" t="str">
        <v>Expert</v>
      </c>
      <c r="Q5" t="str">
        <v>Motivate</v>
      </c>
      <c r="R5" t="str">
        <v>Caring</v>
      </c>
      <c r="S5" t="str">
        <v>Charisma</v>
      </c>
      <c r="T5" t="str">
        <v>Passion</v>
      </c>
      <c r="U5" t="str">
        <v>Friendly</v>
      </c>
    </row>
    <row r="6" spans="1:21" ht="14.45" x14ac:dyDescent="0.35">
      <c r="A6">
        <v>3</v>
      </c>
      <c r="B6" s="123">
        <v>2</v>
      </c>
      <c r="C6" s="37">
        <v>8</v>
      </c>
      <c r="D6" s="37">
        <v>2</v>
      </c>
      <c r="E6" s="37">
        <v>3</v>
      </c>
      <c r="F6" s="37">
        <v>6</v>
      </c>
      <c r="G6" s="37">
        <v>7</v>
      </c>
      <c r="H6" s="37">
        <v>1</v>
      </c>
      <c r="I6" s="37">
        <v>3</v>
      </c>
      <c r="J6" s="90">
        <v>7</v>
      </c>
      <c r="L6" t="s">
        <v>34</v>
      </c>
      <c r="M6" s="203">
        <f>AVERAGE(B4:B123)</f>
        <v>3.7083333333333335</v>
      </c>
      <c r="N6" s="204">
        <f t="shared" ref="N6:U6" si="0">AVERAGE(C4:C123)</f>
        <v>8.1666666666666661</v>
      </c>
      <c r="O6" s="204">
        <f t="shared" si="0"/>
        <v>3.45</v>
      </c>
      <c r="P6" s="204">
        <f t="shared" si="0"/>
        <v>3.3833333333333333</v>
      </c>
      <c r="Q6" s="204">
        <f t="shared" si="0"/>
        <v>6.708333333333333</v>
      </c>
      <c r="R6" s="204">
        <f t="shared" si="0"/>
        <v>6.0083333333333337</v>
      </c>
      <c r="S6" s="204">
        <f t="shared" si="0"/>
        <v>4.8416666666666668</v>
      </c>
      <c r="T6" s="204">
        <f t="shared" si="0"/>
        <v>4.7249999999999996</v>
      </c>
      <c r="U6" s="205">
        <f t="shared" si="0"/>
        <v>7.3</v>
      </c>
    </row>
    <row r="7" spans="1:21" ht="14.45" x14ac:dyDescent="0.35">
      <c r="A7">
        <v>4</v>
      </c>
      <c r="B7" s="123">
        <v>4</v>
      </c>
      <c r="C7" s="37">
        <v>8</v>
      </c>
      <c r="D7" s="37">
        <v>4</v>
      </c>
      <c r="E7" s="37">
        <v>2</v>
      </c>
      <c r="F7" s="37">
        <v>8</v>
      </c>
      <c r="G7" s="37">
        <v>7</v>
      </c>
      <c r="H7" s="37">
        <v>7</v>
      </c>
      <c r="I7" s="37">
        <v>5</v>
      </c>
      <c r="J7" s="90">
        <v>7</v>
      </c>
      <c r="L7" t="s">
        <v>497</v>
      </c>
      <c r="M7" s="83">
        <f>STDEV(B4:B123)</f>
        <v>1.2662114027786242</v>
      </c>
      <c r="N7" s="37">
        <f t="shared" ref="N7:U7" si="1">STDEV(C4:C123)</f>
        <v>0.57002629061192933</v>
      </c>
      <c r="O7" s="37">
        <f t="shared" si="1"/>
        <v>1.6492932023224043</v>
      </c>
      <c r="P7" s="37">
        <f t="shared" si="1"/>
        <v>1.0140469991704575</v>
      </c>
      <c r="Q7" s="37">
        <f t="shared" si="1"/>
        <v>0.95614626824273719</v>
      </c>
      <c r="R7" s="37">
        <f t="shared" si="1"/>
        <v>1.3688972027952755</v>
      </c>
      <c r="S7" s="37">
        <f t="shared" si="1"/>
        <v>2.5895583262266895</v>
      </c>
      <c r="T7" s="37">
        <f t="shared" si="1"/>
        <v>0.95233018071950515</v>
      </c>
      <c r="U7" s="84">
        <f t="shared" si="1"/>
        <v>0.58840333734179207</v>
      </c>
    </row>
    <row r="8" spans="1:21" ht="14.45" x14ac:dyDescent="0.35">
      <c r="A8">
        <v>5</v>
      </c>
      <c r="B8" s="123">
        <v>3</v>
      </c>
      <c r="C8" s="37">
        <v>8</v>
      </c>
      <c r="D8" s="37">
        <v>5</v>
      </c>
      <c r="E8" s="37">
        <v>4</v>
      </c>
      <c r="F8" s="37">
        <v>8</v>
      </c>
      <c r="G8" s="37">
        <v>8</v>
      </c>
      <c r="H8" s="37">
        <v>7</v>
      </c>
      <c r="I8" s="37">
        <v>6</v>
      </c>
      <c r="J8" s="90">
        <v>7</v>
      </c>
      <c r="L8" t="s">
        <v>268</v>
      </c>
      <c r="M8" s="83">
        <f>SKEW(B4:B123)</f>
        <v>0.13857831473517168</v>
      </c>
      <c r="N8" s="37">
        <f t="shared" ref="N8:U8" si="2">SKEW(C4:C123)</f>
        <v>0.55879383518869019</v>
      </c>
      <c r="O8" s="37">
        <f t="shared" si="2"/>
        <v>0.60968237468969244</v>
      </c>
      <c r="P8" s="37">
        <f t="shared" si="2"/>
        <v>0.25011903407769448</v>
      </c>
      <c r="Q8" s="37">
        <f t="shared" si="2"/>
        <v>3.0992568092345463E-2</v>
      </c>
      <c r="R8" s="37">
        <f t="shared" si="2"/>
        <v>-0.23512012357640227</v>
      </c>
      <c r="S8" s="37">
        <f t="shared" si="2"/>
        <v>4.7501040439116834E-2</v>
      </c>
      <c r="T8" s="37">
        <f t="shared" si="2"/>
        <v>-7.3874092896665661E-2</v>
      </c>
      <c r="U8" s="84">
        <f t="shared" si="2"/>
        <v>0.32217223907072601</v>
      </c>
    </row>
    <row r="9" spans="1:21" ht="14.45" x14ac:dyDescent="0.35">
      <c r="A9">
        <v>6</v>
      </c>
      <c r="B9" s="123">
        <v>4</v>
      </c>
      <c r="C9" s="37">
        <v>7</v>
      </c>
      <c r="D9" s="37">
        <v>3</v>
      </c>
      <c r="E9" s="37">
        <v>3</v>
      </c>
      <c r="F9" s="37">
        <v>6</v>
      </c>
      <c r="G9" s="37">
        <v>6</v>
      </c>
      <c r="H9" s="37">
        <v>1</v>
      </c>
      <c r="I9" s="37">
        <v>4</v>
      </c>
      <c r="J9" s="90">
        <v>7</v>
      </c>
      <c r="L9" t="s">
        <v>267</v>
      </c>
      <c r="M9" s="85">
        <f>KURT(B4:B123)</f>
        <v>-7.5087531931202989E-2</v>
      </c>
      <c r="N9" s="86">
        <f t="shared" ref="N9:U9" si="3">KURT(C4:C123)</f>
        <v>1.2245729768528379</v>
      </c>
      <c r="O9" s="86">
        <f t="shared" si="3"/>
        <v>-0.37097323594953835</v>
      </c>
      <c r="P9" s="86">
        <f t="shared" si="3"/>
        <v>0.79048099823017459</v>
      </c>
      <c r="Q9" s="86">
        <f t="shared" si="3"/>
        <v>-9.1985537444213339E-2</v>
      </c>
      <c r="R9" s="86">
        <f t="shared" si="3"/>
        <v>-0.42617618904263521</v>
      </c>
      <c r="S9" s="86">
        <f t="shared" si="3"/>
        <v>-0.92188768731537785</v>
      </c>
      <c r="T9" s="86">
        <f t="shared" si="3"/>
        <v>-0.24984145123189316</v>
      </c>
      <c r="U9" s="87">
        <f t="shared" si="3"/>
        <v>0.13488543363239947</v>
      </c>
    </row>
    <row r="10" spans="1:21" ht="14.45" x14ac:dyDescent="0.35">
      <c r="A10">
        <v>7</v>
      </c>
      <c r="B10" s="123">
        <v>4</v>
      </c>
      <c r="C10" s="37">
        <v>8</v>
      </c>
      <c r="D10" s="37">
        <v>4</v>
      </c>
      <c r="E10" s="37">
        <v>2</v>
      </c>
      <c r="F10" s="37">
        <v>6</v>
      </c>
      <c r="G10" s="37">
        <v>4</v>
      </c>
      <c r="H10" s="37">
        <v>5</v>
      </c>
      <c r="I10" s="37">
        <v>4</v>
      </c>
      <c r="J10" s="90">
        <v>7</v>
      </c>
    </row>
    <row r="11" spans="1:21" ht="14.45" x14ac:dyDescent="0.35">
      <c r="A11">
        <v>8</v>
      </c>
      <c r="B11" s="123">
        <v>4</v>
      </c>
      <c r="C11" s="37">
        <v>8</v>
      </c>
      <c r="D11" s="37">
        <v>3</v>
      </c>
      <c r="E11" s="37">
        <v>3</v>
      </c>
      <c r="F11" s="37">
        <v>7</v>
      </c>
      <c r="G11" s="37">
        <v>5</v>
      </c>
      <c r="H11" s="37">
        <v>4</v>
      </c>
      <c r="I11" s="37">
        <v>4</v>
      </c>
      <c r="J11" s="90">
        <v>7</v>
      </c>
      <c r="L11" t="s">
        <v>39</v>
      </c>
    </row>
    <row r="12" spans="1:21" ht="14.45" x14ac:dyDescent="0.35">
      <c r="A12">
        <v>9</v>
      </c>
      <c r="B12" s="123">
        <v>2</v>
      </c>
      <c r="C12" s="37">
        <v>8</v>
      </c>
      <c r="D12" s="37">
        <v>2</v>
      </c>
      <c r="E12" s="37">
        <v>2</v>
      </c>
      <c r="F12" s="37">
        <v>7</v>
      </c>
      <c r="G12" s="37">
        <v>6</v>
      </c>
      <c r="H12" s="37">
        <v>1</v>
      </c>
      <c r="I12" s="37">
        <v>4</v>
      </c>
      <c r="J12" s="90">
        <v>7</v>
      </c>
    </row>
    <row r="13" spans="1:21" ht="14.45" x14ac:dyDescent="0.35">
      <c r="A13">
        <v>10</v>
      </c>
      <c r="B13" s="123">
        <v>4</v>
      </c>
      <c r="C13" s="37">
        <v>8</v>
      </c>
      <c r="D13" s="37">
        <v>3</v>
      </c>
      <c r="E13" s="37">
        <v>4</v>
      </c>
      <c r="F13" s="37">
        <v>8</v>
      </c>
      <c r="G13" s="37">
        <v>7</v>
      </c>
      <c r="H13" s="37">
        <v>4</v>
      </c>
      <c r="I13" s="37">
        <v>4</v>
      </c>
      <c r="J13" s="90">
        <v>8</v>
      </c>
      <c r="M13" t="str">
        <f t="array" ref="M13:U13">B3:J3</f>
        <v>Expect</v>
      </c>
      <c r="N13" t="str">
        <v>Entertain</v>
      </c>
      <c r="O13" t="str">
        <v>Comm</v>
      </c>
      <c r="P13" t="str">
        <v>Expert</v>
      </c>
      <c r="Q13" t="str">
        <v>Motivate</v>
      </c>
      <c r="R13" t="str">
        <v>Caring</v>
      </c>
      <c r="S13" t="str">
        <v>Charisma</v>
      </c>
      <c r="T13" t="str">
        <v>Passion</v>
      </c>
      <c r="U13" t="str">
        <v>Friendly</v>
      </c>
    </row>
    <row r="14" spans="1:21" ht="14.45" x14ac:dyDescent="0.35">
      <c r="A14">
        <v>11</v>
      </c>
      <c r="B14" s="123">
        <v>3</v>
      </c>
      <c r="C14" s="37">
        <v>10</v>
      </c>
      <c r="D14" s="37">
        <v>5</v>
      </c>
      <c r="E14" s="37">
        <v>4</v>
      </c>
      <c r="F14" s="37">
        <v>7</v>
      </c>
      <c r="G14" s="37">
        <v>8</v>
      </c>
      <c r="H14" s="37">
        <v>7</v>
      </c>
      <c r="I14" s="37">
        <v>6</v>
      </c>
      <c r="J14" s="90">
        <v>8</v>
      </c>
      <c r="L14" t="str">
        <f t="array" ref="L14:L22">TRANSPOSE(B3:J3)</f>
        <v>Expect</v>
      </c>
      <c r="M14" s="203">
        <f t="array" ref="M14:U22">[1]!CORR(B4:J123)</f>
        <v>0.99999999999999833</v>
      </c>
      <c r="N14" s="204">
        <v>-0.17658022821634106</v>
      </c>
      <c r="O14" s="204">
        <v>7.9472348910152368E-2</v>
      </c>
      <c r="P14" s="204">
        <v>0.12053127811168438</v>
      </c>
      <c r="Q14" s="204">
        <v>-0.1472071906836242</v>
      </c>
      <c r="R14" s="204">
        <v>-0.1052452402704131</v>
      </c>
      <c r="S14" s="204">
        <v>-2.189090621599556E-2</v>
      </c>
      <c r="T14" s="204">
        <v>-0.12979427946395597</v>
      </c>
      <c r="U14" s="205">
        <v>-0.34401036690229408</v>
      </c>
    </row>
    <row r="15" spans="1:21" ht="14.45" x14ac:dyDescent="0.35">
      <c r="A15">
        <v>12</v>
      </c>
      <c r="B15" s="123">
        <v>1</v>
      </c>
      <c r="C15" s="37">
        <v>9</v>
      </c>
      <c r="D15" s="37">
        <v>2</v>
      </c>
      <c r="E15" s="37">
        <v>5</v>
      </c>
      <c r="F15" s="37">
        <v>9</v>
      </c>
      <c r="G15" s="37">
        <v>7</v>
      </c>
      <c r="H15" s="37">
        <v>5</v>
      </c>
      <c r="I15" s="37">
        <v>6</v>
      </c>
      <c r="J15" s="90">
        <v>9</v>
      </c>
      <c r="L15" t="str">
        <v>Entertain</v>
      </c>
      <c r="M15" s="83">
        <v>-0.17658022821634106</v>
      </c>
      <c r="N15" s="37">
        <v>1.0000000000000011</v>
      </c>
      <c r="O15" s="37">
        <v>0.44692051174421527</v>
      </c>
      <c r="P15" s="37">
        <v>4.8459487091569518E-2</v>
      </c>
      <c r="Q15" s="37">
        <v>0.24412158026310946</v>
      </c>
      <c r="R15" s="37">
        <v>0.11666737388326598</v>
      </c>
      <c r="S15" s="37">
        <v>0.45068677465590851</v>
      </c>
      <c r="T15" s="37">
        <v>0.37925969237500351</v>
      </c>
      <c r="U15" s="84">
        <v>0.40086949354334672</v>
      </c>
    </row>
    <row r="16" spans="1:21" ht="14.45" x14ac:dyDescent="0.35">
      <c r="A16">
        <v>13</v>
      </c>
      <c r="B16" s="123">
        <v>5</v>
      </c>
      <c r="C16" s="37">
        <v>7</v>
      </c>
      <c r="D16" s="37">
        <v>2</v>
      </c>
      <c r="E16" s="37">
        <v>3</v>
      </c>
      <c r="F16" s="37">
        <v>6</v>
      </c>
      <c r="G16" s="37">
        <v>4</v>
      </c>
      <c r="H16" s="37">
        <v>2</v>
      </c>
      <c r="I16" s="37">
        <v>3</v>
      </c>
      <c r="J16" s="90">
        <v>6</v>
      </c>
      <c r="L16" t="str">
        <v>Comm</v>
      </c>
      <c r="M16" s="83">
        <v>7.9472348910152368E-2</v>
      </c>
      <c r="N16" s="37">
        <v>0.44692051174421527</v>
      </c>
      <c r="O16" s="37">
        <v>1.0000000000000007</v>
      </c>
      <c r="P16" s="37">
        <v>0.15224383453637197</v>
      </c>
      <c r="Q16" s="37">
        <v>0.28642393294527835</v>
      </c>
      <c r="R16" s="37">
        <v>0.10626504883200415</v>
      </c>
      <c r="S16" s="37">
        <v>0.74875752234637871</v>
      </c>
      <c r="T16" s="37">
        <v>0.3683592382753193</v>
      </c>
      <c r="U16" s="84">
        <v>6.9273962356187456E-3</v>
      </c>
    </row>
    <row r="17" spans="1:23" ht="14.45" x14ac:dyDescent="0.35">
      <c r="A17">
        <v>14</v>
      </c>
      <c r="B17" s="123">
        <v>3</v>
      </c>
      <c r="C17" s="37">
        <v>7</v>
      </c>
      <c r="D17" s="37">
        <v>3</v>
      </c>
      <c r="E17" s="37">
        <v>4</v>
      </c>
      <c r="F17" s="37">
        <v>6</v>
      </c>
      <c r="G17" s="37">
        <v>7</v>
      </c>
      <c r="H17" s="37">
        <v>1</v>
      </c>
      <c r="I17" s="37">
        <v>3</v>
      </c>
      <c r="J17" s="90">
        <v>7</v>
      </c>
      <c r="L17" t="str">
        <v>Expert</v>
      </c>
      <c r="M17" s="83">
        <v>0.12053127811168438</v>
      </c>
      <c r="N17" s="37">
        <v>4.8459487091569518E-2</v>
      </c>
      <c r="O17" s="37">
        <v>0.15224383453637197</v>
      </c>
      <c r="P17" s="37">
        <v>1.0000000000000009</v>
      </c>
      <c r="Q17" s="37">
        <v>0.19428606575437976</v>
      </c>
      <c r="R17" s="37">
        <v>4.610935721914871E-2</v>
      </c>
      <c r="S17" s="37">
        <v>0.24731764508778434</v>
      </c>
      <c r="T17" s="37">
        <v>0.25800736545459846</v>
      </c>
      <c r="U17" s="84">
        <v>0.18590615055713855</v>
      </c>
    </row>
    <row r="18" spans="1:23" ht="14.45" x14ac:dyDescent="0.35">
      <c r="A18">
        <v>15</v>
      </c>
      <c r="B18" s="123">
        <v>2</v>
      </c>
      <c r="C18" s="37">
        <v>9</v>
      </c>
      <c r="D18" s="37">
        <v>6</v>
      </c>
      <c r="E18" s="37">
        <v>4</v>
      </c>
      <c r="F18" s="37">
        <v>6</v>
      </c>
      <c r="G18" s="37">
        <v>3</v>
      </c>
      <c r="H18" s="37">
        <v>8</v>
      </c>
      <c r="I18" s="37">
        <v>5</v>
      </c>
      <c r="J18" s="90">
        <v>7</v>
      </c>
      <c r="L18" t="str">
        <v>Motivate</v>
      </c>
      <c r="M18" s="83">
        <v>-0.1472071906836242</v>
      </c>
      <c r="N18" s="37">
        <v>0.24412158026310946</v>
      </c>
      <c r="O18" s="37">
        <v>0.28642393294527835</v>
      </c>
      <c r="P18" s="37">
        <v>0.19428606575437976</v>
      </c>
      <c r="Q18" s="37">
        <v>1.0000000000000009</v>
      </c>
      <c r="R18" s="37">
        <v>0.28436745486873366</v>
      </c>
      <c r="S18" s="37">
        <v>0.34434258129116857</v>
      </c>
      <c r="T18" s="37">
        <v>0.32646573442580362</v>
      </c>
      <c r="U18" s="84">
        <v>3.7341657013804541E-2</v>
      </c>
    </row>
    <row r="19" spans="1:23" ht="14.45" x14ac:dyDescent="0.35">
      <c r="A19">
        <v>16</v>
      </c>
      <c r="B19" s="123">
        <v>7</v>
      </c>
      <c r="C19" s="37">
        <v>7</v>
      </c>
      <c r="D19" s="37">
        <v>2</v>
      </c>
      <c r="E19" s="37">
        <v>7</v>
      </c>
      <c r="F19" s="37">
        <v>6</v>
      </c>
      <c r="G19" s="37">
        <v>5</v>
      </c>
      <c r="H19" s="37">
        <v>1</v>
      </c>
      <c r="I19" s="37">
        <v>4</v>
      </c>
      <c r="J19" s="90">
        <v>7</v>
      </c>
      <c r="L19" t="str">
        <v>Caring</v>
      </c>
      <c r="M19" s="83">
        <v>-0.1052452402704131</v>
      </c>
      <c r="N19" s="37">
        <v>0.11666737388326598</v>
      </c>
      <c r="O19" s="37">
        <v>0.10626504883200415</v>
      </c>
      <c r="P19" s="37">
        <v>4.610935721914871E-2</v>
      </c>
      <c r="Q19" s="37">
        <v>0.28436745486873366</v>
      </c>
      <c r="R19" s="37">
        <v>1.0000000000000018</v>
      </c>
      <c r="S19" s="37">
        <v>0.10231072687883692</v>
      </c>
      <c r="T19" s="37">
        <v>0.19515460623774106</v>
      </c>
      <c r="U19" s="84">
        <v>-5.5294628532650346E-2</v>
      </c>
    </row>
    <row r="20" spans="1:23" ht="14.45" x14ac:dyDescent="0.35">
      <c r="A20">
        <v>17</v>
      </c>
      <c r="B20" s="123">
        <v>2</v>
      </c>
      <c r="C20" s="37">
        <v>8</v>
      </c>
      <c r="D20" s="37">
        <v>3</v>
      </c>
      <c r="E20" s="37">
        <v>2</v>
      </c>
      <c r="F20" s="37">
        <v>6</v>
      </c>
      <c r="G20" s="37">
        <v>7</v>
      </c>
      <c r="H20" s="37">
        <v>4</v>
      </c>
      <c r="I20" s="37">
        <v>5</v>
      </c>
      <c r="J20" s="90">
        <v>7</v>
      </c>
      <c r="L20" t="str">
        <v>Charisma</v>
      </c>
      <c r="M20" s="83">
        <v>-2.189090621599556E-2</v>
      </c>
      <c r="N20" s="37">
        <v>0.45068677465590851</v>
      </c>
      <c r="O20" s="37">
        <v>0.74875752234637871</v>
      </c>
      <c r="P20" s="37">
        <v>0.24731764508778434</v>
      </c>
      <c r="Q20" s="37">
        <v>0.34434258129116857</v>
      </c>
      <c r="R20" s="37">
        <v>0.10231072687883692</v>
      </c>
      <c r="S20" s="37">
        <v>1.0000000000000009</v>
      </c>
      <c r="T20" s="37">
        <v>0.43880478206893986</v>
      </c>
      <c r="U20" s="84">
        <v>0.10313209036584842</v>
      </c>
    </row>
    <row r="21" spans="1:23" ht="14.45" x14ac:dyDescent="0.35">
      <c r="A21">
        <v>18</v>
      </c>
      <c r="B21" s="123">
        <v>4</v>
      </c>
      <c r="C21" s="37">
        <v>8</v>
      </c>
      <c r="D21" s="37">
        <v>4</v>
      </c>
      <c r="E21" s="37">
        <v>2</v>
      </c>
      <c r="F21" s="37">
        <v>7</v>
      </c>
      <c r="G21" s="37">
        <v>8</v>
      </c>
      <c r="H21" s="37">
        <v>4</v>
      </c>
      <c r="I21" s="37">
        <v>5</v>
      </c>
      <c r="J21" s="90">
        <v>7</v>
      </c>
      <c r="L21" t="str">
        <v>Passion</v>
      </c>
      <c r="M21" s="83">
        <v>-0.12979427946395597</v>
      </c>
      <c r="N21" s="37">
        <v>0.37925969237500351</v>
      </c>
      <c r="O21" s="37">
        <v>0.3683592382753193</v>
      </c>
      <c r="P21" s="37">
        <v>0.25800736545459846</v>
      </c>
      <c r="Q21" s="37">
        <v>0.32646573442580362</v>
      </c>
      <c r="R21" s="37">
        <v>0.19515460623774106</v>
      </c>
      <c r="S21" s="37">
        <v>0.43880478206893986</v>
      </c>
      <c r="T21" s="37">
        <v>0.99999999999999967</v>
      </c>
      <c r="U21" s="84">
        <v>8.8479441977978163E-2</v>
      </c>
    </row>
    <row r="22" spans="1:23" ht="14.45" x14ac:dyDescent="0.35">
      <c r="A22">
        <v>19</v>
      </c>
      <c r="B22" s="123">
        <v>2</v>
      </c>
      <c r="C22" s="37">
        <v>8</v>
      </c>
      <c r="D22" s="37">
        <v>2</v>
      </c>
      <c r="E22" s="37">
        <v>3</v>
      </c>
      <c r="F22" s="37">
        <v>5</v>
      </c>
      <c r="G22" s="37">
        <v>4</v>
      </c>
      <c r="H22" s="37">
        <v>6</v>
      </c>
      <c r="I22" s="37">
        <v>4</v>
      </c>
      <c r="J22" s="90">
        <v>9</v>
      </c>
      <c r="L22" t="str">
        <v>Friendly</v>
      </c>
      <c r="M22" s="85">
        <v>-0.34401036690229408</v>
      </c>
      <c r="N22" s="86">
        <v>0.40086949354334672</v>
      </c>
      <c r="O22" s="86">
        <v>6.9273962356187456E-3</v>
      </c>
      <c r="P22" s="86">
        <v>0.18590615055713855</v>
      </c>
      <c r="Q22" s="86">
        <v>3.7341657013804541E-2</v>
      </c>
      <c r="R22" s="86">
        <v>-5.5294628532650346E-2</v>
      </c>
      <c r="S22" s="86">
        <v>0.10313209036584842</v>
      </c>
      <c r="T22" s="86">
        <v>8.8479441977978163E-2</v>
      </c>
      <c r="U22" s="87">
        <v>1.0000000000000009</v>
      </c>
    </row>
    <row r="23" spans="1:23" ht="14.45" x14ac:dyDescent="0.35">
      <c r="A23">
        <v>20</v>
      </c>
      <c r="B23" s="123">
        <v>3</v>
      </c>
      <c r="C23" s="37">
        <v>8</v>
      </c>
      <c r="D23" s="37">
        <v>6</v>
      </c>
      <c r="E23" s="37">
        <v>4</v>
      </c>
      <c r="F23" s="37">
        <v>9</v>
      </c>
      <c r="G23" s="37">
        <v>9</v>
      </c>
      <c r="H23" s="37">
        <v>8</v>
      </c>
      <c r="I23" s="37">
        <v>5</v>
      </c>
      <c r="J23" s="90">
        <v>7</v>
      </c>
      <c r="M23">
        <f>SUMSQ(M14:M22)-1</f>
        <v>0.22043963712278303</v>
      </c>
      <c r="N23">
        <f t="shared" ref="N23:U23" si="4">SUMSQ(N14:N22)-1</f>
        <v>0.81412629874662956</v>
      </c>
      <c r="O23">
        <f t="shared" si="4"/>
        <v>1.0189372576921238</v>
      </c>
      <c r="P23">
        <f t="shared" si="4"/>
        <v>0.2422223592317958</v>
      </c>
      <c r="Q23">
        <f t="shared" si="4"/>
        <v>0.50846198543078347</v>
      </c>
      <c r="R23">
        <f t="shared" si="4"/>
        <v>0.17058132065819831</v>
      </c>
      <c r="S23">
        <f t="shared" si="4"/>
        <v>1.1576267884213003</v>
      </c>
      <c r="T23">
        <f t="shared" si="4"/>
        <v>0.70798424280283645</v>
      </c>
      <c r="U23">
        <f t="shared" si="4"/>
        <v>0.3365653040325951</v>
      </c>
      <c r="V23">
        <f>SUM(M23:U23)</f>
        <v>5.1769451941390452</v>
      </c>
    </row>
    <row r="24" spans="1:23" ht="14.45" x14ac:dyDescent="0.35">
      <c r="A24">
        <v>21</v>
      </c>
      <c r="B24" s="123">
        <v>5</v>
      </c>
      <c r="C24" s="37">
        <v>9</v>
      </c>
      <c r="D24" s="37">
        <v>3</v>
      </c>
      <c r="E24" s="37">
        <v>5</v>
      </c>
      <c r="F24" s="37">
        <v>6</v>
      </c>
      <c r="G24" s="37">
        <v>3</v>
      </c>
      <c r="H24" s="37">
        <v>3</v>
      </c>
      <c r="I24" s="37">
        <v>6</v>
      </c>
      <c r="J24" s="90">
        <v>8</v>
      </c>
    </row>
    <row r="25" spans="1:23" ht="14.45" x14ac:dyDescent="0.35">
      <c r="A25">
        <v>22</v>
      </c>
      <c r="B25" s="123">
        <v>5</v>
      </c>
      <c r="C25" s="37">
        <v>8</v>
      </c>
      <c r="D25" s="37">
        <v>5</v>
      </c>
      <c r="E25" s="37">
        <v>3</v>
      </c>
      <c r="F25" s="37">
        <v>6</v>
      </c>
      <c r="G25" s="37">
        <v>4</v>
      </c>
      <c r="H25" s="37">
        <v>4</v>
      </c>
      <c r="I25" s="37">
        <v>3</v>
      </c>
      <c r="J25" s="90">
        <v>7</v>
      </c>
      <c r="L25" t="s">
        <v>498</v>
      </c>
    </row>
    <row r="26" spans="1:23" ht="14.45" x14ac:dyDescent="0.35">
      <c r="A26">
        <v>23</v>
      </c>
      <c r="B26" s="123">
        <v>4</v>
      </c>
      <c r="C26" s="37">
        <v>9</v>
      </c>
      <c r="D26" s="37">
        <v>4</v>
      </c>
      <c r="E26" s="37">
        <v>3</v>
      </c>
      <c r="F26" s="37">
        <v>7</v>
      </c>
      <c r="G26" s="37">
        <v>7</v>
      </c>
      <c r="H26" s="37">
        <v>7</v>
      </c>
      <c r="I26" s="37">
        <v>5</v>
      </c>
      <c r="J26" s="90">
        <v>7</v>
      </c>
    </row>
    <row r="27" spans="1:23" ht="14.45" x14ac:dyDescent="0.35">
      <c r="A27">
        <v>24</v>
      </c>
      <c r="B27" s="123">
        <v>4</v>
      </c>
      <c r="C27" s="37">
        <v>8</v>
      </c>
      <c r="D27" s="37">
        <v>3</v>
      </c>
      <c r="E27" s="37">
        <v>4</v>
      </c>
      <c r="F27" s="37">
        <v>6</v>
      </c>
      <c r="G27" s="37">
        <v>5</v>
      </c>
      <c r="H27" s="37">
        <v>7</v>
      </c>
      <c r="I27" s="37">
        <v>4</v>
      </c>
      <c r="J27" s="90">
        <v>8</v>
      </c>
      <c r="M27" t="str">
        <f t="array" ref="M27:U27">B3:J3</f>
        <v>Expect</v>
      </c>
      <c r="N27" t="str">
        <v>Entertain</v>
      </c>
      <c r="O27" t="str">
        <v>Comm</v>
      </c>
      <c r="P27" t="str">
        <v>Expert</v>
      </c>
      <c r="Q27" t="str">
        <v>Motivate</v>
      </c>
      <c r="R27" t="str">
        <v>Caring</v>
      </c>
      <c r="S27" t="str">
        <v>Charisma</v>
      </c>
      <c r="T27" t="str">
        <v>Passion</v>
      </c>
      <c r="U27" t="str">
        <v>Friendly</v>
      </c>
      <c r="W27" t="s">
        <v>499</v>
      </c>
    </row>
    <row r="28" spans="1:23" ht="14.45" x14ac:dyDescent="0.35">
      <c r="A28">
        <v>25</v>
      </c>
      <c r="B28" s="123">
        <v>2</v>
      </c>
      <c r="C28" s="37">
        <v>8</v>
      </c>
      <c r="D28" s="37">
        <v>2</v>
      </c>
      <c r="E28" s="37">
        <v>5</v>
      </c>
      <c r="F28" s="37">
        <v>6</v>
      </c>
      <c r="G28" s="37">
        <v>8</v>
      </c>
      <c r="H28" s="37">
        <v>4</v>
      </c>
      <c r="I28" s="37">
        <v>5</v>
      </c>
      <c r="J28" s="90">
        <v>8</v>
      </c>
      <c r="L28" t="str">
        <f t="array" ref="L28:L36">TRANSPOSE(B3:J3)</f>
        <v>Expect</v>
      </c>
      <c r="M28" s="203">
        <f t="array" ref="M28:U36">MINVERSE(M14:U22)</f>
        <v>1.286264778805037</v>
      </c>
      <c r="N28" s="204">
        <v>-2.2988566810562866E-3</v>
      </c>
      <c r="O28" s="204">
        <v>-0.26283115472222746</v>
      </c>
      <c r="P28" s="204">
        <v>-0.31554543843253663</v>
      </c>
      <c r="Q28" s="204">
        <v>0.18513144145075158</v>
      </c>
      <c r="R28" s="204">
        <v>0.1066790493085548</v>
      </c>
      <c r="S28" s="204">
        <v>0.10220522181390651</v>
      </c>
      <c r="T28" s="204">
        <v>0.17777486299581205</v>
      </c>
      <c r="U28" s="205">
        <v>0.47660813810741892</v>
      </c>
      <c r="W28" s="206">
        <f t="array" ref="W28:W36">SQRT([1]!DIAG(M28:U36))</f>
        <v>1.1341361376858763</v>
      </c>
    </row>
    <row r="29" spans="1:23" ht="14.45" x14ac:dyDescent="0.35">
      <c r="A29">
        <v>26</v>
      </c>
      <c r="B29" s="123">
        <v>4</v>
      </c>
      <c r="C29" s="37">
        <v>8</v>
      </c>
      <c r="D29" s="37">
        <v>6</v>
      </c>
      <c r="E29" s="37">
        <v>5</v>
      </c>
      <c r="F29" s="37">
        <v>8</v>
      </c>
      <c r="G29" s="37">
        <v>7</v>
      </c>
      <c r="H29" s="37">
        <v>9</v>
      </c>
      <c r="I29" s="37">
        <v>6</v>
      </c>
      <c r="J29" s="90">
        <v>7</v>
      </c>
      <c r="L29" t="str">
        <v>Entertain</v>
      </c>
      <c r="M29" s="83">
        <v>-2.2988566810562472E-3</v>
      </c>
      <c r="N29" s="37">
        <v>1.7535779957431996</v>
      </c>
      <c r="O29" s="37">
        <v>-0.48271020356459532</v>
      </c>
      <c r="P29" s="37">
        <v>0.29008922936116777</v>
      </c>
      <c r="Q29" s="37">
        <v>-0.10275190461535938</v>
      </c>
      <c r="R29" s="37">
        <v>-8.4674990614936052E-2</v>
      </c>
      <c r="S29" s="37">
        <v>-0.23131630923176738</v>
      </c>
      <c r="T29" s="37">
        <v>-0.34884591795130793</v>
      </c>
      <c r="U29" s="84">
        <v>-0.70045551978317655</v>
      </c>
      <c r="W29" s="98">
        <v>1.3242273202676342</v>
      </c>
    </row>
    <row r="30" spans="1:23" ht="14.45" x14ac:dyDescent="0.35">
      <c r="A30">
        <v>27</v>
      </c>
      <c r="B30" s="123">
        <v>2</v>
      </c>
      <c r="C30" s="37">
        <v>8</v>
      </c>
      <c r="D30" s="37">
        <v>3</v>
      </c>
      <c r="E30" s="37">
        <v>3</v>
      </c>
      <c r="F30" s="37">
        <v>7</v>
      </c>
      <c r="G30" s="37">
        <v>5</v>
      </c>
      <c r="H30" s="37">
        <v>5</v>
      </c>
      <c r="I30" s="37">
        <v>5</v>
      </c>
      <c r="J30" s="90">
        <v>7</v>
      </c>
      <c r="L30" t="str">
        <v>Comm</v>
      </c>
      <c r="M30" s="83">
        <v>-0.2628311547222274</v>
      </c>
      <c r="N30" s="37">
        <v>-0.48271020356459521</v>
      </c>
      <c r="O30" s="37">
        <v>2.5101944742139133</v>
      </c>
      <c r="P30" s="37">
        <v>6.5761730864781084E-2</v>
      </c>
      <c r="Q30" s="37">
        <v>-6.3049251939945081E-2</v>
      </c>
      <c r="R30" s="37">
        <v>-2.7723995073408184E-2</v>
      </c>
      <c r="S30" s="37">
        <v>-1.6584964436859573</v>
      </c>
      <c r="T30" s="37">
        <v>-6.1097423397641348E-2</v>
      </c>
      <c r="U30" s="84">
        <v>0.25074397743347854</v>
      </c>
      <c r="W30" s="98">
        <v>1.5843593261043762</v>
      </c>
    </row>
    <row r="31" spans="1:23" ht="14.45" x14ac:dyDescent="0.35">
      <c r="A31">
        <v>28</v>
      </c>
      <c r="B31" s="123">
        <v>2</v>
      </c>
      <c r="C31" s="37">
        <v>8</v>
      </c>
      <c r="D31" s="37">
        <v>1</v>
      </c>
      <c r="E31" s="37">
        <v>5</v>
      </c>
      <c r="F31" s="37">
        <v>6</v>
      </c>
      <c r="G31" s="37">
        <v>8</v>
      </c>
      <c r="H31" s="37">
        <v>7</v>
      </c>
      <c r="I31" s="37">
        <v>4</v>
      </c>
      <c r="J31" s="90">
        <v>8</v>
      </c>
      <c r="L31" t="str">
        <v>Expert</v>
      </c>
      <c r="M31" s="83">
        <v>-0.31554543843253657</v>
      </c>
      <c r="N31" s="37">
        <v>0.29008922936116777</v>
      </c>
      <c r="O31" s="37">
        <v>6.5761730864781126E-2</v>
      </c>
      <c r="P31" s="37">
        <v>1.26417078448905</v>
      </c>
      <c r="Q31" s="37">
        <v>-0.17405972839978645</v>
      </c>
      <c r="R31" s="37">
        <v>-2.154762970191491E-2</v>
      </c>
      <c r="S31" s="37">
        <v>-0.27040432609499265</v>
      </c>
      <c r="T31" s="37">
        <v>-0.2861291060471825</v>
      </c>
      <c r="U31" s="84">
        <v>-0.40179938873535875</v>
      </c>
      <c r="W31" s="98">
        <v>1.1243534962319679</v>
      </c>
    </row>
    <row r="32" spans="1:23" x14ac:dyDescent="0.25">
      <c r="A32">
        <v>29</v>
      </c>
      <c r="B32" s="123">
        <v>5</v>
      </c>
      <c r="C32" s="37">
        <v>8</v>
      </c>
      <c r="D32" s="37">
        <v>3</v>
      </c>
      <c r="E32" s="37">
        <v>4</v>
      </c>
      <c r="F32" s="37">
        <v>7</v>
      </c>
      <c r="G32" s="37">
        <v>7</v>
      </c>
      <c r="H32" s="37">
        <v>1</v>
      </c>
      <c r="I32" s="37">
        <v>5</v>
      </c>
      <c r="J32" s="90">
        <v>7</v>
      </c>
      <c r="L32" t="str">
        <v>Motivate</v>
      </c>
      <c r="M32" s="83">
        <v>0.18513144145075167</v>
      </c>
      <c r="N32" s="37">
        <v>-0.10275190461535937</v>
      </c>
      <c r="O32" s="37">
        <v>-6.3049251939945275E-2</v>
      </c>
      <c r="P32" s="37">
        <v>-0.17405972839978653</v>
      </c>
      <c r="Q32" s="37">
        <v>1.3031191024025841</v>
      </c>
      <c r="R32" s="37">
        <v>-0.2652181660383473</v>
      </c>
      <c r="S32" s="37">
        <v>-0.22501603613813564</v>
      </c>
      <c r="T32" s="37">
        <v>-0.15362912326167955</v>
      </c>
      <c r="U32" s="84">
        <v>0.11114640701603698</v>
      </c>
      <c r="W32" s="98">
        <v>1.1415424225155122</v>
      </c>
    </row>
    <row r="33" spans="1:23" x14ac:dyDescent="0.25">
      <c r="A33">
        <v>30</v>
      </c>
      <c r="B33" s="123">
        <v>2</v>
      </c>
      <c r="C33" s="37">
        <v>8</v>
      </c>
      <c r="D33" s="37">
        <v>2</v>
      </c>
      <c r="E33" s="37">
        <v>4</v>
      </c>
      <c r="F33" s="37">
        <v>6</v>
      </c>
      <c r="G33" s="37">
        <v>5</v>
      </c>
      <c r="H33" s="37">
        <v>5</v>
      </c>
      <c r="I33" s="37">
        <v>5</v>
      </c>
      <c r="J33" s="90">
        <v>8</v>
      </c>
      <c r="L33" t="str">
        <v>Caring</v>
      </c>
      <c r="M33" s="83">
        <v>0.10667904930855475</v>
      </c>
      <c r="N33" s="37">
        <v>-8.467499061493608E-2</v>
      </c>
      <c r="O33" s="37">
        <v>-2.7723995073408135E-2</v>
      </c>
      <c r="P33" s="37">
        <v>-2.1547629701914914E-2</v>
      </c>
      <c r="Q33" s="37">
        <v>-0.26521816603834736</v>
      </c>
      <c r="R33" s="37">
        <v>1.1238156967035202</v>
      </c>
      <c r="S33" s="37">
        <v>7.987305324240028E-2</v>
      </c>
      <c r="T33" s="37">
        <v>-0.11925087888368882</v>
      </c>
      <c r="U33" s="84">
        <v>0.1491986450402801</v>
      </c>
      <c r="W33" s="98">
        <v>1.0601017388456262</v>
      </c>
    </row>
    <row r="34" spans="1:23" x14ac:dyDescent="0.25">
      <c r="A34">
        <v>31</v>
      </c>
      <c r="B34" s="123">
        <v>6</v>
      </c>
      <c r="C34" s="37">
        <v>8</v>
      </c>
      <c r="D34" s="37">
        <v>3</v>
      </c>
      <c r="E34" s="37">
        <v>1</v>
      </c>
      <c r="F34" s="37">
        <v>6</v>
      </c>
      <c r="G34" s="37">
        <v>8</v>
      </c>
      <c r="H34" s="37">
        <v>4</v>
      </c>
      <c r="I34" s="37">
        <v>4</v>
      </c>
      <c r="J34" s="90">
        <v>6</v>
      </c>
      <c r="L34" t="str">
        <v>Charisma</v>
      </c>
      <c r="M34" s="83">
        <v>0.10220522181390655</v>
      </c>
      <c r="N34" s="37">
        <v>-0.23131630923176719</v>
      </c>
      <c r="O34" s="37">
        <v>-1.6584964436859573</v>
      </c>
      <c r="P34" s="37">
        <v>-0.27040432609499271</v>
      </c>
      <c r="Q34" s="37">
        <v>-0.22501603613813578</v>
      </c>
      <c r="R34" s="37">
        <v>7.9873053242400308E-2</v>
      </c>
      <c r="S34" s="37">
        <v>2.6239560750183957</v>
      </c>
      <c r="T34" s="37">
        <v>-0.30823189765931713</v>
      </c>
      <c r="U34" s="84">
        <v>-4.0876669322539645E-2</v>
      </c>
      <c r="W34" s="98">
        <v>1.6198629803222233</v>
      </c>
    </row>
    <row r="35" spans="1:23" x14ac:dyDescent="0.25">
      <c r="A35">
        <v>32</v>
      </c>
      <c r="B35" s="123">
        <v>2</v>
      </c>
      <c r="C35" s="37">
        <v>8</v>
      </c>
      <c r="D35" s="37">
        <v>1</v>
      </c>
      <c r="E35" s="37">
        <v>3</v>
      </c>
      <c r="F35" s="37">
        <v>7</v>
      </c>
      <c r="G35" s="37">
        <v>7</v>
      </c>
      <c r="H35" s="37">
        <v>4</v>
      </c>
      <c r="I35" s="37">
        <v>6</v>
      </c>
      <c r="J35" s="90">
        <v>7</v>
      </c>
      <c r="L35" t="str">
        <v>Passion</v>
      </c>
      <c r="M35" s="83">
        <v>0.17777486299581202</v>
      </c>
      <c r="N35" s="37">
        <v>-0.34884591795130798</v>
      </c>
      <c r="O35" s="37">
        <v>-6.1097423397641473E-2</v>
      </c>
      <c r="P35" s="37">
        <v>-0.28612910604718256</v>
      </c>
      <c r="Q35" s="37">
        <v>-0.15362912326167955</v>
      </c>
      <c r="R35" s="37">
        <v>-0.11925087888368885</v>
      </c>
      <c r="S35" s="37">
        <v>-0.30823189765931708</v>
      </c>
      <c r="T35" s="37">
        <v>1.4464459260990281</v>
      </c>
      <c r="U35" s="84">
        <v>0.157565193536016</v>
      </c>
      <c r="W35" s="98">
        <v>1.2026828036099244</v>
      </c>
    </row>
    <row r="36" spans="1:23" x14ac:dyDescent="0.25">
      <c r="A36">
        <v>33</v>
      </c>
      <c r="B36" s="123">
        <v>4</v>
      </c>
      <c r="C36" s="37">
        <v>8</v>
      </c>
      <c r="D36" s="37">
        <v>2</v>
      </c>
      <c r="E36" s="37">
        <v>4</v>
      </c>
      <c r="F36" s="37">
        <v>6</v>
      </c>
      <c r="G36" s="37">
        <v>6</v>
      </c>
      <c r="H36" s="37">
        <v>1</v>
      </c>
      <c r="I36" s="37">
        <v>4</v>
      </c>
      <c r="J36" s="90">
        <v>6</v>
      </c>
      <c r="L36" t="str">
        <v>Friendly</v>
      </c>
      <c r="M36" s="85">
        <v>0.47660813810741898</v>
      </c>
      <c r="N36" s="86">
        <v>-0.70045551978317644</v>
      </c>
      <c r="O36" s="86">
        <v>0.25074397743347843</v>
      </c>
      <c r="P36" s="86">
        <v>-0.40179938873535881</v>
      </c>
      <c r="Q36" s="86">
        <v>0.11114640701603695</v>
      </c>
      <c r="R36" s="86">
        <v>0.14919864504028013</v>
      </c>
      <c r="S36" s="86">
        <v>-4.0876669322539583E-2</v>
      </c>
      <c r="T36" s="86">
        <v>0.15756519353601603</v>
      </c>
      <c r="U36" s="87">
        <v>1.5120832732958756</v>
      </c>
      <c r="W36" s="99">
        <v>1.2296679524554079</v>
      </c>
    </row>
    <row r="37" spans="1:23" x14ac:dyDescent="0.25">
      <c r="A37">
        <v>34</v>
      </c>
      <c r="B37" s="123">
        <v>3</v>
      </c>
      <c r="C37" s="37">
        <v>9</v>
      </c>
      <c r="D37" s="37">
        <v>6</v>
      </c>
      <c r="E37" s="37">
        <v>3</v>
      </c>
      <c r="F37" s="37">
        <v>6</v>
      </c>
      <c r="G37" s="37">
        <v>5</v>
      </c>
      <c r="H37" s="37">
        <v>9</v>
      </c>
      <c r="I37" s="37">
        <v>5</v>
      </c>
      <c r="J37" s="90">
        <v>8</v>
      </c>
    </row>
    <row r="38" spans="1:23" x14ac:dyDescent="0.25">
      <c r="A38">
        <v>35</v>
      </c>
      <c r="B38" s="123">
        <v>2</v>
      </c>
      <c r="C38" s="37">
        <v>8</v>
      </c>
      <c r="D38" s="37">
        <v>2</v>
      </c>
      <c r="E38" s="37">
        <v>3</v>
      </c>
      <c r="F38" s="37">
        <v>8</v>
      </c>
      <c r="G38" s="37">
        <v>9</v>
      </c>
      <c r="H38" s="37">
        <v>3</v>
      </c>
      <c r="I38" s="37">
        <v>5</v>
      </c>
      <c r="J38" s="90">
        <v>7</v>
      </c>
      <c r="L38" t="s">
        <v>500</v>
      </c>
    </row>
    <row r="39" spans="1:23" x14ac:dyDescent="0.25">
      <c r="A39">
        <v>36</v>
      </c>
      <c r="B39" s="123">
        <v>2</v>
      </c>
      <c r="C39" s="37">
        <v>8</v>
      </c>
      <c r="D39" s="37">
        <v>2</v>
      </c>
      <c r="E39" s="37">
        <v>3</v>
      </c>
      <c r="F39" s="37">
        <v>6</v>
      </c>
      <c r="G39" s="37">
        <v>5</v>
      </c>
      <c r="H39" s="37">
        <v>3</v>
      </c>
      <c r="I39" s="37">
        <v>5</v>
      </c>
      <c r="J39" s="90">
        <v>7</v>
      </c>
    </row>
    <row r="40" spans="1:23" x14ac:dyDescent="0.25">
      <c r="A40">
        <v>37</v>
      </c>
      <c r="B40" s="123">
        <v>2</v>
      </c>
      <c r="C40" s="37">
        <v>8</v>
      </c>
      <c r="D40" s="37">
        <v>4</v>
      </c>
      <c r="E40" s="37">
        <v>2</v>
      </c>
      <c r="F40" s="37">
        <v>7</v>
      </c>
      <c r="G40" s="37">
        <v>7</v>
      </c>
      <c r="H40" s="37">
        <v>5</v>
      </c>
      <c r="I40" s="37">
        <v>5</v>
      </c>
      <c r="J40" s="90">
        <v>7</v>
      </c>
      <c r="M40" t="str">
        <f t="array" ref="M40:U40">B3:J3</f>
        <v>Expect</v>
      </c>
      <c r="N40" t="str">
        <v>Entertain</v>
      </c>
      <c r="O40" t="str">
        <v>Comm</v>
      </c>
      <c r="P40" t="str">
        <v>Expert</v>
      </c>
      <c r="Q40" t="str">
        <v>Motivate</v>
      </c>
      <c r="R40" t="str">
        <v>Caring</v>
      </c>
      <c r="S40" t="str">
        <v>Charisma</v>
      </c>
      <c r="T40" t="str">
        <v>Passion</v>
      </c>
      <c r="U40" t="str">
        <v>Friendly</v>
      </c>
    </row>
    <row r="41" spans="1:23" x14ac:dyDescent="0.25">
      <c r="A41">
        <v>38</v>
      </c>
      <c r="B41" s="123">
        <v>5</v>
      </c>
      <c r="C41" s="37">
        <v>8</v>
      </c>
      <c r="D41" s="37">
        <v>5</v>
      </c>
      <c r="E41" s="37">
        <v>4</v>
      </c>
      <c r="F41" s="37">
        <v>7</v>
      </c>
      <c r="G41" s="37">
        <v>7</v>
      </c>
      <c r="H41" s="37">
        <v>7</v>
      </c>
      <c r="I41" s="37">
        <v>4</v>
      </c>
      <c r="J41" s="90">
        <v>7</v>
      </c>
      <c r="L41" t="str">
        <f t="array" ref="L41:L49">TRANSPOSE(B3:J3)</f>
        <v>Expect</v>
      </c>
      <c r="M41" s="203">
        <f t="array" ref="M41:U49">-M28:U36/MMULT(W28:W36,TRANSPOSE(W28:W36))+2*[1]!IDENTITY()</f>
        <v>1</v>
      </c>
      <c r="N41" s="204">
        <v>1.53067914166366E-3</v>
      </c>
      <c r="O41" s="204">
        <v>0.14627091213270429</v>
      </c>
      <c r="P41" s="204">
        <v>0.24745363783327509</v>
      </c>
      <c r="Q41" s="204">
        <v>-0.14299568686551481</v>
      </c>
      <c r="R41" s="204">
        <v>-8.872916632149204E-2</v>
      </c>
      <c r="S41" s="204">
        <v>-5.5632633133580092E-2</v>
      </c>
      <c r="T41" s="204">
        <v>-0.13033290111535403</v>
      </c>
      <c r="U41" s="205">
        <v>-0.34174991104256275</v>
      </c>
    </row>
    <row r="42" spans="1:23" x14ac:dyDescent="0.25">
      <c r="A42">
        <v>39</v>
      </c>
      <c r="B42" s="123">
        <v>1</v>
      </c>
      <c r="C42" s="37">
        <v>8</v>
      </c>
      <c r="D42" s="37">
        <v>3</v>
      </c>
      <c r="E42" s="37">
        <v>2</v>
      </c>
      <c r="F42" s="37">
        <v>7</v>
      </c>
      <c r="G42" s="37">
        <v>8</v>
      </c>
      <c r="H42" s="37">
        <v>4</v>
      </c>
      <c r="I42" s="37">
        <v>5</v>
      </c>
      <c r="J42" s="90">
        <v>8</v>
      </c>
      <c r="L42" t="str">
        <v>Entertain</v>
      </c>
      <c r="M42" s="83">
        <v>1.5306791416636336E-3</v>
      </c>
      <c r="N42" s="37">
        <v>1</v>
      </c>
      <c r="O42" s="37">
        <v>0.23007543448860512</v>
      </c>
      <c r="P42" s="37">
        <v>-0.19483464565442801</v>
      </c>
      <c r="Q42" s="37">
        <v>6.7972818998370307E-2</v>
      </c>
      <c r="R42" s="37">
        <v>6.0317740804007251E-2</v>
      </c>
      <c r="S42" s="37">
        <v>0.10783641225608949</v>
      </c>
      <c r="T42" s="37">
        <v>0.21903826990456729</v>
      </c>
      <c r="U42" s="84">
        <v>0.43016013895883903</v>
      </c>
    </row>
    <row r="43" spans="1:23" x14ac:dyDescent="0.25">
      <c r="A43">
        <v>40</v>
      </c>
      <c r="B43" s="123">
        <v>6</v>
      </c>
      <c r="C43" s="37">
        <v>8</v>
      </c>
      <c r="D43" s="37">
        <v>3</v>
      </c>
      <c r="E43" s="37">
        <v>3</v>
      </c>
      <c r="F43" s="37">
        <v>4</v>
      </c>
      <c r="G43" s="37">
        <v>6</v>
      </c>
      <c r="H43" s="37">
        <v>5</v>
      </c>
      <c r="I43" s="37">
        <v>5</v>
      </c>
      <c r="J43" s="90">
        <v>7</v>
      </c>
      <c r="L43" t="str">
        <v>Comm</v>
      </c>
      <c r="M43" s="83">
        <v>0.14627091213270427</v>
      </c>
      <c r="N43" s="37">
        <v>0.23007543448860507</v>
      </c>
      <c r="O43" s="37">
        <v>1</v>
      </c>
      <c r="P43" s="37">
        <v>-3.6916173303528914E-2</v>
      </c>
      <c r="Q43" s="37">
        <v>3.4860547048718049E-2</v>
      </c>
      <c r="R43" s="37">
        <v>1.6506484238149401E-2</v>
      </c>
      <c r="S43" s="37">
        <v>0.64622325077528375</v>
      </c>
      <c r="T43" s="37">
        <v>3.2064030253751298E-2</v>
      </c>
      <c r="U43" s="84">
        <v>-0.12870308924887999</v>
      </c>
    </row>
    <row r="44" spans="1:23" x14ac:dyDescent="0.25">
      <c r="A44">
        <v>41</v>
      </c>
      <c r="B44" s="123">
        <v>4</v>
      </c>
      <c r="C44" s="37">
        <v>8</v>
      </c>
      <c r="D44" s="37">
        <v>3</v>
      </c>
      <c r="E44" s="37">
        <v>3</v>
      </c>
      <c r="F44" s="37">
        <v>9</v>
      </c>
      <c r="G44" s="37">
        <v>6</v>
      </c>
      <c r="H44" s="37">
        <v>4</v>
      </c>
      <c r="I44" s="37">
        <v>4</v>
      </c>
      <c r="J44" s="90">
        <v>7</v>
      </c>
      <c r="L44" t="str">
        <v>Expert</v>
      </c>
      <c r="M44" s="83">
        <v>0.24745363783327504</v>
      </c>
      <c r="N44" s="37">
        <v>-0.19483464565442801</v>
      </c>
      <c r="O44" s="37">
        <v>-3.6916173303528935E-2</v>
      </c>
      <c r="P44" s="37">
        <v>1</v>
      </c>
      <c r="Q44" s="37">
        <v>0.13561363945414798</v>
      </c>
      <c r="R44" s="37">
        <v>1.8077945883194679E-2</v>
      </c>
      <c r="S44" s="37">
        <v>0.14846787083780399</v>
      </c>
      <c r="T44" s="37">
        <v>0.21159629643773292</v>
      </c>
      <c r="U44" s="84">
        <v>0.29061534521487786</v>
      </c>
    </row>
    <row r="45" spans="1:23" x14ac:dyDescent="0.25">
      <c r="A45">
        <v>42</v>
      </c>
      <c r="B45" s="123">
        <v>4</v>
      </c>
      <c r="C45" s="37">
        <v>8</v>
      </c>
      <c r="D45" s="37">
        <v>2</v>
      </c>
      <c r="E45" s="37">
        <v>3</v>
      </c>
      <c r="F45" s="37">
        <v>8</v>
      </c>
      <c r="G45" s="37">
        <v>5</v>
      </c>
      <c r="H45" s="37">
        <v>5</v>
      </c>
      <c r="I45" s="37">
        <v>5</v>
      </c>
      <c r="J45" s="90">
        <v>7</v>
      </c>
      <c r="L45" t="str">
        <v>Motivate</v>
      </c>
      <c r="M45" s="83">
        <v>-0.14299568686551486</v>
      </c>
      <c r="N45" s="37">
        <v>6.7972818998370294E-2</v>
      </c>
      <c r="O45" s="37">
        <v>3.486054704871816E-2</v>
      </c>
      <c r="P45" s="37">
        <v>0.13561363945414806</v>
      </c>
      <c r="Q45" s="37">
        <v>1</v>
      </c>
      <c r="R45" s="37">
        <v>0.21916119771145781</v>
      </c>
      <c r="S45" s="37">
        <v>0.12168670568839408</v>
      </c>
      <c r="T45" s="37">
        <v>0.11190007953664212</v>
      </c>
      <c r="U45" s="84">
        <v>-7.9180003717641875E-2</v>
      </c>
    </row>
    <row r="46" spans="1:23" x14ac:dyDescent="0.25">
      <c r="A46">
        <v>43</v>
      </c>
      <c r="B46" s="123">
        <v>3</v>
      </c>
      <c r="C46" s="37">
        <v>9</v>
      </c>
      <c r="D46" s="37">
        <v>7</v>
      </c>
      <c r="E46" s="37">
        <v>4</v>
      </c>
      <c r="F46" s="37">
        <v>8</v>
      </c>
      <c r="G46" s="37">
        <v>6</v>
      </c>
      <c r="H46" s="37">
        <v>10</v>
      </c>
      <c r="I46" s="37">
        <v>6</v>
      </c>
      <c r="J46" s="90">
        <v>8</v>
      </c>
      <c r="L46" t="str">
        <v>Caring</v>
      </c>
      <c r="M46" s="83">
        <v>-8.8729166321491998E-2</v>
      </c>
      <c r="N46" s="37">
        <v>6.0317740804007272E-2</v>
      </c>
      <c r="O46" s="37">
        <v>1.650648423814937E-2</v>
      </c>
      <c r="P46" s="37">
        <v>1.8077945883194682E-2</v>
      </c>
      <c r="Q46" s="37">
        <v>0.21916119771145784</v>
      </c>
      <c r="R46" s="37">
        <v>1</v>
      </c>
      <c r="S46" s="37">
        <v>-4.6513011500561724E-2</v>
      </c>
      <c r="T46" s="37">
        <v>9.3532585649153885E-2</v>
      </c>
      <c r="U46" s="84">
        <v>-0.11445360530997695</v>
      </c>
    </row>
    <row r="47" spans="1:23" x14ac:dyDescent="0.25">
      <c r="A47">
        <v>44</v>
      </c>
      <c r="B47" s="123">
        <v>2</v>
      </c>
      <c r="C47" s="37">
        <v>9</v>
      </c>
      <c r="D47" s="37">
        <v>3</v>
      </c>
      <c r="E47" s="37">
        <v>4</v>
      </c>
      <c r="F47" s="37">
        <v>8</v>
      </c>
      <c r="G47" s="37">
        <v>8</v>
      </c>
      <c r="H47" s="37">
        <v>6</v>
      </c>
      <c r="I47" s="37">
        <v>7</v>
      </c>
      <c r="J47" s="90">
        <v>8</v>
      </c>
      <c r="L47" t="str">
        <v>Charisma</v>
      </c>
      <c r="M47" s="83">
        <v>-5.563263313358012E-2</v>
      </c>
      <c r="N47" s="37">
        <v>0.10783641225608941</v>
      </c>
      <c r="O47" s="37">
        <v>0.64622325077528375</v>
      </c>
      <c r="P47" s="37">
        <v>0.14846787083780402</v>
      </c>
      <c r="Q47" s="37">
        <v>0.12168670568839415</v>
      </c>
      <c r="R47" s="37">
        <v>-4.6513011500561745E-2</v>
      </c>
      <c r="S47" s="37">
        <v>1</v>
      </c>
      <c r="T47" s="37">
        <v>0.15821519775784637</v>
      </c>
      <c r="U47" s="84">
        <v>2.0521512514576307E-2</v>
      </c>
    </row>
    <row r="48" spans="1:23" x14ac:dyDescent="0.25">
      <c r="A48">
        <v>45</v>
      </c>
      <c r="B48" s="123">
        <v>5</v>
      </c>
      <c r="C48" s="37">
        <v>8</v>
      </c>
      <c r="D48" s="37">
        <v>1</v>
      </c>
      <c r="E48" s="37">
        <v>4</v>
      </c>
      <c r="F48" s="37">
        <v>7</v>
      </c>
      <c r="G48" s="37">
        <v>7</v>
      </c>
      <c r="H48" s="37">
        <v>1</v>
      </c>
      <c r="I48" s="37">
        <v>4</v>
      </c>
      <c r="J48" s="90">
        <v>8</v>
      </c>
      <c r="L48" t="str">
        <v>Passion</v>
      </c>
      <c r="M48" s="83">
        <v>-0.13033290111535401</v>
      </c>
      <c r="N48" s="37">
        <v>0.21903826990456732</v>
      </c>
      <c r="O48" s="37">
        <v>3.2064030253751367E-2</v>
      </c>
      <c r="P48" s="37">
        <v>0.21159629643773295</v>
      </c>
      <c r="Q48" s="37">
        <v>0.11190007953664212</v>
      </c>
      <c r="R48" s="37">
        <v>9.3532585649153899E-2</v>
      </c>
      <c r="S48" s="37">
        <v>0.15821519775784632</v>
      </c>
      <c r="T48" s="37">
        <v>1</v>
      </c>
      <c r="U48" s="84">
        <v>-0.10654211928081929</v>
      </c>
    </row>
    <row r="49" spans="1:22" x14ac:dyDescent="0.25">
      <c r="A49">
        <v>46</v>
      </c>
      <c r="B49" s="123">
        <v>5</v>
      </c>
      <c r="C49" s="37">
        <v>8</v>
      </c>
      <c r="D49" s="37">
        <v>2</v>
      </c>
      <c r="E49" s="37">
        <v>3</v>
      </c>
      <c r="F49" s="37">
        <v>6</v>
      </c>
      <c r="G49" s="37">
        <v>7</v>
      </c>
      <c r="H49" s="37">
        <v>4</v>
      </c>
      <c r="I49" s="37">
        <v>4</v>
      </c>
      <c r="J49" s="90">
        <v>8</v>
      </c>
      <c r="L49" t="str">
        <v>Friendly</v>
      </c>
      <c r="M49" s="85">
        <v>-0.3417499110425628</v>
      </c>
      <c r="N49" s="86">
        <v>0.43016013895883898</v>
      </c>
      <c r="O49" s="86">
        <v>-0.12870308924887994</v>
      </c>
      <c r="P49" s="86">
        <v>0.29061534521487792</v>
      </c>
      <c r="Q49" s="86">
        <v>-7.9180003717641861E-2</v>
      </c>
      <c r="R49" s="86">
        <v>-0.11445360530997696</v>
      </c>
      <c r="S49" s="86">
        <v>2.0521512514576276E-2</v>
      </c>
      <c r="T49" s="86">
        <v>-0.1065421192808193</v>
      </c>
      <c r="U49" s="87">
        <v>0.99999999999999978</v>
      </c>
    </row>
    <row r="50" spans="1:22" x14ac:dyDescent="0.25">
      <c r="A50">
        <v>47</v>
      </c>
      <c r="B50" s="123">
        <v>3</v>
      </c>
      <c r="C50" s="37">
        <v>8</v>
      </c>
      <c r="D50" s="37">
        <v>1</v>
      </c>
      <c r="E50" s="37">
        <v>3</v>
      </c>
      <c r="F50" s="37">
        <v>5</v>
      </c>
      <c r="G50" s="37">
        <v>5</v>
      </c>
      <c r="H50" s="37">
        <v>1</v>
      </c>
      <c r="I50" s="37">
        <v>5</v>
      </c>
      <c r="J50" s="90">
        <v>7</v>
      </c>
      <c r="M50">
        <f>SUMSQ(M41:M49)-1</f>
        <v>0.2478261136900568</v>
      </c>
      <c r="N50">
        <f t="shared" ref="N50:U50" si="5">SUMSQ(N41:N49)-1</f>
        <v>0.34380032229946522</v>
      </c>
      <c r="O50">
        <f t="shared" si="5"/>
        <v>0.51237748796596416</v>
      </c>
      <c r="P50">
        <f t="shared" si="5"/>
        <v>0.27054749742057815</v>
      </c>
      <c r="Q50">
        <f t="shared" si="5"/>
        <v>0.12630477324390843</v>
      </c>
      <c r="R50">
        <f t="shared" si="5"/>
        <v>8.4153434128906968E-2</v>
      </c>
      <c r="S50">
        <f t="shared" si="5"/>
        <v>0.49679517604891243</v>
      </c>
      <c r="T50">
        <f t="shared" si="5"/>
        <v>0.16841876785913512</v>
      </c>
      <c r="U50">
        <f t="shared" si="5"/>
        <v>0.43399396731716644</v>
      </c>
      <c r="V50">
        <f>SUM(M50:U50)</f>
        <v>2.6842175399740937</v>
      </c>
    </row>
    <row r="51" spans="1:22" x14ac:dyDescent="0.25">
      <c r="A51">
        <v>48</v>
      </c>
      <c r="B51" s="123">
        <v>4</v>
      </c>
      <c r="C51" s="37">
        <v>9</v>
      </c>
      <c r="D51" s="37">
        <v>6</v>
      </c>
      <c r="E51" s="37">
        <v>3</v>
      </c>
      <c r="F51" s="37">
        <v>6</v>
      </c>
      <c r="G51" s="37">
        <v>4</v>
      </c>
      <c r="H51" s="37">
        <v>8</v>
      </c>
      <c r="I51" s="37">
        <v>5</v>
      </c>
      <c r="J51" s="90">
        <v>8</v>
      </c>
    </row>
    <row r="52" spans="1:22" x14ac:dyDescent="0.25">
      <c r="A52">
        <v>49</v>
      </c>
      <c r="B52" s="123">
        <v>3</v>
      </c>
      <c r="C52" s="37">
        <v>9</v>
      </c>
      <c r="D52" s="37">
        <v>4</v>
      </c>
      <c r="E52" s="37">
        <v>2</v>
      </c>
      <c r="F52" s="37">
        <v>7</v>
      </c>
      <c r="G52" s="37">
        <v>7</v>
      </c>
      <c r="H52" s="37">
        <v>2</v>
      </c>
      <c r="I52" s="37">
        <v>3</v>
      </c>
      <c r="J52" s="90">
        <v>8</v>
      </c>
      <c r="L52" t="s">
        <v>471</v>
      </c>
    </row>
    <row r="53" spans="1:22" x14ac:dyDescent="0.25">
      <c r="A53">
        <v>50</v>
      </c>
      <c r="B53" s="123">
        <v>3</v>
      </c>
      <c r="C53" s="37">
        <v>8</v>
      </c>
      <c r="D53" s="37">
        <v>3</v>
      </c>
      <c r="E53" s="37">
        <v>4</v>
      </c>
      <c r="F53" s="37">
        <v>7</v>
      </c>
      <c r="G53" s="37">
        <v>7</v>
      </c>
      <c r="H53" s="37">
        <v>5</v>
      </c>
      <c r="I53" s="37">
        <v>4</v>
      </c>
      <c r="J53" s="90">
        <v>8</v>
      </c>
    </row>
    <row r="54" spans="1:22" x14ac:dyDescent="0.25">
      <c r="A54">
        <v>51</v>
      </c>
      <c r="B54" s="123">
        <v>3</v>
      </c>
      <c r="C54" s="37">
        <v>7</v>
      </c>
      <c r="D54" s="37">
        <v>1</v>
      </c>
      <c r="E54" s="37">
        <v>4</v>
      </c>
      <c r="F54" s="37">
        <v>6</v>
      </c>
      <c r="G54" s="37">
        <v>4</v>
      </c>
      <c r="H54" s="37">
        <v>1</v>
      </c>
      <c r="I54" s="37">
        <v>6</v>
      </c>
      <c r="J54" s="90">
        <v>7</v>
      </c>
      <c r="M54" t="str">
        <f t="array" ref="M54:U54">B3:J3</f>
        <v>Expect</v>
      </c>
      <c r="N54" t="str">
        <v>Entertain</v>
      </c>
      <c r="O54" t="str">
        <v>Comm</v>
      </c>
      <c r="P54" t="str">
        <v>Expert</v>
      </c>
      <c r="Q54" t="str">
        <v>Motivate</v>
      </c>
      <c r="R54" t="str">
        <v>Caring</v>
      </c>
      <c r="S54" t="str">
        <v>Charisma</v>
      </c>
      <c r="T54" t="str">
        <v>Passion</v>
      </c>
      <c r="U54" t="str">
        <v>Friendly</v>
      </c>
    </row>
    <row r="55" spans="1:22" x14ac:dyDescent="0.25">
      <c r="A55">
        <v>52</v>
      </c>
      <c r="B55" s="123">
        <v>1</v>
      </c>
      <c r="C55" s="37">
        <v>8</v>
      </c>
      <c r="D55" s="37">
        <v>3</v>
      </c>
      <c r="E55" s="37">
        <v>4</v>
      </c>
      <c r="F55" s="37">
        <v>6</v>
      </c>
      <c r="G55" s="37">
        <v>3</v>
      </c>
      <c r="H55" s="37">
        <v>5</v>
      </c>
      <c r="I55" s="37">
        <v>4</v>
      </c>
      <c r="J55" s="90">
        <v>8</v>
      </c>
      <c r="M55" s="207">
        <f t="array" ref="M55:V55">M23:V23/(M23:V23+M50:V50)</f>
        <v>0.47075754897754651</v>
      </c>
      <c r="N55" s="208">
        <v>0.70308971566016076</v>
      </c>
      <c r="O55" s="208">
        <v>0.6654002781474111</v>
      </c>
      <c r="P55" s="208">
        <v>0.47238026200125777</v>
      </c>
      <c r="Q55" s="208">
        <v>0.8010217587518037</v>
      </c>
      <c r="R55" s="208">
        <v>0.66964290287268324</v>
      </c>
      <c r="S55" s="208">
        <v>0.6997167671138852</v>
      </c>
      <c r="T55" s="208">
        <v>0.80782954210537938</v>
      </c>
      <c r="U55" s="208">
        <v>0.4367805521865249</v>
      </c>
      <c r="V55" s="210">
        <v>0.65854700751505113</v>
      </c>
    </row>
    <row r="56" spans="1:22" x14ac:dyDescent="0.25">
      <c r="A56">
        <v>53</v>
      </c>
      <c r="B56" s="123">
        <v>4</v>
      </c>
      <c r="C56" s="37">
        <v>8</v>
      </c>
      <c r="D56" s="37">
        <v>6</v>
      </c>
      <c r="E56" s="37">
        <v>3</v>
      </c>
      <c r="F56" s="37">
        <v>7</v>
      </c>
      <c r="G56" s="37">
        <v>7</v>
      </c>
      <c r="H56" s="37">
        <v>8</v>
      </c>
      <c r="I56" s="37">
        <v>6</v>
      </c>
      <c r="J56" s="90">
        <v>7</v>
      </c>
    </row>
    <row r="57" spans="1:22" x14ac:dyDescent="0.25">
      <c r="A57">
        <v>54</v>
      </c>
      <c r="B57" s="123">
        <v>3</v>
      </c>
      <c r="C57" s="37">
        <v>8</v>
      </c>
      <c r="D57" s="37">
        <v>4</v>
      </c>
      <c r="E57" s="37">
        <v>3</v>
      </c>
      <c r="F57" s="37">
        <v>5</v>
      </c>
      <c r="G57" s="37">
        <v>8</v>
      </c>
      <c r="H57" s="37">
        <v>1</v>
      </c>
      <c r="I57" s="37">
        <v>3</v>
      </c>
      <c r="J57" s="90">
        <v>7</v>
      </c>
      <c r="L57" t="s">
        <v>417</v>
      </c>
    </row>
    <row r="58" spans="1:22" x14ac:dyDescent="0.25">
      <c r="A58">
        <v>55</v>
      </c>
      <c r="B58" s="123">
        <v>2</v>
      </c>
      <c r="C58" s="37">
        <v>9</v>
      </c>
      <c r="D58" s="37">
        <v>5</v>
      </c>
      <c r="E58" s="37">
        <v>2</v>
      </c>
      <c r="F58" s="37">
        <v>8</v>
      </c>
      <c r="G58" s="37">
        <v>4</v>
      </c>
      <c r="H58" s="37">
        <v>5</v>
      </c>
      <c r="I58" s="37">
        <v>6</v>
      </c>
      <c r="J58" s="90">
        <v>8</v>
      </c>
    </row>
    <row r="59" spans="1:22" x14ac:dyDescent="0.25">
      <c r="A59">
        <v>56</v>
      </c>
      <c r="B59" s="123">
        <v>4</v>
      </c>
      <c r="C59" s="37">
        <v>8</v>
      </c>
      <c r="D59" s="37">
        <v>2</v>
      </c>
      <c r="E59" s="37">
        <v>3</v>
      </c>
      <c r="F59" s="37">
        <v>7</v>
      </c>
      <c r="G59" s="37">
        <v>4</v>
      </c>
      <c r="H59" s="37">
        <v>4</v>
      </c>
      <c r="I59" s="37">
        <v>4</v>
      </c>
      <c r="J59" s="90">
        <v>7</v>
      </c>
      <c r="M59" s="207">
        <f t="array" ref="M59:U68">[1]!eVECTORS(M14:U22,200,FALSE)</f>
        <v>2.8804369060025632</v>
      </c>
      <c r="N59" s="208">
        <v>1.4386543900717295</v>
      </c>
      <c r="O59" s="208">
        <v>1.1639296497396623</v>
      </c>
      <c r="P59" s="208">
        <v>1.0244527111999022</v>
      </c>
      <c r="Q59" s="208">
        <v>0.7052086647828173</v>
      </c>
      <c r="R59" s="208">
        <v>0.64762340943816155</v>
      </c>
      <c r="S59" s="208">
        <v>0.56239324882697206</v>
      </c>
      <c r="T59" s="208">
        <v>0.34524839907614585</v>
      </c>
      <c r="U59" s="209">
        <v>0.2320526208620349</v>
      </c>
    </row>
    <row r="60" spans="1:22" x14ac:dyDescent="0.25">
      <c r="A60">
        <v>57</v>
      </c>
      <c r="B60" s="123">
        <v>4</v>
      </c>
      <c r="C60" s="37">
        <v>9</v>
      </c>
      <c r="D60" s="37">
        <v>1</v>
      </c>
      <c r="E60" s="37">
        <v>4</v>
      </c>
      <c r="F60" s="37">
        <v>7</v>
      </c>
      <c r="G60" s="37">
        <v>7</v>
      </c>
      <c r="H60" s="37">
        <v>1</v>
      </c>
      <c r="I60" s="37">
        <v>4</v>
      </c>
      <c r="J60" s="90">
        <v>8</v>
      </c>
      <c r="M60" s="83">
        <v>0.10867282066236424</v>
      </c>
      <c r="N60" s="37">
        <v>0.63924827708711807</v>
      </c>
      <c r="O60" s="37">
        <v>-0.25729558511519024</v>
      </c>
      <c r="P60" s="37">
        <v>0.11377573138837584</v>
      </c>
      <c r="Q60" s="37">
        <v>0.41709285009666042</v>
      </c>
      <c r="R60" s="37">
        <v>-9.5945434483222611E-2</v>
      </c>
      <c r="S60" s="37">
        <v>0.48082963990072808</v>
      </c>
      <c r="T60" s="37">
        <v>-0.28424031931196581</v>
      </c>
      <c r="U60" s="84">
        <v>-7.2417189866390647E-2</v>
      </c>
    </row>
    <row r="61" spans="1:22" x14ac:dyDescent="0.25">
      <c r="A61">
        <v>58</v>
      </c>
      <c r="B61" s="123">
        <v>4</v>
      </c>
      <c r="C61" s="37">
        <v>8</v>
      </c>
      <c r="D61" s="37">
        <v>3</v>
      </c>
      <c r="E61" s="37">
        <v>3</v>
      </c>
      <c r="F61" s="37">
        <v>7</v>
      </c>
      <c r="G61" s="37">
        <v>6</v>
      </c>
      <c r="H61" s="37">
        <v>3</v>
      </c>
      <c r="I61" s="37">
        <v>4</v>
      </c>
      <c r="J61" s="90">
        <v>7</v>
      </c>
      <c r="M61" s="83">
        <v>-0.41155512846221565</v>
      </c>
      <c r="N61" s="37">
        <v>-0.25314343490616653</v>
      </c>
      <c r="O61" s="37">
        <v>-0.18110413876496192</v>
      </c>
      <c r="P61" s="37">
        <v>-0.26161989563197352</v>
      </c>
      <c r="Q61" s="37">
        <v>0.33963617020547054</v>
      </c>
      <c r="R61" s="37">
        <v>4.1010447452216252E-5</v>
      </c>
      <c r="S61" s="37">
        <v>0.43645311461584763</v>
      </c>
      <c r="T61" s="37">
        <v>0.59253174817325882</v>
      </c>
      <c r="U61" s="84">
        <v>-9.1428524472632805E-2</v>
      </c>
    </row>
    <row r="62" spans="1:22" x14ac:dyDescent="0.25">
      <c r="A62">
        <v>59</v>
      </c>
      <c r="B62" s="123">
        <v>5</v>
      </c>
      <c r="C62" s="37">
        <v>8</v>
      </c>
      <c r="D62" s="37">
        <v>3</v>
      </c>
      <c r="E62" s="37">
        <v>4</v>
      </c>
      <c r="F62" s="37">
        <v>8</v>
      </c>
      <c r="G62" s="37">
        <v>6</v>
      </c>
      <c r="H62" s="37">
        <v>5</v>
      </c>
      <c r="I62" s="37">
        <v>5</v>
      </c>
      <c r="J62" s="90">
        <v>7</v>
      </c>
      <c r="M62" s="83">
        <v>-0.44432039453439659</v>
      </c>
      <c r="N62" s="37">
        <v>0.29067886859957309</v>
      </c>
      <c r="O62" s="37">
        <v>-0.18728039014076323</v>
      </c>
      <c r="P62" s="37">
        <v>-0.30220259515496317</v>
      </c>
      <c r="Q62" s="37">
        <v>3.0092029332481934E-2</v>
      </c>
      <c r="R62" s="37">
        <v>-0.13252764699834219</v>
      </c>
      <c r="S62" s="37">
        <v>-0.30089770286092654</v>
      </c>
      <c r="T62" s="37">
        <v>-6.3954964480359006E-2</v>
      </c>
      <c r="U62" s="84">
        <v>0.69179914482736116</v>
      </c>
    </row>
    <row r="63" spans="1:22" x14ac:dyDescent="0.25">
      <c r="A63">
        <v>60</v>
      </c>
      <c r="B63" s="123">
        <v>7</v>
      </c>
      <c r="C63" s="37">
        <v>8</v>
      </c>
      <c r="D63" s="37">
        <v>4</v>
      </c>
      <c r="E63" s="37">
        <v>4</v>
      </c>
      <c r="F63" s="37">
        <v>7</v>
      </c>
      <c r="G63" s="37">
        <v>7</v>
      </c>
      <c r="H63" s="37">
        <v>6</v>
      </c>
      <c r="I63" s="37">
        <v>6</v>
      </c>
      <c r="J63" s="90">
        <v>7</v>
      </c>
      <c r="M63" s="83">
        <v>-0.21563850036801047</v>
      </c>
      <c r="N63" s="37">
        <v>0.1355008561186731</v>
      </c>
      <c r="O63" s="37">
        <v>-0.18288111465179668</v>
      </c>
      <c r="P63" s="37">
        <v>0.8396414038293164</v>
      </c>
      <c r="Q63" s="37">
        <v>2.8151905951375684E-2</v>
      </c>
      <c r="R63" s="37">
        <v>-8.2469997114449113E-3</v>
      </c>
      <c r="S63" s="37">
        <v>-0.22139123759018514</v>
      </c>
      <c r="T63" s="37">
        <v>0.37879413338631968</v>
      </c>
      <c r="U63" s="84">
        <v>5.7764588173452189E-2</v>
      </c>
    </row>
    <row r="64" spans="1:22" x14ac:dyDescent="0.25">
      <c r="A64">
        <v>61</v>
      </c>
      <c r="B64" s="123">
        <v>4</v>
      </c>
      <c r="C64" s="37">
        <v>8</v>
      </c>
      <c r="D64" s="37">
        <v>3</v>
      </c>
      <c r="E64" s="37">
        <v>3</v>
      </c>
      <c r="F64" s="37">
        <v>7</v>
      </c>
      <c r="G64" s="37">
        <v>5</v>
      </c>
      <c r="H64" s="37">
        <v>6</v>
      </c>
      <c r="I64" s="37">
        <v>3</v>
      </c>
      <c r="J64" s="90">
        <v>7</v>
      </c>
      <c r="M64" s="83">
        <v>-0.34065994702866276</v>
      </c>
      <c r="N64" s="37">
        <v>3.6795371440606912E-2</v>
      </c>
      <c r="O64" s="37">
        <v>0.4196315249888759</v>
      </c>
      <c r="P64" s="37">
        <v>0.15599941127281186</v>
      </c>
      <c r="Q64" s="37">
        <v>-0.42356977521057582</v>
      </c>
      <c r="R64" s="37">
        <v>-0.55990863089491949</v>
      </c>
      <c r="S64" s="37">
        <v>0.42454928955816817</v>
      </c>
      <c r="T64" s="37">
        <v>-8.8223691667977652E-2</v>
      </c>
      <c r="U64" s="84">
        <v>3.51556480609738E-2</v>
      </c>
    </row>
    <row r="65" spans="1:23" x14ac:dyDescent="0.25">
      <c r="A65">
        <v>62</v>
      </c>
      <c r="B65" s="123">
        <v>4</v>
      </c>
      <c r="C65" s="37">
        <v>8</v>
      </c>
      <c r="D65" s="37">
        <v>4</v>
      </c>
      <c r="E65" s="37">
        <v>4</v>
      </c>
      <c r="F65" s="37">
        <v>8</v>
      </c>
      <c r="G65" s="37">
        <v>5</v>
      </c>
      <c r="H65" s="37">
        <v>7</v>
      </c>
      <c r="I65" s="37">
        <v>4</v>
      </c>
      <c r="J65" s="90">
        <v>7</v>
      </c>
      <c r="M65" s="83">
        <v>-0.17656698530373344</v>
      </c>
      <c r="N65" s="37">
        <v>2.533518723812293E-2</v>
      </c>
      <c r="O65" s="37">
        <v>0.7145130584986833</v>
      </c>
      <c r="P65" s="37">
        <v>6.2973499059261015E-2</v>
      </c>
      <c r="Q65" s="37">
        <v>0.63254625459716418</v>
      </c>
      <c r="R65" s="37">
        <v>2.9625191396581044E-2</v>
      </c>
      <c r="S65" s="37">
        <v>-0.21612684057595452</v>
      </c>
      <c r="T65" s="37">
        <v>-7.2965594974557554E-2</v>
      </c>
      <c r="U65" s="84">
        <v>-2.5699225706734535E-2</v>
      </c>
    </row>
    <row r="66" spans="1:23" x14ac:dyDescent="0.25">
      <c r="A66">
        <v>63</v>
      </c>
      <c r="B66" s="123">
        <v>3</v>
      </c>
      <c r="C66" s="37">
        <v>9</v>
      </c>
      <c r="D66" s="37">
        <v>4</v>
      </c>
      <c r="E66" s="37">
        <v>3</v>
      </c>
      <c r="F66" s="37">
        <v>8</v>
      </c>
      <c r="G66" s="37">
        <v>6</v>
      </c>
      <c r="H66" s="37">
        <v>4</v>
      </c>
      <c r="I66" s="37">
        <v>5</v>
      </c>
      <c r="J66" s="90">
        <v>8</v>
      </c>
      <c r="M66" s="83">
        <v>-0.48149531050226674</v>
      </c>
      <c r="N66" s="37">
        <v>0.19955381602753666</v>
      </c>
      <c r="O66" s="37">
        <v>-0.18029726124337572</v>
      </c>
      <c r="P66" s="37">
        <v>-0.16443593459470768</v>
      </c>
      <c r="Q66" s="37">
        <v>-8.9082064227918617E-2</v>
      </c>
      <c r="R66" s="37">
        <v>-9.915081286527104E-2</v>
      </c>
      <c r="S66" s="37">
        <v>-0.36144073391629705</v>
      </c>
      <c r="T66" s="37">
        <v>-0.1678417200000899</v>
      </c>
      <c r="U66" s="84">
        <v>-0.70158215235978194</v>
      </c>
    </row>
    <row r="67" spans="1:23" x14ac:dyDescent="0.25">
      <c r="A67">
        <v>64</v>
      </c>
      <c r="B67" s="123">
        <v>5</v>
      </c>
      <c r="C67" s="37">
        <v>8</v>
      </c>
      <c r="D67" s="37">
        <v>2</v>
      </c>
      <c r="E67" s="37">
        <v>3</v>
      </c>
      <c r="F67" s="37">
        <v>6</v>
      </c>
      <c r="G67" s="37">
        <v>4</v>
      </c>
      <c r="H67" s="37">
        <v>6</v>
      </c>
      <c r="I67" s="37">
        <v>4</v>
      </c>
      <c r="J67" s="90">
        <v>7</v>
      </c>
      <c r="M67" s="83">
        <v>-0.40531393485510109</v>
      </c>
      <c r="N67" s="37">
        <v>2.9433741083360061E-2</v>
      </c>
      <c r="O67" s="37">
        <v>0.10755133207121426</v>
      </c>
      <c r="P67" s="37">
        <v>0.11621471578699419</v>
      </c>
      <c r="Q67" s="37">
        <v>-0.2149849248039076</v>
      </c>
      <c r="R67" s="37">
        <v>0.7827772437504753</v>
      </c>
      <c r="S67" s="37">
        <v>0.28183460598348936</v>
      </c>
      <c r="T67" s="37">
        <v>-0.25913253981977796</v>
      </c>
      <c r="U67" s="84">
        <v>6.513041035120351E-2</v>
      </c>
    </row>
    <row r="68" spans="1:23" x14ac:dyDescent="0.25">
      <c r="A68">
        <v>65</v>
      </c>
      <c r="B68" s="123">
        <v>7</v>
      </c>
      <c r="C68" s="37">
        <v>9</v>
      </c>
      <c r="D68" s="37">
        <v>7</v>
      </c>
      <c r="E68" s="37">
        <v>4</v>
      </c>
      <c r="F68" s="37">
        <v>8</v>
      </c>
      <c r="G68" s="37">
        <v>6</v>
      </c>
      <c r="H68" s="37">
        <v>10</v>
      </c>
      <c r="I68" s="37">
        <v>6</v>
      </c>
      <c r="J68" s="90">
        <v>7</v>
      </c>
      <c r="M68" s="85">
        <v>-0.17762263035252251</v>
      </c>
      <c r="N68" s="86">
        <v>-0.61785233937299122</v>
      </c>
      <c r="O68" s="86">
        <v>-0.31904060431719955</v>
      </c>
      <c r="P68" s="86">
        <v>0.23116985737975318</v>
      </c>
      <c r="Q68" s="86">
        <v>0.27441303815866641</v>
      </c>
      <c r="R68" s="86">
        <v>-0.19030622101094335</v>
      </c>
      <c r="S68" s="86">
        <v>4.165295572770561E-2</v>
      </c>
      <c r="T68" s="86">
        <v>-0.55866843595019611</v>
      </c>
      <c r="U68" s="87">
        <v>7.8217098124915549E-2</v>
      </c>
    </row>
    <row r="69" spans="1:23" x14ac:dyDescent="0.25">
      <c r="A69">
        <v>66</v>
      </c>
      <c r="B69" s="123">
        <v>3</v>
      </c>
      <c r="C69" s="37">
        <v>8</v>
      </c>
      <c r="D69" s="37">
        <v>1</v>
      </c>
      <c r="E69" s="37">
        <v>3</v>
      </c>
      <c r="F69" s="37">
        <v>7</v>
      </c>
      <c r="G69" s="37">
        <v>6</v>
      </c>
      <c r="H69" s="37">
        <v>5</v>
      </c>
      <c r="I69" s="37">
        <v>5</v>
      </c>
      <c r="J69" s="90">
        <v>7</v>
      </c>
    </row>
    <row r="70" spans="1:23" x14ac:dyDescent="0.25">
      <c r="A70">
        <v>67</v>
      </c>
      <c r="B70" s="123">
        <v>4</v>
      </c>
      <c r="C70" s="37">
        <v>8</v>
      </c>
      <c r="D70" s="37">
        <v>5</v>
      </c>
      <c r="E70" s="37">
        <v>4</v>
      </c>
      <c r="F70" s="37">
        <v>7</v>
      </c>
      <c r="G70" s="37">
        <v>6</v>
      </c>
      <c r="H70" s="37">
        <v>9</v>
      </c>
      <c r="I70" s="37">
        <v>6</v>
      </c>
      <c r="J70" s="90">
        <v>7</v>
      </c>
      <c r="L70" t="s">
        <v>501</v>
      </c>
    </row>
    <row r="71" spans="1:23" x14ac:dyDescent="0.25">
      <c r="A71">
        <v>68</v>
      </c>
      <c r="B71" s="123">
        <v>5</v>
      </c>
      <c r="C71" s="37">
        <v>8</v>
      </c>
      <c r="D71" s="37">
        <v>2</v>
      </c>
      <c r="E71" s="37">
        <v>3</v>
      </c>
      <c r="F71" s="37">
        <v>5</v>
      </c>
      <c r="G71" s="37">
        <v>7</v>
      </c>
      <c r="H71" s="37">
        <v>1</v>
      </c>
      <c r="I71" s="37">
        <v>5</v>
      </c>
      <c r="J71" s="90">
        <v>7</v>
      </c>
    </row>
    <row r="72" spans="1:23" x14ac:dyDescent="0.25">
      <c r="A72">
        <v>69</v>
      </c>
      <c r="B72" s="123">
        <v>4</v>
      </c>
      <c r="C72" s="37">
        <v>8</v>
      </c>
      <c r="D72" s="37">
        <v>6</v>
      </c>
      <c r="E72" s="37">
        <v>4</v>
      </c>
      <c r="F72" s="37">
        <v>8</v>
      </c>
      <c r="G72" s="37">
        <v>8</v>
      </c>
      <c r="H72" s="37">
        <v>9</v>
      </c>
      <c r="I72" s="37">
        <v>6</v>
      </c>
      <c r="J72" s="90">
        <v>7</v>
      </c>
      <c r="M72">
        <v>1</v>
      </c>
      <c r="N72">
        <f>M72+1</f>
        <v>2</v>
      </c>
      <c r="O72">
        <f t="shared" ref="O72:U72" si="6">N72+1</f>
        <v>3</v>
      </c>
      <c r="P72">
        <f t="shared" si="6"/>
        <v>4</v>
      </c>
      <c r="Q72">
        <f t="shared" si="6"/>
        <v>5</v>
      </c>
      <c r="R72">
        <f t="shared" si="6"/>
        <v>6</v>
      </c>
      <c r="S72">
        <f t="shared" si="6"/>
        <v>7</v>
      </c>
      <c r="T72">
        <f t="shared" si="6"/>
        <v>8</v>
      </c>
      <c r="U72">
        <f t="shared" si="6"/>
        <v>9</v>
      </c>
      <c r="W72" t="s">
        <v>502</v>
      </c>
    </row>
    <row r="73" spans="1:23" x14ac:dyDescent="0.25">
      <c r="A73">
        <v>70</v>
      </c>
      <c r="B73" s="123">
        <v>3</v>
      </c>
      <c r="C73" s="37">
        <v>8</v>
      </c>
      <c r="D73" s="37">
        <v>3</v>
      </c>
      <c r="E73" s="37">
        <v>4</v>
      </c>
      <c r="F73" s="37">
        <v>6</v>
      </c>
      <c r="G73" s="37">
        <v>4</v>
      </c>
      <c r="H73" s="37">
        <v>5</v>
      </c>
      <c r="I73" s="37">
        <v>5</v>
      </c>
      <c r="J73" s="90">
        <v>8</v>
      </c>
      <c r="L73" t="str">
        <f t="array" ref="L73:L81">TRANSPOSE(B3:J3)</f>
        <v>Expect</v>
      </c>
      <c r="M73" s="203">
        <f t="array" ref="M73:U81">M60:U68*SQRT(ABS(M59:U59))</f>
        <v>0.18443788055245225</v>
      </c>
      <c r="N73" s="204">
        <v>0.76673944089161006</v>
      </c>
      <c r="O73" s="204">
        <v>-0.27758481196302998</v>
      </c>
      <c r="P73" s="204">
        <v>0.11515839253464147</v>
      </c>
      <c r="Q73" s="204">
        <v>0.35026082398667768</v>
      </c>
      <c r="R73" s="204">
        <v>-7.7212138887992735E-2</v>
      </c>
      <c r="S73" s="204">
        <v>0.36058800888312886</v>
      </c>
      <c r="T73" s="204">
        <v>-0.16701347758289317</v>
      </c>
      <c r="U73" s="205">
        <v>-3.4884693132850413E-2</v>
      </c>
      <c r="W73" s="206">
        <f>SUMSQ(M73:U73)</f>
        <v>1.0000000000762619</v>
      </c>
    </row>
    <row r="74" spans="1:23" x14ac:dyDescent="0.25">
      <c r="A74">
        <v>71</v>
      </c>
      <c r="B74" s="123">
        <v>6</v>
      </c>
      <c r="C74" s="37">
        <v>8</v>
      </c>
      <c r="D74" s="37">
        <v>5</v>
      </c>
      <c r="E74" s="37">
        <v>4</v>
      </c>
      <c r="F74" s="37">
        <v>7</v>
      </c>
      <c r="G74" s="37">
        <v>5</v>
      </c>
      <c r="H74" s="37">
        <v>6</v>
      </c>
      <c r="I74" s="37">
        <v>4</v>
      </c>
      <c r="J74" s="90">
        <v>7</v>
      </c>
      <c r="L74" t="str">
        <v>Entertain</v>
      </c>
      <c r="M74" s="83">
        <v>-0.69848518848974062</v>
      </c>
      <c r="N74" s="37">
        <v>-0.30363015858216247</v>
      </c>
      <c r="O74" s="37">
        <v>-0.19538523477692776</v>
      </c>
      <c r="P74" s="37">
        <v>-0.26479923502506097</v>
      </c>
      <c r="Q74" s="37">
        <v>0.28521525795582114</v>
      </c>
      <c r="R74" s="37">
        <v>3.3003179167352208E-5</v>
      </c>
      <c r="S74" s="37">
        <v>0.32730877323340773</v>
      </c>
      <c r="T74" s="37">
        <v>0.34815886810228847</v>
      </c>
      <c r="U74" s="84">
        <v>-4.4042802899444587E-2</v>
      </c>
      <c r="W74" s="98">
        <f t="shared" ref="W74:W81" si="7">SUMSQ(M74:U74)</f>
        <v>0.99999999999995004</v>
      </c>
    </row>
    <row r="75" spans="1:23" x14ac:dyDescent="0.25">
      <c r="A75">
        <v>72</v>
      </c>
      <c r="B75" s="123">
        <v>4</v>
      </c>
      <c r="C75" s="37">
        <v>8</v>
      </c>
      <c r="D75" s="37">
        <v>4</v>
      </c>
      <c r="E75" s="37">
        <v>4</v>
      </c>
      <c r="F75" s="37">
        <v>7</v>
      </c>
      <c r="G75" s="37">
        <v>7</v>
      </c>
      <c r="H75" s="37">
        <v>6</v>
      </c>
      <c r="I75" s="37">
        <v>4</v>
      </c>
      <c r="J75" s="90">
        <v>7</v>
      </c>
      <c r="L75" t="str">
        <v>Comm</v>
      </c>
      <c r="M75" s="83">
        <v>-0.75409390641255702</v>
      </c>
      <c r="N75" s="37">
        <v>0.34865162907379821</v>
      </c>
      <c r="O75" s="37">
        <v>-0.20204851885939915</v>
      </c>
      <c r="P75" s="37">
        <v>-0.30587511636421028</v>
      </c>
      <c r="Q75" s="37">
        <v>2.527029410114261E-2</v>
      </c>
      <c r="R75" s="37">
        <v>-0.10665169365952692</v>
      </c>
      <c r="S75" s="37">
        <v>-0.22565186200777834</v>
      </c>
      <c r="T75" s="37">
        <v>-3.7578556949311413E-2</v>
      </c>
      <c r="U75" s="84">
        <v>0.33325238001359164</v>
      </c>
      <c r="W75" s="98">
        <f t="shared" si="7"/>
        <v>1.0000000000075571</v>
      </c>
    </row>
    <row r="76" spans="1:23" x14ac:dyDescent="0.25">
      <c r="A76">
        <v>73</v>
      </c>
      <c r="B76" s="123">
        <v>4</v>
      </c>
      <c r="C76" s="37">
        <v>7</v>
      </c>
      <c r="D76" s="37">
        <v>3</v>
      </c>
      <c r="E76" s="37">
        <v>3</v>
      </c>
      <c r="F76" s="37">
        <v>6</v>
      </c>
      <c r="G76" s="37">
        <v>5</v>
      </c>
      <c r="H76" s="37">
        <v>5</v>
      </c>
      <c r="I76" s="37">
        <v>4</v>
      </c>
      <c r="J76" s="90">
        <v>7</v>
      </c>
      <c r="L76" t="str">
        <v>Expert</v>
      </c>
      <c r="M76" s="83">
        <v>-0.36597842708944173</v>
      </c>
      <c r="N76" s="37">
        <v>0.16252503821235492</v>
      </c>
      <c r="O76" s="37">
        <v>-0.19730233536452252</v>
      </c>
      <c r="P76" s="37">
        <v>0.84984515757982271</v>
      </c>
      <c r="Q76" s="37">
        <v>2.3641042451432937E-2</v>
      </c>
      <c r="R76" s="37">
        <v>-6.6367773574538165E-3</v>
      </c>
      <c r="S76" s="37">
        <v>-0.16602767159549162</v>
      </c>
      <c r="T76" s="37">
        <v>0.22257125821552756</v>
      </c>
      <c r="U76" s="84">
        <v>2.7826265229211583E-2</v>
      </c>
      <c r="W76" s="98">
        <f t="shared" si="7"/>
        <v>1.0000000000005103</v>
      </c>
    </row>
    <row r="77" spans="1:23" x14ac:dyDescent="0.25">
      <c r="A77">
        <v>74</v>
      </c>
      <c r="B77" s="123">
        <v>4</v>
      </c>
      <c r="C77" s="37">
        <v>8</v>
      </c>
      <c r="D77" s="37">
        <v>5</v>
      </c>
      <c r="E77" s="37">
        <v>4</v>
      </c>
      <c r="F77" s="37">
        <v>7</v>
      </c>
      <c r="G77" s="37">
        <v>8</v>
      </c>
      <c r="H77" s="37">
        <v>8</v>
      </c>
      <c r="I77" s="37">
        <v>5</v>
      </c>
      <c r="J77" s="90">
        <v>7</v>
      </c>
      <c r="L77" t="str">
        <v>Motivate</v>
      </c>
      <c r="M77" s="83">
        <v>-0.57816295036903198</v>
      </c>
      <c r="N77" s="37">
        <v>4.4133810816552592E-2</v>
      </c>
      <c r="O77" s="37">
        <v>0.45272186814106236</v>
      </c>
      <c r="P77" s="37">
        <v>0.15789519627173182</v>
      </c>
      <c r="Q77" s="37">
        <v>-0.35569993215353857</v>
      </c>
      <c r="R77" s="37">
        <v>-0.45058676534321235</v>
      </c>
      <c r="S77" s="37">
        <v>0.31838175164520466</v>
      </c>
      <c r="T77" s="37">
        <v>-5.1838337313778758E-2</v>
      </c>
      <c r="U77" s="84">
        <v>1.6935122679521939E-2</v>
      </c>
      <c r="W77" s="98">
        <f t="shared" si="7"/>
        <v>0.99999999954822449</v>
      </c>
    </row>
    <row r="78" spans="1:23" x14ac:dyDescent="0.25">
      <c r="A78">
        <v>75</v>
      </c>
      <c r="B78" s="123">
        <v>3</v>
      </c>
      <c r="C78" s="37">
        <v>8</v>
      </c>
      <c r="D78" s="37">
        <v>2</v>
      </c>
      <c r="E78" s="37">
        <v>4</v>
      </c>
      <c r="F78" s="37">
        <v>6</v>
      </c>
      <c r="G78" s="37">
        <v>5</v>
      </c>
      <c r="H78" s="37">
        <v>5</v>
      </c>
      <c r="I78" s="37">
        <v>5</v>
      </c>
      <c r="J78" s="90">
        <v>8</v>
      </c>
      <c r="L78" t="str">
        <v>Caring</v>
      </c>
      <c r="M78" s="83">
        <v>-0.29966683800482935</v>
      </c>
      <c r="N78" s="37">
        <v>3.0388016666011732E-2</v>
      </c>
      <c r="O78" s="37">
        <v>0.77085649526279787</v>
      </c>
      <c r="P78" s="37">
        <v>6.3738785375869411E-2</v>
      </c>
      <c r="Q78" s="37">
        <v>0.53119148960128271</v>
      </c>
      <c r="R78" s="37">
        <v>2.3840888365523748E-2</v>
      </c>
      <c r="S78" s="37">
        <v>-0.16207974850630014</v>
      </c>
      <c r="T78" s="37">
        <v>-4.287300897389866E-2</v>
      </c>
      <c r="U78" s="84">
        <v>-1.2379789994410867E-2</v>
      </c>
      <c r="W78" s="98">
        <f t="shared" si="7"/>
        <v>0.99999999996427558</v>
      </c>
    </row>
    <row r="79" spans="1:23" x14ac:dyDescent="0.25">
      <c r="A79">
        <v>76</v>
      </c>
      <c r="B79" s="123">
        <v>4</v>
      </c>
      <c r="C79" s="37">
        <v>8</v>
      </c>
      <c r="D79" s="37">
        <v>3</v>
      </c>
      <c r="E79" s="37">
        <v>1</v>
      </c>
      <c r="F79" s="37">
        <v>6</v>
      </c>
      <c r="G79" s="37">
        <v>4</v>
      </c>
      <c r="H79" s="37">
        <v>1</v>
      </c>
      <c r="I79" s="37">
        <v>4</v>
      </c>
      <c r="J79" s="90">
        <v>7</v>
      </c>
      <c r="L79" t="str">
        <v>Charisma</v>
      </c>
      <c r="M79" s="83">
        <v>-0.81718661596991582</v>
      </c>
      <c r="N79" s="37">
        <v>0.23935266908492384</v>
      </c>
      <c r="O79" s="37">
        <v>-0.1945147303529734</v>
      </c>
      <c r="P79" s="37">
        <v>-0.16643424455975536</v>
      </c>
      <c r="Q79" s="37">
        <v>-7.4808180508665945E-2</v>
      </c>
      <c r="R79" s="37">
        <v>-7.9791668827654122E-2</v>
      </c>
      <c r="S79" s="37">
        <v>-0.27105482640180517</v>
      </c>
      <c r="T79" s="37">
        <v>-9.8620172565817898E-2</v>
      </c>
      <c r="U79" s="84">
        <v>-0.33796503478954354</v>
      </c>
      <c r="W79" s="98">
        <f t="shared" si="7"/>
        <v>0.99999999998314737</v>
      </c>
    </row>
    <row r="80" spans="1:23" x14ac:dyDescent="0.25">
      <c r="A80">
        <v>77</v>
      </c>
      <c r="B80" s="123">
        <v>4</v>
      </c>
      <c r="C80" s="37">
        <v>9</v>
      </c>
      <c r="D80" s="37">
        <v>6</v>
      </c>
      <c r="E80" s="37">
        <v>5</v>
      </c>
      <c r="F80" s="37">
        <v>8</v>
      </c>
      <c r="G80" s="37">
        <v>5</v>
      </c>
      <c r="H80" s="37">
        <v>9</v>
      </c>
      <c r="I80" s="37">
        <v>5</v>
      </c>
      <c r="J80" s="90">
        <v>8</v>
      </c>
      <c r="L80" t="str">
        <v>Passion</v>
      </c>
      <c r="M80" s="83">
        <v>-0.68789272835115534</v>
      </c>
      <c r="N80" s="37">
        <v>3.5303982803739795E-2</v>
      </c>
      <c r="O80" s="37">
        <v>0.11603236905909446</v>
      </c>
      <c r="P80" s="37">
        <v>0.11762701672483196</v>
      </c>
      <c r="Q80" s="37">
        <v>-0.18053725181114905</v>
      </c>
      <c r="R80" s="37">
        <v>0.62994039881481378</v>
      </c>
      <c r="S80" s="37">
        <v>0.21135589608604263</v>
      </c>
      <c r="T80" s="37">
        <v>-0.15226068819141922</v>
      </c>
      <c r="U80" s="84">
        <v>3.1374517333664663E-2</v>
      </c>
      <c r="W80" s="98">
        <f t="shared" si="7"/>
        <v>1.0000000003205209</v>
      </c>
    </row>
    <row r="81" spans="1:23" x14ac:dyDescent="0.25">
      <c r="A81">
        <v>78</v>
      </c>
      <c r="B81" s="123">
        <v>2</v>
      </c>
      <c r="C81" s="37">
        <v>9</v>
      </c>
      <c r="D81" s="37">
        <v>5</v>
      </c>
      <c r="E81" s="37">
        <v>2</v>
      </c>
      <c r="F81" s="37">
        <v>6</v>
      </c>
      <c r="G81" s="37">
        <v>7</v>
      </c>
      <c r="H81" s="37">
        <v>8</v>
      </c>
      <c r="I81" s="37">
        <v>5</v>
      </c>
      <c r="J81" s="90">
        <v>8</v>
      </c>
      <c r="L81" t="str">
        <v>Friendly</v>
      </c>
      <c r="M81" s="85">
        <v>-0.30145846294129131</v>
      </c>
      <c r="N81" s="86">
        <v>-0.74107631451599432</v>
      </c>
      <c r="O81" s="86">
        <v>-0.3441987786860507</v>
      </c>
      <c r="P81" s="86">
        <v>0.23397915226264601</v>
      </c>
      <c r="Q81" s="86">
        <v>0.23044302206539241</v>
      </c>
      <c r="R81" s="86">
        <v>-0.15314903149993489</v>
      </c>
      <c r="S81" s="86">
        <v>3.1236752320533766E-2</v>
      </c>
      <c r="T81" s="86">
        <v>-0.32826151662682201</v>
      </c>
      <c r="U81" s="87">
        <v>3.7678615683154011E-2</v>
      </c>
      <c r="W81" s="99">
        <f t="shared" si="7"/>
        <v>1.0000000000995239</v>
      </c>
    </row>
    <row r="82" spans="1:23" x14ac:dyDescent="0.25">
      <c r="A82">
        <v>79</v>
      </c>
      <c r="B82" s="123">
        <v>4</v>
      </c>
      <c r="C82" s="37">
        <v>7</v>
      </c>
      <c r="D82" s="37">
        <v>2</v>
      </c>
      <c r="E82" s="37">
        <v>1</v>
      </c>
      <c r="F82" s="37">
        <v>6</v>
      </c>
      <c r="G82" s="37">
        <v>3</v>
      </c>
      <c r="H82" s="37">
        <v>1</v>
      </c>
      <c r="I82" s="37">
        <v>2</v>
      </c>
      <c r="J82" s="90">
        <v>7</v>
      </c>
    </row>
    <row r="83" spans="1:23" x14ac:dyDescent="0.25">
      <c r="A83">
        <v>80</v>
      </c>
      <c r="B83" s="123">
        <v>5</v>
      </c>
      <c r="C83" s="37">
        <v>8</v>
      </c>
      <c r="D83" s="37">
        <v>4</v>
      </c>
      <c r="E83" s="37">
        <v>3</v>
      </c>
      <c r="F83" s="37">
        <v>7</v>
      </c>
      <c r="G83" s="37">
        <v>5</v>
      </c>
      <c r="H83" s="37">
        <v>4</v>
      </c>
      <c r="I83" s="37">
        <v>5</v>
      </c>
      <c r="J83" s="90">
        <v>7</v>
      </c>
      <c r="L83" t="s">
        <v>512</v>
      </c>
    </row>
    <row r="84" spans="1:23" x14ac:dyDescent="0.25">
      <c r="A84">
        <v>81</v>
      </c>
      <c r="B84" s="123">
        <v>4</v>
      </c>
      <c r="C84" s="37">
        <v>8</v>
      </c>
      <c r="D84" s="37">
        <v>5</v>
      </c>
      <c r="E84" s="37">
        <v>4</v>
      </c>
      <c r="F84" s="37">
        <v>7</v>
      </c>
      <c r="G84" s="37">
        <v>6</v>
      </c>
      <c r="H84" s="37">
        <v>8</v>
      </c>
      <c r="I84" s="37">
        <v>4</v>
      </c>
      <c r="J84" s="90">
        <v>7</v>
      </c>
    </row>
    <row r="85" spans="1:23" x14ac:dyDescent="0.25">
      <c r="A85">
        <v>82</v>
      </c>
      <c r="B85" s="123">
        <v>4</v>
      </c>
      <c r="C85" s="37">
        <v>8</v>
      </c>
      <c r="D85" s="37">
        <v>3</v>
      </c>
      <c r="E85" s="37">
        <v>4</v>
      </c>
      <c r="F85" s="37">
        <v>7</v>
      </c>
      <c r="G85" s="37">
        <v>6</v>
      </c>
      <c r="H85" s="37">
        <v>3</v>
      </c>
      <c r="I85" s="37">
        <v>7</v>
      </c>
      <c r="J85" s="90">
        <v>8</v>
      </c>
      <c r="M85" t="str">
        <f t="array" ref="M85:U85">B3:J3</f>
        <v>Expect</v>
      </c>
      <c r="N85" t="str">
        <v>Entertain</v>
      </c>
      <c r="O85" t="str">
        <v>Comm</v>
      </c>
      <c r="P85" t="str">
        <v>Expert</v>
      </c>
      <c r="Q85" t="str">
        <v>Motivate</v>
      </c>
      <c r="R85" t="str">
        <v>Caring</v>
      </c>
      <c r="S85" t="str">
        <v>Charisma</v>
      </c>
      <c r="T85" t="str">
        <v>Passion</v>
      </c>
      <c r="U85" t="str">
        <v>Friendly</v>
      </c>
    </row>
    <row r="86" spans="1:23" x14ac:dyDescent="0.25">
      <c r="A86">
        <v>83</v>
      </c>
      <c r="B86" s="123">
        <v>5</v>
      </c>
      <c r="C86" s="37">
        <v>8</v>
      </c>
      <c r="D86" s="37">
        <v>3</v>
      </c>
      <c r="E86" s="37">
        <v>3</v>
      </c>
      <c r="F86" s="37">
        <v>7</v>
      </c>
      <c r="G86" s="37">
        <v>6</v>
      </c>
      <c r="H86" s="37">
        <v>1</v>
      </c>
      <c r="I86" s="37">
        <v>4</v>
      </c>
      <c r="J86" s="90">
        <v>7</v>
      </c>
      <c r="M86" s="207">
        <f t="array" ref="M86:U86">1-1/[1]!DIAG(M28:U36)</f>
        <v>0.22255509403824469</v>
      </c>
      <c r="N86" s="208">
        <v>0.42973736986464572</v>
      </c>
      <c r="O86" s="208">
        <v>0.60162449153938247</v>
      </c>
      <c r="P86" s="208">
        <v>0.20896763928603368</v>
      </c>
      <c r="Q86" s="208">
        <v>0.23261043587168506</v>
      </c>
      <c r="R86" s="208">
        <v>0.11017437918575779</v>
      </c>
      <c r="S86" s="208">
        <v>0.61889605945747794</v>
      </c>
      <c r="T86" s="208">
        <v>0.30865027032366443</v>
      </c>
      <c r="U86" s="209">
        <v>0.33866076183733707</v>
      </c>
    </row>
    <row r="87" spans="1:23" x14ac:dyDescent="0.25">
      <c r="A87">
        <v>84</v>
      </c>
      <c r="B87" s="123">
        <v>2</v>
      </c>
      <c r="C87" s="37">
        <v>9</v>
      </c>
      <c r="D87" s="37">
        <v>6</v>
      </c>
      <c r="E87" s="37">
        <v>4</v>
      </c>
      <c r="F87" s="37">
        <v>8</v>
      </c>
      <c r="G87" s="37">
        <v>6</v>
      </c>
      <c r="H87" s="37">
        <v>8</v>
      </c>
      <c r="I87" s="37">
        <v>5</v>
      </c>
      <c r="J87" s="90">
        <v>8</v>
      </c>
    </row>
    <row r="88" spans="1:23" x14ac:dyDescent="0.25">
      <c r="A88">
        <v>85</v>
      </c>
      <c r="B88" s="123">
        <v>5</v>
      </c>
      <c r="C88" s="37">
        <v>8</v>
      </c>
      <c r="D88" s="37">
        <v>4</v>
      </c>
      <c r="E88" s="37">
        <v>4</v>
      </c>
      <c r="F88" s="37">
        <v>7</v>
      </c>
      <c r="G88" s="37">
        <v>6</v>
      </c>
      <c r="H88" s="37">
        <v>5</v>
      </c>
      <c r="I88" s="37">
        <v>5</v>
      </c>
      <c r="J88" s="90">
        <v>7</v>
      </c>
      <c r="L88" t="s">
        <v>513</v>
      </c>
    </row>
    <row r="89" spans="1:23" x14ac:dyDescent="0.25">
      <c r="A89">
        <v>86</v>
      </c>
      <c r="B89" s="123">
        <v>4</v>
      </c>
      <c r="C89" s="37">
        <v>8</v>
      </c>
      <c r="D89" s="37">
        <v>7</v>
      </c>
      <c r="E89" s="37">
        <v>5</v>
      </c>
      <c r="F89" s="37">
        <v>7</v>
      </c>
      <c r="G89" s="37">
        <v>6</v>
      </c>
      <c r="H89" s="37">
        <v>9</v>
      </c>
      <c r="I89" s="37">
        <v>6</v>
      </c>
      <c r="J89" s="90">
        <v>7</v>
      </c>
    </row>
    <row r="90" spans="1:23" x14ac:dyDescent="0.25">
      <c r="A90">
        <v>87</v>
      </c>
      <c r="B90" s="123">
        <v>5</v>
      </c>
      <c r="C90" s="37">
        <v>7</v>
      </c>
      <c r="D90" s="37">
        <v>2</v>
      </c>
      <c r="E90" s="37">
        <v>3</v>
      </c>
      <c r="F90" s="37">
        <v>5</v>
      </c>
      <c r="G90" s="37">
        <v>5</v>
      </c>
      <c r="H90" s="37">
        <v>1</v>
      </c>
      <c r="I90" s="37">
        <v>3</v>
      </c>
      <c r="J90" s="90">
        <v>7</v>
      </c>
      <c r="M90" t="str">
        <f t="array" ref="M90:U90">B3:J3</f>
        <v>Expect</v>
      </c>
      <c r="N90" t="str">
        <v>Entertain</v>
      </c>
      <c r="O90" t="str">
        <v>Comm</v>
      </c>
      <c r="P90" t="str">
        <v>Expert</v>
      </c>
      <c r="Q90" t="str">
        <v>Motivate</v>
      </c>
      <c r="R90" t="str">
        <v>Caring</v>
      </c>
      <c r="S90" t="str">
        <v>Charisma</v>
      </c>
      <c r="T90" t="str">
        <v>Passion</v>
      </c>
      <c r="U90" t="str">
        <v>Friendly</v>
      </c>
    </row>
    <row r="91" spans="1:23" x14ac:dyDescent="0.25">
      <c r="A91">
        <v>88</v>
      </c>
      <c r="B91" s="123">
        <v>3</v>
      </c>
      <c r="C91" s="37">
        <v>8</v>
      </c>
      <c r="D91" s="37">
        <v>3</v>
      </c>
      <c r="E91" s="37">
        <v>2</v>
      </c>
      <c r="F91" s="37">
        <v>6</v>
      </c>
      <c r="G91" s="37">
        <v>6</v>
      </c>
      <c r="H91" s="37">
        <v>1</v>
      </c>
      <c r="I91" s="37">
        <v>5</v>
      </c>
      <c r="J91" s="90">
        <v>7</v>
      </c>
      <c r="M91" s="207">
        <f t="array" ref="M91:U91">[1]!ExtractCommunalities(M14:U22,25,,200)</f>
        <v>0.53671031938112745</v>
      </c>
      <c r="N91" s="208">
        <v>0.71952282101130216</v>
      </c>
      <c r="O91" s="208">
        <v>0.77907156361932473</v>
      </c>
      <c r="P91" s="208">
        <v>0.57068410381910095</v>
      </c>
      <c r="Q91" s="208">
        <v>0.43365737269629639</v>
      </c>
      <c r="R91" s="208">
        <v>0.26565577603893803</v>
      </c>
      <c r="S91" s="208">
        <v>0.79326436295548697</v>
      </c>
      <c r="T91" s="208">
        <v>0.53191574590504098</v>
      </c>
      <c r="U91" s="209">
        <v>0.74981332115589316</v>
      </c>
    </row>
    <row r="92" spans="1:23" x14ac:dyDescent="0.25">
      <c r="A92">
        <v>89</v>
      </c>
      <c r="B92" s="123">
        <v>2</v>
      </c>
      <c r="C92" s="37">
        <v>8</v>
      </c>
      <c r="D92" s="37">
        <v>4</v>
      </c>
      <c r="E92" s="37">
        <v>2</v>
      </c>
      <c r="F92" s="37">
        <v>7</v>
      </c>
      <c r="G92" s="37">
        <v>6</v>
      </c>
      <c r="H92" s="37">
        <v>5</v>
      </c>
      <c r="I92" s="37">
        <v>6</v>
      </c>
      <c r="J92" s="90">
        <v>7</v>
      </c>
    </row>
    <row r="93" spans="1:23" x14ac:dyDescent="0.25">
      <c r="A93">
        <v>90</v>
      </c>
      <c r="B93" s="123">
        <v>3</v>
      </c>
      <c r="C93" s="37">
        <v>8</v>
      </c>
      <c r="D93" s="37">
        <v>2</v>
      </c>
      <c r="E93" s="37">
        <v>4</v>
      </c>
      <c r="F93" s="37">
        <v>8</v>
      </c>
      <c r="G93" s="37">
        <v>7</v>
      </c>
      <c r="H93" s="37">
        <v>3</v>
      </c>
      <c r="I93" s="37">
        <v>5</v>
      </c>
      <c r="J93" s="90">
        <v>8</v>
      </c>
      <c r="L93" t="s">
        <v>477</v>
      </c>
    </row>
    <row r="94" spans="1:23" x14ac:dyDescent="0.25">
      <c r="A94">
        <v>91</v>
      </c>
      <c r="B94" s="123">
        <v>5</v>
      </c>
      <c r="C94" s="37">
        <v>8</v>
      </c>
      <c r="D94" s="37">
        <v>3</v>
      </c>
      <c r="E94" s="37">
        <v>2</v>
      </c>
      <c r="F94" s="37">
        <v>5</v>
      </c>
      <c r="G94" s="37">
        <v>5</v>
      </c>
      <c r="H94" s="37">
        <v>5</v>
      </c>
      <c r="I94" s="37">
        <v>4</v>
      </c>
      <c r="J94" s="90">
        <v>7</v>
      </c>
    </row>
    <row r="95" spans="1:23" x14ac:dyDescent="0.25">
      <c r="A95">
        <v>92</v>
      </c>
      <c r="B95" s="123">
        <v>3</v>
      </c>
      <c r="C95" s="37">
        <v>8</v>
      </c>
      <c r="D95" s="37">
        <v>2</v>
      </c>
      <c r="E95" s="37">
        <v>4</v>
      </c>
      <c r="F95" s="37">
        <v>6</v>
      </c>
      <c r="G95" s="37">
        <v>6</v>
      </c>
      <c r="H95" s="37">
        <v>7</v>
      </c>
      <c r="I95" s="37">
        <v>4</v>
      </c>
      <c r="J95" s="90">
        <v>7</v>
      </c>
      <c r="M95" t="str">
        <f t="array" ref="M95:U95">B3:J3</f>
        <v>Expect</v>
      </c>
      <c r="N95" t="str">
        <v>Entertain</v>
      </c>
      <c r="O95" t="str">
        <v>Comm</v>
      </c>
      <c r="P95" t="str">
        <v>Expert</v>
      </c>
      <c r="Q95" t="str">
        <v>Motivate</v>
      </c>
      <c r="R95" t="str">
        <v>Caring</v>
      </c>
      <c r="S95" t="str">
        <v>Charisma</v>
      </c>
      <c r="T95" t="str">
        <v>Passion</v>
      </c>
      <c r="U95" t="str">
        <v>Friendly</v>
      </c>
    </row>
    <row r="96" spans="1:23" x14ac:dyDescent="0.25">
      <c r="A96">
        <v>93</v>
      </c>
      <c r="B96" s="123">
        <v>3</v>
      </c>
      <c r="C96" s="37">
        <v>8</v>
      </c>
      <c r="D96" s="37">
        <v>2</v>
      </c>
      <c r="E96" s="37">
        <v>2</v>
      </c>
      <c r="F96" s="37">
        <v>7</v>
      </c>
      <c r="G96" s="37">
        <v>8</v>
      </c>
      <c r="H96" s="37">
        <v>1</v>
      </c>
      <c r="I96" s="37">
        <v>4</v>
      </c>
      <c r="J96" s="90">
        <v>7</v>
      </c>
      <c r="L96" t="str">
        <f t="array" ref="L96:L104">TRANSPOSE(B3:J3)</f>
        <v>Expect</v>
      </c>
      <c r="M96" s="203">
        <f t="array" ref="M96:U104">M14:U22-[1]!IDENTITY()+[1]!DIAGONAL(M91:U91)</f>
        <v>0.53671031938112579</v>
      </c>
      <c r="N96" s="204">
        <v>-0.17658022821634106</v>
      </c>
      <c r="O96" s="204">
        <v>7.9472348910152368E-2</v>
      </c>
      <c r="P96" s="204">
        <v>0.12053127811168438</v>
      </c>
      <c r="Q96" s="204">
        <v>-0.1472071906836242</v>
      </c>
      <c r="R96" s="204">
        <v>-0.1052452402704131</v>
      </c>
      <c r="S96" s="204">
        <v>-2.189090621599556E-2</v>
      </c>
      <c r="T96" s="204">
        <v>-0.12979427946395597</v>
      </c>
      <c r="U96" s="205">
        <v>-0.34401036690229408</v>
      </c>
    </row>
    <row r="97" spans="1:21" x14ac:dyDescent="0.25">
      <c r="A97">
        <v>94</v>
      </c>
      <c r="B97" s="123">
        <v>3</v>
      </c>
      <c r="C97" s="37">
        <v>8</v>
      </c>
      <c r="D97" s="37">
        <v>2</v>
      </c>
      <c r="E97" s="37">
        <v>2</v>
      </c>
      <c r="F97" s="37">
        <v>6</v>
      </c>
      <c r="G97" s="37">
        <v>4</v>
      </c>
      <c r="H97" s="37">
        <v>4</v>
      </c>
      <c r="I97" s="37">
        <v>5</v>
      </c>
      <c r="J97" s="90">
        <v>7</v>
      </c>
      <c r="L97" t="str">
        <v>Entertain</v>
      </c>
      <c r="M97" s="83">
        <v>-0.17658022821634106</v>
      </c>
      <c r="N97" s="37">
        <v>0.71952282101130327</v>
      </c>
      <c r="O97" s="37">
        <v>0.44692051174421527</v>
      </c>
      <c r="P97" s="37">
        <v>4.8459487091569518E-2</v>
      </c>
      <c r="Q97" s="37">
        <v>0.24412158026310946</v>
      </c>
      <c r="R97" s="37">
        <v>0.11666737388326598</v>
      </c>
      <c r="S97" s="37">
        <v>0.45068677465590851</v>
      </c>
      <c r="T97" s="37">
        <v>0.37925969237500351</v>
      </c>
      <c r="U97" s="84">
        <v>0.40086949354334672</v>
      </c>
    </row>
    <row r="98" spans="1:21" x14ac:dyDescent="0.25">
      <c r="A98">
        <v>95</v>
      </c>
      <c r="B98" s="123">
        <v>4</v>
      </c>
      <c r="C98" s="37">
        <v>8</v>
      </c>
      <c r="D98" s="37">
        <v>3</v>
      </c>
      <c r="E98" s="37">
        <v>3</v>
      </c>
      <c r="F98" s="37">
        <v>5</v>
      </c>
      <c r="G98" s="37">
        <v>5</v>
      </c>
      <c r="H98" s="37">
        <v>1</v>
      </c>
      <c r="I98" s="37">
        <v>4</v>
      </c>
      <c r="J98" s="90">
        <v>8</v>
      </c>
      <c r="L98" t="str">
        <v>Comm</v>
      </c>
      <c r="M98" s="83">
        <v>7.9472348910152368E-2</v>
      </c>
      <c r="N98" s="37">
        <v>0.44692051174421527</v>
      </c>
      <c r="O98" s="37">
        <v>0.77907156361932539</v>
      </c>
      <c r="P98" s="37">
        <v>0.15224383453637197</v>
      </c>
      <c r="Q98" s="37">
        <v>0.28642393294527835</v>
      </c>
      <c r="R98" s="37">
        <v>0.10626504883200415</v>
      </c>
      <c r="S98" s="37">
        <v>0.74875752234637871</v>
      </c>
      <c r="T98" s="37">
        <v>0.3683592382753193</v>
      </c>
      <c r="U98" s="84">
        <v>6.9273962356187456E-3</v>
      </c>
    </row>
    <row r="99" spans="1:21" x14ac:dyDescent="0.25">
      <c r="A99">
        <v>96</v>
      </c>
      <c r="B99" s="123">
        <v>5</v>
      </c>
      <c r="C99" s="37">
        <v>8</v>
      </c>
      <c r="D99" s="37">
        <v>2</v>
      </c>
      <c r="E99" s="37">
        <v>3</v>
      </c>
      <c r="F99" s="37">
        <v>7</v>
      </c>
      <c r="G99" s="37">
        <v>6</v>
      </c>
      <c r="H99" s="37">
        <v>5</v>
      </c>
      <c r="I99" s="37">
        <v>4</v>
      </c>
      <c r="J99" s="90">
        <v>7</v>
      </c>
      <c r="L99" t="str">
        <v>Expert</v>
      </c>
      <c r="M99" s="83">
        <v>0.12053127811168438</v>
      </c>
      <c r="N99" s="37">
        <v>4.8459487091569518E-2</v>
      </c>
      <c r="O99" s="37">
        <v>0.15224383453637197</v>
      </c>
      <c r="P99" s="37">
        <v>0.57068410381910184</v>
      </c>
      <c r="Q99" s="37">
        <v>0.19428606575437976</v>
      </c>
      <c r="R99" s="37">
        <v>4.610935721914871E-2</v>
      </c>
      <c r="S99" s="37">
        <v>0.24731764508778434</v>
      </c>
      <c r="T99" s="37">
        <v>0.25800736545459846</v>
      </c>
      <c r="U99" s="84">
        <v>0.18590615055713855</v>
      </c>
    </row>
    <row r="100" spans="1:21" x14ac:dyDescent="0.25">
      <c r="A100">
        <v>97</v>
      </c>
      <c r="B100" s="123">
        <v>4</v>
      </c>
      <c r="C100" s="37">
        <v>9</v>
      </c>
      <c r="D100" s="37">
        <v>2</v>
      </c>
      <c r="E100" s="37">
        <v>3</v>
      </c>
      <c r="F100" s="37">
        <v>7</v>
      </c>
      <c r="G100" s="37">
        <v>7</v>
      </c>
      <c r="H100" s="37">
        <v>6</v>
      </c>
      <c r="I100" s="37">
        <v>6</v>
      </c>
      <c r="J100" s="90">
        <v>6</v>
      </c>
      <c r="L100" t="str">
        <v>Motivate</v>
      </c>
      <c r="M100" s="83">
        <v>-0.1472071906836242</v>
      </c>
      <c r="N100" s="37">
        <v>0.24412158026310946</v>
      </c>
      <c r="O100" s="37">
        <v>0.28642393294527835</v>
      </c>
      <c r="P100" s="37">
        <v>0.19428606575437976</v>
      </c>
      <c r="Q100" s="37">
        <v>0.43365737269629728</v>
      </c>
      <c r="R100" s="37">
        <v>0.28436745486873366</v>
      </c>
      <c r="S100" s="37">
        <v>0.34434258129116857</v>
      </c>
      <c r="T100" s="37">
        <v>0.32646573442580362</v>
      </c>
      <c r="U100" s="84">
        <v>3.7341657013804541E-2</v>
      </c>
    </row>
    <row r="101" spans="1:21" x14ac:dyDescent="0.25">
      <c r="A101">
        <v>98</v>
      </c>
      <c r="B101" s="123">
        <v>4</v>
      </c>
      <c r="C101" s="37">
        <v>8</v>
      </c>
      <c r="D101" s="37">
        <v>3</v>
      </c>
      <c r="E101" s="37">
        <v>3</v>
      </c>
      <c r="F101" s="37">
        <v>6</v>
      </c>
      <c r="G101" s="37">
        <v>6</v>
      </c>
      <c r="H101" s="37">
        <v>5</v>
      </c>
      <c r="I101" s="37">
        <v>5</v>
      </c>
      <c r="J101" s="90">
        <v>7</v>
      </c>
      <c r="L101" t="str">
        <v>Caring</v>
      </c>
      <c r="M101" s="83">
        <v>-0.1052452402704131</v>
      </c>
      <c r="N101" s="37">
        <v>0.11666737388326598</v>
      </c>
      <c r="O101" s="37">
        <v>0.10626504883200415</v>
      </c>
      <c r="P101" s="37">
        <v>4.610935721914871E-2</v>
      </c>
      <c r="Q101" s="37">
        <v>0.28436745486873366</v>
      </c>
      <c r="R101" s="37">
        <v>0.26565577603893981</v>
      </c>
      <c r="S101" s="37">
        <v>0.10231072687883692</v>
      </c>
      <c r="T101" s="37">
        <v>0.19515460623774106</v>
      </c>
      <c r="U101" s="84">
        <v>-5.5294628532650346E-2</v>
      </c>
    </row>
    <row r="102" spans="1:21" x14ac:dyDescent="0.25">
      <c r="A102">
        <v>99</v>
      </c>
      <c r="B102" s="123">
        <v>3</v>
      </c>
      <c r="C102" s="37">
        <v>8</v>
      </c>
      <c r="D102" s="37">
        <v>3</v>
      </c>
      <c r="E102" s="37">
        <v>3</v>
      </c>
      <c r="F102" s="37">
        <v>7</v>
      </c>
      <c r="G102" s="37">
        <v>5</v>
      </c>
      <c r="H102" s="37">
        <v>3</v>
      </c>
      <c r="I102" s="37">
        <v>5</v>
      </c>
      <c r="J102" s="90">
        <v>7</v>
      </c>
      <c r="L102" t="str">
        <v>Charisma</v>
      </c>
      <c r="M102" s="83">
        <v>-2.189090621599556E-2</v>
      </c>
      <c r="N102" s="37">
        <v>0.45068677465590851</v>
      </c>
      <c r="O102" s="37">
        <v>0.74875752234637871</v>
      </c>
      <c r="P102" s="37">
        <v>0.24731764508778434</v>
      </c>
      <c r="Q102" s="37">
        <v>0.34434258129116857</v>
      </c>
      <c r="R102" s="37">
        <v>0.10231072687883692</v>
      </c>
      <c r="S102" s="37">
        <v>0.79326436295548786</v>
      </c>
      <c r="T102" s="37">
        <v>0.43880478206893986</v>
      </c>
      <c r="U102" s="84">
        <v>0.10313209036584842</v>
      </c>
    </row>
    <row r="103" spans="1:21" x14ac:dyDescent="0.25">
      <c r="A103">
        <v>100</v>
      </c>
      <c r="B103" s="123">
        <v>2</v>
      </c>
      <c r="C103" s="37">
        <v>8</v>
      </c>
      <c r="D103" s="37">
        <v>3</v>
      </c>
      <c r="E103" s="37">
        <v>2</v>
      </c>
      <c r="F103" s="37">
        <v>8</v>
      </c>
      <c r="G103" s="37">
        <v>8</v>
      </c>
      <c r="H103" s="37">
        <v>5</v>
      </c>
      <c r="I103" s="37">
        <v>4</v>
      </c>
      <c r="J103" s="90">
        <v>7</v>
      </c>
      <c r="L103" t="str">
        <v>Passion</v>
      </c>
      <c r="M103" s="83">
        <v>-0.12979427946395597</v>
      </c>
      <c r="N103" s="37">
        <v>0.37925969237500351</v>
      </c>
      <c r="O103" s="37">
        <v>0.3683592382753193</v>
      </c>
      <c r="P103" s="37">
        <v>0.25800736545459846</v>
      </c>
      <c r="Q103" s="37">
        <v>0.32646573442580362</v>
      </c>
      <c r="R103" s="37">
        <v>0.19515460623774106</v>
      </c>
      <c r="S103" s="37">
        <v>0.43880478206893986</v>
      </c>
      <c r="T103" s="37">
        <v>0.53191574590504065</v>
      </c>
      <c r="U103" s="84">
        <v>8.8479441977978163E-2</v>
      </c>
    </row>
    <row r="104" spans="1:21" x14ac:dyDescent="0.25">
      <c r="A104">
        <f>A103+1</f>
        <v>101</v>
      </c>
      <c r="B104" s="123">
        <v>5</v>
      </c>
      <c r="C104" s="37">
        <v>8</v>
      </c>
      <c r="D104" s="37">
        <v>1</v>
      </c>
      <c r="E104" s="37">
        <v>3</v>
      </c>
      <c r="F104" s="37">
        <v>6</v>
      </c>
      <c r="G104" s="37">
        <v>6</v>
      </c>
      <c r="H104" s="37">
        <v>4</v>
      </c>
      <c r="I104" s="37">
        <v>5</v>
      </c>
      <c r="J104" s="90">
        <v>7</v>
      </c>
      <c r="L104" t="str">
        <v>Friendly</v>
      </c>
      <c r="M104" s="85">
        <v>-0.34401036690229408</v>
      </c>
      <c r="N104" s="86">
        <v>0.40086949354334672</v>
      </c>
      <c r="O104" s="86">
        <v>6.9273962356187456E-3</v>
      </c>
      <c r="P104" s="86">
        <v>0.18590615055713855</v>
      </c>
      <c r="Q104" s="86">
        <v>3.7341657013804541E-2</v>
      </c>
      <c r="R104" s="86">
        <v>-5.5294628532650346E-2</v>
      </c>
      <c r="S104" s="86">
        <v>0.10313209036584842</v>
      </c>
      <c r="T104" s="86">
        <v>8.8479441977978163E-2</v>
      </c>
      <c r="U104" s="87">
        <v>0.74981332115589405</v>
      </c>
    </row>
    <row r="105" spans="1:21" x14ac:dyDescent="0.25">
      <c r="A105">
        <f t="shared" ref="A105:A123" si="8">A104+1</f>
        <v>102</v>
      </c>
      <c r="B105" s="123">
        <v>6</v>
      </c>
      <c r="C105" s="37">
        <v>8</v>
      </c>
      <c r="D105" s="37">
        <v>3</v>
      </c>
      <c r="E105" s="37">
        <v>3</v>
      </c>
      <c r="F105" s="37">
        <v>6</v>
      </c>
      <c r="G105" s="37">
        <v>5</v>
      </c>
      <c r="H105" s="37">
        <v>4</v>
      </c>
      <c r="I105" s="37">
        <v>4</v>
      </c>
      <c r="J105" s="90">
        <v>7</v>
      </c>
    </row>
    <row r="106" spans="1:21" x14ac:dyDescent="0.25">
      <c r="A106">
        <f t="shared" si="8"/>
        <v>103</v>
      </c>
      <c r="B106" s="123">
        <v>5</v>
      </c>
      <c r="C106" s="37">
        <v>7</v>
      </c>
      <c r="D106" s="37">
        <v>3</v>
      </c>
      <c r="E106" s="37">
        <v>3</v>
      </c>
      <c r="F106" s="37">
        <v>7</v>
      </c>
      <c r="G106" s="37">
        <v>6</v>
      </c>
      <c r="H106" s="37">
        <v>6</v>
      </c>
      <c r="I106" s="37">
        <v>4</v>
      </c>
      <c r="J106" s="90">
        <v>7</v>
      </c>
      <c r="L106" t="s">
        <v>417</v>
      </c>
    </row>
    <row r="107" spans="1:21" x14ac:dyDescent="0.25">
      <c r="A107">
        <f t="shared" si="8"/>
        <v>104</v>
      </c>
      <c r="B107" s="123">
        <v>4</v>
      </c>
      <c r="C107" s="37">
        <v>8</v>
      </c>
      <c r="D107" s="37">
        <v>3</v>
      </c>
      <c r="E107" s="37">
        <v>5</v>
      </c>
      <c r="F107" s="37">
        <v>6</v>
      </c>
      <c r="G107" s="37">
        <v>7</v>
      </c>
      <c r="H107" s="37">
        <v>2</v>
      </c>
      <c r="I107" s="37">
        <v>6</v>
      </c>
      <c r="J107" s="90">
        <v>6</v>
      </c>
    </row>
    <row r="108" spans="1:21" x14ac:dyDescent="0.25">
      <c r="A108">
        <f t="shared" si="8"/>
        <v>105</v>
      </c>
      <c r="B108" s="123">
        <v>3</v>
      </c>
      <c r="C108" s="37">
        <v>9</v>
      </c>
      <c r="D108" s="37">
        <v>3</v>
      </c>
      <c r="E108" s="37">
        <v>2</v>
      </c>
      <c r="F108" s="37">
        <v>6</v>
      </c>
      <c r="G108" s="37">
        <v>6</v>
      </c>
      <c r="H108" s="37">
        <v>5</v>
      </c>
      <c r="I108" s="37">
        <v>4</v>
      </c>
      <c r="J108" s="90">
        <v>8</v>
      </c>
      <c r="M108" s="207">
        <f t="array" ref="M108:U117">[1]!eVECTORS(M96:U104,200,FALSE)</f>
        <v>2.5536509811836483</v>
      </c>
      <c r="N108" s="208">
        <v>1.1153265174095559</v>
      </c>
      <c r="O108" s="208">
        <v>0.63721038011641118</v>
      </c>
      <c r="P108" s="208">
        <v>0.6179091882611577</v>
      </c>
      <c r="Q108" s="208">
        <v>0.25512184821443434</v>
      </c>
      <c r="R108" s="208">
        <v>0.17080506788787894</v>
      </c>
      <c r="S108" s="208">
        <v>3.4147341548146047E-2</v>
      </c>
      <c r="T108" s="208">
        <v>2.1266033269133635E-3</v>
      </c>
      <c r="U108" s="209">
        <v>-6.0025413656272916E-3</v>
      </c>
    </row>
    <row r="109" spans="1:21" x14ac:dyDescent="0.25">
      <c r="A109">
        <f t="shared" si="8"/>
        <v>106</v>
      </c>
      <c r="B109" s="123">
        <v>4</v>
      </c>
      <c r="C109" s="37">
        <v>8</v>
      </c>
      <c r="D109" s="37">
        <v>5</v>
      </c>
      <c r="E109" s="37">
        <v>4</v>
      </c>
      <c r="F109" s="37">
        <v>7</v>
      </c>
      <c r="G109" s="37">
        <v>6</v>
      </c>
      <c r="H109" s="37">
        <v>7</v>
      </c>
      <c r="I109" s="37">
        <v>5</v>
      </c>
      <c r="J109" s="90">
        <v>8</v>
      </c>
      <c r="M109" s="83">
        <v>9.6976594216559783E-2</v>
      </c>
      <c r="N109" s="37">
        <v>0.53043943477772015</v>
      </c>
      <c r="O109" s="37">
        <v>-0.38439839861554609</v>
      </c>
      <c r="P109" s="37">
        <v>-0.22068077069433056</v>
      </c>
      <c r="Q109" s="37">
        <v>0.51374085469967457</v>
      </c>
      <c r="R109" s="37">
        <v>-0.21874720104512205</v>
      </c>
      <c r="S109" s="37">
        <v>3.0979556809312012E-2</v>
      </c>
      <c r="T109" s="37">
        <v>-0.19200571150348467</v>
      </c>
      <c r="U109" s="84">
        <v>-0.40393252512235645</v>
      </c>
    </row>
    <row r="110" spans="1:21" x14ac:dyDescent="0.25">
      <c r="A110">
        <f t="shared" si="8"/>
        <v>107</v>
      </c>
      <c r="B110" s="123">
        <v>5</v>
      </c>
      <c r="C110" s="37">
        <v>9</v>
      </c>
      <c r="D110" s="37">
        <v>7</v>
      </c>
      <c r="E110" s="37">
        <v>2</v>
      </c>
      <c r="F110" s="37">
        <v>5</v>
      </c>
      <c r="G110" s="37">
        <v>6</v>
      </c>
      <c r="H110" s="37">
        <v>8</v>
      </c>
      <c r="I110" s="37">
        <v>6</v>
      </c>
      <c r="J110" s="90">
        <v>8</v>
      </c>
      <c r="M110" s="83">
        <v>-0.42266830941984829</v>
      </c>
      <c r="N110" s="37">
        <v>-0.27672993488450359</v>
      </c>
      <c r="O110" s="37">
        <v>0.14880754051123504</v>
      </c>
      <c r="P110" s="37">
        <v>-0.30611157056852606</v>
      </c>
      <c r="Q110" s="37">
        <v>0.64051926816543125</v>
      </c>
      <c r="R110" s="37">
        <v>-3.6419538127975076E-2</v>
      </c>
      <c r="S110" s="37">
        <v>0.23903446688281524</v>
      </c>
      <c r="T110" s="37">
        <v>3.0185469495756258E-2</v>
      </c>
      <c r="U110" s="84">
        <v>0.39910413556713298</v>
      </c>
    </row>
    <row r="111" spans="1:21" x14ac:dyDescent="0.25">
      <c r="A111">
        <f t="shared" si="8"/>
        <v>108</v>
      </c>
      <c r="B111" s="123">
        <v>5</v>
      </c>
      <c r="C111" s="37">
        <v>8</v>
      </c>
      <c r="D111" s="37">
        <v>2</v>
      </c>
      <c r="E111" s="37">
        <v>4</v>
      </c>
      <c r="F111" s="37">
        <v>6</v>
      </c>
      <c r="G111" s="37">
        <v>7</v>
      </c>
      <c r="H111" s="37">
        <v>3</v>
      </c>
      <c r="I111" s="37">
        <v>4</v>
      </c>
      <c r="J111" s="90">
        <v>7</v>
      </c>
      <c r="M111" s="83">
        <v>-0.47127843778505657</v>
      </c>
      <c r="N111" s="37">
        <v>0.31942500638832949</v>
      </c>
      <c r="O111" s="37">
        <v>7.5906512354690245E-2</v>
      </c>
      <c r="P111" s="37">
        <v>-0.34216052761492088</v>
      </c>
      <c r="Q111" s="37">
        <v>-0.19875401593027667</v>
      </c>
      <c r="R111" s="37">
        <v>-0.15978992438299436</v>
      </c>
      <c r="S111" s="37">
        <v>-0.45449036517564967</v>
      </c>
      <c r="T111" s="37">
        <v>0.5295465363024735</v>
      </c>
      <c r="U111" s="84">
        <v>-3.1806747192073832E-2</v>
      </c>
    </row>
    <row r="112" spans="1:21" x14ac:dyDescent="0.25">
      <c r="A112">
        <f t="shared" si="8"/>
        <v>109</v>
      </c>
      <c r="B112" s="123">
        <v>4</v>
      </c>
      <c r="C112" s="37">
        <v>9</v>
      </c>
      <c r="D112" s="37">
        <v>4</v>
      </c>
      <c r="E112" s="37">
        <v>3</v>
      </c>
      <c r="F112" s="37">
        <v>7</v>
      </c>
      <c r="G112" s="37">
        <v>6</v>
      </c>
      <c r="H112" s="37">
        <v>4</v>
      </c>
      <c r="I112" s="37">
        <v>4</v>
      </c>
      <c r="J112" s="90">
        <v>8</v>
      </c>
      <c r="M112" s="83">
        <v>-0.20362748632087779</v>
      </c>
      <c r="N112" s="37">
        <v>6.7127412688757535E-2</v>
      </c>
      <c r="O112" s="37">
        <v>-0.76008171913496425</v>
      </c>
      <c r="P112" s="37">
        <v>0.38721768235350806</v>
      </c>
      <c r="Q112" s="37">
        <v>-2.4511702754428551E-2</v>
      </c>
      <c r="R112" s="37">
        <v>-1.6168752820812317E-3</v>
      </c>
      <c r="S112" s="37">
        <v>-2.4862359987570821E-2</v>
      </c>
      <c r="T112" s="37">
        <v>0.13375337447475932</v>
      </c>
      <c r="U112" s="84">
        <v>0.45525428499337817</v>
      </c>
    </row>
    <row r="113" spans="1:23" x14ac:dyDescent="0.25">
      <c r="A113">
        <f t="shared" si="8"/>
        <v>110</v>
      </c>
      <c r="B113" s="123">
        <v>4</v>
      </c>
      <c r="C113" s="37">
        <v>9</v>
      </c>
      <c r="D113" s="37">
        <v>5</v>
      </c>
      <c r="E113" s="37">
        <v>3</v>
      </c>
      <c r="F113" s="37">
        <v>8</v>
      </c>
      <c r="G113" s="37">
        <v>6</v>
      </c>
      <c r="H113" s="37">
        <v>8</v>
      </c>
      <c r="I113" s="37">
        <v>5</v>
      </c>
      <c r="J113" s="90">
        <v>7</v>
      </c>
      <c r="M113" s="83">
        <v>-0.30100053154875639</v>
      </c>
      <c r="N113" s="37">
        <v>3.2972447612091713E-2</v>
      </c>
      <c r="O113" s="37">
        <v>0.16485685676928719</v>
      </c>
      <c r="P113" s="37">
        <v>0.47786161173365732</v>
      </c>
      <c r="Q113" s="37">
        <v>-2.2224201268936743E-2</v>
      </c>
      <c r="R113" s="37">
        <v>-0.44515310315955037</v>
      </c>
      <c r="S113" s="37">
        <v>0.51828432007414982</v>
      </c>
      <c r="T113" s="37">
        <v>0.27985854673622462</v>
      </c>
      <c r="U113" s="84">
        <v>-0.32739479458696602</v>
      </c>
    </row>
    <row r="114" spans="1:23" x14ac:dyDescent="0.25">
      <c r="A114">
        <f t="shared" si="8"/>
        <v>111</v>
      </c>
      <c r="B114" s="123">
        <v>4</v>
      </c>
      <c r="C114" s="37">
        <v>9</v>
      </c>
      <c r="D114" s="37">
        <v>2</v>
      </c>
      <c r="E114" s="37">
        <v>3</v>
      </c>
      <c r="F114" s="37">
        <v>7</v>
      </c>
      <c r="G114" s="37">
        <v>6</v>
      </c>
      <c r="H114" s="37">
        <v>4</v>
      </c>
      <c r="I114" s="37">
        <v>5</v>
      </c>
      <c r="J114" s="90">
        <v>8</v>
      </c>
      <c r="M114" s="83">
        <v>-0.14005838587101854</v>
      </c>
      <c r="N114" s="37">
        <v>2.7198035977337508E-2</v>
      </c>
      <c r="O114" s="37">
        <v>0.27511167552860222</v>
      </c>
      <c r="P114" s="37">
        <v>0.44148545510984394</v>
      </c>
      <c r="Q114" s="37">
        <v>0.2085968371642698</v>
      </c>
      <c r="R114" s="37">
        <v>-0.36781991355889859</v>
      </c>
      <c r="S114" s="37">
        <v>-0.58239513196563453</v>
      </c>
      <c r="T114" s="37">
        <v>-0.42063355655309442</v>
      </c>
      <c r="U114" s="84">
        <v>0.1188581775869556</v>
      </c>
    </row>
    <row r="115" spans="1:23" x14ac:dyDescent="0.25">
      <c r="A115">
        <f t="shared" si="8"/>
        <v>112</v>
      </c>
      <c r="B115" s="123">
        <v>4</v>
      </c>
      <c r="C115" s="37">
        <v>8</v>
      </c>
      <c r="D115" s="37">
        <v>6</v>
      </c>
      <c r="E115" s="37">
        <v>5</v>
      </c>
      <c r="F115" s="37">
        <v>7</v>
      </c>
      <c r="G115" s="37">
        <v>7</v>
      </c>
      <c r="H115" s="37">
        <v>8</v>
      </c>
      <c r="I115" s="37">
        <v>6</v>
      </c>
      <c r="J115" s="90">
        <v>8</v>
      </c>
      <c r="M115" s="83">
        <v>-0.5106534493734225</v>
      </c>
      <c r="N115" s="37">
        <v>0.2188355836378284</v>
      </c>
      <c r="O115" s="37">
        <v>-2.0977600960692525E-2</v>
      </c>
      <c r="P115" s="37">
        <v>-0.19594824089584209</v>
      </c>
      <c r="Q115" s="37">
        <v>-0.42693064564549105</v>
      </c>
      <c r="R115" s="37">
        <v>3.8686189036599705E-2</v>
      </c>
      <c r="S115" s="37">
        <v>0.26239271810358988</v>
      </c>
      <c r="T115" s="37">
        <v>-0.6305679421941931</v>
      </c>
      <c r="U115" s="84">
        <v>4.7707478181260345E-2</v>
      </c>
    </row>
    <row r="116" spans="1:23" x14ac:dyDescent="0.25">
      <c r="A116">
        <f t="shared" si="8"/>
        <v>113</v>
      </c>
      <c r="B116" s="123">
        <v>3</v>
      </c>
      <c r="C116" s="37">
        <v>9</v>
      </c>
      <c r="D116" s="37">
        <v>8</v>
      </c>
      <c r="E116" s="37">
        <v>6</v>
      </c>
      <c r="F116" s="37">
        <v>8</v>
      </c>
      <c r="G116" s="37">
        <v>7</v>
      </c>
      <c r="H116" s="37">
        <v>10</v>
      </c>
      <c r="I116" s="37">
        <v>6</v>
      </c>
      <c r="J116" s="90">
        <v>7</v>
      </c>
      <c r="M116" s="83">
        <v>-0.37841901801008682</v>
      </c>
      <c r="N116" s="37">
        <v>1.9944683414367684E-2</v>
      </c>
      <c r="O116" s="37">
        <v>2.9524948721825057E-2</v>
      </c>
      <c r="P116" s="37">
        <v>0.31139424688073936</v>
      </c>
      <c r="Q116" s="37">
        <v>0.23124282969568682</v>
      </c>
      <c r="R116" s="37">
        <v>0.73380034206685885</v>
      </c>
      <c r="S116" s="37">
        <v>-0.13187537801148255</v>
      </c>
      <c r="T116" s="37">
        <v>2.0020170478872314E-2</v>
      </c>
      <c r="U116" s="84">
        <v>-0.3857914539871915</v>
      </c>
    </row>
    <row r="117" spans="1:23" x14ac:dyDescent="0.25">
      <c r="A117">
        <f t="shared" si="8"/>
        <v>114</v>
      </c>
      <c r="B117" s="123">
        <v>2</v>
      </c>
      <c r="C117" s="37">
        <v>9</v>
      </c>
      <c r="D117" s="37">
        <v>7</v>
      </c>
      <c r="E117" s="37">
        <v>4</v>
      </c>
      <c r="F117" s="37">
        <v>6</v>
      </c>
      <c r="G117" s="37">
        <v>6</v>
      </c>
      <c r="H117" s="37">
        <v>9</v>
      </c>
      <c r="I117" s="37">
        <v>5</v>
      </c>
      <c r="J117" s="90">
        <v>7</v>
      </c>
      <c r="M117" s="85">
        <v>-0.18491606551546597</v>
      </c>
      <c r="N117" s="86">
        <v>-0.69670826491859372</v>
      </c>
      <c r="O117" s="86">
        <v>-0.37740186681134175</v>
      </c>
      <c r="P117" s="86">
        <v>-0.17877675039571397</v>
      </c>
      <c r="Q117" s="86">
        <v>-7.7148174489186302E-2</v>
      </c>
      <c r="R117" s="86">
        <v>-0.22776195414248368</v>
      </c>
      <c r="S117" s="86">
        <v>-0.20169130300745422</v>
      </c>
      <c r="T117" s="86">
        <v>-0.10316497884063568</v>
      </c>
      <c r="U117" s="87">
        <v>-0.44368976053523546</v>
      </c>
    </row>
    <row r="118" spans="1:23" x14ac:dyDescent="0.25">
      <c r="A118">
        <f t="shared" si="8"/>
        <v>115</v>
      </c>
      <c r="B118" s="123">
        <v>4</v>
      </c>
      <c r="C118" s="37">
        <v>8</v>
      </c>
      <c r="D118" s="37">
        <v>2</v>
      </c>
      <c r="E118" s="37">
        <v>3</v>
      </c>
      <c r="F118" s="37">
        <v>7</v>
      </c>
      <c r="G118" s="37">
        <v>6</v>
      </c>
      <c r="H118" s="37">
        <v>3</v>
      </c>
      <c r="I118" s="37">
        <v>5</v>
      </c>
      <c r="J118" s="90">
        <v>7</v>
      </c>
    </row>
    <row r="119" spans="1:23" x14ac:dyDescent="0.25">
      <c r="A119">
        <f t="shared" si="8"/>
        <v>116</v>
      </c>
      <c r="B119" s="123">
        <v>5</v>
      </c>
      <c r="C119" s="37">
        <v>8</v>
      </c>
      <c r="D119" s="37">
        <v>5</v>
      </c>
      <c r="E119" s="37">
        <v>4</v>
      </c>
      <c r="F119" s="37">
        <v>6</v>
      </c>
      <c r="G119" s="37">
        <v>7</v>
      </c>
      <c r="H119" s="37">
        <v>8</v>
      </c>
      <c r="I119" s="37">
        <v>6</v>
      </c>
      <c r="J119" s="90">
        <v>7</v>
      </c>
      <c r="L119" t="s">
        <v>501</v>
      </c>
    </row>
    <row r="120" spans="1:23" x14ac:dyDescent="0.25">
      <c r="A120">
        <f t="shared" si="8"/>
        <v>117</v>
      </c>
      <c r="B120" s="123">
        <v>4</v>
      </c>
      <c r="C120" s="37">
        <v>10</v>
      </c>
      <c r="D120" s="37">
        <v>6</v>
      </c>
      <c r="E120" s="37">
        <v>3</v>
      </c>
      <c r="F120" s="37">
        <v>6</v>
      </c>
      <c r="G120" s="37">
        <v>8</v>
      </c>
      <c r="H120" s="37">
        <v>8</v>
      </c>
      <c r="I120" s="37">
        <v>5</v>
      </c>
      <c r="J120" s="90">
        <v>8</v>
      </c>
    </row>
    <row r="121" spans="1:23" x14ac:dyDescent="0.25">
      <c r="A121">
        <f t="shared" si="8"/>
        <v>118</v>
      </c>
      <c r="B121" s="123">
        <v>5</v>
      </c>
      <c r="C121" s="37">
        <v>9</v>
      </c>
      <c r="D121" s="37">
        <v>5</v>
      </c>
      <c r="E121" s="37">
        <v>5</v>
      </c>
      <c r="F121" s="37">
        <v>8</v>
      </c>
      <c r="G121" s="37">
        <v>3</v>
      </c>
      <c r="H121" s="37">
        <v>8</v>
      </c>
      <c r="I121" s="37">
        <v>5</v>
      </c>
      <c r="J121" s="90">
        <v>7</v>
      </c>
      <c r="M121">
        <v>1</v>
      </c>
      <c r="N121">
        <f>M121+1</f>
        <v>2</v>
      </c>
      <c r="O121">
        <f t="shared" ref="O121:U121" si="9">N121+1</f>
        <v>3</v>
      </c>
      <c r="P121">
        <f t="shared" si="9"/>
        <v>4</v>
      </c>
      <c r="Q121">
        <f t="shared" si="9"/>
        <v>5</v>
      </c>
      <c r="R121">
        <f t="shared" si="9"/>
        <v>6</v>
      </c>
      <c r="S121">
        <f t="shared" si="9"/>
        <v>7</v>
      </c>
      <c r="T121">
        <f t="shared" si="9"/>
        <v>8</v>
      </c>
      <c r="U121">
        <f t="shared" si="9"/>
        <v>9</v>
      </c>
      <c r="W121" t="s">
        <v>502</v>
      </c>
    </row>
    <row r="122" spans="1:23" x14ac:dyDescent="0.25">
      <c r="A122">
        <f t="shared" si="8"/>
        <v>119</v>
      </c>
      <c r="B122" s="123">
        <v>3</v>
      </c>
      <c r="C122" s="37">
        <v>8</v>
      </c>
      <c r="D122" s="37">
        <v>2</v>
      </c>
      <c r="E122" s="37">
        <v>4</v>
      </c>
      <c r="F122" s="37">
        <v>7</v>
      </c>
      <c r="G122" s="37">
        <v>4</v>
      </c>
      <c r="H122" s="37">
        <v>1</v>
      </c>
      <c r="I122" s="37">
        <v>6</v>
      </c>
      <c r="J122" s="90">
        <v>8</v>
      </c>
      <c r="L122" t="str">
        <f t="array" ref="L122:L130">TRANSPOSE(B3:J3)</f>
        <v>Expect</v>
      </c>
      <c r="M122" s="203">
        <f t="array" ref="M122:U130">M109:U117*SQRT(ABS(M108:U108))</f>
        <v>0.15497002310694458</v>
      </c>
      <c r="N122" s="204">
        <v>0.56019189048846008</v>
      </c>
      <c r="O122" s="204">
        <v>-0.30684778359398551</v>
      </c>
      <c r="P122" s="204">
        <v>-0.17347097465169509</v>
      </c>
      <c r="Q122" s="204">
        <v>0.25948838920910944</v>
      </c>
      <c r="R122" s="204">
        <v>-9.0405089594461405E-2</v>
      </c>
      <c r="S122" s="204">
        <v>5.7247120888869654E-3</v>
      </c>
      <c r="T122" s="204">
        <v>-8.8543644162635757E-3</v>
      </c>
      <c r="U122" s="205">
        <v>-3.1295104443021735E-2</v>
      </c>
      <c r="W122" s="206">
        <f>SUMSQ(M122:U122)</f>
        <v>0.53867626359268928</v>
      </c>
    </row>
    <row r="123" spans="1:23" x14ac:dyDescent="0.25">
      <c r="A123">
        <f t="shared" si="8"/>
        <v>120</v>
      </c>
      <c r="B123" s="91">
        <v>5</v>
      </c>
      <c r="C123" s="92">
        <v>8</v>
      </c>
      <c r="D123" s="92">
        <v>1</v>
      </c>
      <c r="E123" s="92">
        <v>5</v>
      </c>
      <c r="F123" s="92">
        <v>5</v>
      </c>
      <c r="G123" s="92">
        <v>6</v>
      </c>
      <c r="H123" s="92">
        <v>1</v>
      </c>
      <c r="I123" s="92">
        <v>3</v>
      </c>
      <c r="J123" s="93">
        <v>8</v>
      </c>
      <c r="L123" t="str">
        <v>Entertain</v>
      </c>
      <c r="M123" s="83">
        <v>-0.67543017164632613</v>
      </c>
      <c r="N123" s="37">
        <v>-0.2922517731787046</v>
      </c>
      <c r="O123" s="37">
        <v>0.11878630127596483</v>
      </c>
      <c r="P123" s="37">
        <v>-0.24062573432025613</v>
      </c>
      <c r="Q123" s="37">
        <v>0.32352364355139274</v>
      </c>
      <c r="R123" s="37">
        <v>-1.5051674223567905E-2</v>
      </c>
      <c r="S123" s="37">
        <v>4.4171177484804459E-2</v>
      </c>
      <c r="T123" s="37">
        <v>1.3920062319947349E-3</v>
      </c>
      <c r="U123" s="84">
        <v>3.0921019797630671E-2</v>
      </c>
      <c r="W123" s="98">
        <f t="shared" ref="W123:W130" si="10">SUMSQ(M123:U123)</f>
        <v>0.72143118598503975</v>
      </c>
    </row>
    <row r="124" spans="1:23" x14ac:dyDescent="0.25">
      <c r="B124" s="37"/>
      <c r="C124" s="37"/>
      <c r="D124" s="37"/>
      <c r="E124" s="37"/>
      <c r="F124" s="37"/>
      <c r="G124" s="37"/>
      <c r="H124" s="37"/>
      <c r="I124" s="37"/>
      <c r="J124" s="37"/>
      <c r="L124" t="str">
        <v>Comm</v>
      </c>
      <c r="M124" s="83">
        <v>-0.75310987133928053</v>
      </c>
      <c r="N124" s="37">
        <v>0.33734161992113387</v>
      </c>
      <c r="O124" s="37">
        <v>6.0592721406421073E-2</v>
      </c>
      <c r="P124" s="37">
        <v>-0.26896281006246925</v>
      </c>
      <c r="Q124" s="37">
        <v>-0.1003898346234091</v>
      </c>
      <c r="R124" s="37">
        <v>-6.6038890377193932E-2</v>
      </c>
      <c r="S124" s="37">
        <v>-8.3985271442670262E-2</v>
      </c>
      <c r="T124" s="37">
        <v>2.4420096522530545E-2</v>
      </c>
      <c r="U124" s="84">
        <v>-2.4642617602215135E-3</v>
      </c>
      <c r="W124" s="98">
        <f t="shared" si="10"/>
        <v>0.77908151138127657</v>
      </c>
    </row>
    <row r="125" spans="1:23" x14ac:dyDescent="0.25">
      <c r="B125" s="47" t="str">
        <f>B3</f>
        <v>Expect</v>
      </c>
      <c r="C125" s="47" t="str">
        <f t="shared" ref="C125:J125" si="11">C3</f>
        <v>Entertain</v>
      </c>
      <c r="D125" s="47" t="str">
        <f t="shared" si="11"/>
        <v>Comm</v>
      </c>
      <c r="E125" s="47" t="str">
        <f t="shared" si="11"/>
        <v>Expert</v>
      </c>
      <c r="F125" s="47" t="str">
        <f t="shared" si="11"/>
        <v>Motivate</v>
      </c>
      <c r="G125" s="47" t="str">
        <f t="shared" si="11"/>
        <v>Caring</v>
      </c>
      <c r="H125" s="47" t="str">
        <f t="shared" si="11"/>
        <v>Charisma</v>
      </c>
      <c r="I125" s="47" t="str">
        <f t="shared" si="11"/>
        <v>Passion</v>
      </c>
      <c r="J125" s="47" t="str">
        <f t="shared" si="11"/>
        <v>Friendly</v>
      </c>
      <c r="L125" t="str">
        <v>Expert</v>
      </c>
      <c r="M125" s="83">
        <v>-0.32539971645000215</v>
      </c>
      <c r="N125" s="37">
        <v>7.0892602910400365E-2</v>
      </c>
      <c r="O125" s="37">
        <v>-0.60673871615197095</v>
      </c>
      <c r="P125" s="37">
        <v>0.30438097777569156</v>
      </c>
      <c r="Q125" s="37">
        <v>-1.2380760078420108E-2</v>
      </c>
      <c r="R125" s="37">
        <v>-6.6823142897938991E-4</v>
      </c>
      <c r="S125" s="37">
        <v>-4.5943153304350672E-3</v>
      </c>
      <c r="T125" s="37">
        <v>6.1680515138373485E-3</v>
      </c>
      <c r="U125" s="84">
        <v>3.5271312684427382E-2</v>
      </c>
      <c r="W125" s="98">
        <f t="shared" si="10"/>
        <v>0.57314733376725913</v>
      </c>
    </row>
    <row r="126" spans="1:23" x14ac:dyDescent="0.25">
      <c r="A126" t="s">
        <v>48</v>
      </c>
      <c r="B126" s="156">
        <f>AVERAGE(B4:B123)</f>
        <v>3.7083333333333335</v>
      </c>
      <c r="C126" s="157">
        <f t="shared" ref="C126:J126" si="12">AVERAGE(C4:C123)</f>
        <v>8.1666666666666661</v>
      </c>
      <c r="D126" s="157">
        <f t="shared" si="12"/>
        <v>3.45</v>
      </c>
      <c r="E126" s="157">
        <f t="shared" si="12"/>
        <v>3.3833333333333333</v>
      </c>
      <c r="F126" s="157">
        <f t="shared" si="12"/>
        <v>6.708333333333333</v>
      </c>
      <c r="G126" s="157">
        <f t="shared" si="12"/>
        <v>6.0083333333333337</v>
      </c>
      <c r="H126" s="157">
        <f t="shared" si="12"/>
        <v>4.8416666666666668</v>
      </c>
      <c r="I126" s="157">
        <f t="shared" si="12"/>
        <v>4.7249999999999996</v>
      </c>
      <c r="J126" s="158">
        <f t="shared" si="12"/>
        <v>7.3</v>
      </c>
      <c r="L126" t="str">
        <v>Motivate</v>
      </c>
      <c r="M126" s="83">
        <v>-0.48100327410083521</v>
      </c>
      <c r="N126" s="37">
        <v>3.4821878900443311E-2</v>
      </c>
      <c r="O126" s="37">
        <v>0.13159774154137455</v>
      </c>
      <c r="P126" s="37">
        <v>0.3756336325781966</v>
      </c>
      <c r="Q126" s="37">
        <v>-1.1225352502102838E-2</v>
      </c>
      <c r="R126" s="37">
        <v>-0.18397541080349789</v>
      </c>
      <c r="S126" s="37">
        <v>9.5773755927883397E-2</v>
      </c>
      <c r="T126" s="37">
        <v>1.2905707535494287E-2</v>
      </c>
      <c r="U126" s="84">
        <v>-2.5365261902584212E-2</v>
      </c>
      <c r="W126" s="98">
        <f t="shared" si="10"/>
        <v>0.43495083089058684</v>
      </c>
    </row>
    <row r="127" spans="1:23" x14ac:dyDescent="0.25">
      <c r="A127" t="s">
        <v>49</v>
      </c>
      <c r="B127" s="123">
        <f>STDEV(B4:B123)</f>
        <v>1.2662114027786242</v>
      </c>
      <c r="C127" s="37">
        <f t="shared" ref="C127:J127" si="13">STDEV(C4:C123)</f>
        <v>0.57002629061192933</v>
      </c>
      <c r="D127" s="37">
        <f t="shared" si="13"/>
        <v>1.6492932023224043</v>
      </c>
      <c r="E127" s="37">
        <f t="shared" si="13"/>
        <v>1.0140469991704575</v>
      </c>
      <c r="F127" s="37">
        <f t="shared" si="13"/>
        <v>0.95614626824273719</v>
      </c>
      <c r="G127" s="37">
        <f t="shared" si="13"/>
        <v>1.3688972027952755</v>
      </c>
      <c r="H127" s="37">
        <f t="shared" si="13"/>
        <v>2.5895583262266895</v>
      </c>
      <c r="I127" s="37">
        <f t="shared" si="13"/>
        <v>0.95233018071950515</v>
      </c>
      <c r="J127" s="90">
        <f t="shared" si="13"/>
        <v>0.58840333734179207</v>
      </c>
      <c r="L127" t="str">
        <v>Caring</v>
      </c>
      <c r="M127" s="83">
        <v>-0.22381535946997375</v>
      </c>
      <c r="N127" s="37">
        <v>2.8723579343422165E-2</v>
      </c>
      <c r="O127" s="37">
        <v>0.21960915597155983</v>
      </c>
      <c r="P127" s="37">
        <v>0.34703935440995504</v>
      </c>
      <c r="Q127" s="37">
        <v>0.10536140307843335</v>
      </c>
      <c r="R127" s="37">
        <v>-0.15201470958734717</v>
      </c>
      <c r="S127" s="37">
        <v>-0.10762079241464234</v>
      </c>
      <c r="T127" s="37">
        <v>-1.939756253220893E-2</v>
      </c>
      <c r="U127" s="84">
        <v>9.2086644430632598E-3</v>
      </c>
      <c r="W127" s="98">
        <f t="shared" si="10"/>
        <v>0.26583565112334373</v>
      </c>
    </row>
    <row r="128" spans="1:23" x14ac:dyDescent="0.25">
      <c r="A128" t="s">
        <v>394</v>
      </c>
      <c r="B128" s="123">
        <f>SKEW(B4:B123)</f>
        <v>0.13857831473517168</v>
      </c>
      <c r="C128" s="37">
        <f t="shared" ref="C128:J128" si="14">SKEW(C4:C123)</f>
        <v>0.55879383518869019</v>
      </c>
      <c r="D128" s="37">
        <f t="shared" si="14"/>
        <v>0.60968237468969244</v>
      </c>
      <c r="E128" s="37">
        <f t="shared" si="14"/>
        <v>0.25011903407769448</v>
      </c>
      <c r="F128" s="37">
        <f t="shared" si="14"/>
        <v>3.0992568092345463E-2</v>
      </c>
      <c r="G128" s="37">
        <f t="shared" si="14"/>
        <v>-0.23512012357640227</v>
      </c>
      <c r="H128" s="37">
        <f t="shared" si="14"/>
        <v>4.7501040439116834E-2</v>
      </c>
      <c r="I128" s="37">
        <f t="shared" si="14"/>
        <v>-7.3874092896665661E-2</v>
      </c>
      <c r="J128" s="90">
        <f t="shared" si="14"/>
        <v>0.32217223907072601</v>
      </c>
      <c r="L128" t="str">
        <v>Charisma</v>
      </c>
      <c r="M128" s="83">
        <v>-0.81603171866729596</v>
      </c>
      <c r="N128" s="37">
        <v>0.23111011600333173</v>
      </c>
      <c r="O128" s="37">
        <v>-1.6745466118201553E-2</v>
      </c>
      <c r="P128" s="37">
        <v>-0.15402942550245555</v>
      </c>
      <c r="Q128" s="37">
        <v>-0.21564091025487164</v>
      </c>
      <c r="R128" s="37">
        <v>1.5988448625683833E-2</v>
      </c>
      <c r="S128" s="37">
        <v>4.8487548566608744E-2</v>
      </c>
      <c r="T128" s="37">
        <v>-2.9078709720046433E-2</v>
      </c>
      <c r="U128" s="84">
        <v>3.6961879015399183E-3</v>
      </c>
      <c r="W128" s="98">
        <f t="shared" si="10"/>
        <v>0.79329203434129791</v>
      </c>
    </row>
    <row r="129" spans="1:23" x14ac:dyDescent="0.25">
      <c r="A129" s="60" t="s">
        <v>395</v>
      </c>
      <c r="B129" s="91">
        <f>KURT(B4:B123)</f>
        <v>-7.5087531931202989E-2</v>
      </c>
      <c r="C129" s="92">
        <f t="shared" ref="C129:J129" si="15">KURT(C4:C123)</f>
        <v>1.2245729768528379</v>
      </c>
      <c r="D129" s="92">
        <f t="shared" si="15"/>
        <v>-0.37097323594953835</v>
      </c>
      <c r="E129" s="92">
        <f t="shared" si="15"/>
        <v>0.79048099823017459</v>
      </c>
      <c r="F129" s="92">
        <f t="shared" si="15"/>
        <v>-9.1985537444213339E-2</v>
      </c>
      <c r="G129" s="92">
        <f t="shared" si="15"/>
        <v>-0.42617618904263521</v>
      </c>
      <c r="H129" s="92">
        <f t="shared" si="15"/>
        <v>-0.92188768731537785</v>
      </c>
      <c r="I129" s="92">
        <f t="shared" si="15"/>
        <v>-0.24984145123189316</v>
      </c>
      <c r="J129" s="93">
        <f t="shared" si="15"/>
        <v>0.13488543363239947</v>
      </c>
      <c r="L129" t="str">
        <v>Passion</v>
      </c>
      <c r="M129" s="83">
        <v>-0.60471915351216177</v>
      </c>
      <c r="N129" s="37">
        <v>2.1063384760920789E-2</v>
      </c>
      <c r="O129" s="37">
        <v>2.3568425645495644E-2</v>
      </c>
      <c r="P129" s="37">
        <v>0.24477829825124936</v>
      </c>
      <c r="Q129" s="37">
        <v>0.11679980060952744</v>
      </c>
      <c r="R129" s="37">
        <v>0.3032691863120876</v>
      </c>
      <c r="S129" s="37">
        <v>-2.4369250192176596E-2</v>
      </c>
      <c r="T129" s="37">
        <v>9.2323235443150017E-4</v>
      </c>
      <c r="U129" s="84">
        <v>-2.9889605552554072E-2</v>
      </c>
      <c r="W129" s="98">
        <f t="shared" si="10"/>
        <v>0.53370330080605444</v>
      </c>
    </row>
    <row r="130" spans="1:23" x14ac:dyDescent="0.25">
      <c r="L130" t="str">
        <v>Friendly</v>
      </c>
      <c r="M130" s="85">
        <v>-0.29549859094642905</v>
      </c>
      <c r="N130" s="86">
        <v>-0.73578677310677787</v>
      </c>
      <c r="O130" s="86">
        <v>-0.30126277001251084</v>
      </c>
      <c r="P130" s="86">
        <v>-0.14053139763211844</v>
      </c>
      <c r="Q130" s="86">
        <v>-3.8967225100921966E-2</v>
      </c>
      <c r="R130" s="86">
        <v>-9.4130758117510607E-2</v>
      </c>
      <c r="S130" s="86">
        <v>-3.7270534490121354E-2</v>
      </c>
      <c r="T130" s="86">
        <v>-4.757464298839522E-3</v>
      </c>
      <c r="U130" s="87">
        <v>-3.4375338782246988E-2</v>
      </c>
      <c r="W130" s="99">
        <f t="shared" si="10"/>
        <v>0.75218235742622919</v>
      </c>
    </row>
    <row r="132" spans="1:23" x14ac:dyDescent="0.25">
      <c r="L132" t="s">
        <v>396</v>
      </c>
    </row>
    <row r="134" spans="1:23" x14ac:dyDescent="0.25">
      <c r="M134" s="32" t="s">
        <v>386</v>
      </c>
      <c r="N134" s="32" t="s">
        <v>387</v>
      </c>
      <c r="O134" s="32" t="s">
        <v>503</v>
      </c>
    </row>
    <row r="135" spans="1:23" x14ac:dyDescent="0.25">
      <c r="M135" s="203">
        <f t="array" ref="M135:M143">TRANSPOSE(M108:U108)</f>
        <v>2.5536509811836483</v>
      </c>
      <c r="N135" s="211">
        <f>M135/M$144</f>
        <v>0.47463025683533866</v>
      </c>
      <c r="O135" s="212">
        <f>N135</f>
        <v>0.47463025683533866</v>
      </c>
    </row>
    <row r="136" spans="1:23" x14ac:dyDescent="0.25">
      <c r="M136" s="83">
        <v>1.1153265174095559</v>
      </c>
      <c r="N136" s="213">
        <f t="shared" ref="N136:N143" si="16">M136/M$144</f>
        <v>0.2072983799720324</v>
      </c>
      <c r="O136" s="214">
        <f>O135+N136</f>
        <v>0.68192863680737104</v>
      </c>
    </row>
    <row r="137" spans="1:23" x14ac:dyDescent="0.25">
      <c r="M137" s="83">
        <v>0.63721038011641118</v>
      </c>
      <c r="N137" s="213">
        <f t="shared" si="16"/>
        <v>0.11843408852709061</v>
      </c>
      <c r="O137" s="214">
        <f t="shared" ref="O137:O143" si="17">O136+N137</f>
        <v>0.80036272533446162</v>
      </c>
    </row>
    <row r="138" spans="1:23" x14ac:dyDescent="0.25">
      <c r="M138" s="83">
        <v>0.6179091882611577</v>
      </c>
      <c r="N138" s="213">
        <f t="shared" si="16"/>
        <v>0.11484670336169855</v>
      </c>
      <c r="O138" s="214">
        <f t="shared" si="17"/>
        <v>0.91520942869616018</v>
      </c>
    </row>
    <row r="139" spans="1:23" x14ac:dyDescent="0.25">
      <c r="M139" s="83">
        <v>0.25512184821443434</v>
      </c>
      <c r="N139" s="213">
        <f t="shared" si="16"/>
        <v>4.7417814429048265E-2</v>
      </c>
      <c r="O139" s="214">
        <f t="shared" si="17"/>
        <v>0.96262724312520842</v>
      </c>
    </row>
    <row r="140" spans="1:23" x14ac:dyDescent="0.25">
      <c r="M140" s="83">
        <v>0.17080506788787894</v>
      </c>
      <c r="N140" s="213">
        <f t="shared" si="16"/>
        <v>3.1746410859492181E-2</v>
      </c>
      <c r="O140" s="214">
        <f t="shared" si="17"/>
        <v>0.99437365398470057</v>
      </c>
    </row>
    <row r="141" spans="1:23" x14ac:dyDescent="0.25">
      <c r="M141" s="83">
        <v>3.4147341548146047E-2</v>
      </c>
      <c r="N141" s="213">
        <f t="shared" si="16"/>
        <v>6.3467410420073459E-3</v>
      </c>
      <c r="O141" s="214">
        <f t="shared" si="17"/>
        <v>1.0007203950267078</v>
      </c>
    </row>
    <row r="142" spans="1:23" x14ac:dyDescent="0.25">
      <c r="M142" s="83">
        <v>2.1266033269133635E-3</v>
      </c>
      <c r="N142" s="213">
        <f t="shared" si="16"/>
        <v>3.9525772733904662E-4</v>
      </c>
      <c r="O142" s="214">
        <f t="shared" si="17"/>
        <v>1.0011156527540468</v>
      </c>
    </row>
    <row r="143" spans="1:23" x14ac:dyDescent="0.25">
      <c r="M143" s="85">
        <v>-6.0025413656272916E-3</v>
      </c>
      <c r="N143" s="215">
        <f t="shared" si="16"/>
        <v>-1.1156527540470253E-3</v>
      </c>
      <c r="O143" s="216">
        <f t="shared" si="17"/>
        <v>0.99999999999999978</v>
      </c>
    </row>
    <row r="144" spans="1:23" x14ac:dyDescent="0.25">
      <c r="M144">
        <f>SUM(M135:M143)</f>
        <v>5.3802953865825183</v>
      </c>
    </row>
    <row r="146" spans="12:19" x14ac:dyDescent="0.25">
      <c r="L146" t="s">
        <v>504</v>
      </c>
    </row>
    <row r="148" spans="12:19" x14ac:dyDescent="0.25">
      <c r="M148">
        <v>1</v>
      </c>
      <c r="N148">
        <f>M148+1</f>
        <v>2</v>
      </c>
      <c r="O148">
        <f>N148+1</f>
        <v>3</v>
      </c>
      <c r="P148">
        <f>O148+1</f>
        <v>4</v>
      </c>
      <c r="R148" s="47" t="s">
        <v>502</v>
      </c>
      <c r="S148" s="47" t="s">
        <v>505</v>
      </c>
    </row>
    <row r="149" spans="12:19" x14ac:dyDescent="0.25">
      <c r="L149" t="str">
        <f t="array" ref="L149:L157">TRANSPOSE(B3:J3)</f>
        <v>Expect</v>
      </c>
      <c r="M149" s="203">
        <f t="array" ref="M149:P157">M122:P130</f>
        <v>0.15497002310694458</v>
      </c>
      <c r="N149" s="204">
        <v>0.56019189048846008</v>
      </c>
      <c r="O149" s="204">
        <v>-0.30684778359398551</v>
      </c>
      <c r="P149" s="205">
        <v>-0.17347097465169509</v>
      </c>
      <c r="R149" s="206">
        <f>SUMSQ(M149:P149)</f>
        <v>0.46207840357395219</v>
      </c>
      <c r="S149" s="206">
        <f>1-R149</f>
        <v>0.53792159642604775</v>
      </c>
    </row>
    <row r="150" spans="12:19" x14ac:dyDescent="0.25">
      <c r="L150" t="str">
        <v>Entertain</v>
      </c>
      <c r="M150" s="83">
        <v>-0.67543017164632613</v>
      </c>
      <c r="N150" s="37">
        <v>-0.2922517731787046</v>
      </c>
      <c r="O150" s="37">
        <v>0.11878630127596483</v>
      </c>
      <c r="P150" s="84">
        <v>-0.24062573432025613</v>
      </c>
      <c r="R150" s="98">
        <f t="shared" ref="R150:R157" si="18">SUMSQ(M150:P150)</f>
        <v>0.61362794508426932</v>
      </c>
      <c r="S150" s="98">
        <f t="shared" ref="S150:S157" si="19">1-R150</f>
        <v>0.38637205491573068</v>
      </c>
    </row>
    <row r="151" spans="12:19" x14ac:dyDescent="0.25">
      <c r="L151" t="str">
        <v>Comm</v>
      </c>
      <c r="M151" s="83">
        <v>-0.75310987133928053</v>
      </c>
      <c r="N151" s="37">
        <v>0.33734161992113387</v>
      </c>
      <c r="O151" s="37">
        <v>6.0592721406421073E-2</v>
      </c>
      <c r="P151" s="84">
        <v>-0.26896281006246925</v>
      </c>
      <c r="R151" s="98">
        <f t="shared" si="18"/>
        <v>0.75698631792381854</v>
      </c>
      <c r="S151" s="98">
        <f t="shared" si="19"/>
        <v>0.24301368207618146</v>
      </c>
    </row>
    <row r="152" spans="12:19" x14ac:dyDescent="0.25">
      <c r="L152" t="str">
        <v>Expert</v>
      </c>
      <c r="M152" s="83">
        <v>-0.32539971645000215</v>
      </c>
      <c r="N152" s="37">
        <v>7.0892602910400365E-2</v>
      </c>
      <c r="O152" s="37">
        <v>-0.60673871615197095</v>
      </c>
      <c r="P152" s="84">
        <v>0.30438097777569156</v>
      </c>
      <c r="R152" s="98">
        <f t="shared" si="18"/>
        <v>0.57169038592258148</v>
      </c>
      <c r="S152" s="98">
        <f t="shared" si="19"/>
        <v>0.42830961407741852</v>
      </c>
    </row>
    <row r="153" spans="12:19" x14ac:dyDescent="0.25">
      <c r="L153" t="str">
        <v>Motivate</v>
      </c>
      <c r="M153" s="83">
        <v>-0.48100327410083521</v>
      </c>
      <c r="N153" s="37">
        <v>3.4821878900443311E-2</v>
      </c>
      <c r="O153" s="37">
        <v>0.13159774154137455</v>
      </c>
      <c r="P153" s="84">
        <v>0.3756336325781966</v>
      </c>
      <c r="R153" s="98">
        <f t="shared" si="18"/>
        <v>0.3909953044485624</v>
      </c>
      <c r="S153" s="98">
        <f t="shared" si="19"/>
        <v>0.60900469555143766</v>
      </c>
    </row>
    <row r="154" spans="12:19" x14ac:dyDescent="0.25">
      <c r="L154" t="str">
        <v>Caring</v>
      </c>
      <c r="M154" s="83">
        <v>-0.22381535946997375</v>
      </c>
      <c r="N154" s="37">
        <v>2.8723579343422165E-2</v>
      </c>
      <c r="O154" s="37">
        <v>0.21960915597155983</v>
      </c>
      <c r="P154" s="84">
        <v>0.34703935440995504</v>
      </c>
      <c r="R154" s="98">
        <f t="shared" si="18"/>
        <v>0.2195828540407907</v>
      </c>
      <c r="S154" s="98">
        <f t="shared" si="19"/>
        <v>0.7804171459592093</v>
      </c>
    </row>
    <row r="155" spans="12:19" x14ac:dyDescent="0.25">
      <c r="L155" t="str">
        <v>Charisma</v>
      </c>
      <c r="M155" s="83">
        <v>-0.81603171866729596</v>
      </c>
      <c r="N155" s="37">
        <v>0.23111011600333173</v>
      </c>
      <c r="O155" s="37">
        <v>-1.6745466118201553E-2</v>
      </c>
      <c r="P155" s="84">
        <v>-0.15402942550245555</v>
      </c>
      <c r="R155" s="98">
        <f t="shared" si="18"/>
        <v>0.74332512614630664</v>
      </c>
      <c r="S155" s="98">
        <f t="shared" si="19"/>
        <v>0.25667487385369336</v>
      </c>
    </row>
    <row r="156" spans="12:19" x14ac:dyDescent="0.25">
      <c r="L156" t="str">
        <v>Passion</v>
      </c>
      <c r="M156" s="83">
        <v>-0.60471915351216177</v>
      </c>
      <c r="N156" s="37">
        <v>2.1063384760920789E-2</v>
      </c>
      <c r="O156" s="37">
        <v>2.3568425645495644E-2</v>
      </c>
      <c r="P156" s="84">
        <v>0.24477829825124936</v>
      </c>
      <c r="R156" s="98">
        <f t="shared" si="18"/>
        <v>0.4266008067842369</v>
      </c>
      <c r="S156" s="98">
        <f t="shared" si="19"/>
        <v>0.57339919321576316</v>
      </c>
    </row>
    <row r="157" spans="12:19" x14ac:dyDescent="0.25">
      <c r="L157" t="str">
        <v>Friendly</v>
      </c>
      <c r="M157" s="85">
        <v>-0.29549859094642905</v>
      </c>
      <c r="N157" s="86">
        <v>-0.73578677310677787</v>
      </c>
      <c r="O157" s="86">
        <v>-0.30126277001251084</v>
      </c>
      <c r="P157" s="87">
        <v>-0.14053139763211844</v>
      </c>
      <c r="R157" s="99">
        <f t="shared" si="18"/>
        <v>0.73920992304625754</v>
      </c>
      <c r="S157" s="99">
        <f t="shared" si="19"/>
        <v>0.26079007695374246</v>
      </c>
    </row>
    <row r="158" spans="12:19" x14ac:dyDescent="0.25">
      <c r="M158">
        <f>SUMSQ(M149:M157)</f>
        <v>2.5536509811836501</v>
      </c>
      <c r="N158">
        <f>SUMSQ(N149:N157)</f>
        <v>1.1153265174095583</v>
      </c>
      <c r="O158">
        <f>SUMSQ(O149:O157)</f>
        <v>0.63721038011640918</v>
      </c>
      <c r="P158">
        <f>SUMSQ(P149:P157)</f>
        <v>0.61790918826115804</v>
      </c>
      <c r="R158">
        <f>SUM(R149:R157)</f>
        <v>4.9240970669707762</v>
      </c>
      <c r="S158">
        <f>SUM(S149:S157)</f>
        <v>4.0759029330292238</v>
      </c>
    </row>
    <row r="160" spans="12:19" x14ac:dyDescent="0.25">
      <c r="L160" t="s">
        <v>506</v>
      </c>
    </row>
    <row r="162" spans="12:21" x14ac:dyDescent="0.25">
      <c r="M162">
        <v>1</v>
      </c>
      <c r="N162">
        <f>M162+1</f>
        <v>2</v>
      </c>
      <c r="O162">
        <f>N162+1</f>
        <v>3</v>
      </c>
      <c r="P162">
        <f>O162+1</f>
        <v>4</v>
      </c>
      <c r="R162" s="47" t="s">
        <v>502</v>
      </c>
      <c r="S162" s="47" t="s">
        <v>505</v>
      </c>
    </row>
    <row r="163" spans="12:21" x14ac:dyDescent="0.25">
      <c r="L163" t="str">
        <f t="array" ref="L163:L171">TRANSPOSE(B3:J3)</f>
        <v>Expect</v>
      </c>
      <c r="M163" s="203">
        <f t="array" ref="M163:P171">[1]!VARIMAX(M149:P157,100)</f>
        <v>-9.9201569855690064E-2</v>
      </c>
      <c r="N163" s="204">
        <v>0.54912801920499754</v>
      </c>
      <c r="O163" s="204">
        <v>-0.21329293004669114</v>
      </c>
      <c r="P163" s="205">
        <v>-0.32434857272417894</v>
      </c>
      <c r="R163" s="206">
        <f>SUMSQ(M163:P163)</f>
        <v>0.46207840357395213</v>
      </c>
      <c r="S163" s="206">
        <f>1-R163</f>
        <v>0.53792159642604787</v>
      </c>
    </row>
    <row r="164" spans="12:21" x14ac:dyDescent="0.25">
      <c r="L164" t="str">
        <v>Entertain</v>
      </c>
      <c r="M164" s="83">
        <v>-0.58755522468692467</v>
      </c>
      <c r="N164" s="37">
        <v>-0.49998716484681172</v>
      </c>
      <c r="O164" s="37">
        <v>1.4302039521677029E-2</v>
      </c>
      <c r="P164" s="84">
        <v>0.13496329012488495</v>
      </c>
      <c r="R164" s="98">
        <f t="shared" ref="R164:R171" si="20">SUMSQ(M164:P164)</f>
        <v>0.61362794508426888</v>
      </c>
      <c r="S164" s="98">
        <f t="shared" ref="S164:S171" si="21">1-R164</f>
        <v>0.38637205491573112</v>
      </c>
    </row>
    <row r="165" spans="12:21" x14ac:dyDescent="0.25">
      <c r="L165" t="str">
        <v>Comm</v>
      </c>
      <c r="M165" s="83">
        <v>-0.84905441072862808</v>
      </c>
      <c r="N165" s="37">
        <v>6.7900500347622753E-2</v>
      </c>
      <c r="O165" s="37">
        <v>-0.11108422403218043</v>
      </c>
      <c r="P165" s="84">
        <v>0.13835730110764058</v>
      </c>
      <c r="R165" s="98">
        <f t="shared" si="20"/>
        <v>0.75698631792381732</v>
      </c>
      <c r="S165" s="98">
        <f t="shared" si="21"/>
        <v>0.24301368207618268</v>
      </c>
    </row>
    <row r="166" spans="12:21" x14ac:dyDescent="0.25">
      <c r="L166" t="str">
        <v>Expert</v>
      </c>
      <c r="M166" s="83">
        <v>-6.6836191724655408E-2</v>
      </c>
      <c r="N166" s="37">
        <v>-2.6231858160814272E-2</v>
      </c>
      <c r="O166" s="37">
        <v>-0.74736631603836068</v>
      </c>
      <c r="P166" s="84">
        <v>8.9324065441551276E-2</v>
      </c>
      <c r="R166" s="98">
        <f t="shared" si="20"/>
        <v>0.57169038592258126</v>
      </c>
      <c r="S166" s="98">
        <f t="shared" si="21"/>
        <v>0.42830961407741874</v>
      </c>
    </row>
    <row r="167" spans="12:21" x14ac:dyDescent="0.25">
      <c r="L167" t="str">
        <v>Motivate</v>
      </c>
      <c r="M167" s="83">
        <v>-0.22413905014564461</v>
      </c>
      <c r="N167" s="37">
        <v>-7.191180607476165E-2</v>
      </c>
      <c r="O167" s="37">
        <v>-0.17012642045530138</v>
      </c>
      <c r="P167" s="84">
        <v>0.5537532698400095</v>
      </c>
      <c r="R167" s="98">
        <f t="shared" si="20"/>
        <v>0.39099530444856223</v>
      </c>
      <c r="S167" s="98">
        <f t="shared" si="21"/>
        <v>0.60900469555143777</v>
      </c>
    </row>
    <row r="168" spans="12:21" x14ac:dyDescent="0.25">
      <c r="L168" t="str">
        <v>Caring</v>
      </c>
      <c r="M168" s="83">
        <v>-3.8980694772839115E-2</v>
      </c>
      <c r="N168" s="37">
        <v>1.0224915792310175E-3</v>
      </c>
      <c r="O168" s="37">
        <v>-3.9656094282249053E-3</v>
      </c>
      <c r="P168" s="84">
        <v>0.46695458872212686</v>
      </c>
      <c r="R168" s="98">
        <f t="shared" si="20"/>
        <v>0.21958285404079073</v>
      </c>
      <c r="S168" s="98">
        <f t="shared" si="21"/>
        <v>0.7804171459592093</v>
      </c>
    </row>
    <row r="169" spans="12:21" x14ac:dyDescent="0.25">
      <c r="L169" t="str">
        <v>Charisma</v>
      </c>
      <c r="M169" s="83">
        <v>-0.8018524393573051</v>
      </c>
      <c r="N169" s="37">
        <v>-4.3880880252363974E-2</v>
      </c>
      <c r="O169" s="37">
        <v>-0.22923040785018003</v>
      </c>
      <c r="P169" s="84">
        <v>0.21420943048372867</v>
      </c>
      <c r="R169" s="98">
        <f t="shared" si="20"/>
        <v>0.74332512614630619</v>
      </c>
      <c r="S169" s="98">
        <f t="shared" si="21"/>
        <v>0.25667487385369381</v>
      </c>
    </row>
    <row r="170" spans="12:21" x14ac:dyDescent="0.25">
      <c r="L170" t="str">
        <v>Passion</v>
      </c>
      <c r="M170" s="83">
        <v>-0.37332378905508418</v>
      </c>
      <c r="N170" s="37">
        <v>-0.13916893513222203</v>
      </c>
      <c r="O170" s="37">
        <v>-0.25365814482786908</v>
      </c>
      <c r="P170" s="84">
        <v>0.45113158653151181</v>
      </c>
      <c r="R170" s="98">
        <f t="shared" si="20"/>
        <v>0.42660080678423673</v>
      </c>
      <c r="S170" s="98">
        <f t="shared" si="21"/>
        <v>0.57339919321576327</v>
      </c>
    </row>
    <row r="171" spans="12:21" x14ac:dyDescent="0.25">
      <c r="L171" t="str">
        <v>Friendly</v>
      </c>
      <c r="M171" s="85">
        <v>-5.2575541792055945E-2</v>
      </c>
      <c r="N171" s="86">
        <v>-0.81182322061667667</v>
      </c>
      <c r="O171" s="86">
        <v>-0.23145505034838357</v>
      </c>
      <c r="P171" s="87">
        <v>-0.15432871925640662</v>
      </c>
      <c r="R171" s="99">
        <f t="shared" si="20"/>
        <v>0.73920992304625699</v>
      </c>
      <c r="S171" s="99">
        <f t="shared" si="21"/>
        <v>0.26079007695374301</v>
      </c>
    </row>
    <row r="172" spans="12:21" x14ac:dyDescent="0.25">
      <c r="M172">
        <f>SUMSQ(M163:M171)</f>
        <v>1.9172825443583275</v>
      </c>
      <c r="N172">
        <f>SUMSQ(N163:N171)</f>
        <v>1.2423501538495396</v>
      </c>
      <c r="O172">
        <f>SUMSQ(O163:O171)</f>
        <v>0.81601373716748482</v>
      </c>
      <c r="P172">
        <f>SUMSQ(P163:P171)</f>
        <v>0.94845063159542076</v>
      </c>
      <c r="R172">
        <f>SUM(R163:R171)</f>
        <v>4.9240970669707727</v>
      </c>
      <c r="S172">
        <f>SUM(S163:S171)</f>
        <v>4.0759029330292282</v>
      </c>
    </row>
    <row r="174" spans="12:21" x14ac:dyDescent="0.25">
      <c r="L174" t="s">
        <v>507</v>
      </c>
    </row>
    <row r="176" spans="12:21" x14ac:dyDescent="0.25">
      <c r="M176" t="str">
        <f t="array" ref="M176:U176">B3:J3</f>
        <v>Expect</v>
      </c>
      <c r="N176" t="str">
        <v>Entertain</v>
      </c>
      <c r="O176" t="str">
        <v>Comm</v>
      </c>
      <c r="P176" t="str">
        <v>Expert</v>
      </c>
      <c r="Q176" t="str">
        <v>Motivate</v>
      </c>
      <c r="R176" t="str">
        <v>Caring</v>
      </c>
      <c r="S176" t="str">
        <v>Charisma</v>
      </c>
      <c r="T176" t="str">
        <v>Passion</v>
      </c>
      <c r="U176" t="str">
        <v>Friendly</v>
      </c>
    </row>
    <row r="177" spans="12:21" x14ac:dyDescent="0.25">
      <c r="L177" t="str">
        <f t="array" ref="L177:L185">TRANSPOSE(B3:J3)</f>
        <v>Expect</v>
      </c>
      <c r="M177" s="203">
        <f t="array" ref="M177:U185">MMULT(M149:P157,TRANSPOSE(M149:P157))</f>
        <v>0.46207840357395219</v>
      </c>
      <c r="N177" s="204">
        <v>-0.26309623523178438</v>
      </c>
      <c r="O177" s="204">
        <v>0.10033108418165033</v>
      </c>
      <c r="P177" s="204">
        <v>0.12266142506048228</v>
      </c>
      <c r="Q177" s="204">
        <v>-0.16057616200356428</v>
      </c>
      <c r="R177" s="204">
        <v>-0.14618179303357293</v>
      </c>
      <c r="S177" s="204">
        <v>3.48635022276131E-2</v>
      </c>
      <c r="T177" s="204">
        <v>-0.13160765300703314</v>
      </c>
      <c r="U177" s="205">
        <v>-0.34115527511599519</v>
      </c>
    </row>
    <row r="178" spans="12:21" x14ac:dyDescent="0.25">
      <c r="L178" t="str">
        <v>Entertain</v>
      </c>
      <c r="M178" s="83">
        <v>-0.26309623523178438</v>
      </c>
      <c r="N178" s="37">
        <v>0.61362794508426932</v>
      </c>
      <c r="O178" s="37">
        <v>0.48200140201453984</v>
      </c>
      <c r="P178" s="37">
        <v>5.3752153206659048E-2</v>
      </c>
      <c r="Q178" s="37">
        <v>0.2399522584337597</v>
      </c>
      <c r="R178" s="37">
        <v>8.5357089540009201E-2</v>
      </c>
      <c r="S178" s="37">
        <v>0.51870441424192082</v>
      </c>
      <c r="T178" s="37">
        <v>0.34618939845597246</v>
      </c>
      <c r="U178" s="84">
        <v>0.41265323371442969</v>
      </c>
    </row>
    <row r="179" spans="12:21" x14ac:dyDescent="0.25">
      <c r="L179" t="str">
        <v>Comm</v>
      </c>
      <c r="M179" s="83">
        <v>0.10033108418165033</v>
      </c>
      <c r="N179" s="37">
        <v>0.48200140201453984</v>
      </c>
      <c r="O179" s="37">
        <v>0.75698631792381854</v>
      </c>
      <c r="P179" s="37">
        <v>0.15034565098932165</v>
      </c>
      <c r="Q179" s="37">
        <v>0.28093757082755161</v>
      </c>
      <c r="R179" s="37">
        <v>9.821325180154733E-2</v>
      </c>
      <c r="S179" s="37">
        <v>0.73293813731915169</v>
      </c>
      <c r="T179" s="37">
        <v>0.3981173363433741</v>
      </c>
      <c r="U179" s="84">
        <v>-6.1252076321343177E-3</v>
      </c>
    </row>
    <row r="180" spans="12:21" x14ac:dyDescent="0.25">
      <c r="L180" t="str">
        <v>Expert</v>
      </c>
      <c r="M180" s="83">
        <v>0.12266142506048228</v>
      </c>
      <c r="N180" s="37">
        <v>5.3752153206659048E-2</v>
      </c>
      <c r="O180" s="37">
        <v>0.15034565098932165</v>
      </c>
      <c r="P180" s="37">
        <v>0.57169038592258148</v>
      </c>
      <c r="Q180" s="37">
        <v>0.19347723025569147</v>
      </c>
      <c r="R180" s="37">
        <v>4.7252544485788098E-2</v>
      </c>
      <c r="S180" s="37">
        <v>0.24519698302420534</v>
      </c>
      <c r="T180" s="37">
        <v>0.25847466069866165</v>
      </c>
      <c r="U180" s="84">
        <v>0.18400602025508811</v>
      </c>
    </row>
    <row r="181" spans="12:21" x14ac:dyDescent="0.25">
      <c r="L181" t="str">
        <v>Motivate</v>
      </c>
      <c r="M181" s="83">
        <v>-0.16057616200356428</v>
      </c>
      <c r="N181" s="37">
        <v>0.2399522584337597</v>
      </c>
      <c r="O181" s="37">
        <v>0.28093757082755161</v>
      </c>
      <c r="P181" s="37">
        <v>0.19347723025569147</v>
      </c>
      <c r="Q181" s="37">
        <v>0.3909953044485624</v>
      </c>
      <c r="R181" s="37">
        <v>0.267915851992865</v>
      </c>
      <c r="S181" s="37">
        <v>0.34049931877360345</v>
      </c>
      <c r="T181" s="37">
        <v>0.38665387231927267</v>
      </c>
      <c r="U181" s="84">
        <v>2.4080492299755035E-2</v>
      </c>
    </row>
    <row r="182" spans="12:21" x14ac:dyDescent="0.25">
      <c r="L182" t="str">
        <v>Caring</v>
      </c>
      <c r="M182" s="83">
        <v>-0.14618179303357293</v>
      </c>
      <c r="N182" s="37">
        <v>8.5357089540009201E-2</v>
      </c>
      <c r="O182" s="37">
        <v>9.821325180154733E-2</v>
      </c>
      <c r="P182" s="37">
        <v>4.7252544485788098E-2</v>
      </c>
      <c r="Q182" s="37">
        <v>0.267915851992865</v>
      </c>
      <c r="R182" s="37">
        <v>0.2195828540407907</v>
      </c>
      <c r="S182" s="37">
        <v>0.1321470121394335</v>
      </c>
      <c r="T182" s="37">
        <v>0.22607399518739082</v>
      </c>
      <c r="U182" s="84">
        <v>-6.9927294558308067E-2</v>
      </c>
    </row>
    <row r="183" spans="12:21" x14ac:dyDescent="0.25">
      <c r="L183" t="str">
        <v>Charisma</v>
      </c>
      <c r="M183" s="83">
        <v>3.48635022276131E-2</v>
      </c>
      <c r="N183" s="37">
        <v>0.51870441424192082</v>
      </c>
      <c r="O183" s="37">
        <v>0.73293813731915169</v>
      </c>
      <c r="P183" s="37">
        <v>0.24519698302420534</v>
      </c>
      <c r="Q183" s="37">
        <v>0.34049931877360345</v>
      </c>
      <c r="R183" s="37">
        <v>0.1321470121394335</v>
      </c>
      <c r="S183" s="37">
        <v>0.74332512614630664</v>
      </c>
      <c r="T183" s="37">
        <v>0.46024024651886625</v>
      </c>
      <c r="U183" s="84">
        <v>9.7779212497606599E-2</v>
      </c>
    </row>
    <row r="184" spans="12:21" x14ac:dyDescent="0.25">
      <c r="L184" t="str">
        <v>Passion</v>
      </c>
      <c r="M184" s="83">
        <v>-0.13160765300703314</v>
      </c>
      <c r="N184" s="37">
        <v>0.34618939845597246</v>
      </c>
      <c r="O184" s="37">
        <v>0.3981173363433741</v>
      </c>
      <c r="P184" s="37">
        <v>0.25847466069866165</v>
      </c>
      <c r="Q184" s="37">
        <v>0.38665387231927267</v>
      </c>
      <c r="R184" s="37">
        <v>0.22607399518739082</v>
      </c>
      <c r="S184" s="37">
        <v>0.46024024651886625</v>
      </c>
      <c r="T184" s="37">
        <v>0.4266008067842369</v>
      </c>
      <c r="U184" s="84">
        <v>0.12169617231916122</v>
      </c>
    </row>
    <row r="185" spans="12:21" x14ac:dyDescent="0.25">
      <c r="L185" t="str">
        <v>Friendly</v>
      </c>
      <c r="M185" s="85">
        <v>-0.34115527511599519</v>
      </c>
      <c r="N185" s="86">
        <v>0.41265323371442969</v>
      </c>
      <c r="O185" s="86">
        <v>-6.1252076321343177E-3</v>
      </c>
      <c r="P185" s="86">
        <v>0.18400602025508811</v>
      </c>
      <c r="Q185" s="86">
        <v>2.4080492299755035E-2</v>
      </c>
      <c r="R185" s="86">
        <v>-6.9927294558308067E-2</v>
      </c>
      <c r="S185" s="86">
        <v>9.7779212497606599E-2</v>
      </c>
      <c r="T185" s="86">
        <v>0.12169617231916122</v>
      </c>
      <c r="U185" s="87">
        <v>0.73920992304625754</v>
      </c>
    </row>
    <row r="187" spans="12:21" x14ac:dyDescent="0.25">
      <c r="L187" t="s">
        <v>508</v>
      </c>
    </row>
    <row r="189" spans="12:21" x14ac:dyDescent="0.25">
      <c r="M189" t="str">
        <f t="array" ref="M189:U189">B3:J3</f>
        <v>Expect</v>
      </c>
      <c r="N189" t="str">
        <v>Entertain</v>
      </c>
      <c r="O189" t="str">
        <v>Comm</v>
      </c>
      <c r="P189" t="str">
        <v>Expert</v>
      </c>
      <c r="Q189" t="str">
        <v>Motivate</v>
      </c>
      <c r="R189" t="str">
        <v>Caring</v>
      </c>
      <c r="S189" t="str">
        <v>Charisma</v>
      </c>
      <c r="T189" t="str">
        <v>Passion</v>
      </c>
      <c r="U189" t="str">
        <v>Friendly</v>
      </c>
    </row>
    <row r="190" spans="12:21" x14ac:dyDescent="0.25">
      <c r="L190" t="str">
        <f t="array" ref="L190:L198">TRANSPOSE(B3:J3)</f>
        <v>Expect</v>
      </c>
      <c r="M190" s="203">
        <f t="array" ref="M190:U198">M14:U22-M177:U185</f>
        <v>0.5379215964260462</v>
      </c>
      <c r="N190" s="204">
        <v>8.6516007015443319E-2</v>
      </c>
      <c r="O190" s="204">
        <v>-2.0858735271497966E-2</v>
      </c>
      <c r="P190" s="204">
        <v>-2.1301469487979008E-3</v>
      </c>
      <c r="Q190" s="204">
        <v>1.3368971319940082E-2</v>
      </c>
      <c r="R190" s="204">
        <v>4.0936552763159828E-2</v>
      </c>
      <c r="S190" s="204">
        <v>-5.6754408443608656E-2</v>
      </c>
      <c r="T190" s="204">
        <v>1.8133735430771736E-3</v>
      </c>
      <c r="U190" s="205">
        <v>-2.8550917862988912E-3</v>
      </c>
    </row>
    <row r="191" spans="12:21" x14ac:dyDescent="0.25">
      <c r="L191" t="str">
        <v>Entertain</v>
      </c>
      <c r="M191" s="83">
        <v>8.6516007015443319E-2</v>
      </c>
      <c r="N191" s="37">
        <v>0.38637205491573179</v>
      </c>
      <c r="O191" s="37">
        <v>-3.5080890270324572E-2</v>
      </c>
      <c r="P191" s="37">
        <v>-5.2926661150895296E-3</v>
      </c>
      <c r="Q191" s="37">
        <v>4.1693218293497591E-3</v>
      </c>
      <c r="R191" s="37">
        <v>3.1310284343256778E-2</v>
      </c>
      <c r="S191" s="37">
        <v>-6.8017639586012313E-2</v>
      </c>
      <c r="T191" s="37">
        <v>3.3070293919031046E-2</v>
      </c>
      <c r="U191" s="84">
        <v>-1.1783740171082968E-2</v>
      </c>
    </row>
    <row r="192" spans="12:21" x14ac:dyDescent="0.25">
      <c r="L192" t="str">
        <v>Comm</v>
      </c>
      <c r="M192" s="83">
        <v>-2.0858735271497966E-2</v>
      </c>
      <c r="N192" s="37">
        <v>-3.5080890270324572E-2</v>
      </c>
      <c r="O192" s="37">
        <v>0.24301368207618212</v>
      </c>
      <c r="P192" s="37">
        <v>1.8981835470503194E-3</v>
      </c>
      <c r="Q192" s="37">
        <v>5.4863621177267397E-3</v>
      </c>
      <c r="R192" s="37">
        <v>8.0517970304568171E-3</v>
      </c>
      <c r="S192" s="37">
        <v>1.5819385027227018E-2</v>
      </c>
      <c r="T192" s="37">
        <v>-2.9758098068054795E-2</v>
      </c>
      <c r="U192" s="84">
        <v>1.3052603867753063E-2</v>
      </c>
    </row>
    <row r="193" spans="12:21" x14ac:dyDescent="0.25">
      <c r="L193" t="str">
        <v>Expert</v>
      </c>
      <c r="M193" s="83">
        <v>-2.1301469487979008E-3</v>
      </c>
      <c r="N193" s="37">
        <v>-5.2926661150895296E-3</v>
      </c>
      <c r="O193" s="37">
        <v>1.8981835470503194E-3</v>
      </c>
      <c r="P193" s="37">
        <v>0.42830961407741941</v>
      </c>
      <c r="Q193" s="37">
        <v>8.0883549868829285E-4</v>
      </c>
      <c r="R193" s="37">
        <v>-1.143187266639388E-3</v>
      </c>
      <c r="S193" s="37">
        <v>2.1206620635789986E-3</v>
      </c>
      <c r="T193" s="37">
        <v>-4.6729524406319278E-4</v>
      </c>
      <c r="U193" s="84">
        <v>1.9001303020504401E-3</v>
      </c>
    </row>
    <row r="194" spans="12:21" x14ac:dyDescent="0.25">
      <c r="L194" t="str">
        <v>Motivate</v>
      </c>
      <c r="M194" s="83">
        <v>1.3368971319940082E-2</v>
      </c>
      <c r="N194" s="37">
        <v>4.1693218293497591E-3</v>
      </c>
      <c r="O194" s="37">
        <v>5.4863621177267397E-3</v>
      </c>
      <c r="P194" s="37">
        <v>8.0883549868829285E-4</v>
      </c>
      <c r="Q194" s="37">
        <v>0.60900469555143855</v>
      </c>
      <c r="R194" s="37">
        <v>1.6451602875868665E-2</v>
      </c>
      <c r="S194" s="37">
        <v>3.8432625175651158E-3</v>
      </c>
      <c r="T194" s="37">
        <v>-6.0188137893469051E-2</v>
      </c>
      <c r="U194" s="84">
        <v>1.3261164714049506E-2</v>
      </c>
    </row>
    <row r="195" spans="12:21" x14ac:dyDescent="0.25">
      <c r="L195" t="str">
        <v>Caring</v>
      </c>
      <c r="M195" s="83">
        <v>4.0936552763159828E-2</v>
      </c>
      <c r="N195" s="37">
        <v>3.1310284343256778E-2</v>
      </c>
      <c r="O195" s="37">
        <v>8.0517970304568171E-3</v>
      </c>
      <c r="P195" s="37">
        <v>-1.143187266639388E-3</v>
      </c>
      <c r="Q195" s="37">
        <v>1.6451602875868665E-2</v>
      </c>
      <c r="R195" s="37">
        <v>0.78041714595921108</v>
      </c>
      <c r="S195" s="37">
        <v>-2.9836285260596576E-2</v>
      </c>
      <c r="T195" s="37">
        <v>-3.0919388949649768E-2</v>
      </c>
      <c r="U195" s="84">
        <v>1.4632666025657722E-2</v>
      </c>
    </row>
    <row r="196" spans="12:21" x14ac:dyDescent="0.25">
      <c r="L196" t="str">
        <v>Charisma</v>
      </c>
      <c r="M196" s="83">
        <v>-5.6754408443608656E-2</v>
      </c>
      <c r="N196" s="37">
        <v>-6.8017639586012313E-2</v>
      </c>
      <c r="O196" s="37">
        <v>1.5819385027227018E-2</v>
      </c>
      <c r="P196" s="37">
        <v>2.1206620635789986E-3</v>
      </c>
      <c r="Q196" s="37">
        <v>3.8432625175651158E-3</v>
      </c>
      <c r="R196" s="37">
        <v>-2.9836285260596576E-2</v>
      </c>
      <c r="S196" s="37">
        <v>0.25667487385369425</v>
      </c>
      <c r="T196" s="37">
        <v>-2.1435464449926389E-2</v>
      </c>
      <c r="U196" s="84">
        <v>5.3528778682418177E-3</v>
      </c>
    </row>
    <row r="197" spans="12:21" x14ac:dyDescent="0.25">
      <c r="L197" t="str">
        <v>Passion</v>
      </c>
      <c r="M197" s="83">
        <v>1.8133735430771736E-3</v>
      </c>
      <c r="N197" s="37">
        <v>3.3070293919031046E-2</v>
      </c>
      <c r="O197" s="37">
        <v>-2.9758098068054795E-2</v>
      </c>
      <c r="P197" s="37">
        <v>-4.6729524406319278E-4</v>
      </c>
      <c r="Q197" s="37">
        <v>-6.0188137893469051E-2</v>
      </c>
      <c r="R197" s="37">
        <v>-3.0919388949649768E-2</v>
      </c>
      <c r="S197" s="37">
        <v>-2.1435464449926389E-2</v>
      </c>
      <c r="T197" s="37">
        <v>0.57339919321576271</v>
      </c>
      <c r="U197" s="84">
        <v>-3.3216730341183054E-2</v>
      </c>
    </row>
    <row r="198" spans="12:21" x14ac:dyDescent="0.25">
      <c r="L198" t="str">
        <v>Friendly</v>
      </c>
      <c r="M198" s="85">
        <v>-2.8550917862988912E-3</v>
      </c>
      <c r="N198" s="86">
        <v>-1.1783740171082968E-2</v>
      </c>
      <c r="O198" s="86">
        <v>1.3052603867753063E-2</v>
      </c>
      <c r="P198" s="86">
        <v>1.9001303020504401E-3</v>
      </c>
      <c r="Q198" s="86">
        <v>1.3261164714049506E-2</v>
      </c>
      <c r="R198" s="86">
        <v>1.4632666025657722E-2</v>
      </c>
      <c r="S198" s="86">
        <v>5.3528778682418177E-3</v>
      </c>
      <c r="T198" s="86">
        <v>-3.3216730341183054E-2</v>
      </c>
      <c r="U198" s="87">
        <v>0.26079007695374334</v>
      </c>
    </row>
    <row r="200" spans="12:21" x14ac:dyDescent="0.25">
      <c r="L200" t="s">
        <v>509</v>
      </c>
    </row>
    <row r="202" spans="12:21" x14ac:dyDescent="0.25">
      <c r="M202">
        <v>1</v>
      </c>
      <c r="N202">
        <f>M202+1</f>
        <v>2</v>
      </c>
      <c r="O202">
        <f>N202+1</f>
        <v>3</v>
      </c>
      <c r="P202">
        <f>O202+1</f>
        <v>4</v>
      </c>
    </row>
    <row r="203" spans="12:21" x14ac:dyDescent="0.25">
      <c r="L203" t="str">
        <f t="array" ref="L203:L211">TRANSPOSE(B3:J3)</f>
        <v>Expect</v>
      </c>
      <c r="M203" s="203">
        <f t="array" ref="M203:P211">MMULT(M163:P171,MINVERSE(MMULT(TRANSPOSE(M163:P171),M163:P171)))</f>
        <v>-0.19243136403842792</v>
      </c>
      <c r="N203" s="204">
        <v>0.44859820796619865</v>
      </c>
      <c r="O203" s="204">
        <v>-0.35054057984272391</v>
      </c>
      <c r="P203" s="205">
        <v>-0.45333148172732557</v>
      </c>
    </row>
    <row r="204" spans="12:21" x14ac:dyDescent="0.25">
      <c r="L204" t="str">
        <v>Entertain</v>
      </c>
      <c r="M204" s="83">
        <v>-0.347526056451327</v>
      </c>
      <c r="N204" s="37">
        <v>-0.35828347531888272</v>
      </c>
      <c r="O204" s="37">
        <v>0.24928110723249633</v>
      </c>
      <c r="P204" s="84">
        <v>-0.11719618760061026</v>
      </c>
    </row>
    <row r="205" spans="12:21" x14ac:dyDescent="0.25">
      <c r="L205" t="str">
        <v>Comm</v>
      </c>
      <c r="M205" s="83">
        <v>-0.55646049622541116</v>
      </c>
      <c r="N205" s="37">
        <v>0.15929817382797837</v>
      </c>
      <c r="O205" s="37">
        <v>0.1218815375159213</v>
      </c>
      <c r="P205" s="84">
        <v>-0.16458273123155764</v>
      </c>
    </row>
    <row r="206" spans="12:21" x14ac:dyDescent="0.25">
      <c r="L206" t="str">
        <v>Expert</v>
      </c>
      <c r="M206" s="83">
        <v>0.22540679995610566</v>
      </c>
      <c r="N206" s="37">
        <v>3.1297637025979458E-2</v>
      </c>
      <c r="O206" s="37">
        <v>-1.057232315225461</v>
      </c>
      <c r="P206" s="84">
        <v>-6.95778165171268E-3</v>
      </c>
    </row>
    <row r="207" spans="12:21" x14ac:dyDescent="0.25">
      <c r="L207" t="str">
        <v>Motivate</v>
      </c>
      <c r="M207" s="83">
        <v>0.12038813902890648</v>
      </c>
      <c r="N207" s="37">
        <v>3.850724944339743E-2</v>
      </c>
      <c r="O207" s="37">
        <v>-9.9296112925349067E-2</v>
      </c>
      <c r="P207" s="84">
        <v>0.65024974447339989</v>
      </c>
    </row>
    <row r="208" spans="12:21" x14ac:dyDescent="0.25">
      <c r="L208" t="str">
        <v>Caring</v>
      </c>
      <c r="M208" s="83">
        <v>0.16528694642196975</v>
      </c>
      <c r="N208" s="37">
        <v>6.4860374023450698E-2</v>
      </c>
      <c r="O208" s="37">
        <v>6.9566043342560682E-2</v>
      </c>
      <c r="P208" s="84">
        <v>0.63733066440883868</v>
      </c>
    </row>
    <row r="209" spans="12:16" x14ac:dyDescent="0.25">
      <c r="L209" t="str">
        <v>Charisma</v>
      </c>
      <c r="M209" s="83">
        <v>-0.44162834723618621</v>
      </c>
      <c r="N209" s="37">
        <v>7.4587133710115522E-2</v>
      </c>
      <c r="O209" s="37">
        <v>-4.9989802371980613E-2</v>
      </c>
      <c r="P209" s="84">
        <v>-6.916254954447526E-2</v>
      </c>
    </row>
    <row r="210" spans="12:16" x14ac:dyDescent="0.25">
      <c r="L210" t="str">
        <v>Passion</v>
      </c>
      <c r="M210" s="83">
        <v>-2.4999985625863974E-3</v>
      </c>
      <c r="N210" s="37">
        <v>-1.4698617626608096E-2</v>
      </c>
      <c r="O210" s="37">
        <v>-0.18470267545594227</v>
      </c>
      <c r="P210" s="84">
        <v>0.42472442851739278</v>
      </c>
    </row>
    <row r="211" spans="12:16" x14ac:dyDescent="0.25">
      <c r="L211" t="str">
        <v>Friendly</v>
      </c>
      <c r="M211" s="85">
        <v>4.3890056903025873E-2</v>
      </c>
      <c r="N211" s="86">
        <v>-0.70022602880017248</v>
      </c>
      <c r="O211" s="86">
        <v>-0.30303377859838321</v>
      </c>
      <c r="P211" s="87">
        <v>-0.37386915865284098</v>
      </c>
    </row>
    <row r="213" spans="12:16" x14ac:dyDescent="0.25">
      <c r="L213" t="s">
        <v>510</v>
      </c>
    </row>
    <row r="215" spans="12:16" x14ac:dyDescent="0.25">
      <c r="M215">
        <v>1</v>
      </c>
      <c r="N215">
        <f>M215+1</f>
        <v>2</v>
      </c>
      <c r="O215">
        <f>N215+1</f>
        <v>3</v>
      </c>
      <c r="P215">
        <f>O215+1</f>
        <v>4</v>
      </c>
    </row>
    <row r="216" spans="12:16" x14ac:dyDescent="0.25">
      <c r="L216" t="str">
        <f t="array" ref="L216:L224">TRANSPOSE(B3:J3)</f>
        <v>Expect</v>
      </c>
      <c r="M216" s="203">
        <f t="array" ref="M216:P224">TRANSPOSE(MMULT(MINVERSE(MMULT(TRANSPOSE(M163:P171),MMULT(MINVERSE([1]!DIAGONAL(S149:S157)),M163:P171))),MMULT(TRANSPOSE(M163:P171),MINVERSE([1]!DIAGONAL(S149:S157)))))</f>
        <v>-0.140479396392441</v>
      </c>
      <c r="N216" s="204">
        <v>0.3234394019588</v>
      </c>
      <c r="O216" s="204">
        <v>-0.32582362442340879</v>
      </c>
      <c r="P216" s="205">
        <v>-0.54469346227838278</v>
      </c>
    </row>
    <row r="217" spans="12:16" x14ac:dyDescent="0.25">
      <c r="L217" t="str">
        <v>Entertain</v>
      </c>
      <c r="M217" s="83">
        <v>-0.25867661782361762</v>
      </c>
      <c r="N217" s="37">
        <v>-0.33447779528463595</v>
      </c>
      <c r="O217" s="37">
        <v>0.3121057796074389</v>
      </c>
      <c r="P217" s="84">
        <v>-1.6993504208003829E-2</v>
      </c>
    </row>
    <row r="218" spans="12:16" x14ac:dyDescent="0.25">
      <c r="L218" t="str">
        <v>Comm</v>
      </c>
      <c r="M218" s="83">
        <v>-0.64742949090196245</v>
      </c>
      <c r="N218" s="37">
        <v>0.17997199691374532</v>
      </c>
      <c r="O218" s="37">
        <v>0.13469250900488144</v>
      </c>
      <c r="P218" s="84">
        <v>-0.28243410624924087</v>
      </c>
    </row>
    <row r="219" spans="12:16" x14ac:dyDescent="0.25">
      <c r="L219" t="str">
        <v>Expert</v>
      </c>
      <c r="M219" s="83">
        <v>0.2132886263839015</v>
      </c>
      <c r="N219" s="37">
        <v>0.11044577944019418</v>
      </c>
      <c r="O219" s="37">
        <v>-1.0494891372857105</v>
      </c>
      <c r="P219" s="84">
        <v>5.3893898864797188E-2</v>
      </c>
    </row>
    <row r="220" spans="12:16" x14ac:dyDescent="0.25">
      <c r="L220" t="str">
        <v>Motivate</v>
      </c>
      <c r="M220" s="83">
        <v>0.13487953244344472</v>
      </c>
      <c r="N220" s="37">
        <v>-1.4134758065045969E-2</v>
      </c>
      <c r="O220" s="37">
        <v>-7.9310173515879989E-2</v>
      </c>
      <c r="P220" s="84">
        <v>0.63501284148467518</v>
      </c>
    </row>
    <row r="221" spans="12:16" x14ac:dyDescent="0.25">
      <c r="L221" t="str">
        <v>Caring</v>
      </c>
      <c r="M221" s="83">
        <v>0.11061001273103807</v>
      </c>
      <c r="N221" s="37">
        <v>-4.3285608086311624E-3</v>
      </c>
      <c r="O221" s="37">
        <v>3.0247889341675872E-2</v>
      </c>
      <c r="P221" s="84">
        <v>0.4643790120249337</v>
      </c>
    </row>
    <row r="222" spans="12:16" x14ac:dyDescent="0.25">
      <c r="L222" t="str">
        <v>Charisma</v>
      </c>
      <c r="M222" s="83">
        <v>-0.44658808762040147</v>
      </c>
      <c r="N222" s="37">
        <v>7.5331624475862516E-2</v>
      </c>
      <c r="O222" s="37">
        <v>-0.13441651368879476</v>
      </c>
      <c r="P222" s="84">
        <v>-1.2296530967437325E-2</v>
      </c>
    </row>
    <row r="223" spans="12:16" x14ac:dyDescent="0.25">
      <c r="L223" t="str">
        <v>Passion</v>
      </c>
      <c r="M223" s="83">
        <v>6.6166624224245657E-2</v>
      </c>
      <c r="N223" s="37">
        <v>-2.9763378778323128E-2</v>
      </c>
      <c r="O223" s="37">
        <v>-0.1436416565396825</v>
      </c>
      <c r="P223" s="84">
        <v>0.47402291418430065</v>
      </c>
    </row>
    <row r="224" spans="12:16" x14ac:dyDescent="0.25">
      <c r="L224" t="str">
        <v>Friendly</v>
      </c>
      <c r="M224" s="85">
        <v>4.2374736397747942E-3</v>
      </c>
      <c r="N224" s="86">
        <v>-0.79325670974513585</v>
      </c>
      <c r="O224" s="86">
        <v>-0.32848159833150908</v>
      </c>
      <c r="P224" s="87">
        <v>-0.51959691448566725</v>
      </c>
    </row>
    <row r="226" spans="12:16" x14ac:dyDescent="0.25">
      <c r="L226" t="s">
        <v>511</v>
      </c>
    </row>
    <row r="228" spans="12:16" x14ac:dyDescent="0.25">
      <c r="M228" s="203">
        <f t="array" ref="M228:P231">MMULT(MMULT(TRANSPOSE(M163:P171),MMULT(MINVERSE([1]!DIAGONAL(S149:S157)),M14:U22)),MMULT(MINVERSE([1]!DIAGONAL(S149:S157)),M163:P171))</f>
        <v>57.432756636623353</v>
      </c>
      <c r="N228" s="204">
        <v>10.811569448982988</v>
      </c>
      <c r="O228" s="204">
        <v>16.018783429244369</v>
      </c>
      <c r="P228" s="205">
        <v>-17.75059789499144</v>
      </c>
    </row>
    <row r="229" spans="12:16" x14ac:dyDescent="0.25">
      <c r="M229" s="83">
        <v>10.811569448982986</v>
      </c>
      <c r="N229" s="37">
        <v>19.076419357697262</v>
      </c>
      <c r="O229" s="37">
        <v>5.5909141693829181</v>
      </c>
      <c r="P229" s="84">
        <v>-3.0411205980086913</v>
      </c>
    </row>
    <row r="230" spans="12:16" x14ac:dyDescent="0.25">
      <c r="M230" s="83">
        <v>16.018783429244372</v>
      </c>
      <c r="N230" s="37">
        <v>5.5909141693829181</v>
      </c>
      <c r="O230" s="37">
        <v>8.911297950984439</v>
      </c>
      <c r="P230" s="84">
        <v>-5.1626814369575538</v>
      </c>
    </row>
    <row r="231" spans="12:16" x14ac:dyDescent="0.25">
      <c r="M231" s="85">
        <v>-17.750597894991436</v>
      </c>
      <c r="N231" s="86">
        <v>-3.0411205980086904</v>
      </c>
      <c r="O231" s="86">
        <v>-5.1626814369575538</v>
      </c>
      <c r="P231" s="87">
        <v>8.1524480630307394</v>
      </c>
    </row>
    <row r="233" spans="12:16" x14ac:dyDescent="0.25">
      <c r="M233">
        <v>1</v>
      </c>
      <c r="N233">
        <f>M233+1</f>
        <v>2</v>
      </c>
      <c r="O233">
        <f>N233+1</f>
        <v>3</v>
      </c>
      <c r="P233">
        <f>O233+1</f>
        <v>4</v>
      </c>
    </row>
    <row r="234" spans="12:16" x14ac:dyDescent="0.25">
      <c r="L234" t="str">
        <f t="array" ref="L234:L242">TRANSPOSE(B3:J3)</f>
        <v>Expect</v>
      </c>
      <c r="M234" s="203">
        <f t="array" ref="M234:P242">TRANSPOSE(MMULT(MINVERSE([1]!MSQRT(M228:P231)),MMULT(TRANSPOSE(M163:P171),MINVERSE([1]!DIAGONAL(S149:S157)))))</f>
        <v>-0.10817195341904137</v>
      </c>
      <c r="N234" s="204">
        <v>0.28164777618347425</v>
      </c>
      <c r="O234" s="204">
        <v>-0.25153377090208906</v>
      </c>
      <c r="P234" s="205">
        <v>-0.40669589803119399</v>
      </c>
    </row>
    <row r="235" spans="12:16" x14ac:dyDescent="0.25">
      <c r="L235" t="str">
        <v>Entertain</v>
      </c>
      <c r="M235" s="83">
        <v>-0.22834300504297314</v>
      </c>
      <c r="N235" s="37">
        <v>-0.2955601471158259</v>
      </c>
      <c r="O235" s="37">
        <v>0.23396742100939982</v>
      </c>
      <c r="P235" s="84">
        <v>-1.7145646635144951E-3</v>
      </c>
    </row>
    <row r="236" spans="12:16" x14ac:dyDescent="0.25">
      <c r="L236" t="str">
        <v>Comm</v>
      </c>
      <c r="M236" s="83">
        <v>-0.57275275566613715</v>
      </c>
      <c r="N236" s="37">
        <v>0.15690781763592007</v>
      </c>
      <c r="O236" s="37">
        <v>9.1473115135846078E-2</v>
      </c>
      <c r="P236" s="84">
        <v>-0.18331328606280339</v>
      </c>
    </row>
    <row r="237" spans="12:16" x14ac:dyDescent="0.25">
      <c r="L237" t="str">
        <v>Expert</v>
      </c>
      <c r="M237" s="83">
        <v>0.1551158320491105</v>
      </c>
      <c r="N237" s="37">
        <v>8.0128364975203994E-2</v>
      </c>
      <c r="O237" s="37">
        <v>-0.82410779927893929</v>
      </c>
      <c r="P237" s="84">
        <v>4.3519813973182581E-2</v>
      </c>
    </row>
    <row r="238" spans="12:16" x14ac:dyDescent="0.25">
      <c r="L238" t="str">
        <v>Motivate</v>
      </c>
      <c r="M238" s="83">
        <v>8.5913943983981556E-2</v>
      </c>
      <c r="N238" s="37">
        <v>-1.3316916540105722E-2</v>
      </c>
      <c r="O238" s="37">
        <v>-6.624437674753228E-2</v>
      </c>
      <c r="P238" s="84">
        <v>0.48063439003263181</v>
      </c>
    </row>
    <row r="239" spans="12:16" x14ac:dyDescent="0.25">
      <c r="L239" t="str">
        <v>Caring</v>
      </c>
      <c r="M239" s="83">
        <v>7.7165274816105134E-2</v>
      </c>
      <c r="N239" s="37">
        <v>-2.4881216070299921E-3</v>
      </c>
      <c r="O239" s="37">
        <v>2.2025481325587737E-2</v>
      </c>
      <c r="P239" s="84">
        <v>0.34958546728440548</v>
      </c>
    </row>
    <row r="240" spans="12:16" x14ac:dyDescent="0.25">
      <c r="L240" t="str">
        <v>Charisma</v>
      </c>
      <c r="M240" s="83">
        <v>-0.41402604905424906</v>
      </c>
      <c r="N240" s="37">
        <v>5.992859491714745E-2</v>
      </c>
      <c r="O240" s="37">
        <v>-0.12011081530879474</v>
      </c>
      <c r="P240" s="84">
        <v>1.6830226661169678E-2</v>
      </c>
    </row>
    <row r="241" spans="12:16" x14ac:dyDescent="0.25">
      <c r="L241" t="str">
        <v>Passion</v>
      </c>
      <c r="M241" s="83">
        <v>2.9094799445432709E-2</v>
      </c>
      <c r="N241" s="37">
        <v>-2.9159853631488937E-2</v>
      </c>
      <c r="O241" s="37">
        <v>-0.11785098813201519</v>
      </c>
      <c r="P241" s="84">
        <v>0.36192676330204288</v>
      </c>
    </row>
    <row r="242" spans="12:16" x14ac:dyDescent="0.25">
      <c r="L242" t="str">
        <v>Friendly</v>
      </c>
      <c r="M242" s="85">
        <v>1.2858234273116678E-2</v>
      </c>
      <c r="N242" s="86">
        <v>-0.71518147841152946</v>
      </c>
      <c r="O242" s="86">
        <v>-0.2663251745204675</v>
      </c>
      <c r="P242" s="87">
        <v>-0.39109671170040017</v>
      </c>
    </row>
  </sheetData>
  <pageMargins left="0.7" right="0.7" top="0.75" bottom="0.75" header="0.3" footer="0.3"/>
  <drawing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/>
  <dimension ref="A1:AD13"/>
  <sheetViews>
    <sheetView workbookViewId="0"/>
  </sheetViews>
  <sheetFormatPr defaultRowHeight="15" x14ac:dyDescent="0.25"/>
  <cols>
    <col min="1" max="3" width="6" customWidth="1"/>
    <col min="4" max="4" width="4.28515625" customWidth="1"/>
    <col min="8" max="8" width="4.7109375" customWidth="1"/>
    <col min="9" max="11" width="9.140625" customWidth="1"/>
    <col min="12" max="12" width="5" customWidth="1"/>
    <col min="13" max="14" width="9.140625" customWidth="1"/>
    <col min="15" max="15" width="9.28515625" bestFit="1" customWidth="1"/>
    <col min="17" max="23" width="5.28515625" customWidth="1"/>
    <col min="24" max="24" width="6.85546875" customWidth="1"/>
    <col min="25" max="25" width="4.5703125" customWidth="1"/>
    <col min="27" max="27" width="4.28515625" customWidth="1"/>
    <col min="29" max="29" width="5" customWidth="1"/>
    <col min="31" max="33" width="5.7109375" customWidth="1"/>
    <col min="35" max="37" width="5.7109375" customWidth="1"/>
  </cols>
  <sheetData>
    <row r="1" spans="1:30" ht="14.45" x14ac:dyDescent="0.35">
      <c r="A1" s="42" t="s">
        <v>552</v>
      </c>
      <c r="U1" t="s">
        <v>599</v>
      </c>
    </row>
    <row r="3" spans="1:30" ht="16.5" x14ac:dyDescent="0.35">
      <c r="A3" t="s">
        <v>462</v>
      </c>
      <c r="E3" t="s">
        <v>202</v>
      </c>
      <c r="I3" t="s">
        <v>493</v>
      </c>
      <c r="M3" t="s">
        <v>491</v>
      </c>
      <c r="U3" t="s">
        <v>462</v>
      </c>
      <c r="X3" s="32" t="s">
        <v>469</v>
      </c>
      <c r="Y3" s="32"/>
      <c r="Z3" s="32" t="s">
        <v>600</v>
      </c>
      <c r="AA3" s="32"/>
      <c r="AB3" s="32" t="s">
        <v>390</v>
      </c>
      <c r="AD3" t="s">
        <v>574</v>
      </c>
    </row>
    <row r="4" spans="1:30" ht="14.45" x14ac:dyDescent="0.35">
      <c r="A4" s="217">
        <v>4</v>
      </c>
      <c r="B4" s="218">
        <v>9</v>
      </c>
      <c r="C4" s="219">
        <v>6</v>
      </c>
      <c r="E4" s="217">
        <f t="array" ref="E4:E7">A4:A7</f>
        <v>4</v>
      </c>
      <c r="F4" s="218">
        <f t="array" ref="F4:F7">B4:B7-SUMPRODUCT(B4:B7,I4:I7)*I4:I7</f>
        <v>4.9111111111111105</v>
      </c>
      <c r="G4" s="219">
        <f t="array" ref="G4:G7">C4:C7-SUMPRODUCT(C4:C7,I4:I7)*I4:I7-SUMPRODUCT(C4:C7,J4:J7)*J4:J7</f>
        <v>1.606635071090047</v>
      </c>
      <c r="I4" s="217">
        <f t="array" ref="I4:I7">E4:E7/SQRT(SUMSQ(E4:E7))</f>
        <v>0.4216370213557839</v>
      </c>
      <c r="J4" s="218">
        <f t="array" ref="J4:J7">F4:F7/SQRT(SUMSQ(F4:F7))</f>
        <v>0.62903254117893825</v>
      </c>
      <c r="K4" s="219">
        <f t="array" ref="K4:K7">G4:G7/SQRT(SUMSQ(G4:G7))</f>
        <v>0.54621994214630787</v>
      </c>
      <c r="M4" s="217">
        <f t="array" ref="M4:O6">MMULT(TRANSPOSE(I4:K7),A4:C7)</f>
        <v>9.4868329805051381</v>
      </c>
      <c r="N4" s="218">
        <v>9.6976514911830307</v>
      </c>
      <c r="O4" s="219">
        <v>7.273238618387273</v>
      </c>
      <c r="U4" s="217">
        <v>4</v>
      </c>
      <c r="V4" s="218">
        <v>9</v>
      </c>
      <c r="W4" s="219">
        <v>6</v>
      </c>
      <c r="X4" s="237">
        <v>4.95</v>
      </c>
      <c r="Z4" s="223">
        <f t="array" ref="Z4:Z6">MMULT(TRANSPOSE(I4:K7),X4:X7)</f>
        <v>4.1653521339737898</v>
      </c>
      <c r="AB4" s="223">
        <f>(Z4-N4*AB5-O4*AB6)/M4</f>
        <v>-0.34944251311547947</v>
      </c>
      <c r="AD4" s="223">
        <f t="array" ref="AD4:AD7">MMULT(U4:W7,AB4:AB6)</f>
        <v>4.949993426458505</v>
      </c>
    </row>
    <row r="5" spans="1:30" ht="14.45" x14ac:dyDescent="0.35">
      <c r="A5" s="123">
        <v>5</v>
      </c>
      <c r="B5" s="37">
        <v>7</v>
      </c>
      <c r="C5" s="90">
        <v>2</v>
      </c>
      <c r="E5" s="123">
        <v>5</v>
      </c>
      <c r="F5" s="37">
        <v>1.8888888888888884</v>
      </c>
      <c r="G5" s="90">
        <v>-2.3436018957345977</v>
      </c>
      <c r="I5" s="123">
        <v>0.52704627669472992</v>
      </c>
      <c r="J5" s="37">
        <v>0.24193559276113005</v>
      </c>
      <c r="K5" s="90">
        <v>-0.79677215749660579</v>
      </c>
      <c r="M5" s="123">
        <v>-8.8817841970012523E-16</v>
      </c>
      <c r="N5" s="37">
        <v>7.8074038934562324</v>
      </c>
      <c r="O5" s="90">
        <v>2.1091091086587932</v>
      </c>
      <c r="U5" s="123">
        <v>5</v>
      </c>
      <c r="V5" s="37">
        <v>7</v>
      </c>
      <c r="W5" s="90">
        <v>2</v>
      </c>
      <c r="X5" s="238">
        <v>1.0760000000000001</v>
      </c>
      <c r="Z5" s="49">
        <v>3.0524700645551741</v>
      </c>
      <c r="AB5" s="49">
        <f>(Z5-O5*AB6)/N5</f>
        <v>0.17682207192971366</v>
      </c>
      <c r="AD5" s="49">
        <v>1.0759968817815981</v>
      </c>
    </row>
    <row r="6" spans="1:30" ht="14.45" x14ac:dyDescent="0.35">
      <c r="A6" s="123">
        <v>7</v>
      </c>
      <c r="B6" s="37">
        <v>3</v>
      </c>
      <c r="C6" s="90">
        <v>5</v>
      </c>
      <c r="E6" s="123">
        <v>7</v>
      </c>
      <c r="F6" s="37">
        <v>-4.1555555555555559</v>
      </c>
      <c r="G6" s="90">
        <v>0.7559241706161135</v>
      </c>
      <c r="I6" s="123">
        <v>0.73786478737262184</v>
      </c>
      <c r="J6" s="37">
        <v>-0.53225830407448627</v>
      </c>
      <c r="K6" s="90">
        <v>0.25699728841397079</v>
      </c>
      <c r="M6" s="91">
        <v>-1.9984014443252818E-15</v>
      </c>
      <c r="N6" s="92">
        <v>-2.3037127760971998E-15</v>
      </c>
      <c r="O6" s="93">
        <v>2.9413702194338782</v>
      </c>
      <c r="U6" s="123">
        <v>7</v>
      </c>
      <c r="V6" s="37">
        <v>3</v>
      </c>
      <c r="W6" s="90">
        <v>5</v>
      </c>
      <c r="X6" s="239">
        <v>2.048</v>
      </c>
      <c r="Z6" s="174">
        <v>2.3317049780487715</v>
      </c>
      <c r="AB6" s="174">
        <f>Z6/O6</f>
        <v>0.79272747192549997</v>
      </c>
      <c r="AD6" s="49">
        <v>2.0480059836082845</v>
      </c>
    </row>
    <row r="7" spans="1:30" ht="14.45" x14ac:dyDescent="0.35">
      <c r="A7" s="91">
        <v>0</v>
      </c>
      <c r="B7" s="92">
        <v>4</v>
      </c>
      <c r="C7" s="93">
        <v>1</v>
      </c>
      <c r="E7" s="91">
        <v>0</v>
      </c>
      <c r="F7" s="92">
        <v>4</v>
      </c>
      <c r="G7" s="93">
        <v>-8.0568720379146974E-2</v>
      </c>
      <c r="I7" s="91">
        <v>0</v>
      </c>
      <c r="J7" s="92">
        <v>0.51233419643533429</v>
      </c>
      <c r="K7" s="93">
        <v>-2.7391560520611334E-2</v>
      </c>
      <c r="U7" s="91">
        <v>0</v>
      </c>
      <c r="V7" s="92">
        <v>4</v>
      </c>
      <c r="W7" s="93">
        <v>1</v>
      </c>
      <c r="X7" s="240">
        <v>1.5</v>
      </c>
      <c r="AD7" s="174">
        <v>1.5000157596443546</v>
      </c>
    </row>
    <row r="9" spans="1:30" ht="16.5" x14ac:dyDescent="0.35">
      <c r="A9" t="s">
        <v>554</v>
      </c>
      <c r="I9" t="s">
        <v>553</v>
      </c>
      <c r="M9" t="s">
        <v>492</v>
      </c>
      <c r="U9" t="s">
        <v>554</v>
      </c>
    </row>
    <row r="10" spans="1:30" ht="14.45" x14ac:dyDescent="0.35">
      <c r="A10" s="217">
        <f t="array" ref="A10:C13">[1]!ELIM(A4:C7)</f>
        <v>1</v>
      </c>
      <c r="B10" s="218">
        <v>0</v>
      </c>
      <c r="C10" s="219">
        <v>0</v>
      </c>
      <c r="I10" s="217">
        <f t="array" ref="I10:K12">MMULT(TRANSPOSE(I4:K7),I4:K7)</f>
        <v>1</v>
      </c>
      <c r="J10" s="218">
        <v>-5.5511151231257827E-17</v>
      </c>
      <c r="K10" s="219">
        <v>-2.2204460492503131E-16</v>
      </c>
      <c r="M10" s="217">
        <f t="array" ref="M10:O13">MMULT(I4:K7,M4:O6)</f>
        <v>3.9999999999999987</v>
      </c>
      <c r="N10" s="218">
        <v>8.9999999999999982</v>
      </c>
      <c r="O10" s="219">
        <v>5.9999999999999991</v>
      </c>
      <c r="U10" s="217">
        <f t="array" ref="U10:X13">[1]!ELIM(U4:X7,0.0001)</f>
        <v>1</v>
      </c>
      <c r="V10" s="218">
        <v>0</v>
      </c>
      <c r="W10" s="218">
        <v>0</v>
      </c>
      <c r="X10" s="223">
        <v>-0.34944385026737962</v>
      </c>
    </row>
    <row r="11" spans="1:30" ht="14.45" x14ac:dyDescent="0.35">
      <c r="A11" s="123">
        <v>0</v>
      </c>
      <c r="B11" s="37">
        <v>1</v>
      </c>
      <c r="C11" s="90">
        <v>0</v>
      </c>
      <c r="I11" s="123">
        <v>-5.5511151231257827E-17</v>
      </c>
      <c r="J11" s="37">
        <v>1</v>
      </c>
      <c r="K11" s="90">
        <v>-3.8163916471489756E-17</v>
      </c>
      <c r="M11" s="123">
        <v>5.0000000000000018</v>
      </c>
      <c r="N11" s="37">
        <v>7.0000000000000018</v>
      </c>
      <c r="O11" s="90">
        <v>2.0000000000000022</v>
      </c>
      <c r="U11" s="36">
        <v>0</v>
      </c>
      <c r="V11" s="37">
        <v>1</v>
      </c>
      <c r="W11" s="37">
        <v>0</v>
      </c>
      <c r="X11" s="49">
        <v>0.17682352941176466</v>
      </c>
    </row>
    <row r="12" spans="1:30" ht="14.45" x14ac:dyDescent="0.35">
      <c r="A12" s="123">
        <v>0</v>
      </c>
      <c r="B12" s="37">
        <v>0</v>
      </c>
      <c r="C12" s="90">
        <v>1</v>
      </c>
      <c r="I12" s="91">
        <v>-2.2204460492503131E-16</v>
      </c>
      <c r="J12" s="92">
        <v>-3.8163916471489756E-17</v>
      </c>
      <c r="K12" s="93">
        <v>1</v>
      </c>
      <c r="M12" s="123">
        <v>7</v>
      </c>
      <c r="N12" s="37">
        <v>3.0000000000000004</v>
      </c>
      <c r="O12" s="90">
        <v>4.9999999999999991</v>
      </c>
      <c r="U12" s="36">
        <v>0</v>
      </c>
      <c r="V12" s="37">
        <v>0</v>
      </c>
      <c r="W12" s="37">
        <v>1</v>
      </c>
      <c r="X12" s="49">
        <v>0.79272727272727272</v>
      </c>
    </row>
    <row r="13" spans="1:30" ht="14.45" x14ac:dyDescent="0.35">
      <c r="A13" s="91">
        <v>0</v>
      </c>
      <c r="B13" s="92">
        <v>0</v>
      </c>
      <c r="C13" s="93">
        <v>0</v>
      </c>
      <c r="M13" s="91">
        <v>-4.003048428415557E-16</v>
      </c>
      <c r="N13" s="92">
        <v>3.9999999999999991</v>
      </c>
      <c r="O13" s="93">
        <v>1</v>
      </c>
      <c r="U13" s="91">
        <v>0</v>
      </c>
      <c r="V13" s="92">
        <v>0</v>
      </c>
      <c r="W13" s="92">
        <v>0</v>
      </c>
      <c r="X13" s="174">
        <v>-2.1390374331353712E-5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5"/>
  <dimension ref="A1:G25"/>
  <sheetViews>
    <sheetView workbookViewId="0"/>
  </sheetViews>
  <sheetFormatPr defaultRowHeight="15" x14ac:dyDescent="0.25"/>
  <sheetData>
    <row r="1" spans="1:5" ht="14.45" x14ac:dyDescent="0.35">
      <c r="A1" s="42" t="s">
        <v>627</v>
      </c>
    </row>
    <row r="2" spans="1:5" ht="14.45" x14ac:dyDescent="0.35">
      <c r="A2" s="42"/>
    </row>
    <row r="3" spans="1:5" ht="14.45" x14ac:dyDescent="0.35">
      <c r="A3" t="s">
        <v>462</v>
      </c>
    </row>
    <row r="4" spans="1:5" ht="14.45" x14ac:dyDescent="0.35">
      <c r="A4" s="217">
        <v>10</v>
      </c>
      <c r="B4" s="218">
        <v>-2</v>
      </c>
      <c r="C4" s="219">
        <v>3</v>
      </c>
    </row>
    <row r="5" spans="1:5" ht="14.45" x14ac:dyDescent="0.35">
      <c r="A5" s="123">
        <v>-2</v>
      </c>
      <c r="B5" s="37">
        <v>5</v>
      </c>
      <c r="C5" s="90">
        <v>2</v>
      </c>
    </row>
    <row r="6" spans="1:5" ht="14.45" x14ac:dyDescent="0.35">
      <c r="A6" s="91">
        <v>3</v>
      </c>
      <c r="B6" s="92">
        <v>2</v>
      </c>
      <c r="C6" s="93">
        <v>6</v>
      </c>
    </row>
    <row r="8" spans="1:5" ht="14.45" x14ac:dyDescent="0.35">
      <c r="A8" s="217">
        <f>SQRT(A4)</f>
        <v>3.1622776601683795</v>
      </c>
      <c r="B8" s="218">
        <v>0</v>
      </c>
      <c r="C8" s="219">
        <v>0</v>
      </c>
    </row>
    <row r="9" spans="1:5" ht="14.45" x14ac:dyDescent="0.35">
      <c r="A9" s="123">
        <f>A5/A8</f>
        <v>-0.63245553203367588</v>
      </c>
      <c r="B9" s="217">
        <f t="array" ref="B9:C10">B5:C6-MMULT(A9:A10,TRANSPOSE(A9:A10))</f>
        <v>4.5999999999999996</v>
      </c>
      <c r="C9" s="219">
        <v>2.6</v>
      </c>
    </row>
    <row r="10" spans="1:5" ht="14.45" x14ac:dyDescent="0.35">
      <c r="A10" s="91">
        <f>A6/A8</f>
        <v>0.94868329805051377</v>
      </c>
      <c r="B10" s="91">
        <v>2.6</v>
      </c>
      <c r="C10" s="93">
        <v>5.0999999999999996</v>
      </c>
    </row>
    <row r="12" spans="1:5" ht="14.45" x14ac:dyDescent="0.35">
      <c r="A12" s="217">
        <f>A8</f>
        <v>3.1622776601683795</v>
      </c>
      <c r="B12" s="218">
        <f>B8</f>
        <v>0</v>
      </c>
      <c r="C12" s="219">
        <f>C8</f>
        <v>0</v>
      </c>
    </row>
    <row r="13" spans="1:5" ht="14.45" x14ac:dyDescent="0.35">
      <c r="A13" s="123">
        <f>A9</f>
        <v>-0.63245553203367588</v>
      </c>
      <c r="B13" s="37">
        <f>SQRT(B9)</f>
        <v>2.1447610589527217</v>
      </c>
      <c r="C13" s="90">
        <v>0</v>
      </c>
    </row>
    <row r="14" spans="1:5" ht="14.45" x14ac:dyDescent="0.35">
      <c r="A14" s="91">
        <f>A10</f>
        <v>0.94868329805051377</v>
      </c>
      <c r="B14" s="92">
        <f>B10/B13</f>
        <v>1.2122562507124079</v>
      </c>
      <c r="C14" s="242">
        <f>C10-B14*B14</f>
        <v>3.6304347826086953</v>
      </c>
    </row>
    <row r="15" spans="1:5" ht="14.45" x14ac:dyDescent="0.35">
      <c r="A15" s="37"/>
      <c r="B15" s="37"/>
      <c r="C15" s="37"/>
    </row>
    <row r="16" spans="1:5" ht="16.5" x14ac:dyDescent="0.35">
      <c r="A16" t="s">
        <v>629</v>
      </c>
      <c r="E16" t="s">
        <v>630</v>
      </c>
    </row>
    <row r="17" spans="1:7" ht="14.45" x14ac:dyDescent="0.35">
      <c r="A17" s="217">
        <f t="shared" ref="A17:C18" si="0">A12</f>
        <v>3.1622776601683795</v>
      </c>
      <c r="B17" s="218">
        <f t="shared" si="0"/>
        <v>0</v>
      </c>
      <c r="C17" s="219">
        <f t="shared" si="0"/>
        <v>0</v>
      </c>
      <c r="E17" s="217">
        <f t="array" ref="E17:G19">MMULT(A17:C19,TRANSPOSE(A17:C19))</f>
        <v>10.000000000000002</v>
      </c>
      <c r="F17" s="218">
        <v>-2</v>
      </c>
      <c r="G17" s="219">
        <v>3</v>
      </c>
    </row>
    <row r="18" spans="1:7" ht="14.45" x14ac:dyDescent="0.35">
      <c r="A18" s="123">
        <f t="shared" si="0"/>
        <v>-0.63245553203367588</v>
      </c>
      <c r="B18" s="37">
        <f t="shared" si="0"/>
        <v>2.1447610589527217</v>
      </c>
      <c r="C18" s="90">
        <f t="shared" si="0"/>
        <v>0</v>
      </c>
      <c r="E18" s="123">
        <v>-2</v>
      </c>
      <c r="F18" s="37">
        <v>5.0000000000000009</v>
      </c>
      <c r="G18" s="90">
        <v>2</v>
      </c>
    </row>
    <row r="19" spans="1:7" ht="14.45" x14ac:dyDescent="0.35">
      <c r="A19" s="91">
        <f>A14</f>
        <v>0.94868329805051377</v>
      </c>
      <c r="B19" s="92">
        <f>B14</f>
        <v>1.2122562507124079</v>
      </c>
      <c r="C19" s="93">
        <f>SQRT(C14)</f>
        <v>1.9053699857530808</v>
      </c>
      <c r="E19" s="91">
        <v>3</v>
      </c>
      <c r="F19" s="92">
        <v>2</v>
      </c>
      <c r="G19" s="93">
        <v>6</v>
      </c>
    </row>
    <row r="21" spans="1:7" ht="14.45" x14ac:dyDescent="0.35">
      <c r="A21" t="s">
        <v>787</v>
      </c>
    </row>
    <row r="23" spans="1:7" ht="14.45" x14ac:dyDescent="0.35">
      <c r="A23" s="217">
        <f t="array" ref="A23:C25">[1]!CHOL(A4:C6)</f>
        <v>3.1622776601683795</v>
      </c>
      <c r="B23" s="218">
        <v>0</v>
      </c>
      <c r="C23" s="219">
        <v>0</v>
      </c>
      <c r="E23" s="217">
        <f t="array" ref="E23:G25">MMULT(A23:C25,TRANSPOSE(A23:C25))</f>
        <v>10.000000000000002</v>
      </c>
      <c r="F23" s="218">
        <v>-2</v>
      </c>
      <c r="G23" s="219">
        <v>3</v>
      </c>
    </row>
    <row r="24" spans="1:7" ht="14.45" x14ac:dyDescent="0.35">
      <c r="A24" s="123">
        <v>-0.63245553203367588</v>
      </c>
      <c r="B24" s="37">
        <v>2.1447610589527217</v>
      </c>
      <c r="C24" s="90">
        <v>0</v>
      </c>
      <c r="E24" s="123">
        <v>-2</v>
      </c>
      <c r="F24" s="37">
        <v>5.0000000000000009</v>
      </c>
      <c r="G24" s="90">
        <v>2</v>
      </c>
    </row>
    <row r="25" spans="1:7" ht="14.45" x14ac:dyDescent="0.35">
      <c r="A25" s="91">
        <v>0.94868329805051377</v>
      </c>
      <c r="B25" s="92">
        <v>1.2122562507124079</v>
      </c>
      <c r="C25" s="93">
        <v>1.9053699857530808</v>
      </c>
      <c r="E25" s="91">
        <v>3</v>
      </c>
      <c r="F25" s="92">
        <v>2</v>
      </c>
      <c r="G25" s="93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84</vt:i4>
      </vt:variant>
    </vt:vector>
  </HeadingPairs>
  <TitlesOfParts>
    <vt:vector size="84" baseType="lpstr">
      <vt:lpstr>TOC0</vt:lpstr>
      <vt:lpstr>TOC</vt:lpstr>
      <vt:lpstr>Desc</vt:lpstr>
      <vt:lpstr>Ellipse</vt:lpstr>
      <vt:lpstr>Ellipse 2</vt:lpstr>
      <vt:lpstr>Bivar</vt:lpstr>
      <vt:lpstr>Bivar 1</vt:lpstr>
      <vt:lpstr>Hotel 1</vt:lpstr>
      <vt:lpstr>Hotel 2P</vt:lpstr>
      <vt:lpstr>Hotel 2</vt:lpstr>
      <vt:lpstr>Hotel 2a</vt:lpstr>
      <vt:lpstr>Hotel 2b</vt:lpstr>
      <vt:lpstr>Hotel 3</vt:lpstr>
      <vt:lpstr>Hotel 3a</vt:lpstr>
      <vt:lpstr>Hotel 3b</vt:lpstr>
      <vt:lpstr>Rep Measures 1</vt:lpstr>
      <vt:lpstr>Rep Measures 2</vt:lpstr>
      <vt:lpstr>Rep Measures 3</vt:lpstr>
      <vt:lpstr>Hot1 Power</vt:lpstr>
      <vt:lpstr>Hot2 Power</vt:lpstr>
      <vt:lpstr>Box 2</vt:lpstr>
      <vt:lpstr>Box 2a</vt:lpstr>
      <vt:lpstr>Box 3a</vt:lpstr>
      <vt:lpstr>Box 3b</vt:lpstr>
      <vt:lpstr>Manova 1</vt:lpstr>
      <vt:lpstr>Manova 1a</vt:lpstr>
      <vt:lpstr>Manova 1b</vt:lpstr>
      <vt:lpstr>Manova 1c</vt:lpstr>
      <vt:lpstr>Manova 1d</vt:lpstr>
      <vt:lpstr>Manova 1e</vt:lpstr>
      <vt:lpstr>Manova 1f</vt:lpstr>
      <vt:lpstr>Manova 1g</vt:lpstr>
      <vt:lpstr>Manova 1h</vt:lpstr>
      <vt:lpstr>Manova 1i</vt:lpstr>
      <vt:lpstr>Manova 1j</vt:lpstr>
      <vt:lpstr>Manova 1k</vt:lpstr>
      <vt:lpstr>Manova2</vt:lpstr>
      <vt:lpstr>Man Power</vt:lpstr>
      <vt:lpstr>Man2 Power</vt:lpstr>
      <vt:lpstr>PMANOVA1</vt:lpstr>
      <vt:lpstr>PMANOVA2</vt:lpstr>
      <vt:lpstr>PMANOVA3</vt:lpstr>
      <vt:lpstr>PANOVA</vt:lpstr>
      <vt:lpstr>Box</vt:lpstr>
      <vt:lpstr>PCA</vt:lpstr>
      <vt:lpstr>Factor</vt:lpstr>
      <vt:lpstr>Box Factor</vt:lpstr>
      <vt:lpstr>Varimax</vt:lpstr>
      <vt:lpstr>Varimax 1</vt:lpstr>
      <vt:lpstr>KMO</vt:lpstr>
      <vt:lpstr>Clust 1</vt:lpstr>
      <vt:lpstr>Clust 1a</vt:lpstr>
      <vt:lpstr>Clust 2</vt:lpstr>
      <vt:lpstr>Clust 3</vt:lpstr>
      <vt:lpstr>Clust 3a</vt:lpstr>
      <vt:lpstr>Clust 3b</vt:lpstr>
      <vt:lpstr>Jenks 1</vt:lpstr>
      <vt:lpstr>Jenks 2</vt:lpstr>
      <vt:lpstr>Jenks 3</vt:lpstr>
      <vt:lpstr>Jenks 4</vt:lpstr>
      <vt:lpstr>Discrim 1</vt:lpstr>
      <vt:lpstr>Discrim 2</vt:lpstr>
      <vt:lpstr>Discrim 3</vt:lpstr>
      <vt:lpstr>Discrim 4</vt:lpstr>
      <vt:lpstr>CA 1</vt:lpstr>
      <vt:lpstr>CA 2</vt:lpstr>
      <vt:lpstr>CA 3</vt:lpstr>
      <vt:lpstr>CA 4</vt:lpstr>
      <vt:lpstr>QR 1</vt:lpstr>
      <vt:lpstr>QR 2</vt:lpstr>
      <vt:lpstr>Eigen 1</vt:lpstr>
      <vt:lpstr>Eigen 2</vt:lpstr>
      <vt:lpstr>QR</vt:lpstr>
      <vt:lpstr>Spectral</vt:lpstr>
      <vt:lpstr>SVD</vt:lpstr>
      <vt:lpstr>Matrix 1</vt:lpstr>
      <vt:lpstr>Matrix 2</vt:lpstr>
      <vt:lpstr>Par Cor</vt:lpstr>
      <vt:lpstr>SQRT</vt:lpstr>
      <vt:lpstr>Fact PCA</vt:lpstr>
      <vt:lpstr>PAF Comm</vt:lpstr>
      <vt:lpstr>Fact PAF</vt:lpstr>
      <vt:lpstr>Gram</vt:lpstr>
      <vt:lpstr>Cholesky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Charles</dc:creator>
  <cp:lastModifiedBy>Francisco Gomes</cp:lastModifiedBy>
  <cp:lastPrinted>2013-09-20T04:33:09Z</cp:lastPrinted>
  <dcterms:created xsi:type="dcterms:W3CDTF">2013-08-08T05:03:19Z</dcterms:created>
  <dcterms:modified xsi:type="dcterms:W3CDTF">2020-05-26T10:38:09Z</dcterms:modified>
</cp:coreProperties>
</file>