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ms-office.chartex+xml" PartName="/xl/charts/chartEx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TOTAL_AÇÕES" sheetId="3" r:id="rId6"/>
    <sheet state="visible" name="TICKER" sheetId="4" r:id="rId7"/>
    <sheet state="visible" name="SEGMENTO" sheetId="5" r:id="rId8"/>
  </sheets>
  <definedNames/>
  <calcPr/>
</workbook>
</file>

<file path=xl/sharedStrings.xml><?xml version="1.0" encoding="utf-8"?>
<sst xmlns="http://schemas.openxmlformats.org/spreadsheetml/2006/main" count="1619" uniqueCount="1076">
  <si>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</si>
  <si>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</si>
  <si>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</si>
  <si>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</si>
  <si>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</si>
  <si>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</si>
  <si>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</si>
  <si>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</si>
  <si>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</si>
  <si>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</si>
  <si>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</si>
  <si>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(%)</t>
  </si>
  <si>
    <t>Valor Inicial (R$)</t>
  </si>
  <si>
    <t>Quantidade de ações</t>
  </si>
  <si>
    <t>Variação (R$)</t>
  </si>
  <si>
    <t>Resultado</t>
  </si>
  <si>
    <t>Var_Sem(%)</t>
  </si>
  <si>
    <t>Valor_I($)</t>
  </si>
  <si>
    <t>Variacao($)</t>
  </si>
  <si>
    <t>Var_Mes(%)</t>
  </si>
  <si>
    <t>Var_Ano(%)</t>
  </si>
  <si>
    <t>Var_12M(%)</t>
  </si>
  <si>
    <t>Variação($)</t>
  </si>
  <si>
    <t>Nome Empresa</t>
  </si>
  <si>
    <t>Segmento</t>
  </si>
  <si>
    <t>Temp_Atuacao (anos)</t>
  </si>
  <si>
    <t>Cat_Idade</t>
  </si>
  <si>
    <t>USIM5</t>
  </si>
  <si>
    <t>1/26/2024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</si>
  <si>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</si>
  <si>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</si>
  <si>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</si>
  <si>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</si>
  <si>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</si>
  <si>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</si>
  <si>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</si>
  <si>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</si>
  <si>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</si>
  <si>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</si>
  <si>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</si>
  <si>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</si>
  <si>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</si>
  <si>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</si>
  <si>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</si>
  <si>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</si>
  <si>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</si>
  <si>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</si>
  <si>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</si>
  <si>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</si>
  <si>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</si>
  <si>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</si>
  <si>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</si>
  <si>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</si>
  <si>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</si>
  <si>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</si>
  <si>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</si>
  <si>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</si>
  <si>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</si>
  <si>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</si>
  <si>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</si>
  <si>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</si>
  <si>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</si>
  <si>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</si>
  <si>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</si>
  <si>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</si>
  <si>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</si>
  <si>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</si>
  <si>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</si>
  <si>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</si>
  <si>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</si>
  <si>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</si>
  <si>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</si>
  <si>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</si>
  <si>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</si>
  <si>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</si>
  <si>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</si>
  <si>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</si>
  <si>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</si>
  <si>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</si>
  <si>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</si>
  <si>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</si>
  <si>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</si>
  <si>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</si>
  <si>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</si>
  <si>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</si>
  <si>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</si>
  <si>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</si>
  <si>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</si>
  <si>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</si>
  <si>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</si>
  <si>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</si>
  <si>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</si>
  <si>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</si>
  <si>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</si>
  <si>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</si>
  <si>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</si>
  <si>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</si>
  <si>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</si>
  <si>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</si>
  <si>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</si>
  <si>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</si>
  <si>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</si>
  <si>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</si>
  <si>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</si>
  <si>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</si>
  <si>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</si>
  <si>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</si>
  <si>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</si>
  <si>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</si>
  <si>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</si>
  <si>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</si>
  <si>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</si>
  <si>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</si>
  <si>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</si>
  <si>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</si>
  <si>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</si>
  <si>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</si>
  <si>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</si>
  <si>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</si>
  <si>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</si>
  <si>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</si>
  <si>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</si>
  <si>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</si>
  <si>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</si>
  <si>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</si>
  <si>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</si>
  <si>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</si>
  <si>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</si>
  <si>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</si>
  <si>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</si>
  <si>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</si>
  <si>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</si>
  <si>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</si>
  <si>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</si>
  <si>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</si>
  <si>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</si>
  <si>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</si>
  <si>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</si>
  <si>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</si>
  <si>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</si>
  <si>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</si>
  <si>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</si>
  <si>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</si>
  <si>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</si>
  <si>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</si>
  <si>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</si>
  <si>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</si>
  <si>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</si>
  <si>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</si>
  <si>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</si>
  <si>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</si>
  <si>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</si>
  <si>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</si>
  <si>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</si>
  <si>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</si>
  <si>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</si>
  <si>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</si>
  <si>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</si>
  <si>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</si>
  <si>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</si>
  <si>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</si>
  <si>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</si>
  <si>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</si>
  <si>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</si>
  <si>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</si>
  <si>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</si>
  <si>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</si>
  <si>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</si>
  <si>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</si>
  <si>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</si>
  <si>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</si>
  <si>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</si>
  <si>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</si>
  <si>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</si>
  <si>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</si>
  <si>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</si>
  <si>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</si>
  <si>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</si>
  <si>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</si>
  <si>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</si>
  <si>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</si>
  <si>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</si>
  <si>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</si>
  <si>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</si>
  <si>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</si>
  <si>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</si>
  <si>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</si>
  <si>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</si>
  <si>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</si>
  <si>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MÁXIMO</t>
  </si>
  <si>
    <t>MÍNIMO</t>
  </si>
  <si>
    <t>MÉDIA</t>
  </si>
  <si>
    <t>MÉDIA SUBIU</t>
  </si>
  <si>
    <t>MÉDIA DESCEU</t>
  </si>
  <si>
    <t>SEGMENTOS</t>
  </si>
  <si>
    <t>VARIAÇÃO</t>
  </si>
  <si>
    <t>VARIAÇÃO DE QUEM SUBIU</t>
  </si>
  <si>
    <t>VARIAÇÃO $</t>
  </si>
  <si>
    <t>ANÁLISE POR IDADE</t>
  </si>
  <si>
    <t>QTDD DE EMPRESAS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</si>
  <si>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</si>
  <si>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</si>
  <si>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</si>
  <si>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</si>
  <si>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</si>
  <si>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</si>
  <si>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</si>
  <si>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</si>
  <si>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</si>
  <si>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</si>
  <si>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</si>
  <si>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</si>
  <si>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</si>
  <si>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</si>
  <si>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</si>
  <si>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</si>
  <si>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</si>
  <si>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</si>
  <si>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</si>
  <si>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</si>
  <si>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</si>
  <si>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</si>
  <si>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</si>
  <si>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</si>
  <si>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</si>
  <si>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</si>
  <si>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</si>
  <si>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</si>
  <si>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</si>
  <si>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</si>
  <si>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</si>
  <si>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</si>
  <si>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</si>
  <si>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</si>
  <si>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</si>
  <si>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</si>
  <si>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</si>
  <si>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</si>
  <si>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</si>
  <si>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</si>
  <si>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</si>
  <si>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</si>
  <si>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</si>
  <si>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</si>
  <si>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</si>
  <si>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</si>
  <si>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</si>
  <si>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</si>
  <si>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</si>
  <si>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</si>
  <si>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</si>
  <si>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</si>
  <si>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</si>
  <si>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</si>
  <si>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</si>
  <si>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</si>
  <si>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</si>
  <si>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</si>
  <si>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</si>
  <si>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</si>
  <si>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</si>
  <si>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</si>
  <si>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</si>
  <si>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</si>
  <si>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</si>
  <si>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</si>
  <si>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</si>
  <si>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</si>
  <si>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</si>
  <si>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</si>
  <si>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</si>
  <si>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</si>
  <si>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</si>
  <si>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</si>
  <si>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</si>
  <si>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</si>
  <si>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</si>
  <si>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</si>
  <si>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</si>
  <si>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</si>
  <si>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</si>
  <si>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</si>
  <si>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</si>
  <si>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</si>
  <si>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</si>
  <si>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</si>
  <si>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</si>
  <si>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</si>
  <si>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</si>
  <si>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</si>
  <si>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</si>
  <si>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</si>
  <si>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</si>
  <si>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</si>
  <si>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</si>
  <si>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</si>
  <si>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</si>
  <si>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</si>
  <si>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</si>
  <si>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</si>
  <si>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</si>
  <si>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</si>
  <si>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</si>
  <si>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</si>
  <si>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</si>
  <si>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</si>
  <si>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</si>
  <si>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</si>
  <si>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</si>
  <si>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</si>
  <si>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</si>
  <si>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</si>
  <si>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</si>
  <si>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</si>
  <si>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</si>
  <si>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</si>
  <si>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</si>
  <si>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</si>
  <si>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</si>
  <si>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</si>
  <si>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</si>
  <si>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</si>
  <si>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</si>
  <si>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</si>
  <si>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</si>
  <si>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</si>
  <si>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</si>
  <si>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</si>
  <si>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</si>
  <si>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</si>
  <si>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</si>
  <si>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</si>
  <si>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</si>
  <si>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</si>
  <si>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</si>
  <si>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</si>
  <si>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</si>
  <si>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</si>
  <si>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</si>
  <si>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</si>
  <si>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</si>
  <si>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</si>
  <si>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</si>
  <si>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</si>
  <si>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</si>
  <si>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</si>
  <si>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</si>
  <si>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</si>
  <si>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</si>
  <si>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</si>
  <si>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</si>
  <si>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</si>
  <si>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</si>
  <si>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</si>
  <si>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</si>
  <si>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</si>
  <si>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</si>
  <si>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</si>
  <si>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</si>
  <si>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</si>
  <si>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</si>
  <si>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</si>
  <si>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</si>
  <si>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</si>
  <si>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</si>
  <si>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</si>
  <si>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</si>
  <si>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</si>
  <si>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</si>
  <si>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</si>
  <si>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</si>
  <si>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</si>
  <si>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</si>
  <si>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</si>
  <si>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</si>
  <si>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</si>
  <si>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</si>
  <si>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</si>
  <si>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</si>
  <si>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</si>
  <si>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</si>
  <si>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</si>
  <si>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</si>
  <si>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</si>
  <si>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</si>
  <si>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</si>
  <si>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</si>
  <si>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</si>
  <si>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</si>
  <si>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</si>
  <si>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</si>
  <si>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</si>
  <si>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</si>
  <si>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</si>
  <si>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</si>
  <si>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</si>
  <si>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</si>
  <si>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</si>
  <si>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</si>
  <si>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</si>
  <si>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</si>
  <si>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</si>
  <si>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</si>
  <si>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</si>
  <si>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</si>
  <si>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</si>
  <si>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</si>
  <si>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</si>
  <si>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</si>
  <si>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</si>
  <si>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</si>
  <si>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</si>
  <si>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</si>
  <si>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</si>
  <si>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</si>
  <si>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</si>
  <si>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</si>
  <si>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</si>
  <si>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</si>
  <si>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</si>
  <si>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</si>
  <si>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</si>
  <si>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</si>
  <si>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</si>
  <si>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</si>
  <si>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</si>
  <si>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</si>
  <si>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</si>
  <si>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</si>
  <si>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</si>
  <si>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</si>
  <si>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</si>
  <si>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</si>
  <si>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</si>
  <si>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</si>
  <si>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</si>
  <si>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</si>
  <si>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</si>
  <si>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</si>
  <si>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</si>
  <si>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</si>
  <si>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</si>
  <si>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</si>
  <si>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</si>
  <si>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</si>
  <si>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</si>
  <si>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</si>
  <si>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</si>
  <si>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</si>
  <si>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</si>
  <si>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</si>
  <si>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</si>
  <si>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</si>
  <si>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</si>
  <si>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</si>
  <si>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</si>
  <si>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</si>
  <si>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</si>
  <si>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</si>
  <si>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</si>
  <si>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</si>
  <si>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</si>
  <si>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</si>
  <si>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</si>
  <si>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</si>
  <si>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</si>
  <si>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</si>
  <si>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</si>
  <si>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</si>
  <si>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</si>
  <si>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</si>
  <si>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</si>
  <si>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</si>
  <si>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</si>
  <si>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</si>
  <si>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</si>
  <si>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</si>
  <si>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</si>
  <si>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</si>
  <si>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</si>
  <si>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</si>
  <si>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</si>
  <si>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</si>
  <si>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</si>
  <si>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</si>
  <si>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</si>
  <si>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</si>
  <si>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</si>
  <si>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</si>
  <si>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</si>
  <si>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</si>
  <si>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</si>
  <si>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</si>
  <si>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</si>
  <si>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</si>
  <si>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</si>
  <si>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</si>
  <si>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</si>
  <si>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</si>
  <si>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</si>
  <si>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</si>
  <si>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</si>
  <si>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</si>
  <si>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</si>
  <si>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</si>
  <si>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</si>
  <si>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</si>
  <si>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</si>
  <si>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</si>
  <si>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</si>
  <si>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</si>
  <si>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</si>
  <si>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</si>
  <si>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</si>
  <si>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</si>
  <si>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</si>
  <si>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</si>
  <si>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</si>
  <si>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</si>
  <si>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</si>
  <si>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</si>
  <si>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</si>
  <si>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</si>
  <si>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</si>
  <si>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</si>
  <si>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</si>
  <si>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</si>
  <si>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</si>
  <si>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</si>
  <si>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</si>
  <si>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</si>
  <si>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</si>
  <si>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</si>
  <si>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</si>
  <si>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</si>
  <si>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</si>
  <si>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</si>
  <si>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</si>
  <si>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</si>
  <si>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</si>
  <si>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</si>
  <si>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</si>
  <si>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</si>
  <si>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</si>
  <si>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</si>
  <si>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</si>
  <si>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</si>
  <si>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</si>
  <si>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</si>
  <si>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</si>
  <si>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</si>
  <si>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</si>
  <si>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</si>
  <si>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</si>
  <si>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</si>
  <si>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</si>
  <si>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</si>
  <si>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</si>
  <si>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</si>
  <si>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</si>
  <si>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</si>
  <si>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</si>
  <si>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</si>
  <si>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</si>
  <si>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</si>
  <si>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</si>
  <si>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</si>
  <si>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</si>
  <si>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</si>
  <si>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</si>
  <si>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</si>
  <si>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</si>
  <si>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</si>
  <si>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</si>
  <si>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</si>
  <si>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</si>
  <si>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</si>
  <si>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</si>
  <si>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</si>
  <si>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</si>
  <si>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</si>
  <si>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</si>
  <si>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</si>
  <si>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</si>
  <si>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</si>
  <si>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</si>
  <si>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</si>
  <si>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</si>
  <si>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</si>
  <si>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</si>
  <si>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</si>
  <si>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</si>
  <si>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</si>
  <si>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</si>
  <si>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</si>
  <si>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</si>
  <si>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</si>
  <si>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</si>
  <si>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</si>
  <si>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</si>
  <si>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</si>
  <si>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</si>
  <si>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</si>
  <si>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</si>
  <si>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</si>
  <si>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</si>
  <si>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</si>
  <si>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</si>
  <si>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</si>
  <si>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</si>
  <si>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</si>
  <si>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</si>
  <si>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</si>
  <si>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</si>
  <si>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</si>
  <si>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</si>
  <si>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</si>
  <si>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</si>
  <si>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</si>
  <si>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</si>
  <si>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</si>
  <si>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</si>
  <si>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</si>
  <si>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</si>
  <si>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</si>
  <si>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</si>
  <si>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</si>
  <si>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</si>
  <si>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</si>
  <si>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</si>
  <si>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</si>
  <si>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</si>
  <si>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</si>
  <si>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</si>
  <si>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</si>
  <si>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</si>
  <si>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</si>
  <si>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</si>
  <si>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</si>
  <si>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</si>
  <si>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</si>
  <si>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</si>
  <si>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</si>
  <si>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</si>
  <si>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</si>
  <si>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</si>
  <si>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</si>
  <si>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</si>
  <si>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</si>
  <si>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</si>
  <si>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</si>
  <si>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</si>
  <si>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</si>
  <si>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</si>
  <si>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</si>
  <si>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</si>
  <si>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</si>
  <si>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</si>
  <si>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</si>
  <si>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</si>
  <si>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</si>
  <si>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</si>
  <si>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</si>
  <si>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</si>
  <si>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</si>
  <si>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</si>
  <si>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</si>
  <si>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</si>
  <si>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</si>
  <si>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</si>
  <si>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</si>
  <si>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</si>
  <si>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</si>
  <si>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</si>
  <si>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</si>
  <si>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</si>
  <si>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</si>
  <si>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</si>
  <si>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</si>
  <si>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</si>
  <si>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</si>
  <si>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</si>
  <si>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</si>
  <si>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</si>
  <si>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</si>
  <si>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</si>
  <si>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</si>
  <si>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</si>
  <si>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</si>
  <si>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</si>
  <si>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</si>
  <si>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</si>
  <si>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</si>
  <si>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</si>
  <si>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</si>
  <si>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</si>
  <si>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</si>
  <si>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</si>
  <si>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</si>
  <si>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</si>
  <si>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</si>
  <si>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</si>
  <si>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</si>
  <si>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</si>
  <si>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</si>
  <si>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</si>
  <si>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</si>
  <si>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</si>
  <si>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</si>
  <si>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</si>
  <si>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</si>
  <si>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</si>
  <si>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</si>
  <si>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</si>
  <si>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</si>
  <si>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</si>
  <si>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</si>
  <si>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</si>
  <si>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</si>
  <si>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</si>
  <si>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</si>
  <si>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</si>
  <si>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</si>
  <si>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</si>
  <si>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</si>
  <si>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</si>
  <si>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</si>
  <si>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</si>
  <si>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</si>
  <si>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</si>
  <si>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</si>
  <si>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</si>
  <si>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</si>
  <si>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</si>
  <si>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</si>
  <si>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</si>
  <si>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</si>
  <si>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</si>
  <si>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</si>
  <si>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</si>
  <si>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</si>
  <si>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</si>
  <si>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</si>
  <si>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</si>
  <si>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</si>
  <si>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</si>
  <si>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</si>
  <si>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</si>
  <si>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</si>
  <si>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</si>
  <si>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</si>
  <si>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</si>
  <si>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</si>
  <si>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</si>
  <si>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</si>
  <si>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</si>
  <si>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</si>
  <si>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</si>
  <si>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</si>
  <si>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</si>
  <si>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</si>
  <si>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</si>
  <si>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</si>
  <si>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</si>
  <si>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</si>
  <si>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</si>
  <si>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</si>
  <si>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</si>
  <si>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</si>
  <si>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</si>
  <si>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</si>
  <si>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</si>
  <si>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</si>
  <si>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</si>
  <si>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</si>
  <si>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</si>
  <si>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</si>
  <si>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</si>
  <si>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</si>
  <si>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</si>
  <si>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</si>
  <si>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</si>
  <si>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</si>
  <si>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</si>
  <si>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</si>
  <si>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</si>
  <si>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</si>
  <si>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</si>
  <si>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</si>
  <si>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</si>
  <si>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</si>
  <si>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</si>
  <si>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</si>
  <si>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</si>
  <si>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</si>
  <si>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</si>
  <si>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</si>
  <si>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</si>
  <si>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</si>
  <si>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</si>
  <si>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</si>
  <si>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</si>
  <si>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</si>
  <si>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</si>
  <si>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</si>
  <si>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</si>
  <si>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</si>
  <si>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</si>
  <si>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</si>
  <si>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</si>
  <si>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</si>
  <si>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</si>
  <si>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</si>
  <si>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</si>
  <si>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</si>
  <si>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</si>
  <si>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</si>
  <si>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</si>
  <si>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</si>
  <si>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</si>
  <si>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</si>
  <si>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</si>
  <si>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</si>
  <si>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</si>
  <si>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</si>
  <si>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</si>
  <si>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</si>
  <si>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</si>
  <si>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</si>
  <si>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</si>
  <si>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</si>
  <si>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</si>
  <si>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</si>
  <si>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</si>
  <si>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</si>
  <si>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</si>
  <si>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</si>
  <si>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</si>
  <si>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</si>
  <si>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</si>
  <si>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</si>
  <si>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</si>
  <si>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</si>
  <si>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</si>
  <si>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</si>
  <si>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</si>
  <si>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</si>
  <si>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</si>
  <si>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</si>
  <si>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</si>
  <si>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</si>
  <si>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</si>
  <si>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</si>
  <si>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</si>
  <si>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</si>
  <si>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</si>
  <si>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</si>
  <si>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</si>
  <si>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</si>
  <si>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</si>
  <si>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</si>
  <si>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</si>
  <si>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</si>
  <si>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</si>
  <si>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</si>
  <si>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</si>
  <si>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</si>
  <si>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</si>
  <si>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</si>
  <si>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</si>
  <si>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</si>
  <si>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</si>
  <si>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</si>
  <si>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</si>
  <si>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</si>
  <si>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</si>
  <si>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</si>
  <si>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</si>
  <si>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</si>
  <si>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</si>
  <si>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</si>
  <si>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</si>
  <si>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</si>
  <si>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</si>
  <si>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</si>
  <si>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</si>
  <si>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</si>
  <si>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</si>
  <si>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</si>
  <si>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</si>
  <si>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</si>
  <si>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</si>
  <si>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</si>
  <si>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</si>
  <si>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</si>
  <si>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</si>
  <si>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</si>
  <si>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</si>
  <si>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</si>
  <si>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</si>
  <si>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</si>
  <si>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</si>
  <si>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</si>
  <si>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</si>
  <si>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</si>
  <si>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</si>
  <si>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</si>
  <si>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</si>
  <si>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</si>
  <si>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</si>
  <si>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</si>
  <si>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</si>
  <si>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</si>
  <si>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</si>
  <si>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</si>
  <si>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</si>
  <si>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</si>
  <si>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</si>
  <si>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</si>
  <si>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</si>
  <si>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</si>
  <si>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</si>
  <si>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</si>
  <si>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</si>
  <si>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</si>
  <si>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</si>
  <si>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</si>
  <si>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</si>
  <si>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</si>
  <si>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</si>
  <si>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</si>
  <si>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</si>
  <si>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</si>
  <si>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</si>
  <si>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</si>
  <si>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</si>
  <si>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</si>
  <si>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</si>
  <si>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</si>
  <si>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</si>
  <si>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</si>
  <si>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</si>
  <si>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</si>
  <si>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</si>
  <si>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</si>
  <si>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</si>
  <si>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</si>
  <si>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</si>
  <si>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</si>
  <si>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</si>
  <si>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</si>
  <si>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</si>
  <si>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</si>
  <si>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</si>
  <si>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</si>
  <si>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</si>
  <si>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</si>
  <si>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</si>
  <si>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</si>
  <si>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</si>
  <si>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</si>
  <si>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</si>
  <si>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</si>
  <si>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</si>
  <si>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</si>
  <si>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</si>
  <si>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</si>
  <si>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</si>
  <si>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</si>
  <si>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</si>
  <si>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</si>
  <si>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</si>
  <si>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</si>
  <si>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</si>
  <si>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</si>
  <si>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</si>
  <si>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</si>
  <si>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</si>
  <si>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</si>
  <si>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</si>
  <si>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</si>
  <si>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</si>
  <si>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</si>
  <si>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</si>
  <si>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</si>
  <si>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</si>
  <si>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</si>
  <si>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</si>
  <si>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</si>
  <si>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</si>
  <si>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</si>
  <si>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</si>
  <si>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</si>
  <si>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</si>
  <si>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</si>
  <si>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</si>
  <si>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</si>
  <si>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</si>
  <si>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</si>
  <si>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</si>
  <si>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</si>
  <si>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</si>
  <si>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</si>
  <si>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</si>
  <si>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</si>
  <si>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</si>
  <si>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</si>
  <si>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</si>
  <si>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</si>
  <si>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</si>
  <si>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</si>
  <si>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</si>
  <si>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</si>
  <si>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</si>
  <si>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</si>
  <si>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</si>
  <si>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</si>
  <si>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</si>
  <si>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</si>
  <si>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</si>
  <si>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</si>
  <si>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</si>
  <si>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</si>
  <si>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</si>
  <si>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</si>
  <si>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</si>
  <si>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</si>
  <si>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</si>
  <si>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</si>
  <si>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</si>
  <si>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</si>
  <si>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</si>
  <si>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</si>
  <si>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</si>
  <si>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</si>
  <si>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</si>
  <si>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</si>
  <si>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</si>
  <si>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</si>
  <si>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NOME</t>
  </si>
  <si>
    <t xml:space="preserve">SEGMENTO </t>
  </si>
  <si>
    <t>IDADE (ANOS)</t>
  </si>
  <si>
    <t>Siderurgia</t>
  </si>
  <si>
    <t>Mineração</t>
  </si>
  <si>
    <t>Petróleo</t>
  </si>
  <si>
    <t>Papel e Celulose</t>
  </si>
  <si>
    <t>Energia</t>
  </si>
  <si>
    <t>Shopping Centers</t>
  </si>
  <si>
    <t>Banco</t>
  </si>
  <si>
    <t>Saúde</t>
  </si>
  <si>
    <t>Química</t>
  </si>
  <si>
    <t>Aviação</t>
  </si>
  <si>
    <t>Educação</t>
  </si>
  <si>
    <t>Construção</t>
  </si>
  <si>
    <t>Moda</t>
  </si>
  <si>
    <t>Alimentos</t>
  </si>
  <si>
    <t>Varejo</t>
  </si>
  <si>
    <t>Telecomunicações</t>
  </si>
  <si>
    <t>Logística</t>
  </si>
  <si>
    <t>Meios de Pagamento</t>
  </si>
  <si>
    <t>Imobiliário</t>
  </si>
  <si>
    <t>Holding</t>
  </si>
  <si>
    <t>Tecnologia</t>
  </si>
  <si>
    <t>Bebidas</t>
  </si>
  <si>
    <t>Seguros</t>
  </si>
  <si>
    <t>Saneamento</t>
  </si>
  <si>
    <t>Automação</t>
  </si>
  <si>
    <t>Agronegócio</t>
  </si>
  <si>
    <t>Infraestrutura</t>
  </si>
  <si>
    <t>Aeronáutica</t>
  </si>
  <si>
    <t>Cosméticos</t>
  </si>
  <si>
    <t>Bolsa de Valores</t>
  </si>
  <si>
    <t>Farmacêutica</t>
  </si>
  <si>
    <t>Açúcar e Álcool</t>
  </si>
  <si>
    <t>Aluguel de Carros</t>
  </si>
  <si>
    <t>Turismo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</si>
</sst>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3">
    <font>
      <sz val="10.0"/>
      <color rgb="FF000000"/>
      <name val="Arial"/>
      <scheme val="minor"/>
    </font>
    <font>
      <b/>
      <sz val="11.0"/>
      <color rgb="FF000000"/>
      <name val="Arial"/>
    </font>
    <font>
      <b/>
      <color theme="1"/>
      <name val="Arial"/>
      <scheme val="minor"/>
    </font>
    <font>
      <b/>
      <sz val="11.0"/>
      <color theme="1"/>
      <name val="Arial"/>
    </font>
    <font>
      <color rgb="FF000000"/>
      <name val="Arial"/>
    </font>
    <font>
      <color theme="1"/>
      <name val="Arial"/>
      <scheme val="minor"/>
    </font>
    <font>
      <sz val="9.0"/>
      <color rgb="FF000000"/>
      <name val="Arial"/>
      <scheme val="minor"/>
    </font>
    <font>
      <color theme="1"/>
      <name val="Aptos narrow"/>
    </font>
    <font>
      <sz val="11.0"/>
      <color theme="1"/>
      <name val="&quot;aptos narrow&quot;"/>
    </font>
    <font>
      <b/>
      <color rgb="FF000000"/>
      <name val="Arial"/>
    </font>
    <font>
      <sz val="11.0"/>
      <color theme="1"/>
      <name val="Arial"/>
    </font>
    <font>
      <b/>
      <sz val="11.0"/>
      <color rgb="FFD1D5DB"/>
      <name val="Arial"/>
    </font>
    <font>
      <sz val="11.0"/>
      <color rgb="FFD1D5DB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rgb="FF9900FF"/>
        <bgColor rgb="FF9900FF"/>
      </patternFill>
    </fill>
    <fill>
      <patternFill patternType="solid">
        <fgColor rgb="FF45818E"/>
        <bgColor rgb="FF45818E"/>
      </patternFill>
    </fill>
    <fill>
      <patternFill patternType="solid">
        <fgColor rgb="FFD9F2D0"/>
        <bgColor rgb="FFD9F2D0"/>
      </patternFill>
    </fill>
    <fill>
      <patternFill patternType="solid">
        <fgColor rgb="FFFFFFFF"/>
        <bgColor rgb="FFFFFFFF"/>
      </patternFill>
    </fill>
    <fill>
      <patternFill patternType="solid">
        <fgColor rgb="FFC1E4F5"/>
        <bgColor rgb="FFC1E4F5"/>
      </patternFill>
    </fill>
    <fill>
      <patternFill patternType="solid">
        <fgColor rgb="FF343541"/>
        <bgColor rgb="FF343541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D9D9E3"/>
      </right>
      <top style="thin">
        <color rgb="FF000000"/>
      </top>
      <bottom style="thin">
        <color rgb="FFD9D9E3"/>
      </bottom>
    </border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right style="thin">
        <color rgb="FFD9D9E3"/>
      </right>
      <top style="thin">
        <color rgb="FFD9D9E3"/>
      </top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1" fillId="2" fontId="1" numFmtId="2" xfId="0" applyAlignment="1" applyBorder="1" applyFont="1" applyNumberFormat="1">
      <alignment horizontal="left" readingOrder="0" shrinkToFit="0" vertical="bottom" wrapText="0"/>
    </xf>
    <xf borderId="1" fillId="2" fontId="2" numFmtId="0" xfId="0" applyAlignment="1" applyBorder="1" applyFont="1">
      <alignment horizontal="center" readingOrder="0"/>
    </xf>
    <xf borderId="1" fillId="2" fontId="2" numFmtId="2" xfId="0" applyAlignment="1" applyBorder="1" applyFont="1" applyNumberFormat="1">
      <alignment horizontal="center" readingOrder="0"/>
    </xf>
    <xf borderId="1" fillId="2" fontId="2" numFmtId="164" xfId="0" applyAlignment="1" applyBorder="1" applyFont="1" applyNumberFormat="1">
      <alignment horizontal="center" readingOrder="0"/>
    </xf>
    <xf borderId="1" fillId="3" fontId="2" numFmtId="0" xfId="0" applyAlignment="1" applyBorder="1" applyFill="1" applyFont="1">
      <alignment readingOrder="0"/>
    </xf>
    <xf borderId="1" fillId="3" fontId="2" numFmtId="164" xfId="0" applyAlignment="1" applyBorder="1" applyFont="1" applyNumberFormat="1">
      <alignment readingOrder="0"/>
    </xf>
    <xf borderId="1" fillId="3" fontId="2" numFmtId="164" xfId="0" applyAlignment="1" applyBorder="1" applyFont="1" applyNumberFormat="1">
      <alignment readingOrder="0"/>
    </xf>
    <xf borderId="1" fillId="4" fontId="2" numFmtId="10" xfId="0" applyAlignment="1" applyBorder="1" applyFill="1" applyFont="1" applyNumberFormat="1">
      <alignment readingOrder="0"/>
    </xf>
    <xf borderId="1" fillId="4" fontId="2" numFmtId="164" xfId="0" applyAlignment="1" applyBorder="1" applyFont="1" applyNumberFormat="1">
      <alignment readingOrder="0"/>
    </xf>
    <xf borderId="1" fillId="4" fontId="2" numFmtId="0" xfId="0" applyAlignment="1" applyBorder="1" applyFont="1">
      <alignment readingOrder="0"/>
    </xf>
    <xf borderId="1" fillId="5" fontId="3" numFmtId="10" xfId="0" applyAlignment="1" applyBorder="1" applyFill="1" applyFont="1" applyNumberFormat="1">
      <alignment readingOrder="0" vertical="bottom"/>
    </xf>
    <xf borderId="1" fillId="5" fontId="3" numFmtId="164" xfId="0" applyAlignment="1" applyBorder="1" applyFont="1" applyNumberFormat="1">
      <alignment readingOrder="0" vertical="bottom"/>
    </xf>
    <xf borderId="1" fillId="5" fontId="3" numFmtId="0" xfId="0" applyAlignment="1" applyBorder="1" applyFont="1">
      <alignment readingOrder="0" vertical="bottom"/>
    </xf>
    <xf borderId="1" fillId="5" fontId="3" numFmtId="0" xfId="0" applyAlignment="1" applyBorder="1" applyFont="1">
      <alignment vertical="bottom"/>
    </xf>
    <xf borderId="1" fillId="6" fontId="1" numFmtId="10" xfId="0" applyAlignment="1" applyBorder="1" applyFill="1" applyFont="1" applyNumberFormat="1">
      <alignment readingOrder="0" vertical="bottom"/>
    </xf>
    <xf borderId="1" fillId="6" fontId="1" numFmtId="164" xfId="0" applyAlignment="1" applyBorder="1" applyFont="1" applyNumberFormat="1">
      <alignment readingOrder="0" vertical="bottom"/>
    </xf>
    <xf borderId="1" fillId="6" fontId="1" numFmtId="0" xfId="0" applyAlignment="1" applyBorder="1" applyFont="1">
      <alignment readingOrder="0" vertical="bottom"/>
    </xf>
    <xf borderId="1" fillId="6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7" fontId="4" numFmtId="0" xfId="0" applyAlignment="1" applyBorder="1" applyFill="1" applyFont="1">
      <alignment horizontal="left" readingOrder="0" shrinkToFit="0" vertical="bottom" wrapText="0"/>
    </xf>
    <xf borderId="1" fillId="7" fontId="4" numFmtId="0" xfId="0" applyAlignment="1" applyBorder="1" applyFont="1">
      <alignment horizontal="right" readingOrder="0" shrinkToFit="0" vertical="bottom" wrapText="0"/>
    </xf>
    <xf borderId="1" fillId="7" fontId="4" numFmtId="2" xfId="0" applyAlignment="1" applyBorder="1" applyFont="1" applyNumberFormat="1">
      <alignment horizontal="right" readingOrder="0" shrinkToFit="0" vertical="bottom" wrapText="0"/>
    </xf>
    <xf borderId="1" fillId="0" fontId="5" numFmtId="0" xfId="0" applyBorder="1" applyFont="1"/>
    <xf borderId="1" fillId="0" fontId="5" numFmtId="2" xfId="0" applyBorder="1" applyFont="1" applyNumberFormat="1"/>
    <xf borderId="1" fillId="0" fontId="5" numFmtId="3" xfId="0" applyBorder="1" applyFont="1" applyNumberFormat="1"/>
    <xf borderId="1" fillId="0" fontId="5" numFmtId="164" xfId="0" applyBorder="1" applyFont="1" applyNumberFormat="1"/>
    <xf borderId="1" fillId="0" fontId="5" numFmtId="0" xfId="0" applyAlignment="1" applyBorder="1" applyFont="1">
      <alignment horizontal="center"/>
    </xf>
    <xf borderId="1" fillId="0" fontId="5" numFmtId="10" xfId="0" applyBorder="1" applyFont="1" applyNumberFormat="1"/>
    <xf borderId="1" fillId="0" fontId="5" numFmtId="164" xfId="0" applyBorder="1" applyFont="1" applyNumberFormat="1"/>
    <xf borderId="1" fillId="8" fontId="6" numFmtId="0" xfId="0" applyBorder="1" applyFill="1" applyFont="1"/>
    <xf borderId="1" fillId="0" fontId="7" numFmtId="10" xfId="0" applyBorder="1" applyFont="1" applyNumberFormat="1"/>
    <xf borderId="1" fillId="0" fontId="7" numFmtId="164" xfId="0" applyBorder="1" applyFont="1" applyNumberFormat="1"/>
    <xf borderId="1" fillId="0" fontId="7" numFmtId="164" xfId="0" applyBorder="1" applyFont="1" applyNumberFormat="1"/>
    <xf borderId="1" fillId="0" fontId="7" numFmtId="0" xfId="0" applyBorder="1" applyFont="1"/>
    <xf borderId="1" fillId="7" fontId="8" numFmtId="10" xfId="0" applyAlignment="1" applyBorder="1" applyFont="1" applyNumberFormat="1">
      <alignment horizontal="right" vertical="bottom"/>
    </xf>
    <xf borderId="1" fillId="7" fontId="8" numFmtId="164" xfId="0" applyAlignment="1" applyBorder="1" applyFont="1" applyNumberFormat="1">
      <alignment horizontal="right" vertical="bottom"/>
    </xf>
    <xf borderId="1" fillId="7" fontId="8" numFmtId="164" xfId="0" applyAlignment="1" applyBorder="1" applyFont="1" applyNumberFormat="1">
      <alignment horizontal="right" vertical="bottom"/>
    </xf>
    <xf borderId="1" fillId="7" fontId="8" numFmtId="0" xfId="0" applyAlignment="1" applyBorder="1" applyFont="1">
      <alignment horizontal="center" vertical="bottom"/>
    </xf>
    <xf borderId="1" fillId="9" fontId="4" numFmtId="0" xfId="0" applyAlignment="1" applyBorder="1" applyFill="1" applyFont="1">
      <alignment horizontal="left" readingOrder="0" shrinkToFit="0" vertical="bottom" wrapText="0"/>
    </xf>
    <xf borderId="1" fillId="9" fontId="4" numFmtId="0" xfId="0" applyAlignment="1" applyBorder="1" applyFont="1">
      <alignment horizontal="right" readingOrder="0" shrinkToFit="0" vertical="bottom" wrapText="0"/>
    </xf>
    <xf borderId="1" fillId="9" fontId="4" numFmtId="2" xfId="0" applyAlignment="1" applyBorder="1" applyFont="1" applyNumberFormat="1">
      <alignment horizontal="right" readingOrder="0" shrinkToFit="0" vertical="bottom" wrapText="0"/>
    </xf>
    <xf borderId="0" fillId="0" fontId="5" numFmtId="2" xfId="0" applyFont="1" applyNumberFormat="1"/>
    <xf borderId="0" fillId="0" fontId="5" numFmtId="164" xfId="0" applyFont="1" applyNumberFormat="1"/>
    <xf borderId="0" fillId="0" fontId="5" numFmtId="0" xfId="0" applyAlignment="1" applyFont="1">
      <alignment horizontal="center"/>
    </xf>
    <xf borderId="0" fillId="0" fontId="5" numFmtId="10" xfId="0" applyFont="1" applyNumberFormat="1"/>
    <xf borderId="0" fillId="0" fontId="5" numFmtId="164" xfId="0" applyFont="1" applyNumberFormat="1"/>
    <xf borderId="0" fillId="0" fontId="2" numFmtId="0" xfId="0" applyAlignment="1" applyFont="1">
      <alignment readingOrder="0"/>
    </xf>
    <xf borderId="0" fillId="0" fontId="2" numFmtId="49" xfId="0" applyFont="1" applyNumberFormat="1"/>
    <xf borderId="0" fillId="0" fontId="5" numFmtId="0" xfId="0" applyFont="1"/>
    <xf borderId="0" fillId="0" fontId="2" numFmtId="0" xfId="0" applyFont="1"/>
    <xf borderId="2" fillId="8" fontId="9" numFmtId="0" xfId="0" applyAlignment="1" applyBorder="1" applyFont="1">
      <alignment horizontal="left" readingOrder="0" shrinkToFit="0" vertical="bottom" wrapText="0"/>
    </xf>
    <xf borderId="2" fillId="8" fontId="4" numFmtId="0" xfId="0" applyAlignment="1" applyBorder="1" applyFont="1">
      <alignment horizontal="left" readingOrder="0" shrinkToFit="0" vertical="bottom" wrapText="0"/>
    </xf>
    <xf borderId="2" fillId="8" fontId="4" numFmtId="3" xfId="0" applyAlignment="1" applyBorder="1" applyFont="1" applyNumberFormat="1">
      <alignment horizontal="right" readingOrder="0" shrinkToFit="0" vertical="bottom" wrapText="0"/>
    </xf>
    <xf borderId="0" fillId="0" fontId="10" numFmtId="0" xfId="0" applyAlignment="1" applyFont="1">
      <alignment vertical="bottom"/>
    </xf>
    <xf borderId="0" fillId="0" fontId="8" numFmtId="3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0" fontId="8" numFmtId="4" xfId="0" applyAlignment="1" applyFont="1" applyNumberFormat="1">
      <alignment horizontal="right" vertical="bottom"/>
    </xf>
    <xf borderId="2" fillId="2" fontId="4" numFmtId="0" xfId="0" applyAlignment="1" applyBorder="1" applyFont="1">
      <alignment horizontal="left" readingOrder="0" shrinkToFit="0" vertical="bottom" wrapText="0"/>
    </xf>
    <xf borderId="2" fillId="7" fontId="4" numFmtId="0" xfId="0" applyAlignment="1" applyBorder="1" applyFont="1">
      <alignment horizontal="left" readingOrder="0" shrinkToFit="0" vertical="bottom" wrapText="0"/>
    </xf>
    <xf borderId="2" fillId="9" fontId="4" numFmtId="0" xfId="0" applyAlignment="1" applyBorder="1" applyFont="1">
      <alignment horizontal="left" readingOrder="0" shrinkToFit="0" vertical="bottom" wrapText="0"/>
    </xf>
    <xf borderId="0" fillId="9" fontId="8" numFmtId="0" xfId="0" applyAlignment="1" applyFont="1">
      <alignment vertical="bottom"/>
    </xf>
    <xf borderId="0" fillId="7" fontId="8" numFmtId="0" xfId="0" applyAlignment="1" applyFont="1">
      <alignment vertical="bottom"/>
    </xf>
    <xf borderId="0" fillId="7" fontId="8" numFmtId="0" xfId="0" applyAlignment="1" applyFont="1">
      <alignment shrinkToFit="0" vertical="bottom" wrapText="0"/>
    </xf>
    <xf borderId="3" fillId="10" fontId="11" numFmtId="0" xfId="0" applyAlignment="1" applyBorder="1" applyFill="1" applyFont="1">
      <alignment vertical="bottom"/>
    </xf>
    <xf borderId="4" fillId="10" fontId="12" numFmtId="0" xfId="0" applyAlignment="1" applyBorder="1" applyFont="1">
      <alignment vertical="bottom"/>
    </xf>
    <xf borderId="5" fillId="10" fontId="12" numFmtId="0" xfId="0" applyAlignment="1" applyBorder="1" applyFont="1">
      <alignment vertical="bottom"/>
    </xf>
    <xf borderId="3" fillId="10" fontId="12" numFmtId="0" xfId="0" applyAlignment="1" applyBorder="1" applyFont="1">
      <alignment vertical="bottom"/>
    </xf>
    <xf borderId="6" fillId="10" fontId="12" numFmtId="0" xfId="0" applyAlignment="1" applyBorder="1" applyFont="1">
      <alignment vertical="bottom"/>
    </xf>
    <xf borderId="7" fillId="10" fontId="12" numFmtId="0" xfId="0" applyAlignment="1" applyBorder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2">
    <tableStyle count="3" pivot="0" name="PRINCIPAL-style">
      <tableStyleElement dxfId="1" type="headerRow"/>
      <tableStyleElement dxfId="2" type="firstRowStripe"/>
      <tableStyleElement dxfId="3" type="secondRowStripe"/>
    </tableStyle>
    <tableStyle count="3" pivot="0" name="TOTAL_AÇÕ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_rels/chartEx1.xml.rels><?xml version="1.0" encoding="UTF-8" standalone="yes"?>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'ANÁLISES'!$A$10:$A$43</c:f>
            </c:strRef>
          </c:cat>
          <c:val>
            <c:numRef>
              <c:f>'ANÁLISES'!$C$10:$C$43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QTDD DE EMPRESAS versus ANÁLISE POR IDADE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'ANÁLISES'!$C$51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'ANÁLISES'!$A$52:$A$54</c:f>
            </c:strRef>
          </c:cat>
          <c:val>
            <c:numRef>
              <c:f>'ANÁLISES'!$C$52:$C$54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ANÁLISE POR IDADE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'ANÁLISES'!$A$52:$A$54</c:f>
            </c:strRef>
          </c:cat>
          <c:val>
            <c:numRef>
              <c:f>'ANÁLISES'!$B$52:$B$54</c:f>
              <c:numCache/>
            </c:numRef>
          </c:val>
        </c:ser>
        <c:axId val="1066778155"/>
        <c:axId val="1115109001"/>
      </c:barChart>
      <c:catAx>
        <c:axId val="10667781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109001"/>
      </c:catAx>
      <c:valAx>
        <c:axId val="11151090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77815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Ex1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'ANÁLISES'!$B$47:$B$49</cx:f>
      </cx:numDim>
      <cx:strDim type="cat">
        <cx:f>'ANÁLISES'!$A$47:$A$49</cx:f>
      </cx:strDim>
    </cx:data>
  </cx:chartData>
  <cx:chart>
    <cx:title overlay="0">
      <cx:txPr>
        <a:bodyPr/>
        <a:lstStyle/>
        <a:p>
          <a:pPr lvl="0">
            <a:defRPr b="0">
              <a:solidFill>
                <a:srgbClr val="757575"/>
              </a:solidFill>
              <a:latin typeface="+mn-lt"/>
            </a:defRPr>
          </a:pPr>
          <a:r>
            <a:rPr b="0">
              <a:solidFill>
                <a:srgbClr val="757575"/>
              </a:solidFill>
              <a:latin typeface="+mn-lt"/>
            </a:rPr>
            <a:t>VARIAÇÃO $ versus Resultado</a:t>
          </a:r>
        </a:p>
      </cx:txPr>
    </cx:title>
    <cx:plotArea>
      <cx:plotAreaRegion>
        <cx:series layoutId="waterfall" uniqueId="{FB830D04-6049-465C-954F-E4AE991E8294}">
          <cx:tx>
            <cx:txData>
              <cx:f>'ANÁLISES'!$B$46</cx:f>
            </cx:txData>
          </cx:tx>
          <cx:dataLabels>
            <cx:visibility seriesName="0" categoryName="0" value="1"/>
          </cx:dataLabels>
          <cx:dataId val="0"/>
          <cx:layoutPr>
            <cx:visibility connectorLines="1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Resultado</a:t>
              </a:r>
            </a:p>
          </cx:txPr>
        </cx:title>
        <cx:tickLabels/>
      </cx:axis>
      <cx:axis id="1">
        <cx:valScaling max="auto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VARIAÇÃO $</a:t>
              </a:r>
            </a:p>
          </cx:txPr>
        </cx:title>
        <cx:majorGridlines>
          <cx:spPr>
            <a:ln>
              <a:solidFill>
                <a:srgbClr val="B7B7B7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  <cx:legend pos="r" overlay="0">
      <cx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b="0">
            <a:solidFill>
              <a:srgbClr val="1A1A1A"/>
            </a:solidFill>
            <a:latin typeface="+mn-lt"/>
          </a:endParaRPr>
        </a:p>
      </cx:txPr>
    </cx:legend>
  </cx:chart>
</cx:chartSpace>
</file>

<file path=xl/charts/colors1.xml><?xml version="1.0" encoding="utf-8"?>
<cs:colorStyle xmlns:a="http://schemas.openxmlformats.org/drawingml/2006/main" xmlns:cs="http://schemas.microsoft.com/office/drawing/2012/chartStyle" meth="cycle" id="10">
  <a:srgbClr val="4285F4"/>
  <a:srgbClr val="DB4437"/>
  <a:srgbClr val="BDBDBD"/>
</cs:colorStyle>
</file>

<file path=xl/charts/style1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microsoft.com/office/2014/relationships/chartEx" Target="../charts/chartEx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7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361950</xdr:colOff>
      <xdr:row>26</xdr:row>
      <xdr:rowOff>133350</xdr:rowOff>
    </xdr:from>
    <xdr:ext cx="5715000" cy="4095750"/>
    <mc:AlternateContent>
      <mc:Choice Requires="cx1">
        <xdr:graphicFrame>
          <xdr:nvGraphicFramePr>
            <xdr:cNvPr id="2" name="Chart 2" title="Gráfic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2"/>
            </a:graphicData>
          </a:graphic>
        </xdr:graphicFrame>
      </mc:Choice>
      <mc:Fallback>
        <xdr:sp>
          <xdr:nvSpPr>
            <xdr:cNvPr id="3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  <xdr:oneCellAnchor>
    <xdr:from>
      <xdr:col>0</xdr:col>
      <xdr:colOff>0</xdr:colOff>
      <xdr:row>54</xdr:row>
      <xdr:rowOff>28575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276225</xdr:colOff>
      <xdr:row>54</xdr:row>
      <xdr:rowOff>28575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J82" displayName="Table_1" name="Table_1" id="1">
  <tableColumns count="3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</tableColumns>
  <tableStyleInfo name="PRINCIP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B90" displayName="Table_2" name="Table_2" id="2">
  <tableColumns count="2">
    <tableColumn name="Código" id="1"/>
    <tableColumn name="Qtde. Teórica" id="2"/>
  </tableColumns>
  <tableStyleInfo name="TOTAL_AÇÕ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1.0"/>
    <col customWidth="1" min="14" max="14" width="16.88"/>
    <col customWidth="1" min="15" max="15" width="14.75"/>
    <col customWidth="1" min="17" max="17" width="11.63"/>
    <col customWidth="1" min="18" max="18" width="9.13"/>
    <col customWidth="1" min="19" max="19" width="18.38"/>
    <col customWidth="1" min="21" max="21" width="10.13"/>
    <col customWidth="1" min="22" max="22" width="8.25"/>
    <col customWidth="1" min="23" max="23" width="18.0"/>
    <col customWidth="1" min="25" max="25" width="11.25"/>
    <col customWidth="1" min="26" max="26" width="9.25"/>
    <col customWidth="1" min="27" max="27" width="19.75"/>
    <col customWidth="1" min="29" max="29" width="11.13"/>
    <col customWidth="1" min="30" max="30" width="8.88"/>
    <col customWidth="1" min="31" max="31" width="19.75"/>
    <col customWidth="1" min="35" max="35" width="17.63"/>
    <col customWidth="1" min="36" max="36" width="16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3" t="s">
        <v>13</v>
      </c>
      <c r="O1" s="5" t="s">
        <v>14</v>
      </c>
      <c r="P1" s="3" t="s">
        <v>15</v>
      </c>
      <c r="Q1" s="6" t="s">
        <v>16</v>
      </c>
      <c r="R1" s="7" t="s">
        <v>17</v>
      </c>
      <c r="S1" s="8" t="s">
        <v>18</v>
      </c>
      <c r="T1" s="6" t="s">
        <v>15</v>
      </c>
      <c r="U1" s="9" t="s">
        <v>19</v>
      </c>
      <c r="V1" s="10" t="s">
        <v>17</v>
      </c>
      <c r="W1" s="11" t="s">
        <v>18</v>
      </c>
      <c r="X1" s="11" t="s">
        <v>15</v>
      </c>
      <c r="Y1" s="12" t="s">
        <v>20</v>
      </c>
      <c r="Z1" s="13" t="s">
        <v>17</v>
      </c>
      <c r="AA1" s="14" t="s">
        <v>18</v>
      </c>
      <c r="AB1" s="15" t="s">
        <v>15</v>
      </c>
      <c r="AC1" s="16" t="s">
        <v>21</v>
      </c>
      <c r="AD1" s="17" t="s">
        <v>17</v>
      </c>
      <c r="AE1" s="18" t="s">
        <v>22</v>
      </c>
      <c r="AF1" s="19" t="s">
        <v>15</v>
      </c>
      <c r="AG1" s="20" t="s">
        <v>23</v>
      </c>
      <c r="AH1" s="20" t="s">
        <v>24</v>
      </c>
      <c r="AI1" s="20" t="s">
        <v>25</v>
      </c>
      <c r="AJ1" s="20" t="s">
        <v>26</v>
      </c>
    </row>
    <row r="2">
      <c r="A2" s="21" t="s">
        <v>27</v>
      </c>
      <c r="B2" s="22" t="s">
        <v>28</v>
      </c>
      <c r="C2" s="23">
        <v>9.5</v>
      </c>
      <c r="D2" s="22">
        <v>5.2</v>
      </c>
      <c r="E2" s="22">
        <v>11.76</v>
      </c>
      <c r="F2" s="22">
        <v>2.26</v>
      </c>
      <c r="G2" s="22">
        <v>2.26</v>
      </c>
      <c r="H2" s="22">
        <v>15.97</v>
      </c>
      <c r="I2" s="22">
        <v>9.18</v>
      </c>
      <c r="J2" s="22">
        <v>9.56</v>
      </c>
      <c r="K2" s="21" t="s">
        <v>29</v>
      </c>
      <c r="L2" s="24">
        <f t="shared" ref="L2:L82" si="1">D2/100</f>
        <v>0.052</v>
      </c>
      <c r="M2" s="25">
        <f t="shared" ref="M2:M82" si="2">C2/(L2+1)</f>
        <v>9.030418251</v>
      </c>
      <c r="N2" s="26">
        <f>vlookup(A2,'TOTAL_AÇÕES'!A:B,2,0)</f>
        <v>515117391</v>
      </c>
      <c r="O2" s="27">
        <f t="shared" ref="O2:O82" si="3">(C2-M2)*N2</f>
        <v>241889725.4</v>
      </c>
      <c r="P2" s="28" t="str">
        <f t="shared" ref="P2:P82" si="4">IF(O2&gt;0,"Subiu",IF(O2&lt;0,"Desceu","Estável"))</f>
        <v>Subiu</v>
      </c>
      <c r="Q2" s="29">
        <f t="shared" ref="Q2:Q82" si="5">E2/100</f>
        <v>0.1176</v>
      </c>
      <c r="R2" s="30">
        <f t="shared" ref="R2:R82" si="6">C2/(Q2+1)</f>
        <v>8.50035791</v>
      </c>
      <c r="S2" s="27">
        <f t="shared" ref="S2:S82" si="7">($C$2-R2)*$N$2</f>
        <v>514933025.4</v>
      </c>
      <c r="T2" s="31" t="str">
        <f t="shared" ref="T2:T82" si="8">IF(S2&gt;0,"Subiu",IF(S2&lt;0,"Desceu","Estável"))</f>
        <v>Subiu</v>
      </c>
      <c r="U2" s="32">
        <f t="shared" ref="U2:U82" si="9">F2/100</f>
        <v>0.0226</v>
      </c>
      <c r="V2" s="33">
        <f t="shared" ref="V2:V82" si="10">C2/(U2+1)</f>
        <v>9.290044983</v>
      </c>
      <c r="W2" s="34">
        <f t="shared" ref="W2:W82" si="11">($C2-V2)*$N2</f>
        <v>108151480.4</v>
      </c>
      <c r="X2" s="35" t="str">
        <f t="shared" ref="X2:X82" si="12">IF(W2&gt;0,"Subiu",IF(W2&lt;0,"Desceu","Estável"))</f>
        <v>Subiu</v>
      </c>
      <c r="Y2" s="36">
        <f t="shared" ref="Y2:Y82" si="13">G2/100</f>
        <v>0.0226</v>
      </c>
      <c r="Z2" s="37">
        <f t="shared" ref="Z2:Z82" si="14">C2/(Y2+1)</f>
        <v>9.290044983</v>
      </c>
      <c r="AA2" s="38">
        <f t="shared" ref="AA2:AA82" si="15">($C2-Z2)*$N2</f>
        <v>108151480.4</v>
      </c>
      <c r="AB2" s="39" t="str">
        <f t="shared" ref="AB2:AB82" si="16">IF(AA2&gt;0,"Subiu",IF(AA2&lt;0,"Desceu","Estável"))</f>
        <v>Subiu</v>
      </c>
      <c r="AC2" s="36">
        <f t="shared" ref="AC2:AC82" si="17">H2/100</f>
        <v>0.1597</v>
      </c>
      <c r="AD2" s="37">
        <f t="shared" ref="AD2:AD82" si="18">C2/(AC2+1)</f>
        <v>8.191773735</v>
      </c>
      <c r="AE2" s="38">
        <f t="shared" ref="AE2:AE82" si="19">($C2-AD2)*$N2</f>
        <v>673890100.7</v>
      </c>
      <c r="AF2" s="39" t="str">
        <f t="shared" ref="AF2:AF82" si="20">IF(AE2&gt;0,"Subiu",IF(AE2&lt;0,"Desceu","Estável"))</f>
        <v>Subiu</v>
      </c>
      <c r="AG2" s="24" t="str">
        <f>VLOOKUP(A2,TICKER!A:B,2,0)</f>
        <v>Usiminas</v>
      </c>
      <c r="AH2" s="24" t="str">
        <f>VLOOKUP(AG2,SEGMENTO!A:B,2,0)</f>
        <v>Siderurgia</v>
      </c>
      <c r="AI2" s="24">
        <f>VLOOKUP(AG2,SEGMENTO!A:C,3,0)</f>
        <v>60</v>
      </c>
      <c r="AJ2" s="24" t="str">
        <f t="shared" ref="AJ2:AJ82" si="21">IF(AI2&gt;100,"+100 anos", IF(AI2&lt;50,"-50 anos","Entre 50 e 100 anos"))</f>
        <v>Entre 50 e 100 anos</v>
      </c>
    </row>
    <row r="3">
      <c r="A3" s="40" t="s">
        <v>30</v>
      </c>
      <c r="B3" s="41" t="s">
        <v>28</v>
      </c>
      <c r="C3" s="42">
        <v>6.82</v>
      </c>
      <c r="D3" s="41">
        <v>2.4</v>
      </c>
      <c r="E3" s="41">
        <v>2.4</v>
      </c>
      <c r="F3" s="41">
        <v>-12.11</v>
      </c>
      <c r="G3" s="41">
        <v>-12.11</v>
      </c>
      <c r="H3" s="41">
        <v>50.56</v>
      </c>
      <c r="I3" s="41">
        <v>6.66</v>
      </c>
      <c r="J3" s="41">
        <v>6.86</v>
      </c>
      <c r="K3" s="40" t="s">
        <v>31</v>
      </c>
      <c r="L3" s="24">
        <f t="shared" si="1"/>
        <v>0.024</v>
      </c>
      <c r="M3" s="25">
        <f t="shared" si="2"/>
        <v>6.66015625</v>
      </c>
      <c r="N3" s="26">
        <f>vlookup(A3,'TOTAL_AÇÕES'!A:B,2,0)</f>
        <v>1110559345</v>
      </c>
      <c r="O3" s="27">
        <f t="shared" si="3"/>
        <v>177515970.3</v>
      </c>
      <c r="P3" s="28" t="str">
        <f t="shared" si="4"/>
        <v>Subiu</v>
      </c>
      <c r="Q3" s="29">
        <f t="shared" si="5"/>
        <v>0.024</v>
      </c>
      <c r="R3" s="30">
        <f t="shared" si="6"/>
        <v>6.66015625</v>
      </c>
      <c r="S3" s="27">
        <f t="shared" si="7"/>
        <v>1462852903</v>
      </c>
      <c r="T3" s="31" t="str">
        <f t="shared" si="8"/>
        <v>Subiu</v>
      </c>
      <c r="U3" s="32">
        <f t="shared" si="9"/>
        <v>-0.1211</v>
      </c>
      <c r="V3" s="33">
        <f t="shared" si="10"/>
        <v>7.759699625</v>
      </c>
      <c r="W3" s="34">
        <f t="shared" si="11"/>
        <v>-1043592200</v>
      </c>
      <c r="X3" s="35" t="str">
        <f t="shared" si="12"/>
        <v>Desceu</v>
      </c>
      <c r="Y3" s="36">
        <f t="shared" si="13"/>
        <v>-0.1211</v>
      </c>
      <c r="Z3" s="37">
        <f t="shared" si="14"/>
        <v>7.759699625</v>
      </c>
      <c r="AA3" s="38">
        <f t="shared" si="15"/>
        <v>-1043592200</v>
      </c>
      <c r="AB3" s="39" t="str">
        <f t="shared" si="16"/>
        <v>Desceu</v>
      </c>
      <c r="AC3" s="36">
        <f t="shared" si="17"/>
        <v>0.5056</v>
      </c>
      <c r="AD3" s="37">
        <f t="shared" si="18"/>
        <v>4.529755579</v>
      </c>
      <c r="AE3" s="38">
        <f t="shared" si="19"/>
        <v>2543452344</v>
      </c>
      <c r="AF3" s="39" t="str">
        <f t="shared" si="20"/>
        <v>Subiu</v>
      </c>
      <c r="AG3" s="24" t="str">
        <f>VLOOKUP(A3,TICKER!A:B,2,0)</f>
        <v>CSN Mineração</v>
      </c>
      <c r="AH3" s="24" t="str">
        <f>VLOOKUP(AG3,SEGMENTO!A:B,2,0)</f>
        <v>Mineração</v>
      </c>
      <c r="AI3" s="24">
        <f>VLOOKUP(AG3,SEGMENTO!A:C,3,0)</f>
        <v>8</v>
      </c>
      <c r="AJ3" s="24" t="str">
        <f t="shared" si="21"/>
        <v>-50 anos</v>
      </c>
    </row>
    <row r="4">
      <c r="A4" s="21" t="s">
        <v>32</v>
      </c>
      <c r="B4" s="22" t="s">
        <v>28</v>
      </c>
      <c r="C4" s="23">
        <v>41.96</v>
      </c>
      <c r="D4" s="22">
        <v>2.19</v>
      </c>
      <c r="E4" s="22">
        <v>7.73</v>
      </c>
      <c r="F4" s="22">
        <v>7.64</v>
      </c>
      <c r="G4" s="22">
        <v>7.64</v>
      </c>
      <c r="H4" s="22">
        <v>77.55</v>
      </c>
      <c r="I4" s="22">
        <v>40.81</v>
      </c>
      <c r="J4" s="22">
        <v>42.34</v>
      </c>
      <c r="K4" s="21" t="s">
        <v>33</v>
      </c>
      <c r="L4" s="24">
        <f t="shared" si="1"/>
        <v>0.0219</v>
      </c>
      <c r="M4" s="25">
        <f t="shared" si="2"/>
        <v>41.06076916</v>
      </c>
      <c r="N4" s="26">
        <f>vlookup(A4,'TOTAL_AÇÕES'!A:B,2,0)</f>
        <v>2379877655</v>
      </c>
      <c r="O4" s="27">
        <f t="shared" si="3"/>
        <v>2140059394</v>
      </c>
      <c r="P4" s="28" t="str">
        <f t="shared" si="4"/>
        <v>Subiu</v>
      </c>
      <c r="Q4" s="29">
        <f t="shared" si="5"/>
        <v>0.0773</v>
      </c>
      <c r="R4" s="30">
        <f t="shared" si="6"/>
        <v>38.94922491</v>
      </c>
      <c r="S4" s="27">
        <f t="shared" si="7"/>
        <v>-15169807905</v>
      </c>
      <c r="T4" s="31" t="str">
        <f t="shared" si="8"/>
        <v>Desceu</v>
      </c>
      <c r="U4" s="32">
        <f t="shared" si="9"/>
        <v>0.0764</v>
      </c>
      <c r="V4" s="33">
        <f t="shared" si="10"/>
        <v>38.98179116</v>
      </c>
      <c r="W4" s="34">
        <f t="shared" si="11"/>
        <v>7087772680</v>
      </c>
      <c r="X4" s="35" t="str">
        <f t="shared" si="12"/>
        <v>Subiu</v>
      </c>
      <c r="Y4" s="36">
        <f t="shared" si="13"/>
        <v>0.0764</v>
      </c>
      <c r="Z4" s="37">
        <f t="shared" si="14"/>
        <v>38.98179116</v>
      </c>
      <c r="AA4" s="38">
        <f t="shared" si="15"/>
        <v>7087772680</v>
      </c>
      <c r="AB4" s="39" t="str">
        <f t="shared" si="16"/>
        <v>Subiu</v>
      </c>
      <c r="AC4" s="36">
        <f t="shared" si="17"/>
        <v>0.7755</v>
      </c>
      <c r="AD4" s="37">
        <f t="shared" si="18"/>
        <v>23.6327795</v>
      </c>
      <c r="AE4" s="38">
        <f t="shared" si="19"/>
        <v>43616542549</v>
      </c>
      <c r="AF4" s="39" t="str">
        <f t="shared" si="20"/>
        <v>Subiu</v>
      </c>
      <c r="AG4" s="24" t="str">
        <f>VLOOKUP(A4,TICKER!A:B,2,0)</f>
        <v>Petrobras</v>
      </c>
      <c r="AH4" s="24" t="str">
        <f>VLOOKUP(AG4,SEGMENTO!A:B,2,0)</f>
        <v>Petróleo</v>
      </c>
      <c r="AI4" s="24">
        <f>VLOOKUP(AG4,SEGMENTO!A:C,3,0)</f>
        <v>69</v>
      </c>
      <c r="AJ4" s="24" t="str">
        <f t="shared" si="21"/>
        <v>Entre 50 e 100 anos</v>
      </c>
    </row>
    <row r="5">
      <c r="A5" s="40" t="s">
        <v>34</v>
      </c>
      <c r="B5" s="41" t="s">
        <v>28</v>
      </c>
      <c r="C5" s="42">
        <v>52.91</v>
      </c>
      <c r="D5" s="41">
        <v>2.04</v>
      </c>
      <c r="E5" s="41">
        <v>2.14</v>
      </c>
      <c r="F5" s="41">
        <v>-4.89</v>
      </c>
      <c r="G5" s="41">
        <v>-4.89</v>
      </c>
      <c r="H5" s="41">
        <v>18.85</v>
      </c>
      <c r="I5" s="41">
        <v>51.89</v>
      </c>
      <c r="J5" s="41">
        <v>53.17</v>
      </c>
      <c r="K5" s="40" t="s">
        <v>35</v>
      </c>
      <c r="L5" s="24">
        <f t="shared" si="1"/>
        <v>0.0204</v>
      </c>
      <c r="M5" s="25">
        <f t="shared" si="2"/>
        <v>51.85221482</v>
      </c>
      <c r="N5" s="26">
        <f>vlookup(A5,'TOTAL_AÇÕES'!A:B,2,0)</f>
        <v>683452836</v>
      </c>
      <c r="O5" s="27">
        <f t="shared" si="3"/>
        <v>722946282.7</v>
      </c>
      <c r="P5" s="28" t="str">
        <f t="shared" si="4"/>
        <v>Subiu</v>
      </c>
      <c r="Q5" s="29">
        <f t="shared" si="5"/>
        <v>0.0214</v>
      </c>
      <c r="R5" s="30">
        <f t="shared" si="6"/>
        <v>51.80144899</v>
      </c>
      <c r="S5" s="27">
        <f t="shared" si="7"/>
        <v>-21790212040</v>
      </c>
      <c r="T5" s="31" t="str">
        <f t="shared" si="8"/>
        <v>Desceu</v>
      </c>
      <c r="U5" s="32">
        <f t="shared" si="9"/>
        <v>-0.0489</v>
      </c>
      <c r="V5" s="33">
        <f t="shared" si="10"/>
        <v>55.63032278</v>
      </c>
      <c r="W5" s="34">
        <f t="shared" si="11"/>
        <v>-1859212322</v>
      </c>
      <c r="X5" s="35" t="str">
        <f t="shared" si="12"/>
        <v>Desceu</v>
      </c>
      <c r="Y5" s="36">
        <f t="shared" si="13"/>
        <v>-0.0489</v>
      </c>
      <c r="Z5" s="37">
        <f t="shared" si="14"/>
        <v>55.63032278</v>
      </c>
      <c r="AA5" s="38">
        <f t="shared" si="15"/>
        <v>-1859212322</v>
      </c>
      <c r="AB5" s="39" t="str">
        <f t="shared" si="16"/>
        <v>Desceu</v>
      </c>
      <c r="AC5" s="36">
        <f t="shared" si="17"/>
        <v>0.1885</v>
      </c>
      <c r="AD5" s="37">
        <f t="shared" si="18"/>
        <v>44.51830038</v>
      </c>
      <c r="AE5" s="38">
        <f t="shared" si="19"/>
        <v>5735330905</v>
      </c>
      <c r="AF5" s="39" t="str">
        <f t="shared" si="20"/>
        <v>Subiu</v>
      </c>
      <c r="AG5" s="24" t="str">
        <f>VLOOKUP(A5,TICKER!A:B,2,0)</f>
        <v>Suzano</v>
      </c>
      <c r="AH5" s="24" t="str">
        <f>VLOOKUP(AG5,SEGMENTO!A:B,2,0)</f>
        <v>Papel e Celulose</v>
      </c>
      <c r="AI5" s="24">
        <f>VLOOKUP(AG5,SEGMENTO!A:C,3,0)</f>
        <v>94</v>
      </c>
      <c r="AJ5" s="24" t="str">
        <f t="shared" si="21"/>
        <v>Entre 50 e 100 anos</v>
      </c>
    </row>
    <row r="6">
      <c r="A6" s="21" t="s">
        <v>36</v>
      </c>
      <c r="B6" s="22" t="s">
        <v>28</v>
      </c>
      <c r="C6" s="23">
        <v>37.1</v>
      </c>
      <c r="D6" s="22">
        <v>2.03</v>
      </c>
      <c r="E6" s="22">
        <v>2.49</v>
      </c>
      <c r="F6" s="22">
        <v>-3.66</v>
      </c>
      <c r="G6" s="22">
        <v>-3.66</v>
      </c>
      <c r="H6" s="22">
        <v>20.7</v>
      </c>
      <c r="I6" s="22">
        <v>36.37</v>
      </c>
      <c r="J6" s="22">
        <v>37.32</v>
      </c>
      <c r="K6" s="21" t="s">
        <v>37</v>
      </c>
      <c r="L6" s="24">
        <f t="shared" si="1"/>
        <v>0.0203</v>
      </c>
      <c r="M6" s="25">
        <f t="shared" si="2"/>
        <v>36.36185436</v>
      </c>
      <c r="N6" s="26">
        <f>vlookup(A6,'TOTAL_AÇÕES'!A:B,2,0)</f>
        <v>187732538</v>
      </c>
      <c r="O6" s="27">
        <f t="shared" si="3"/>
        <v>138573955.1</v>
      </c>
      <c r="P6" s="28" t="str">
        <f t="shared" si="4"/>
        <v>Subiu</v>
      </c>
      <c r="Q6" s="29">
        <f t="shared" si="5"/>
        <v>0.0249</v>
      </c>
      <c r="R6" s="30">
        <f t="shared" si="6"/>
        <v>36.19865353</v>
      </c>
      <c r="S6" s="27">
        <f t="shared" si="7"/>
        <v>-13752940748</v>
      </c>
      <c r="T6" s="31" t="str">
        <f t="shared" si="8"/>
        <v>Desceu</v>
      </c>
      <c r="U6" s="32">
        <f t="shared" si="9"/>
        <v>-0.0366</v>
      </c>
      <c r="V6" s="33">
        <f t="shared" si="10"/>
        <v>38.50944571</v>
      </c>
      <c r="W6" s="34">
        <f t="shared" si="11"/>
        <v>-264598820.9</v>
      </c>
      <c r="X6" s="35" t="str">
        <f t="shared" si="12"/>
        <v>Desceu</v>
      </c>
      <c r="Y6" s="36">
        <f t="shared" si="13"/>
        <v>-0.0366</v>
      </c>
      <c r="Z6" s="37">
        <f t="shared" si="14"/>
        <v>38.50944571</v>
      </c>
      <c r="AA6" s="38">
        <f t="shared" si="15"/>
        <v>-264598820.9</v>
      </c>
      <c r="AB6" s="39" t="str">
        <f t="shared" si="16"/>
        <v>Desceu</v>
      </c>
      <c r="AC6" s="36">
        <f t="shared" si="17"/>
        <v>0.207</v>
      </c>
      <c r="AD6" s="37">
        <f t="shared" si="18"/>
        <v>30.73736537</v>
      </c>
      <c r="AE6" s="38">
        <f t="shared" si="19"/>
        <v>1194473548</v>
      </c>
      <c r="AF6" s="39" t="str">
        <f t="shared" si="20"/>
        <v>Subiu</v>
      </c>
      <c r="AG6" s="24" t="str">
        <f>VLOOKUP(A6,TICKER!A:B,2,0)</f>
        <v>CPFL Energia</v>
      </c>
      <c r="AH6" s="24" t="str">
        <f>VLOOKUP(AG6,SEGMENTO!A:B,2,0)</f>
        <v>Energia</v>
      </c>
      <c r="AI6" s="24">
        <f>VLOOKUP(AG6,SEGMENTO!A:C,3,0)</f>
        <v>109</v>
      </c>
      <c r="AJ6" s="24" t="str">
        <f t="shared" si="21"/>
        <v>+100 anos</v>
      </c>
    </row>
    <row r="7">
      <c r="A7" s="40" t="s">
        <v>38</v>
      </c>
      <c r="B7" s="41" t="s">
        <v>28</v>
      </c>
      <c r="C7" s="42">
        <v>45.69</v>
      </c>
      <c r="D7" s="41">
        <v>1.98</v>
      </c>
      <c r="E7" s="41">
        <v>2.42</v>
      </c>
      <c r="F7" s="41">
        <v>-0.78</v>
      </c>
      <c r="G7" s="41">
        <v>-0.78</v>
      </c>
      <c r="H7" s="41">
        <v>8.08</v>
      </c>
      <c r="I7" s="41">
        <v>44.25</v>
      </c>
      <c r="J7" s="41">
        <v>45.69</v>
      </c>
      <c r="K7" s="40" t="s">
        <v>39</v>
      </c>
      <c r="L7" s="24">
        <f t="shared" si="1"/>
        <v>0.0198</v>
      </c>
      <c r="M7" s="25">
        <f t="shared" si="2"/>
        <v>44.80290253</v>
      </c>
      <c r="N7" s="26">
        <f>vlookup(A7,'TOTAL_AÇÕES'!A:B,2,0)</f>
        <v>800010734</v>
      </c>
      <c r="O7" s="27">
        <f t="shared" si="3"/>
        <v>709687498.2</v>
      </c>
      <c r="P7" s="28" t="str">
        <f t="shared" si="4"/>
        <v>Subiu</v>
      </c>
      <c r="Q7" s="29">
        <f t="shared" si="5"/>
        <v>0.0242</v>
      </c>
      <c r="R7" s="30">
        <f t="shared" si="6"/>
        <v>44.61042765</v>
      </c>
      <c r="S7" s="27">
        <f t="shared" si="7"/>
        <v>-18085991888</v>
      </c>
      <c r="T7" s="31" t="str">
        <f t="shared" si="8"/>
        <v>Desceu</v>
      </c>
      <c r="U7" s="32">
        <f t="shared" si="9"/>
        <v>-0.0078</v>
      </c>
      <c r="V7" s="33">
        <f t="shared" si="10"/>
        <v>46.04918363</v>
      </c>
      <c r="W7" s="34">
        <f t="shared" si="11"/>
        <v>-287350761.3</v>
      </c>
      <c r="X7" s="35" t="str">
        <f t="shared" si="12"/>
        <v>Desceu</v>
      </c>
      <c r="Y7" s="36">
        <f t="shared" si="13"/>
        <v>-0.0078</v>
      </c>
      <c r="Z7" s="37">
        <f t="shared" si="14"/>
        <v>46.04918363</v>
      </c>
      <c r="AA7" s="38">
        <f t="shared" si="15"/>
        <v>-287350761.3</v>
      </c>
      <c r="AB7" s="39" t="str">
        <f t="shared" si="16"/>
        <v>Desceu</v>
      </c>
      <c r="AC7" s="36">
        <f t="shared" si="17"/>
        <v>0.0808</v>
      </c>
      <c r="AD7" s="37">
        <f t="shared" si="18"/>
        <v>42.2742413</v>
      </c>
      <c r="AE7" s="38">
        <f t="shared" si="19"/>
        <v>2732643623</v>
      </c>
      <c r="AF7" s="39" t="str">
        <f t="shared" si="20"/>
        <v>Subiu</v>
      </c>
      <c r="AG7" s="24" t="str">
        <f>VLOOKUP(A7,TICKER!A:B,2,0)</f>
        <v>PetroRio</v>
      </c>
      <c r="AH7" s="24" t="str">
        <f>VLOOKUP(AG7,SEGMENTO!A:B,2,0)</f>
        <v>Petróleo</v>
      </c>
      <c r="AI7" s="24">
        <f>VLOOKUP(AG7,SEGMENTO!A:C,3,0)</f>
        <v>9</v>
      </c>
      <c r="AJ7" s="24" t="str">
        <f t="shared" si="21"/>
        <v>-50 anos</v>
      </c>
    </row>
    <row r="8">
      <c r="A8" s="21" t="s">
        <v>40</v>
      </c>
      <c r="B8" s="22" t="s">
        <v>28</v>
      </c>
      <c r="C8" s="23">
        <v>39.96</v>
      </c>
      <c r="D8" s="22">
        <v>1.73</v>
      </c>
      <c r="E8" s="22">
        <v>6.47</v>
      </c>
      <c r="F8" s="22">
        <v>7.3</v>
      </c>
      <c r="G8" s="22">
        <v>7.3</v>
      </c>
      <c r="H8" s="22">
        <v>95.01</v>
      </c>
      <c r="I8" s="22">
        <v>38.91</v>
      </c>
      <c r="J8" s="22">
        <v>40.09</v>
      </c>
      <c r="K8" s="21" t="s">
        <v>41</v>
      </c>
      <c r="L8" s="24">
        <f t="shared" si="1"/>
        <v>0.0173</v>
      </c>
      <c r="M8" s="25">
        <f t="shared" si="2"/>
        <v>39.28044825</v>
      </c>
      <c r="N8" s="26">
        <f>vlookup(A8,'TOTAL_AÇÕES'!A:B,2,0)</f>
        <v>4566445852</v>
      </c>
      <c r="O8" s="27">
        <f t="shared" si="3"/>
        <v>3103136291</v>
      </c>
      <c r="P8" s="28" t="str">
        <f t="shared" si="4"/>
        <v>Subiu</v>
      </c>
      <c r="Q8" s="29">
        <f t="shared" si="5"/>
        <v>0.0647</v>
      </c>
      <c r="R8" s="30">
        <f t="shared" si="6"/>
        <v>37.53169907</v>
      </c>
      <c r="S8" s="27">
        <f t="shared" si="7"/>
        <v>-14439615690</v>
      </c>
      <c r="T8" s="31" t="str">
        <f t="shared" si="8"/>
        <v>Desceu</v>
      </c>
      <c r="U8" s="32">
        <f t="shared" si="9"/>
        <v>0.073</v>
      </c>
      <c r="V8" s="33">
        <f t="shared" si="10"/>
        <v>37.24137931</v>
      </c>
      <c r="W8" s="34">
        <f t="shared" si="11"/>
        <v>12414434171</v>
      </c>
      <c r="X8" s="35" t="str">
        <f t="shared" si="12"/>
        <v>Subiu</v>
      </c>
      <c r="Y8" s="36">
        <f t="shared" si="13"/>
        <v>0.073</v>
      </c>
      <c r="Z8" s="37">
        <f t="shared" si="14"/>
        <v>37.24137931</v>
      </c>
      <c r="AA8" s="38">
        <f t="shared" si="15"/>
        <v>12414434171</v>
      </c>
      <c r="AB8" s="39" t="str">
        <f t="shared" si="16"/>
        <v>Subiu</v>
      </c>
      <c r="AC8" s="36">
        <f t="shared" si="17"/>
        <v>0.9501</v>
      </c>
      <c r="AD8" s="37">
        <f t="shared" si="18"/>
        <v>20.49125686</v>
      </c>
      <c r="AE8" s="38">
        <f t="shared" si="19"/>
        <v>88902961362</v>
      </c>
      <c r="AF8" s="39" t="str">
        <f t="shared" si="20"/>
        <v>Subiu</v>
      </c>
      <c r="AG8" s="24" t="str">
        <f>VLOOKUP(A8,TICKER!A:B,2,0)</f>
        <v>Petrobras</v>
      </c>
      <c r="AH8" s="24" t="str">
        <f>VLOOKUP(AG8,SEGMENTO!A:B,2,0)</f>
        <v>Petróleo</v>
      </c>
      <c r="AI8" s="24">
        <f>VLOOKUP(AG8,SEGMENTO!A:C,3,0)</f>
        <v>69</v>
      </c>
      <c r="AJ8" s="24" t="str">
        <f t="shared" si="21"/>
        <v>Entre 50 e 100 anos</v>
      </c>
    </row>
    <row r="9">
      <c r="A9" s="40" t="s">
        <v>42</v>
      </c>
      <c r="B9" s="41" t="s">
        <v>28</v>
      </c>
      <c r="C9" s="42">
        <v>69.5</v>
      </c>
      <c r="D9" s="41">
        <v>1.66</v>
      </c>
      <c r="E9" s="41">
        <v>2.06</v>
      </c>
      <c r="F9" s="41">
        <v>-9.97</v>
      </c>
      <c r="G9" s="41">
        <v>-9.97</v>
      </c>
      <c r="H9" s="41">
        <v>-23.49</v>
      </c>
      <c r="I9" s="41">
        <v>67.5</v>
      </c>
      <c r="J9" s="41">
        <v>69.81</v>
      </c>
      <c r="K9" s="40" t="s">
        <v>43</v>
      </c>
      <c r="L9" s="24">
        <f t="shared" si="1"/>
        <v>0.0166</v>
      </c>
      <c r="M9" s="25">
        <f t="shared" si="2"/>
        <v>68.3651387</v>
      </c>
      <c r="N9" s="26">
        <f>vlookup(A9,'TOTAL_AÇÕES'!A:B,2,0)</f>
        <v>4196924316</v>
      </c>
      <c r="O9" s="27">
        <f t="shared" si="3"/>
        <v>4762926995</v>
      </c>
      <c r="P9" s="28" t="str">
        <f t="shared" si="4"/>
        <v>Subiu</v>
      </c>
      <c r="Q9" s="29">
        <f t="shared" si="5"/>
        <v>0.0206</v>
      </c>
      <c r="R9" s="30">
        <f t="shared" si="6"/>
        <v>68.09719773</v>
      </c>
      <c r="S9" s="27">
        <f t="shared" si="7"/>
        <v>-30184435613</v>
      </c>
      <c r="T9" s="31" t="str">
        <f t="shared" si="8"/>
        <v>Desceu</v>
      </c>
      <c r="U9" s="32">
        <f t="shared" si="9"/>
        <v>-0.0997</v>
      </c>
      <c r="V9" s="33">
        <f t="shared" si="10"/>
        <v>77.19649006</v>
      </c>
      <c r="W9" s="34">
        <f t="shared" si="11"/>
        <v>-32301586276</v>
      </c>
      <c r="X9" s="35" t="str">
        <f t="shared" si="12"/>
        <v>Desceu</v>
      </c>
      <c r="Y9" s="36">
        <f t="shared" si="13"/>
        <v>-0.0997</v>
      </c>
      <c r="Z9" s="37">
        <f t="shared" si="14"/>
        <v>77.19649006</v>
      </c>
      <c r="AA9" s="38">
        <f t="shared" si="15"/>
        <v>-32301586276</v>
      </c>
      <c r="AB9" s="39" t="str">
        <f t="shared" si="16"/>
        <v>Desceu</v>
      </c>
      <c r="AC9" s="36">
        <f t="shared" si="17"/>
        <v>-0.2349</v>
      </c>
      <c r="AD9" s="37">
        <f t="shared" si="18"/>
        <v>90.83779898</v>
      </c>
      <c r="AE9" s="38">
        <f t="shared" si="19"/>
        <v>-89553127391</v>
      </c>
      <c r="AF9" s="39" t="str">
        <f t="shared" si="20"/>
        <v>Desceu</v>
      </c>
      <c r="AG9" s="24" t="str">
        <f>VLOOKUP(A9,TICKER!A:B,2,0)</f>
        <v>Vale</v>
      </c>
      <c r="AH9" s="24" t="str">
        <f>VLOOKUP(AG9,SEGMENTO!A:B,2,0)</f>
        <v>Mineração</v>
      </c>
      <c r="AI9" s="24">
        <f>VLOOKUP(AG9,SEGMENTO!A:C,3,0)</f>
        <v>79</v>
      </c>
      <c r="AJ9" s="24" t="str">
        <f t="shared" si="21"/>
        <v>Entre 50 e 100 anos</v>
      </c>
    </row>
    <row r="10">
      <c r="A10" s="21" t="s">
        <v>44</v>
      </c>
      <c r="B10" s="22" t="s">
        <v>28</v>
      </c>
      <c r="C10" s="23">
        <v>28.19</v>
      </c>
      <c r="D10" s="22">
        <v>1.58</v>
      </c>
      <c r="E10" s="22">
        <v>2.03</v>
      </c>
      <c r="F10" s="22">
        <v>-0.81</v>
      </c>
      <c r="G10" s="22">
        <v>-0.81</v>
      </c>
      <c r="H10" s="22">
        <v>24.02</v>
      </c>
      <c r="I10" s="22">
        <v>27.71</v>
      </c>
      <c r="J10" s="22">
        <v>28.36</v>
      </c>
      <c r="K10" s="21" t="s">
        <v>45</v>
      </c>
      <c r="L10" s="24">
        <f t="shared" si="1"/>
        <v>0.0158</v>
      </c>
      <c r="M10" s="25">
        <f t="shared" si="2"/>
        <v>27.75152589</v>
      </c>
      <c r="N10" s="26">
        <f>vlookup(A10,'TOTAL_AÇÕES'!A:B,2,0)</f>
        <v>268505432</v>
      </c>
      <c r="O10" s="27">
        <f t="shared" si="3"/>
        <v>117732680.1</v>
      </c>
      <c r="P10" s="28" t="str">
        <f t="shared" si="4"/>
        <v>Subiu</v>
      </c>
      <c r="Q10" s="29">
        <f t="shared" si="5"/>
        <v>0.0203</v>
      </c>
      <c r="R10" s="30">
        <f t="shared" si="6"/>
        <v>27.62912869</v>
      </c>
      <c r="S10" s="27">
        <f t="shared" si="7"/>
        <v>-9338629471</v>
      </c>
      <c r="T10" s="31" t="str">
        <f t="shared" si="8"/>
        <v>Desceu</v>
      </c>
      <c r="U10" s="32">
        <f t="shared" si="9"/>
        <v>-0.0081</v>
      </c>
      <c r="V10" s="33">
        <f t="shared" si="10"/>
        <v>28.42020365</v>
      </c>
      <c r="W10" s="34">
        <f t="shared" si="11"/>
        <v>-61810930.37</v>
      </c>
      <c r="X10" s="35" t="str">
        <f t="shared" si="12"/>
        <v>Desceu</v>
      </c>
      <c r="Y10" s="36">
        <f t="shared" si="13"/>
        <v>-0.0081</v>
      </c>
      <c r="Z10" s="37">
        <f t="shared" si="14"/>
        <v>28.42020365</v>
      </c>
      <c r="AA10" s="38">
        <f t="shared" si="15"/>
        <v>-61810930.37</v>
      </c>
      <c r="AB10" s="39" t="str">
        <f t="shared" si="16"/>
        <v>Desceu</v>
      </c>
      <c r="AC10" s="36">
        <f t="shared" si="17"/>
        <v>0.2402</v>
      </c>
      <c r="AD10" s="37">
        <f t="shared" si="18"/>
        <v>22.73020481</v>
      </c>
      <c r="AE10" s="38">
        <f t="shared" si="19"/>
        <v>1465984667</v>
      </c>
      <c r="AF10" s="39" t="str">
        <f t="shared" si="20"/>
        <v>Subiu</v>
      </c>
      <c r="AG10" s="24" t="str">
        <f>VLOOKUP(A10,TICKER!A:B,2,0)</f>
        <v>Multiplan</v>
      </c>
      <c r="AH10" s="24" t="str">
        <f>VLOOKUP(AG10,SEGMENTO!A:B,2,0)</f>
        <v>Shopping Centers</v>
      </c>
      <c r="AI10" s="24">
        <f>VLOOKUP(AG10,SEGMENTO!A:C,3,0)</f>
        <v>48</v>
      </c>
      <c r="AJ10" s="24" t="str">
        <f t="shared" si="21"/>
        <v>-50 anos</v>
      </c>
    </row>
    <row r="11">
      <c r="A11" s="40" t="s">
        <v>46</v>
      </c>
      <c r="B11" s="41" t="s">
        <v>28</v>
      </c>
      <c r="C11" s="42">
        <v>32.81</v>
      </c>
      <c r="D11" s="41">
        <v>1.48</v>
      </c>
      <c r="E11" s="41">
        <v>-0.39</v>
      </c>
      <c r="F11" s="41">
        <v>-3.36</v>
      </c>
      <c r="G11" s="41">
        <v>-3.36</v>
      </c>
      <c r="H11" s="41">
        <v>34.25</v>
      </c>
      <c r="I11" s="41">
        <v>32.35</v>
      </c>
      <c r="J11" s="41">
        <v>32.91</v>
      </c>
      <c r="K11" s="40" t="s">
        <v>47</v>
      </c>
      <c r="L11" s="24">
        <f t="shared" si="1"/>
        <v>0.0148</v>
      </c>
      <c r="M11" s="25">
        <f t="shared" si="2"/>
        <v>32.33149389</v>
      </c>
      <c r="N11" s="26">
        <f>vlookup(A11,'TOTAL_AÇÕES'!A:B,2,0)</f>
        <v>4801593832</v>
      </c>
      <c r="O11" s="27">
        <f t="shared" si="3"/>
        <v>2297591984</v>
      </c>
      <c r="P11" s="28" t="str">
        <f t="shared" si="4"/>
        <v>Subiu</v>
      </c>
      <c r="Q11" s="29">
        <f t="shared" si="5"/>
        <v>-0.0039</v>
      </c>
      <c r="R11" s="30">
        <f t="shared" si="6"/>
        <v>32.93845999</v>
      </c>
      <c r="S11" s="27">
        <f t="shared" si="7"/>
        <v>-12073558361</v>
      </c>
      <c r="T11" s="31" t="str">
        <f t="shared" si="8"/>
        <v>Desceu</v>
      </c>
      <c r="U11" s="32">
        <f t="shared" si="9"/>
        <v>-0.0336</v>
      </c>
      <c r="V11" s="33">
        <f t="shared" si="10"/>
        <v>33.95074503</v>
      </c>
      <c r="W11" s="34">
        <f t="shared" si="11"/>
        <v>-5477394315</v>
      </c>
      <c r="X11" s="35" t="str">
        <f t="shared" si="12"/>
        <v>Desceu</v>
      </c>
      <c r="Y11" s="36">
        <f t="shared" si="13"/>
        <v>-0.0336</v>
      </c>
      <c r="Z11" s="37">
        <f t="shared" si="14"/>
        <v>33.95074503</v>
      </c>
      <c r="AA11" s="38">
        <f t="shared" si="15"/>
        <v>-5477394315</v>
      </c>
      <c r="AB11" s="39" t="str">
        <f t="shared" si="16"/>
        <v>Desceu</v>
      </c>
      <c r="AC11" s="36">
        <f t="shared" si="17"/>
        <v>0.3425</v>
      </c>
      <c r="AD11" s="37">
        <f t="shared" si="18"/>
        <v>24.43947858</v>
      </c>
      <c r="AE11" s="38">
        <f t="shared" si="19"/>
        <v>40191843998</v>
      </c>
      <c r="AF11" s="39" t="str">
        <f t="shared" si="20"/>
        <v>Subiu</v>
      </c>
      <c r="AG11" s="24" t="str">
        <f>VLOOKUP(A11,TICKER!A:B,2,0)</f>
        <v>Itaú Unibanco</v>
      </c>
      <c r="AH11" s="24" t="str">
        <f>VLOOKUP(AG11,SEGMENTO!A:B,2,0)</f>
        <v>Banco</v>
      </c>
      <c r="AI11" s="24">
        <f>VLOOKUP(AG11,SEGMENTO!A:C,3,0)</f>
        <v>13</v>
      </c>
      <c r="AJ11" s="24" t="str">
        <f t="shared" si="21"/>
        <v>-50 anos</v>
      </c>
    </row>
    <row r="12">
      <c r="A12" s="21" t="s">
        <v>48</v>
      </c>
      <c r="B12" s="22" t="s">
        <v>28</v>
      </c>
      <c r="C12" s="23">
        <v>27.56</v>
      </c>
      <c r="D12" s="22">
        <v>1.43</v>
      </c>
      <c r="E12" s="22">
        <v>3.41</v>
      </c>
      <c r="F12" s="22">
        <v>-4.17</v>
      </c>
      <c r="G12" s="22">
        <v>-4.17</v>
      </c>
      <c r="H12" s="22">
        <v>-6.01</v>
      </c>
      <c r="I12" s="22">
        <v>26.9</v>
      </c>
      <c r="J12" s="22">
        <v>27.91</v>
      </c>
      <c r="K12" s="21" t="s">
        <v>49</v>
      </c>
      <c r="L12" s="24">
        <f t="shared" si="1"/>
        <v>0.0143</v>
      </c>
      <c r="M12" s="25">
        <f t="shared" si="2"/>
        <v>27.17144829</v>
      </c>
      <c r="N12" s="26">
        <f>vlookup(A12,'TOTAL_AÇÕES'!A:B,2,0)</f>
        <v>1168230366</v>
      </c>
      <c r="O12" s="27">
        <f t="shared" si="3"/>
        <v>453917907</v>
      </c>
      <c r="P12" s="28" t="str">
        <f t="shared" si="4"/>
        <v>Subiu</v>
      </c>
      <c r="Q12" s="29">
        <f t="shared" si="5"/>
        <v>0.0341</v>
      </c>
      <c r="R12" s="30">
        <f t="shared" si="6"/>
        <v>26.65119428</v>
      </c>
      <c r="S12" s="27">
        <f t="shared" si="7"/>
        <v>-8834878448</v>
      </c>
      <c r="T12" s="31" t="str">
        <f t="shared" si="8"/>
        <v>Desceu</v>
      </c>
      <c r="U12" s="32">
        <f t="shared" si="9"/>
        <v>-0.0417</v>
      </c>
      <c r="V12" s="33">
        <f t="shared" si="10"/>
        <v>28.75926119</v>
      </c>
      <c r="W12" s="34">
        <f t="shared" si="11"/>
        <v>-1401013341</v>
      </c>
      <c r="X12" s="35" t="str">
        <f t="shared" si="12"/>
        <v>Desceu</v>
      </c>
      <c r="Y12" s="36">
        <f t="shared" si="13"/>
        <v>-0.0417</v>
      </c>
      <c r="Z12" s="37">
        <f t="shared" si="14"/>
        <v>28.75926119</v>
      </c>
      <c r="AA12" s="38">
        <f t="shared" si="15"/>
        <v>-1401013341</v>
      </c>
      <c r="AB12" s="39" t="str">
        <f t="shared" si="16"/>
        <v>Desceu</v>
      </c>
      <c r="AC12" s="36">
        <f t="shared" si="17"/>
        <v>-0.0601</v>
      </c>
      <c r="AD12" s="37">
        <f t="shared" si="18"/>
        <v>29.32226833</v>
      </c>
      <c r="AE12" s="38">
        <f t="shared" si="19"/>
        <v>-2058735372</v>
      </c>
      <c r="AF12" s="39" t="str">
        <f t="shared" si="20"/>
        <v>Desceu</v>
      </c>
      <c r="AG12" s="24" t="str">
        <f>VLOOKUP(A12,TICKER!A:B,2,0)</f>
        <v>Rede D'Or</v>
      </c>
      <c r="AH12" s="24" t="str">
        <f>VLOOKUP(AG12,SEGMENTO!A:B,2,0)</f>
        <v>Saúde</v>
      </c>
      <c r="AI12" s="24">
        <f>VLOOKUP(AG12,SEGMENTO!A:C,3,0)</f>
        <v>48</v>
      </c>
      <c r="AJ12" s="24" t="str">
        <f t="shared" si="21"/>
        <v>-50 anos</v>
      </c>
    </row>
    <row r="13">
      <c r="A13" s="40" t="s">
        <v>50</v>
      </c>
      <c r="B13" s="41" t="s">
        <v>28</v>
      </c>
      <c r="C13" s="42">
        <v>18.55</v>
      </c>
      <c r="D13" s="41">
        <v>1.42</v>
      </c>
      <c r="E13" s="41">
        <v>5.1</v>
      </c>
      <c r="F13" s="41">
        <v>-15.14</v>
      </c>
      <c r="G13" s="41">
        <v>-15.14</v>
      </c>
      <c r="H13" s="41">
        <v>-18.39</v>
      </c>
      <c r="I13" s="41">
        <v>18.29</v>
      </c>
      <c r="J13" s="41">
        <v>18.73</v>
      </c>
      <c r="K13" s="40" t="s">
        <v>51</v>
      </c>
      <c r="L13" s="24">
        <f t="shared" si="1"/>
        <v>0.0142</v>
      </c>
      <c r="M13" s="25">
        <f t="shared" si="2"/>
        <v>18.29027805</v>
      </c>
      <c r="N13" s="26">
        <f>vlookup(A13,'TOTAL_AÇÕES'!A:B,2,0)</f>
        <v>265877867</v>
      </c>
      <c r="O13" s="27">
        <f t="shared" si="3"/>
        <v>69054317.64</v>
      </c>
      <c r="P13" s="28" t="str">
        <f t="shared" si="4"/>
        <v>Subiu</v>
      </c>
      <c r="Q13" s="29">
        <f t="shared" si="5"/>
        <v>0.051</v>
      </c>
      <c r="R13" s="30">
        <f t="shared" si="6"/>
        <v>17.64985728</v>
      </c>
      <c r="S13" s="27">
        <f t="shared" si="7"/>
        <v>-4198133218</v>
      </c>
      <c r="T13" s="31" t="str">
        <f t="shared" si="8"/>
        <v>Desceu</v>
      </c>
      <c r="U13" s="32">
        <f t="shared" si="9"/>
        <v>-0.1514</v>
      </c>
      <c r="V13" s="33">
        <f t="shared" si="10"/>
        <v>21.85953335</v>
      </c>
      <c r="W13" s="34">
        <f t="shared" si="11"/>
        <v>-879931667.6</v>
      </c>
      <c r="X13" s="35" t="str">
        <f t="shared" si="12"/>
        <v>Desceu</v>
      </c>
      <c r="Y13" s="36">
        <f t="shared" si="13"/>
        <v>-0.1514</v>
      </c>
      <c r="Z13" s="37">
        <f t="shared" si="14"/>
        <v>21.85953335</v>
      </c>
      <c r="AA13" s="38">
        <f t="shared" si="15"/>
        <v>-879931667.6</v>
      </c>
      <c r="AB13" s="39" t="str">
        <f t="shared" si="16"/>
        <v>Desceu</v>
      </c>
      <c r="AC13" s="36">
        <f t="shared" si="17"/>
        <v>-0.1839</v>
      </c>
      <c r="AD13" s="37">
        <f t="shared" si="18"/>
        <v>22.73005759</v>
      </c>
      <c r="AE13" s="38">
        <f t="shared" si="19"/>
        <v>-1111384796</v>
      </c>
      <c r="AF13" s="39" t="str">
        <f t="shared" si="20"/>
        <v>Desceu</v>
      </c>
      <c r="AG13" s="24" t="str">
        <f>VLOOKUP(A13,TICKER!A:B,2,0)</f>
        <v>Braskem</v>
      </c>
      <c r="AH13" s="24" t="str">
        <f>VLOOKUP(AG13,SEGMENTO!A:B,2,0)</f>
        <v>Química</v>
      </c>
      <c r="AI13" s="24">
        <f>VLOOKUP(AG13,SEGMENTO!A:C,3,0)</f>
        <v>19</v>
      </c>
      <c r="AJ13" s="24" t="str">
        <f t="shared" si="21"/>
        <v>-50 anos</v>
      </c>
    </row>
    <row r="14">
      <c r="A14" s="21" t="s">
        <v>52</v>
      </c>
      <c r="B14" s="22" t="s">
        <v>28</v>
      </c>
      <c r="C14" s="23">
        <v>14.27</v>
      </c>
      <c r="D14" s="22">
        <v>1.42</v>
      </c>
      <c r="E14" s="22">
        <v>8.85</v>
      </c>
      <c r="F14" s="22">
        <v>-10.87</v>
      </c>
      <c r="G14" s="22">
        <v>-10.87</v>
      </c>
      <c r="H14" s="22">
        <v>18.52</v>
      </c>
      <c r="I14" s="22">
        <v>13.8</v>
      </c>
      <c r="J14" s="22">
        <v>14.36</v>
      </c>
      <c r="K14" s="21" t="s">
        <v>53</v>
      </c>
      <c r="L14" s="24">
        <f t="shared" si="1"/>
        <v>0.0142</v>
      </c>
      <c r="M14" s="25">
        <f t="shared" si="2"/>
        <v>14.07020312</v>
      </c>
      <c r="N14" s="26">
        <f>vlookup(A14,'TOTAL_AÇÕES'!A:B,2,0)</f>
        <v>327593725</v>
      </c>
      <c r="O14" s="27">
        <f t="shared" si="3"/>
        <v>65452205.55</v>
      </c>
      <c r="P14" s="28" t="str">
        <f t="shared" si="4"/>
        <v>Subiu</v>
      </c>
      <c r="Q14" s="29">
        <f t="shared" si="5"/>
        <v>0.0885</v>
      </c>
      <c r="R14" s="30">
        <f t="shared" si="6"/>
        <v>13.10978411</v>
      </c>
      <c r="S14" s="27">
        <f t="shared" si="7"/>
        <v>-1859462571</v>
      </c>
      <c r="T14" s="31" t="str">
        <f t="shared" si="8"/>
        <v>Desceu</v>
      </c>
      <c r="U14" s="32">
        <f t="shared" si="9"/>
        <v>-0.1087</v>
      </c>
      <c r="V14" s="33">
        <f t="shared" si="10"/>
        <v>16.010322</v>
      </c>
      <c r="W14" s="34">
        <f t="shared" si="11"/>
        <v>-570118567.2</v>
      </c>
      <c r="X14" s="35" t="str">
        <f t="shared" si="12"/>
        <v>Desceu</v>
      </c>
      <c r="Y14" s="36">
        <f t="shared" si="13"/>
        <v>-0.1087</v>
      </c>
      <c r="Z14" s="37">
        <f t="shared" si="14"/>
        <v>16.010322</v>
      </c>
      <c r="AA14" s="38">
        <f t="shared" si="15"/>
        <v>-570118567.2</v>
      </c>
      <c r="AB14" s="39" t="str">
        <f t="shared" si="16"/>
        <v>Desceu</v>
      </c>
      <c r="AC14" s="36">
        <f t="shared" si="17"/>
        <v>0.1852</v>
      </c>
      <c r="AD14" s="37">
        <f t="shared" si="18"/>
        <v>12.040162</v>
      </c>
      <c r="AE14" s="38">
        <f t="shared" si="19"/>
        <v>730480937.2</v>
      </c>
      <c r="AF14" s="39" t="str">
        <f t="shared" si="20"/>
        <v>Subiu</v>
      </c>
      <c r="AG14" s="24" t="str">
        <f>VLOOKUP(A14,TICKER!A:B,2,0)</f>
        <v>Azul</v>
      </c>
      <c r="AH14" s="24" t="str">
        <f>VLOOKUP(AG14,SEGMENTO!A:B,2,0)</f>
        <v>Aviação</v>
      </c>
      <c r="AI14" s="24">
        <f>VLOOKUP(AG14,SEGMENTO!A:C,3,0)</f>
        <v>13</v>
      </c>
      <c r="AJ14" s="24" t="str">
        <f t="shared" si="21"/>
        <v>-50 anos</v>
      </c>
    </row>
    <row r="15">
      <c r="A15" s="40" t="s">
        <v>54</v>
      </c>
      <c r="B15" s="41" t="s">
        <v>28</v>
      </c>
      <c r="C15" s="42">
        <v>28.75</v>
      </c>
      <c r="D15" s="41">
        <v>1.41</v>
      </c>
      <c r="E15" s="41">
        <v>-2.71</v>
      </c>
      <c r="F15" s="41">
        <v>9.4</v>
      </c>
      <c r="G15" s="41">
        <v>9.4</v>
      </c>
      <c r="H15" s="41">
        <v>-37.7</v>
      </c>
      <c r="I15" s="41">
        <v>28.0</v>
      </c>
      <c r="J15" s="41">
        <v>28.75</v>
      </c>
      <c r="K15" s="40" t="s">
        <v>55</v>
      </c>
      <c r="L15" s="24">
        <f t="shared" si="1"/>
        <v>0.0141</v>
      </c>
      <c r="M15" s="25">
        <f t="shared" si="2"/>
        <v>28.35026132</v>
      </c>
      <c r="N15" s="26">
        <f>vlookup(A15,'TOTAL_AÇÕES'!A:B,2,0)</f>
        <v>235665566</v>
      </c>
      <c r="O15" s="27">
        <f t="shared" si="3"/>
        <v>94204643.35</v>
      </c>
      <c r="P15" s="28" t="str">
        <f t="shared" si="4"/>
        <v>Subiu</v>
      </c>
      <c r="Q15" s="29">
        <f t="shared" si="5"/>
        <v>-0.0271</v>
      </c>
      <c r="R15" s="30">
        <f t="shared" si="6"/>
        <v>29.55082742</v>
      </c>
      <c r="S15" s="27">
        <f t="shared" si="7"/>
        <v>-10328529910</v>
      </c>
      <c r="T15" s="31" t="str">
        <f t="shared" si="8"/>
        <v>Desceu</v>
      </c>
      <c r="U15" s="32">
        <f t="shared" si="9"/>
        <v>0.094</v>
      </c>
      <c r="V15" s="33">
        <f t="shared" si="10"/>
        <v>26.2797075</v>
      </c>
      <c r="W15" s="34">
        <f t="shared" si="11"/>
        <v>582162881.3</v>
      </c>
      <c r="X15" s="35" t="str">
        <f t="shared" si="12"/>
        <v>Subiu</v>
      </c>
      <c r="Y15" s="36">
        <f t="shared" si="13"/>
        <v>0.094</v>
      </c>
      <c r="Z15" s="37">
        <f t="shared" si="14"/>
        <v>26.2797075</v>
      </c>
      <c r="AA15" s="38">
        <f t="shared" si="15"/>
        <v>582162881.3</v>
      </c>
      <c r="AB15" s="39" t="str">
        <f t="shared" si="16"/>
        <v>Subiu</v>
      </c>
      <c r="AC15" s="36">
        <f t="shared" si="17"/>
        <v>-0.377</v>
      </c>
      <c r="AD15" s="37">
        <f t="shared" si="18"/>
        <v>46.14767255</v>
      </c>
      <c r="AE15" s="38">
        <f t="shared" si="19"/>
        <v>-4100032349</v>
      </c>
      <c r="AF15" s="39" t="str">
        <f t="shared" si="20"/>
        <v>Desceu</v>
      </c>
      <c r="AG15" s="24" t="str">
        <f>VLOOKUP(A15,TICKER!A:B,2,0)</f>
        <v>3R Petroleum</v>
      </c>
      <c r="AH15" s="24" t="str">
        <f>VLOOKUP(AG15,SEGMENTO!A:B,2,0)</f>
        <v>Petróleo</v>
      </c>
      <c r="AI15" s="24">
        <f>VLOOKUP(AG15,SEGMENTO!A:C,3,0)</f>
        <v>10</v>
      </c>
      <c r="AJ15" s="24" t="str">
        <f t="shared" si="21"/>
        <v>-50 anos</v>
      </c>
    </row>
    <row r="16">
      <c r="A16" s="21" t="s">
        <v>56</v>
      </c>
      <c r="B16" s="22" t="s">
        <v>28</v>
      </c>
      <c r="C16" s="23">
        <v>35.32</v>
      </c>
      <c r="D16" s="22">
        <v>1.34</v>
      </c>
      <c r="E16" s="22">
        <v>2.76</v>
      </c>
      <c r="F16" s="22">
        <v>-1.12</v>
      </c>
      <c r="G16" s="22">
        <v>-1.12</v>
      </c>
      <c r="H16" s="22">
        <v>28.01</v>
      </c>
      <c r="I16" s="22">
        <v>34.85</v>
      </c>
      <c r="J16" s="22">
        <v>35.76</v>
      </c>
      <c r="K16" s="21" t="s">
        <v>57</v>
      </c>
      <c r="L16" s="24">
        <f t="shared" si="1"/>
        <v>0.0134</v>
      </c>
      <c r="M16" s="25">
        <f t="shared" si="2"/>
        <v>34.8529702</v>
      </c>
      <c r="N16" s="26">
        <f>vlookup(A16,'TOTAL_AÇÕES'!A:B,2,0)</f>
        <v>1095587251</v>
      </c>
      <c r="O16" s="27">
        <f t="shared" si="3"/>
        <v>511671895.5</v>
      </c>
      <c r="P16" s="28" t="str">
        <f t="shared" si="4"/>
        <v>Subiu</v>
      </c>
      <c r="Q16" s="29">
        <f t="shared" si="5"/>
        <v>0.0276</v>
      </c>
      <c r="R16" s="30">
        <f t="shared" si="6"/>
        <v>34.37135072</v>
      </c>
      <c r="S16" s="27">
        <f t="shared" si="7"/>
        <v>-12811665294</v>
      </c>
      <c r="T16" s="31" t="str">
        <f t="shared" si="8"/>
        <v>Desceu</v>
      </c>
      <c r="U16" s="32">
        <f t="shared" si="9"/>
        <v>-0.0112</v>
      </c>
      <c r="V16" s="33">
        <f t="shared" si="10"/>
        <v>35.72006472</v>
      </c>
      <c r="W16" s="34">
        <f t="shared" si="11"/>
        <v>-438305812.2</v>
      </c>
      <c r="X16" s="35" t="str">
        <f t="shared" si="12"/>
        <v>Desceu</v>
      </c>
      <c r="Y16" s="36">
        <f t="shared" si="13"/>
        <v>-0.0112</v>
      </c>
      <c r="Z16" s="37">
        <f t="shared" si="14"/>
        <v>35.72006472</v>
      </c>
      <c r="AA16" s="38">
        <f t="shared" si="15"/>
        <v>-438305812.2</v>
      </c>
      <c r="AB16" s="39" t="str">
        <f t="shared" si="16"/>
        <v>Desceu</v>
      </c>
      <c r="AC16" s="36">
        <f t="shared" si="17"/>
        <v>0.2801</v>
      </c>
      <c r="AD16" s="37">
        <f t="shared" si="18"/>
        <v>27.59159441</v>
      </c>
      <c r="AE16" s="38">
        <f t="shared" si="19"/>
        <v>8467142639</v>
      </c>
      <c r="AF16" s="39" t="str">
        <f t="shared" si="20"/>
        <v>Subiu</v>
      </c>
      <c r="AG16" s="24" t="str">
        <f>VLOOKUP(A16,TICKER!A:B,2,0)</f>
        <v>Equatorial Energia</v>
      </c>
      <c r="AH16" s="24" t="str">
        <f>VLOOKUP(AG16,SEGMENTO!A:B,2,0)</f>
        <v>Energia</v>
      </c>
      <c r="AI16" s="24">
        <f>VLOOKUP(AG16,SEGMENTO!A:C,3,0)</f>
        <v>23</v>
      </c>
      <c r="AJ16" s="24" t="str">
        <f t="shared" si="21"/>
        <v>-50 anos</v>
      </c>
    </row>
    <row r="17">
      <c r="A17" s="40" t="s">
        <v>58</v>
      </c>
      <c r="B17" s="41" t="s">
        <v>28</v>
      </c>
      <c r="C17" s="42">
        <v>18.16</v>
      </c>
      <c r="D17" s="41">
        <v>1.33</v>
      </c>
      <c r="E17" s="41">
        <v>4.79</v>
      </c>
      <c r="F17" s="41">
        <v>-7.63</v>
      </c>
      <c r="G17" s="41">
        <v>-7.63</v>
      </c>
      <c r="H17" s="41">
        <v>12.45</v>
      </c>
      <c r="I17" s="41">
        <v>18.0</v>
      </c>
      <c r="J17" s="41">
        <v>18.49</v>
      </c>
      <c r="K17" s="40" t="s">
        <v>59</v>
      </c>
      <c r="L17" s="24">
        <f t="shared" si="1"/>
        <v>0.0133</v>
      </c>
      <c r="M17" s="25">
        <f t="shared" si="2"/>
        <v>17.92164216</v>
      </c>
      <c r="N17" s="26">
        <f>vlookup(A17,'TOTAL_AÇÕES'!A:B,2,0)</f>
        <v>600865451</v>
      </c>
      <c r="O17" s="27">
        <f t="shared" si="3"/>
        <v>143220991.5</v>
      </c>
      <c r="P17" s="28" t="str">
        <f t="shared" si="4"/>
        <v>Subiu</v>
      </c>
      <c r="Q17" s="29">
        <f t="shared" si="5"/>
        <v>0.0479</v>
      </c>
      <c r="R17" s="30">
        <f t="shared" si="6"/>
        <v>17.32989789</v>
      </c>
      <c r="S17" s="27">
        <f t="shared" si="7"/>
        <v>-4033316573</v>
      </c>
      <c r="T17" s="31" t="str">
        <f t="shared" si="8"/>
        <v>Desceu</v>
      </c>
      <c r="U17" s="32">
        <f t="shared" si="9"/>
        <v>-0.0763</v>
      </c>
      <c r="V17" s="33">
        <f t="shared" si="10"/>
        <v>19.66006279</v>
      </c>
      <c r="W17" s="34">
        <f t="shared" si="11"/>
        <v>-901335905.4</v>
      </c>
      <c r="X17" s="35" t="str">
        <f t="shared" si="12"/>
        <v>Desceu</v>
      </c>
      <c r="Y17" s="36">
        <f t="shared" si="13"/>
        <v>-0.0763</v>
      </c>
      <c r="Z17" s="37">
        <f t="shared" si="14"/>
        <v>19.66006279</v>
      </c>
      <c r="AA17" s="38">
        <f t="shared" si="15"/>
        <v>-901335905.4</v>
      </c>
      <c r="AB17" s="39" t="str">
        <f t="shared" si="16"/>
        <v>Desceu</v>
      </c>
      <c r="AC17" s="36">
        <f t="shared" si="17"/>
        <v>0.1245</v>
      </c>
      <c r="AD17" s="37">
        <f t="shared" si="18"/>
        <v>16.14939973</v>
      </c>
      <c r="AE17" s="38">
        <f t="shared" si="19"/>
        <v>1208100236</v>
      </c>
      <c r="AF17" s="39" t="str">
        <f t="shared" si="20"/>
        <v>Subiu</v>
      </c>
      <c r="AG17" s="24" t="str">
        <f>VLOOKUP(A17,TICKER!A:B,2,0)</f>
        <v>Siderúrgica Nacional</v>
      </c>
      <c r="AH17" s="24" t="str">
        <f>VLOOKUP(AG17,SEGMENTO!A:B,2,0)</f>
        <v>Siderurgia</v>
      </c>
      <c r="AI17" s="24">
        <f>VLOOKUP(AG17,SEGMENTO!A:C,3,0)</f>
        <v>80</v>
      </c>
      <c r="AJ17" s="24" t="str">
        <f t="shared" si="21"/>
        <v>Entre 50 e 100 anos</v>
      </c>
    </row>
    <row r="18">
      <c r="A18" s="21" t="s">
        <v>60</v>
      </c>
      <c r="B18" s="22" t="s">
        <v>28</v>
      </c>
      <c r="C18" s="23">
        <v>19.77</v>
      </c>
      <c r="D18" s="22">
        <v>1.28</v>
      </c>
      <c r="E18" s="22">
        <v>-5.9</v>
      </c>
      <c r="F18" s="22">
        <v>-11.82</v>
      </c>
      <c r="G18" s="22">
        <v>-11.82</v>
      </c>
      <c r="H18" s="22">
        <v>108.45</v>
      </c>
      <c r="I18" s="22">
        <v>18.99</v>
      </c>
      <c r="J18" s="22">
        <v>19.78</v>
      </c>
      <c r="K18" s="21" t="s">
        <v>61</v>
      </c>
      <c r="L18" s="24">
        <f t="shared" si="1"/>
        <v>0.0128</v>
      </c>
      <c r="M18" s="25">
        <f t="shared" si="2"/>
        <v>19.52014218</v>
      </c>
      <c r="N18" s="26">
        <f>vlookup(A18,'TOTAL_AÇÕES'!A:B,2,0)</f>
        <v>289347914</v>
      </c>
      <c r="O18" s="27">
        <f t="shared" si="3"/>
        <v>72295838.99</v>
      </c>
      <c r="P18" s="28" t="str">
        <f t="shared" si="4"/>
        <v>Subiu</v>
      </c>
      <c r="Q18" s="29">
        <f t="shared" si="5"/>
        <v>-0.059</v>
      </c>
      <c r="R18" s="30">
        <f t="shared" si="6"/>
        <v>21.00956429</v>
      </c>
      <c r="S18" s="27">
        <f t="shared" si="7"/>
        <v>-5928776730</v>
      </c>
      <c r="T18" s="31" t="str">
        <f t="shared" si="8"/>
        <v>Desceu</v>
      </c>
      <c r="U18" s="32">
        <f t="shared" si="9"/>
        <v>-0.1182</v>
      </c>
      <c r="V18" s="33">
        <f t="shared" si="10"/>
        <v>22.4200499</v>
      </c>
      <c r="W18" s="34">
        <f t="shared" si="11"/>
        <v>-766786410</v>
      </c>
      <c r="X18" s="35" t="str">
        <f t="shared" si="12"/>
        <v>Desceu</v>
      </c>
      <c r="Y18" s="36">
        <f t="shared" si="13"/>
        <v>-0.1182</v>
      </c>
      <c r="Z18" s="37">
        <f t="shared" si="14"/>
        <v>22.4200499</v>
      </c>
      <c r="AA18" s="38">
        <f t="shared" si="15"/>
        <v>-766786410</v>
      </c>
      <c r="AB18" s="39" t="str">
        <f t="shared" si="16"/>
        <v>Desceu</v>
      </c>
      <c r="AC18" s="36">
        <f t="shared" si="17"/>
        <v>1.0845</v>
      </c>
      <c r="AD18" s="37">
        <f t="shared" si="18"/>
        <v>9.484288798</v>
      </c>
      <c r="AE18" s="38">
        <f t="shared" si="19"/>
        <v>2976149080</v>
      </c>
      <c r="AF18" s="39" t="str">
        <f t="shared" si="20"/>
        <v>Subiu</v>
      </c>
      <c r="AG18" s="24" t="str">
        <f>VLOOKUP(A18,TICKER!A:B,2,0)</f>
        <v>YDUQS</v>
      </c>
      <c r="AH18" s="24" t="str">
        <f>VLOOKUP(AG18,SEGMENTO!A:B,2,0)</f>
        <v>Educação</v>
      </c>
      <c r="AI18" s="24">
        <f>VLOOKUP(AG18,SEGMENTO!A:C,3,0)</f>
        <v>59</v>
      </c>
      <c r="AJ18" s="24" t="str">
        <f t="shared" si="21"/>
        <v>Entre 50 e 100 anos</v>
      </c>
    </row>
    <row r="19">
      <c r="A19" s="40" t="s">
        <v>62</v>
      </c>
      <c r="B19" s="41" t="s">
        <v>28</v>
      </c>
      <c r="C19" s="42">
        <v>28.31</v>
      </c>
      <c r="D19" s="41">
        <v>1.28</v>
      </c>
      <c r="E19" s="41">
        <v>2.35</v>
      </c>
      <c r="F19" s="41">
        <v>6.79</v>
      </c>
      <c r="G19" s="41">
        <v>6.79</v>
      </c>
      <c r="H19" s="41">
        <v>119.82</v>
      </c>
      <c r="I19" s="41">
        <v>27.84</v>
      </c>
      <c r="J19" s="41">
        <v>28.39</v>
      </c>
      <c r="K19" s="40" t="s">
        <v>63</v>
      </c>
      <c r="L19" s="24">
        <f t="shared" si="1"/>
        <v>0.0128</v>
      </c>
      <c r="M19" s="25">
        <f t="shared" si="2"/>
        <v>27.95221169</v>
      </c>
      <c r="N19" s="26">
        <f>vlookup(A19,'TOTAL_AÇÕES'!A:B,2,0)</f>
        <v>1086411192</v>
      </c>
      <c r="O19" s="27">
        <f t="shared" si="3"/>
        <v>388705224</v>
      </c>
      <c r="P19" s="28" t="str">
        <f t="shared" si="4"/>
        <v>Subiu</v>
      </c>
      <c r="Q19" s="29">
        <f t="shared" si="5"/>
        <v>0.0235</v>
      </c>
      <c r="R19" s="30">
        <f t="shared" si="6"/>
        <v>27.65999023</v>
      </c>
      <c r="S19" s="27">
        <f t="shared" si="7"/>
        <v>-9354526788</v>
      </c>
      <c r="T19" s="31" t="str">
        <f t="shared" si="8"/>
        <v>Desceu</v>
      </c>
      <c r="U19" s="32">
        <f t="shared" si="9"/>
        <v>0.0679</v>
      </c>
      <c r="V19" s="33">
        <f t="shared" si="10"/>
        <v>26.50997284</v>
      </c>
      <c r="W19" s="34">
        <f t="shared" si="11"/>
        <v>1955569648</v>
      </c>
      <c r="X19" s="35" t="str">
        <f t="shared" si="12"/>
        <v>Subiu</v>
      </c>
      <c r="Y19" s="36">
        <f t="shared" si="13"/>
        <v>0.0679</v>
      </c>
      <c r="Z19" s="37">
        <f t="shared" si="14"/>
        <v>26.50997284</v>
      </c>
      <c r="AA19" s="38">
        <f t="shared" si="15"/>
        <v>1955569648</v>
      </c>
      <c r="AB19" s="39" t="str">
        <f t="shared" si="16"/>
        <v>Subiu</v>
      </c>
      <c r="AC19" s="36">
        <f t="shared" si="17"/>
        <v>1.1982</v>
      </c>
      <c r="AD19" s="37">
        <f t="shared" si="18"/>
        <v>12.87871895</v>
      </c>
      <c r="AE19" s="38">
        <f t="shared" si="19"/>
        <v>16764716438</v>
      </c>
      <c r="AF19" s="39" t="str">
        <f t="shared" si="20"/>
        <v>Subiu</v>
      </c>
      <c r="AG19" s="24" t="str">
        <f>VLOOKUP(A19,TICKER!A:B,2,0)</f>
        <v>Ultrapar</v>
      </c>
      <c r="AH19" s="24" t="str">
        <f>VLOOKUP(AG19,SEGMENTO!A:B,2,0)</f>
        <v>Energia</v>
      </c>
      <c r="AI19" s="24">
        <f>VLOOKUP(AG19,SEGMENTO!A:C,3,0)</f>
        <v>83</v>
      </c>
      <c r="AJ19" s="24" t="str">
        <f t="shared" si="21"/>
        <v>Entre 50 e 100 anos</v>
      </c>
    </row>
    <row r="20">
      <c r="A20" s="21" t="s">
        <v>64</v>
      </c>
      <c r="B20" s="22" t="s">
        <v>28</v>
      </c>
      <c r="C20" s="23">
        <v>8.08</v>
      </c>
      <c r="D20" s="22">
        <v>1.25</v>
      </c>
      <c r="E20" s="22">
        <v>1.38</v>
      </c>
      <c r="F20" s="22">
        <v>-28.05</v>
      </c>
      <c r="G20" s="22">
        <v>-28.05</v>
      </c>
      <c r="H20" s="22">
        <v>14.12</v>
      </c>
      <c r="I20" s="22">
        <v>7.93</v>
      </c>
      <c r="J20" s="22">
        <v>8.23</v>
      </c>
      <c r="K20" s="21" t="s">
        <v>65</v>
      </c>
      <c r="L20" s="24">
        <f t="shared" si="1"/>
        <v>0.0125</v>
      </c>
      <c r="M20" s="25">
        <f t="shared" si="2"/>
        <v>7.980246914</v>
      </c>
      <c r="N20" s="26">
        <f>vlookup(A20,'TOTAL_AÇÕES'!A:B,2,0)</f>
        <v>376187582</v>
      </c>
      <c r="O20" s="27">
        <f t="shared" si="3"/>
        <v>37525872.38</v>
      </c>
      <c r="P20" s="28" t="str">
        <f t="shared" si="4"/>
        <v>Subiu</v>
      </c>
      <c r="Q20" s="29">
        <f t="shared" si="5"/>
        <v>0.0138</v>
      </c>
      <c r="R20" s="30">
        <f t="shared" si="6"/>
        <v>7.970013809</v>
      </c>
      <c r="S20" s="27">
        <f t="shared" si="7"/>
        <v>788122494.8</v>
      </c>
      <c r="T20" s="31" t="str">
        <f t="shared" si="8"/>
        <v>Subiu</v>
      </c>
      <c r="U20" s="32">
        <f t="shared" si="9"/>
        <v>-0.2805</v>
      </c>
      <c r="V20" s="33">
        <f t="shared" si="10"/>
        <v>11.23002085</v>
      </c>
      <c r="W20" s="34">
        <f t="shared" si="11"/>
        <v>-1184998726</v>
      </c>
      <c r="X20" s="35" t="str">
        <f t="shared" si="12"/>
        <v>Desceu</v>
      </c>
      <c r="Y20" s="36">
        <f t="shared" si="13"/>
        <v>-0.2805</v>
      </c>
      <c r="Z20" s="37">
        <f t="shared" si="14"/>
        <v>11.23002085</v>
      </c>
      <c r="AA20" s="38">
        <f t="shared" si="15"/>
        <v>-1184998726</v>
      </c>
      <c r="AB20" s="39" t="str">
        <f t="shared" si="16"/>
        <v>Desceu</v>
      </c>
      <c r="AC20" s="36">
        <f t="shared" si="17"/>
        <v>0.1412</v>
      </c>
      <c r="AD20" s="37">
        <f t="shared" si="18"/>
        <v>7.080266386</v>
      </c>
      <c r="AE20" s="38">
        <f t="shared" si="19"/>
        <v>376087370.8</v>
      </c>
      <c r="AF20" s="39" t="str">
        <f t="shared" si="20"/>
        <v>Subiu</v>
      </c>
      <c r="AG20" s="24" t="str">
        <f>VLOOKUP(A20,TICKER!A:B,2,0)</f>
        <v>MRV</v>
      </c>
      <c r="AH20" s="24" t="str">
        <f>VLOOKUP(AG20,SEGMENTO!A:B,2,0)</f>
        <v>Construção</v>
      </c>
      <c r="AI20" s="24">
        <f>VLOOKUP(AG20,SEGMENTO!A:C,3,0)</f>
        <v>41</v>
      </c>
      <c r="AJ20" s="24" t="str">
        <f t="shared" si="21"/>
        <v>-50 anos</v>
      </c>
    </row>
    <row r="21">
      <c r="A21" s="40" t="s">
        <v>66</v>
      </c>
      <c r="B21" s="41" t="s">
        <v>28</v>
      </c>
      <c r="C21" s="42">
        <v>57.91</v>
      </c>
      <c r="D21" s="41">
        <v>1.15</v>
      </c>
      <c r="E21" s="41">
        <v>-1.03</v>
      </c>
      <c r="F21" s="41">
        <v>-10.26</v>
      </c>
      <c r="G21" s="41">
        <v>-10.26</v>
      </c>
      <c r="H21" s="41">
        <v>-28.97</v>
      </c>
      <c r="I21" s="41">
        <v>56.22</v>
      </c>
      <c r="J21" s="41">
        <v>59.29</v>
      </c>
      <c r="K21" s="40" t="s">
        <v>67</v>
      </c>
      <c r="L21" s="24">
        <f t="shared" si="1"/>
        <v>0.0115</v>
      </c>
      <c r="M21" s="25">
        <f t="shared" si="2"/>
        <v>57.25160652</v>
      </c>
      <c r="N21" s="26">
        <f>vlookup(A21,'TOTAL_AÇÕES'!A:B,2,0)</f>
        <v>62305891</v>
      </c>
      <c r="O21" s="27">
        <f t="shared" si="3"/>
        <v>41021792.09</v>
      </c>
      <c r="P21" s="28" t="str">
        <f t="shared" si="4"/>
        <v>Subiu</v>
      </c>
      <c r="Q21" s="29">
        <f t="shared" si="5"/>
        <v>-0.0103</v>
      </c>
      <c r="R21" s="30">
        <f t="shared" si="6"/>
        <v>58.51268061</v>
      </c>
      <c r="S21" s="27">
        <f t="shared" si="7"/>
        <v>-25247284162</v>
      </c>
      <c r="T21" s="31" t="str">
        <f t="shared" si="8"/>
        <v>Desceu</v>
      </c>
      <c r="U21" s="32">
        <f t="shared" si="9"/>
        <v>-0.1026</v>
      </c>
      <c r="V21" s="33">
        <f t="shared" si="10"/>
        <v>64.53086695</v>
      </c>
      <c r="W21" s="34">
        <f t="shared" si="11"/>
        <v>-412519014.4</v>
      </c>
      <c r="X21" s="35" t="str">
        <f t="shared" si="12"/>
        <v>Desceu</v>
      </c>
      <c r="Y21" s="36">
        <f t="shared" si="13"/>
        <v>-0.1026</v>
      </c>
      <c r="Z21" s="37">
        <f t="shared" si="14"/>
        <v>64.53086695</v>
      </c>
      <c r="AA21" s="38">
        <f t="shared" si="15"/>
        <v>-412519014.4</v>
      </c>
      <c r="AB21" s="39" t="str">
        <f t="shared" si="16"/>
        <v>Desceu</v>
      </c>
      <c r="AC21" s="36">
        <f t="shared" si="17"/>
        <v>-0.2897</v>
      </c>
      <c r="AD21" s="37">
        <f t="shared" si="18"/>
        <v>81.52893144</v>
      </c>
      <c r="AE21" s="38">
        <f t="shared" si="19"/>
        <v>-1471598568</v>
      </c>
      <c r="AF21" s="39" t="str">
        <f t="shared" si="20"/>
        <v>Desceu</v>
      </c>
      <c r="AG21" s="24" t="str">
        <f>VLOOKUP(A21,TICKER!A:B,2,0)</f>
        <v>Arezzo</v>
      </c>
      <c r="AH21" s="24" t="str">
        <f>VLOOKUP(AG21,SEGMENTO!A:B,2,0)</f>
        <v>Moda</v>
      </c>
      <c r="AI21" s="24">
        <f>VLOOKUP(AG21,SEGMENTO!A:C,3,0)</f>
        <v>50</v>
      </c>
      <c r="AJ21" s="24" t="str">
        <f t="shared" si="21"/>
        <v>Entre 50 e 100 anos</v>
      </c>
    </row>
    <row r="22">
      <c r="A22" s="21" t="s">
        <v>68</v>
      </c>
      <c r="B22" s="22" t="s">
        <v>28</v>
      </c>
      <c r="C22" s="23">
        <v>15.52</v>
      </c>
      <c r="D22" s="22">
        <v>1.04</v>
      </c>
      <c r="E22" s="22">
        <v>-0.77</v>
      </c>
      <c r="F22" s="22">
        <v>-9.08</v>
      </c>
      <c r="G22" s="22">
        <v>-9.08</v>
      </c>
      <c r="H22" s="22">
        <v>16.11</v>
      </c>
      <c r="I22" s="22">
        <v>15.35</v>
      </c>
      <c r="J22" s="22">
        <v>15.62</v>
      </c>
      <c r="K22" s="21" t="s">
        <v>69</v>
      </c>
      <c r="L22" s="24">
        <f t="shared" si="1"/>
        <v>0.0104</v>
      </c>
      <c r="M22" s="25">
        <f t="shared" si="2"/>
        <v>15.36025337</v>
      </c>
      <c r="N22" s="26">
        <f>vlookup(A22,'TOTAL_AÇÕES'!A:B,2,0)</f>
        <v>5146576868</v>
      </c>
      <c r="O22" s="27">
        <f t="shared" si="3"/>
        <v>822148336.4</v>
      </c>
      <c r="P22" s="28" t="str">
        <f t="shared" si="4"/>
        <v>Subiu</v>
      </c>
      <c r="Q22" s="29">
        <f t="shared" si="5"/>
        <v>-0.0077</v>
      </c>
      <c r="R22" s="30">
        <f t="shared" si="6"/>
        <v>15.64043132</v>
      </c>
      <c r="S22" s="27">
        <f t="shared" si="7"/>
        <v>-3163042962</v>
      </c>
      <c r="T22" s="31" t="str">
        <f t="shared" si="8"/>
        <v>Desceu</v>
      </c>
      <c r="U22" s="32">
        <f t="shared" si="9"/>
        <v>-0.0908</v>
      </c>
      <c r="V22" s="33">
        <f t="shared" si="10"/>
        <v>17.06995161</v>
      </c>
      <c r="W22" s="34">
        <f t="shared" si="11"/>
        <v>-7976945081</v>
      </c>
      <c r="X22" s="35" t="str">
        <f t="shared" si="12"/>
        <v>Desceu</v>
      </c>
      <c r="Y22" s="36">
        <f t="shared" si="13"/>
        <v>-0.0908</v>
      </c>
      <c r="Z22" s="37">
        <f t="shared" si="14"/>
        <v>17.06995161</v>
      </c>
      <c r="AA22" s="38">
        <f t="shared" si="15"/>
        <v>-7976945081</v>
      </c>
      <c r="AB22" s="39" t="str">
        <f t="shared" si="16"/>
        <v>Desceu</v>
      </c>
      <c r="AC22" s="36">
        <f t="shared" si="17"/>
        <v>0.1611</v>
      </c>
      <c r="AD22" s="37">
        <f t="shared" si="18"/>
        <v>13.36663509</v>
      </c>
      <c r="AE22" s="38">
        <f t="shared" si="19"/>
        <v>11082458047</v>
      </c>
      <c r="AF22" s="39" t="str">
        <f t="shared" si="20"/>
        <v>Subiu</v>
      </c>
      <c r="AG22" s="24" t="str">
        <f>VLOOKUP(A22,TICKER!A:B,2,0)</f>
        <v>Banco Bradesco</v>
      </c>
      <c r="AH22" s="24" t="str">
        <f>VLOOKUP(AG22,SEGMENTO!A:B,2,0)</f>
        <v>Banco</v>
      </c>
      <c r="AI22" s="24">
        <f>VLOOKUP(AG22,SEGMENTO!A:C,3,0)</f>
        <v>78</v>
      </c>
      <c r="AJ22" s="24" t="str">
        <f t="shared" si="21"/>
        <v>Entre 50 e 100 anos</v>
      </c>
    </row>
    <row r="23">
      <c r="A23" s="40" t="s">
        <v>70</v>
      </c>
      <c r="B23" s="41" t="s">
        <v>28</v>
      </c>
      <c r="C23" s="42">
        <v>7.19</v>
      </c>
      <c r="D23" s="41">
        <v>0.98</v>
      </c>
      <c r="E23" s="41">
        <v>6.05</v>
      </c>
      <c r="F23" s="41">
        <v>-3.75</v>
      </c>
      <c r="G23" s="41">
        <v>-3.75</v>
      </c>
      <c r="H23" s="41">
        <v>-48.31</v>
      </c>
      <c r="I23" s="41">
        <v>7.11</v>
      </c>
      <c r="J23" s="41">
        <v>7.24</v>
      </c>
      <c r="K23" s="40" t="s">
        <v>71</v>
      </c>
      <c r="L23" s="24">
        <f t="shared" si="1"/>
        <v>0.0098</v>
      </c>
      <c r="M23" s="25">
        <f t="shared" si="2"/>
        <v>7.120221826</v>
      </c>
      <c r="N23" s="26">
        <f>vlookup(A23,'TOTAL_AÇÕES'!A:B,2,0)</f>
        <v>261036182</v>
      </c>
      <c r="O23" s="27">
        <f t="shared" si="3"/>
        <v>18214628.1</v>
      </c>
      <c r="P23" s="28" t="str">
        <f t="shared" si="4"/>
        <v>Subiu</v>
      </c>
      <c r="Q23" s="29">
        <f t="shared" si="5"/>
        <v>0.0605</v>
      </c>
      <c r="R23" s="30">
        <f t="shared" si="6"/>
        <v>6.779820839</v>
      </c>
      <c r="S23" s="27">
        <f t="shared" si="7"/>
        <v>1401211592</v>
      </c>
      <c r="T23" s="31" t="str">
        <f t="shared" si="8"/>
        <v>Subiu</v>
      </c>
      <c r="U23" s="32">
        <f t="shared" si="9"/>
        <v>-0.0375</v>
      </c>
      <c r="V23" s="33">
        <f t="shared" si="10"/>
        <v>7.47012987</v>
      </c>
      <c r="W23" s="34">
        <f t="shared" si="11"/>
        <v>-73124031.76</v>
      </c>
      <c r="X23" s="35" t="str">
        <f t="shared" si="12"/>
        <v>Desceu</v>
      </c>
      <c r="Y23" s="36">
        <f t="shared" si="13"/>
        <v>-0.0375</v>
      </c>
      <c r="Z23" s="37">
        <f t="shared" si="14"/>
        <v>7.47012987</v>
      </c>
      <c r="AA23" s="38">
        <f t="shared" si="15"/>
        <v>-73124031.76</v>
      </c>
      <c r="AB23" s="39" t="str">
        <f t="shared" si="16"/>
        <v>Desceu</v>
      </c>
      <c r="AC23" s="36">
        <f t="shared" si="17"/>
        <v>-0.4831</v>
      </c>
      <c r="AD23" s="37">
        <f t="shared" si="18"/>
        <v>13.90984717</v>
      </c>
      <c r="AE23" s="38">
        <f t="shared" si="19"/>
        <v>-1754123248</v>
      </c>
      <c r="AF23" s="39" t="str">
        <f t="shared" si="20"/>
        <v>Desceu</v>
      </c>
      <c r="AG23" s="24" t="str">
        <f>VLOOKUP(A23,TICKER!A:B,2,0)</f>
        <v>Minerva</v>
      </c>
      <c r="AH23" s="24" t="str">
        <f>VLOOKUP(AG23,SEGMENTO!A:B,2,0)</f>
        <v>Alimentos</v>
      </c>
      <c r="AI23" s="24">
        <f>VLOOKUP(AG23,SEGMENTO!A:C,3,0)</f>
        <v>29</v>
      </c>
      <c r="AJ23" s="24" t="str">
        <f t="shared" si="21"/>
        <v>-50 anos</v>
      </c>
    </row>
    <row r="24">
      <c r="A24" s="21" t="s">
        <v>72</v>
      </c>
      <c r="B24" s="22" t="s">
        <v>28</v>
      </c>
      <c r="C24" s="23">
        <v>4.14</v>
      </c>
      <c r="D24" s="22">
        <v>0.97</v>
      </c>
      <c r="E24" s="22">
        <v>-6.33</v>
      </c>
      <c r="F24" s="22">
        <v>1.97</v>
      </c>
      <c r="G24" s="22">
        <v>1.97</v>
      </c>
      <c r="H24" s="22">
        <v>-51.18</v>
      </c>
      <c r="I24" s="22">
        <v>4.08</v>
      </c>
      <c r="J24" s="22">
        <v>4.2</v>
      </c>
      <c r="K24" s="21" t="s">
        <v>73</v>
      </c>
      <c r="L24" s="24">
        <f t="shared" si="1"/>
        <v>0.0097</v>
      </c>
      <c r="M24" s="25">
        <f t="shared" si="2"/>
        <v>4.10022779</v>
      </c>
      <c r="N24" s="26">
        <f>vlookup(A24,'TOTAL_AÇÕES'!A:B,2,0)</f>
        <v>159430826</v>
      </c>
      <c r="O24" s="27">
        <f t="shared" si="3"/>
        <v>6340916.223</v>
      </c>
      <c r="P24" s="28" t="str">
        <f t="shared" si="4"/>
        <v>Subiu</v>
      </c>
      <c r="Q24" s="29">
        <f t="shared" si="5"/>
        <v>-0.0633</v>
      </c>
      <c r="R24" s="30">
        <f t="shared" si="6"/>
        <v>4.419771538</v>
      </c>
      <c r="S24" s="27">
        <f t="shared" si="7"/>
        <v>2616914031</v>
      </c>
      <c r="T24" s="31" t="str">
        <f t="shared" si="8"/>
        <v>Subiu</v>
      </c>
      <c r="U24" s="32">
        <f t="shared" si="9"/>
        <v>0.0197</v>
      </c>
      <c r="V24" s="33">
        <f t="shared" si="10"/>
        <v>4.060017652</v>
      </c>
      <c r="W24" s="34">
        <f t="shared" si="11"/>
        <v>12751651.77</v>
      </c>
      <c r="X24" s="35" t="str">
        <f t="shared" si="12"/>
        <v>Subiu</v>
      </c>
      <c r="Y24" s="36">
        <f t="shared" si="13"/>
        <v>0.0197</v>
      </c>
      <c r="Z24" s="37">
        <f t="shared" si="14"/>
        <v>4.060017652</v>
      </c>
      <c r="AA24" s="38">
        <f t="shared" si="15"/>
        <v>12751651.77</v>
      </c>
      <c r="AB24" s="39" t="str">
        <f t="shared" si="16"/>
        <v>Subiu</v>
      </c>
      <c r="AC24" s="36">
        <f t="shared" si="17"/>
        <v>-0.5118</v>
      </c>
      <c r="AD24" s="37">
        <f t="shared" si="18"/>
        <v>8.480131094</v>
      </c>
      <c r="AE24" s="38">
        <f t="shared" si="19"/>
        <v>-691950685.2</v>
      </c>
      <c r="AF24" s="39" t="str">
        <f t="shared" si="20"/>
        <v>Desceu</v>
      </c>
      <c r="AG24" s="24" t="str">
        <f>VLOOKUP(A24,TICKER!A:B,2,0)</f>
        <v>Grupo Pão de Açúcar</v>
      </c>
      <c r="AH24" s="24" t="str">
        <f>VLOOKUP(AG24,SEGMENTO!A:B,2,0)</f>
        <v>Varejo</v>
      </c>
      <c r="AI24" s="24">
        <f>VLOOKUP(AG24,SEGMENTO!A:C,3,0)</f>
        <v>72</v>
      </c>
      <c r="AJ24" s="24" t="str">
        <f t="shared" si="21"/>
        <v>Entre 50 e 100 anos</v>
      </c>
    </row>
    <row r="25">
      <c r="A25" s="40" t="s">
        <v>74</v>
      </c>
      <c r="B25" s="41" t="s">
        <v>28</v>
      </c>
      <c r="C25" s="42">
        <v>14.61</v>
      </c>
      <c r="D25" s="41">
        <v>0.96</v>
      </c>
      <c r="E25" s="41">
        <v>12.38</v>
      </c>
      <c r="F25" s="41">
        <v>5.79</v>
      </c>
      <c r="G25" s="41">
        <v>5.79</v>
      </c>
      <c r="H25" s="41">
        <v>78.17</v>
      </c>
      <c r="I25" s="41">
        <v>14.46</v>
      </c>
      <c r="J25" s="41">
        <v>14.93</v>
      </c>
      <c r="K25" s="40" t="s">
        <v>75</v>
      </c>
      <c r="L25" s="24">
        <f t="shared" si="1"/>
        <v>0.0096</v>
      </c>
      <c r="M25" s="25">
        <f t="shared" si="2"/>
        <v>14.47107765</v>
      </c>
      <c r="N25" s="26">
        <f>vlookup(A25,'TOTAL_AÇÕES'!A:B,2,0)</f>
        <v>1677525446</v>
      </c>
      <c r="O25" s="27">
        <f t="shared" si="3"/>
        <v>233045769.6</v>
      </c>
      <c r="P25" s="28" t="str">
        <f t="shared" si="4"/>
        <v>Subiu</v>
      </c>
      <c r="Q25" s="29">
        <f t="shared" si="5"/>
        <v>0.1238</v>
      </c>
      <c r="R25" s="30">
        <f t="shared" si="6"/>
        <v>13.0005339</v>
      </c>
      <c r="S25" s="27">
        <f t="shared" si="7"/>
        <v>-1803185891</v>
      </c>
      <c r="T25" s="31" t="str">
        <f t="shared" si="8"/>
        <v>Desceu</v>
      </c>
      <c r="U25" s="32">
        <f t="shared" si="9"/>
        <v>0.0579</v>
      </c>
      <c r="V25" s="33">
        <f t="shared" si="10"/>
        <v>13.81037905</v>
      </c>
      <c r="W25" s="34">
        <f t="shared" si="11"/>
        <v>1341384486</v>
      </c>
      <c r="X25" s="35" t="str">
        <f t="shared" si="12"/>
        <v>Subiu</v>
      </c>
      <c r="Y25" s="36">
        <f t="shared" si="13"/>
        <v>0.0579</v>
      </c>
      <c r="Z25" s="37">
        <f t="shared" si="14"/>
        <v>13.81037905</v>
      </c>
      <c r="AA25" s="38">
        <f t="shared" si="15"/>
        <v>1341384486</v>
      </c>
      <c r="AB25" s="39" t="str">
        <f t="shared" si="16"/>
        <v>Subiu</v>
      </c>
      <c r="AC25" s="36">
        <f t="shared" si="17"/>
        <v>0.7817</v>
      </c>
      <c r="AD25" s="37">
        <f t="shared" si="18"/>
        <v>8.200033676</v>
      </c>
      <c r="AE25" s="38">
        <f t="shared" si="19"/>
        <v>10752881617</v>
      </c>
      <c r="AF25" s="39" t="str">
        <f t="shared" si="20"/>
        <v>Subiu</v>
      </c>
      <c r="AG25" s="24" t="str">
        <f>VLOOKUP(A25,TICKER!A:B,2,0)</f>
        <v>BRF</v>
      </c>
      <c r="AH25" s="24" t="str">
        <f>VLOOKUP(AG25,SEGMENTO!A:B,2,0)</f>
        <v>Alimentos</v>
      </c>
      <c r="AI25" s="24">
        <f>VLOOKUP(AG25,SEGMENTO!A:C,3,0)</f>
        <v>11</v>
      </c>
      <c r="AJ25" s="24" t="str">
        <f t="shared" si="21"/>
        <v>-50 anos</v>
      </c>
    </row>
    <row r="26">
      <c r="A26" s="21" t="s">
        <v>76</v>
      </c>
      <c r="B26" s="22" t="s">
        <v>28</v>
      </c>
      <c r="C26" s="23">
        <v>51.2</v>
      </c>
      <c r="D26" s="22">
        <v>0.88</v>
      </c>
      <c r="E26" s="22">
        <v>1.09</v>
      </c>
      <c r="F26" s="22">
        <v>-4.19</v>
      </c>
      <c r="G26" s="22">
        <v>-4.19</v>
      </c>
      <c r="H26" s="22">
        <v>32.78</v>
      </c>
      <c r="I26" s="22">
        <v>50.62</v>
      </c>
      <c r="J26" s="22">
        <v>51.26</v>
      </c>
      <c r="K26" s="21" t="s">
        <v>77</v>
      </c>
      <c r="L26" s="24">
        <f t="shared" si="1"/>
        <v>0.0088</v>
      </c>
      <c r="M26" s="25">
        <f t="shared" si="2"/>
        <v>50.75337034</v>
      </c>
      <c r="N26" s="26">
        <f>vlookup(A26,'TOTAL_AÇÕES'!A:B,2,0)</f>
        <v>423091712</v>
      </c>
      <c r="O26" s="27">
        <f t="shared" si="3"/>
        <v>188965307.1</v>
      </c>
      <c r="P26" s="28" t="str">
        <f t="shared" si="4"/>
        <v>Subiu</v>
      </c>
      <c r="Q26" s="29">
        <f t="shared" si="5"/>
        <v>0.0109</v>
      </c>
      <c r="R26" s="30">
        <f t="shared" si="6"/>
        <v>50.64793748</v>
      </c>
      <c r="S26" s="27">
        <f t="shared" si="7"/>
        <v>-21196018200</v>
      </c>
      <c r="T26" s="31" t="str">
        <f t="shared" si="8"/>
        <v>Desceu</v>
      </c>
      <c r="U26" s="32">
        <f t="shared" si="9"/>
        <v>-0.0419</v>
      </c>
      <c r="V26" s="33">
        <f t="shared" si="10"/>
        <v>53.43909822</v>
      </c>
      <c r="W26" s="34">
        <f t="shared" si="11"/>
        <v>-947343897.2</v>
      </c>
      <c r="X26" s="35" t="str">
        <f t="shared" si="12"/>
        <v>Desceu</v>
      </c>
      <c r="Y26" s="36">
        <f t="shared" si="13"/>
        <v>-0.0419</v>
      </c>
      <c r="Z26" s="37">
        <f t="shared" si="14"/>
        <v>53.43909822</v>
      </c>
      <c r="AA26" s="38">
        <f t="shared" si="15"/>
        <v>-947343897.2</v>
      </c>
      <c r="AB26" s="39" t="str">
        <f t="shared" si="16"/>
        <v>Desceu</v>
      </c>
      <c r="AC26" s="36">
        <f t="shared" si="17"/>
        <v>0.3278</v>
      </c>
      <c r="AD26" s="37">
        <f t="shared" si="18"/>
        <v>38.5600241</v>
      </c>
      <c r="AE26" s="38">
        <f t="shared" si="19"/>
        <v>5347869043</v>
      </c>
      <c r="AF26" s="39" t="str">
        <f t="shared" si="20"/>
        <v>Subiu</v>
      </c>
      <c r="AG26" s="24" t="str">
        <f>VLOOKUP(A26,TICKER!A:B,2,0)</f>
        <v>Vivo</v>
      </c>
      <c r="AH26" s="24" t="str">
        <f>VLOOKUP(AG26,SEGMENTO!A:B,2,0)</f>
        <v>Telecomunicações</v>
      </c>
      <c r="AI26" s="24">
        <f>VLOOKUP(AG26,SEGMENTO!A:C,3,0)</f>
        <v>18</v>
      </c>
      <c r="AJ26" s="24" t="str">
        <f t="shared" si="21"/>
        <v>-50 anos</v>
      </c>
    </row>
    <row r="27">
      <c r="A27" s="40" t="s">
        <v>78</v>
      </c>
      <c r="B27" s="41" t="s">
        <v>28</v>
      </c>
      <c r="C27" s="42">
        <v>22.64</v>
      </c>
      <c r="D27" s="41">
        <v>0.84</v>
      </c>
      <c r="E27" s="41">
        <v>1.07</v>
      </c>
      <c r="F27" s="41">
        <v>-1.35</v>
      </c>
      <c r="G27" s="41">
        <v>-1.35</v>
      </c>
      <c r="H27" s="41">
        <v>20.93</v>
      </c>
      <c r="I27" s="41">
        <v>22.32</v>
      </c>
      <c r="J27" s="41">
        <v>22.83</v>
      </c>
      <c r="K27" s="40" t="s">
        <v>79</v>
      </c>
      <c r="L27" s="24">
        <f t="shared" si="1"/>
        <v>0.0084</v>
      </c>
      <c r="M27" s="25">
        <f t="shared" si="2"/>
        <v>22.45140817</v>
      </c>
      <c r="N27" s="26">
        <f>vlookup(A27,'TOTAL_AÇÕES'!A:B,2,0)</f>
        <v>1218352541</v>
      </c>
      <c r="O27" s="27">
        <f t="shared" si="3"/>
        <v>229771333.6</v>
      </c>
      <c r="P27" s="28" t="str">
        <f t="shared" si="4"/>
        <v>Subiu</v>
      </c>
      <c r="Q27" s="29">
        <f t="shared" si="5"/>
        <v>0.0107</v>
      </c>
      <c r="R27" s="30">
        <f t="shared" si="6"/>
        <v>22.40031661</v>
      </c>
      <c r="S27" s="27">
        <f t="shared" si="7"/>
        <v>-6645177436</v>
      </c>
      <c r="T27" s="31" t="str">
        <f t="shared" si="8"/>
        <v>Desceu</v>
      </c>
      <c r="U27" s="32">
        <f t="shared" si="9"/>
        <v>-0.0135</v>
      </c>
      <c r="V27" s="33">
        <f t="shared" si="10"/>
        <v>22.94982261</v>
      </c>
      <c r="W27" s="34">
        <f t="shared" si="11"/>
        <v>-377473158.3</v>
      </c>
      <c r="X27" s="35" t="str">
        <f t="shared" si="12"/>
        <v>Desceu</v>
      </c>
      <c r="Y27" s="36">
        <f t="shared" si="13"/>
        <v>-0.0135</v>
      </c>
      <c r="Z27" s="37">
        <f t="shared" si="14"/>
        <v>22.94982261</v>
      </c>
      <c r="AA27" s="38">
        <f t="shared" si="15"/>
        <v>-377473158.3</v>
      </c>
      <c r="AB27" s="39" t="str">
        <f t="shared" si="16"/>
        <v>Desceu</v>
      </c>
      <c r="AC27" s="36">
        <f t="shared" si="17"/>
        <v>0.2093</v>
      </c>
      <c r="AD27" s="37">
        <f t="shared" si="18"/>
        <v>18.72157446</v>
      </c>
      <c r="AE27" s="38">
        <f t="shared" si="19"/>
        <v>4774023708</v>
      </c>
      <c r="AF27" s="39" t="str">
        <f t="shared" si="20"/>
        <v>Subiu</v>
      </c>
      <c r="AG27" s="24" t="str">
        <f>VLOOKUP(A27,TICKER!A:B,2,0)</f>
        <v>Rumo</v>
      </c>
      <c r="AH27" s="24" t="str">
        <f>VLOOKUP(AG27,SEGMENTO!A:B,2,0)</f>
        <v>Logística</v>
      </c>
      <c r="AI27" s="24">
        <f>VLOOKUP(AG27,SEGMENTO!A:C,3,0)</f>
        <v>12</v>
      </c>
      <c r="AJ27" s="24" t="str">
        <f t="shared" si="21"/>
        <v>-50 anos</v>
      </c>
    </row>
    <row r="28">
      <c r="A28" s="21" t="s">
        <v>80</v>
      </c>
      <c r="B28" s="22" t="s">
        <v>28</v>
      </c>
      <c r="C28" s="23">
        <v>4.9</v>
      </c>
      <c r="D28" s="22">
        <v>0.82</v>
      </c>
      <c r="E28" s="22">
        <v>9.38</v>
      </c>
      <c r="F28" s="22">
        <v>5.83</v>
      </c>
      <c r="G28" s="22">
        <v>5.83</v>
      </c>
      <c r="H28" s="22">
        <v>-2.19</v>
      </c>
      <c r="I28" s="22">
        <v>4.82</v>
      </c>
      <c r="J28" s="22">
        <v>4.97</v>
      </c>
      <c r="K28" s="21" t="s">
        <v>81</v>
      </c>
      <c r="L28" s="24">
        <f t="shared" si="1"/>
        <v>0.0082</v>
      </c>
      <c r="M28" s="25">
        <f t="shared" si="2"/>
        <v>4.860146796</v>
      </c>
      <c r="N28" s="26">
        <f>vlookup(A28,'TOTAL_AÇÕES'!A:B,2,0)</f>
        <v>1095462329</v>
      </c>
      <c r="O28" s="27">
        <f t="shared" si="3"/>
        <v>43657683.38</v>
      </c>
      <c r="P28" s="28" t="str">
        <f t="shared" si="4"/>
        <v>Subiu</v>
      </c>
      <c r="Q28" s="29">
        <f t="shared" si="5"/>
        <v>0.0938</v>
      </c>
      <c r="R28" s="30">
        <f t="shared" si="6"/>
        <v>4.479795209</v>
      </c>
      <c r="S28" s="27">
        <f t="shared" si="7"/>
        <v>2585994794</v>
      </c>
      <c r="T28" s="31" t="str">
        <f t="shared" si="8"/>
        <v>Subiu</v>
      </c>
      <c r="U28" s="32">
        <f t="shared" si="9"/>
        <v>0.0583</v>
      </c>
      <c r="V28" s="33">
        <f t="shared" si="10"/>
        <v>4.630067089</v>
      </c>
      <c r="W28" s="34">
        <f t="shared" si="11"/>
        <v>295701335.7</v>
      </c>
      <c r="X28" s="35" t="str">
        <f t="shared" si="12"/>
        <v>Subiu</v>
      </c>
      <c r="Y28" s="36">
        <f t="shared" si="13"/>
        <v>0.0583</v>
      </c>
      <c r="Z28" s="37">
        <f t="shared" si="14"/>
        <v>4.630067089</v>
      </c>
      <c r="AA28" s="38">
        <f t="shared" si="15"/>
        <v>295701335.7</v>
      </c>
      <c r="AB28" s="39" t="str">
        <f t="shared" si="16"/>
        <v>Subiu</v>
      </c>
      <c r="AC28" s="36">
        <f t="shared" si="17"/>
        <v>-0.0219</v>
      </c>
      <c r="AD28" s="37">
        <f t="shared" si="18"/>
        <v>5.009712708</v>
      </c>
      <c r="AE28" s="38">
        <f t="shared" si="19"/>
        <v>-120186139</v>
      </c>
      <c r="AF28" s="39" t="str">
        <f t="shared" si="20"/>
        <v>Desceu</v>
      </c>
      <c r="AG28" s="24" t="str">
        <f>VLOOKUP(A28,TICKER!A:B,2,0)</f>
        <v>Cielo</v>
      </c>
      <c r="AH28" s="24" t="str">
        <f>VLOOKUP(AG28,SEGMENTO!A:B,2,0)</f>
        <v>Meios de Pagamento</v>
      </c>
      <c r="AI28" s="24">
        <f>VLOOKUP(AG28,SEGMENTO!A:C,3,0)</f>
        <v>24</v>
      </c>
      <c r="AJ28" s="24" t="str">
        <f t="shared" si="21"/>
        <v>-50 anos</v>
      </c>
    </row>
    <row r="29">
      <c r="A29" s="40" t="s">
        <v>82</v>
      </c>
      <c r="B29" s="41" t="s">
        <v>28</v>
      </c>
      <c r="C29" s="42">
        <v>7.81</v>
      </c>
      <c r="D29" s="41">
        <v>0.77</v>
      </c>
      <c r="E29" s="41">
        <v>3.17</v>
      </c>
      <c r="F29" s="41">
        <v>-3.22</v>
      </c>
      <c r="G29" s="41">
        <v>-3.22</v>
      </c>
      <c r="H29" s="41">
        <v>9.94</v>
      </c>
      <c r="I29" s="41">
        <v>7.7</v>
      </c>
      <c r="J29" s="41">
        <v>7.85</v>
      </c>
      <c r="K29" s="40" t="s">
        <v>83</v>
      </c>
      <c r="L29" s="24">
        <f t="shared" si="1"/>
        <v>0.0077</v>
      </c>
      <c r="M29" s="25">
        <f t="shared" si="2"/>
        <v>7.750322517</v>
      </c>
      <c r="N29" s="26">
        <f>vlookup(A29,'TOTAL_AÇÕES'!A:B,2,0)</f>
        <v>302768240</v>
      </c>
      <c r="O29" s="27">
        <f t="shared" si="3"/>
        <v>18068446.61</v>
      </c>
      <c r="P29" s="28" t="str">
        <f t="shared" si="4"/>
        <v>Subiu</v>
      </c>
      <c r="Q29" s="29">
        <f t="shared" si="5"/>
        <v>0.0317</v>
      </c>
      <c r="R29" s="30">
        <f t="shared" si="6"/>
        <v>7.570030047</v>
      </c>
      <c r="S29" s="27">
        <f t="shared" si="7"/>
        <v>994161086.6</v>
      </c>
      <c r="T29" s="31" t="str">
        <f t="shared" si="8"/>
        <v>Subiu</v>
      </c>
      <c r="U29" s="32">
        <f t="shared" si="9"/>
        <v>-0.0322</v>
      </c>
      <c r="V29" s="33">
        <f t="shared" si="10"/>
        <v>8.069849142</v>
      </c>
      <c r="W29" s="34">
        <f t="shared" si="11"/>
        <v>-78674067.51</v>
      </c>
      <c r="X29" s="35" t="str">
        <f t="shared" si="12"/>
        <v>Desceu</v>
      </c>
      <c r="Y29" s="36">
        <f t="shared" si="13"/>
        <v>-0.0322</v>
      </c>
      <c r="Z29" s="37">
        <f t="shared" si="14"/>
        <v>8.069849142</v>
      </c>
      <c r="AA29" s="38">
        <f t="shared" si="15"/>
        <v>-78674067.51</v>
      </c>
      <c r="AB29" s="39" t="str">
        <f t="shared" si="16"/>
        <v>Desceu</v>
      </c>
      <c r="AC29" s="36">
        <f t="shared" si="17"/>
        <v>0.0994</v>
      </c>
      <c r="AD29" s="37">
        <f t="shared" si="18"/>
        <v>7.103874841</v>
      </c>
      <c r="AE29" s="38">
        <f t="shared" si="19"/>
        <v>213792271.7</v>
      </c>
      <c r="AF29" s="39" t="str">
        <f t="shared" si="20"/>
        <v>Subiu</v>
      </c>
      <c r="AG29" s="24" t="str">
        <f>VLOOKUP(A29,TICKER!A:B,2,0)</f>
        <v>Dexco</v>
      </c>
      <c r="AH29" s="24" t="str">
        <f>VLOOKUP(AG29,SEGMENTO!A:B,2,0)</f>
        <v>Imobiliário</v>
      </c>
      <c r="AI29" s="24">
        <f>VLOOKUP(AG29,SEGMENTO!A:C,3,0)</f>
        <v>8</v>
      </c>
      <c r="AJ29" s="24" t="str">
        <f t="shared" si="21"/>
        <v>-50 anos</v>
      </c>
    </row>
    <row r="30">
      <c r="A30" s="21" t="s">
        <v>84</v>
      </c>
      <c r="B30" s="22" t="s">
        <v>28</v>
      </c>
      <c r="C30" s="23">
        <v>17.52</v>
      </c>
      <c r="D30" s="22">
        <v>0.74</v>
      </c>
      <c r="E30" s="22">
        <v>-0.57</v>
      </c>
      <c r="F30" s="22">
        <v>-2.29</v>
      </c>
      <c r="G30" s="22">
        <v>-2.29</v>
      </c>
      <c r="H30" s="22">
        <v>56.87</v>
      </c>
      <c r="I30" s="22">
        <v>17.36</v>
      </c>
      <c r="J30" s="22">
        <v>17.58</v>
      </c>
      <c r="K30" s="21" t="s">
        <v>85</v>
      </c>
      <c r="L30" s="24">
        <f t="shared" si="1"/>
        <v>0.0074</v>
      </c>
      <c r="M30" s="25">
        <f t="shared" si="2"/>
        <v>17.39130435</v>
      </c>
      <c r="N30" s="26">
        <f>vlookup(A30,'TOTAL_AÇÕES'!A:B,2,0)</f>
        <v>807896814</v>
      </c>
      <c r="O30" s="27">
        <f t="shared" si="3"/>
        <v>103972807.4</v>
      </c>
      <c r="P30" s="28" t="str">
        <f t="shared" si="4"/>
        <v>Subiu</v>
      </c>
      <c r="Q30" s="29">
        <f t="shared" si="5"/>
        <v>-0.0057</v>
      </c>
      <c r="R30" s="30">
        <f t="shared" si="6"/>
        <v>17.62043649</v>
      </c>
      <c r="S30" s="27">
        <f t="shared" si="7"/>
        <v>-4182978057</v>
      </c>
      <c r="T30" s="31" t="str">
        <f t="shared" si="8"/>
        <v>Desceu</v>
      </c>
      <c r="U30" s="32">
        <f t="shared" si="9"/>
        <v>-0.0229</v>
      </c>
      <c r="V30" s="33">
        <f t="shared" si="10"/>
        <v>17.93061099</v>
      </c>
      <c r="W30" s="34">
        <f t="shared" si="11"/>
        <v>-331731312</v>
      </c>
      <c r="X30" s="35" t="str">
        <f t="shared" si="12"/>
        <v>Desceu</v>
      </c>
      <c r="Y30" s="36">
        <f t="shared" si="13"/>
        <v>-0.0229</v>
      </c>
      <c r="Z30" s="37">
        <f t="shared" si="14"/>
        <v>17.93061099</v>
      </c>
      <c r="AA30" s="38">
        <f t="shared" si="15"/>
        <v>-331731312</v>
      </c>
      <c r="AB30" s="39" t="str">
        <f t="shared" si="16"/>
        <v>Desceu</v>
      </c>
      <c r="AC30" s="36">
        <f t="shared" si="17"/>
        <v>0.5687</v>
      </c>
      <c r="AD30" s="37">
        <f t="shared" si="18"/>
        <v>11.16848346</v>
      </c>
      <c r="AE30" s="38">
        <f t="shared" si="19"/>
        <v>5131369979</v>
      </c>
      <c r="AF30" s="39" t="str">
        <f t="shared" si="20"/>
        <v>Subiu</v>
      </c>
      <c r="AG30" s="24" t="str">
        <f>VLOOKUP(A30,TICKER!A:B,2,0)</f>
        <v>TIM</v>
      </c>
      <c r="AH30" s="24" t="str">
        <f>VLOOKUP(AG30,SEGMENTO!A:B,2,0)</f>
        <v>Telecomunicações</v>
      </c>
      <c r="AI30" s="24">
        <f>VLOOKUP(AG30,SEGMENTO!A:C,3,0)</f>
        <v>25</v>
      </c>
      <c r="AJ30" s="24" t="str">
        <f t="shared" si="21"/>
        <v>-50 anos</v>
      </c>
    </row>
    <row r="31">
      <c r="A31" s="40" t="s">
        <v>86</v>
      </c>
      <c r="B31" s="41" t="s">
        <v>28</v>
      </c>
      <c r="C31" s="42">
        <v>23.22</v>
      </c>
      <c r="D31" s="41">
        <v>0.73</v>
      </c>
      <c r="E31" s="41">
        <v>1.93</v>
      </c>
      <c r="F31" s="41">
        <v>-9.51</v>
      </c>
      <c r="G31" s="41">
        <v>-9.51</v>
      </c>
      <c r="H31" s="41">
        <v>-20.4</v>
      </c>
      <c r="I31" s="41">
        <v>22.69</v>
      </c>
      <c r="J31" s="41">
        <v>23.28</v>
      </c>
      <c r="K31" s="40" t="s">
        <v>87</v>
      </c>
      <c r="L31" s="24">
        <f t="shared" si="1"/>
        <v>0.0073</v>
      </c>
      <c r="M31" s="25">
        <f t="shared" si="2"/>
        <v>23.05172243</v>
      </c>
      <c r="N31" s="26">
        <f>vlookup(A31,'TOTAL_AÇÕES'!A:B,2,0)</f>
        <v>251003438</v>
      </c>
      <c r="O31" s="27">
        <f t="shared" si="3"/>
        <v>42238249.54</v>
      </c>
      <c r="P31" s="28" t="str">
        <f t="shared" si="4"/>
        <v>Subiu</v>
      </c>
      <c r="Q31" s="29">
        <f t="shared" si="5"/>
        <v>0.0193</v>
      </c>
      <c r="R31" s="30">
        <f t="shared" si="6"/>
        <v>22.78033945</v>
      </c>
      <c r="S31" s="27">
        <f t="shared" si="7"/>
        <v>-6840933808</v>
      </c>
      <c r="T31" s="31" t="str">
        <f t="shared" si="8"/>
        <v>Desceu</v>
      </c>
      <c r="U31" s="32">
        <f t="shared" si="9"/>
        <v>-0.0951</v>
      </c>
      <c r="V31" s="33">
        <f t="shared" si="10"/>
        <v>25.66029396</v>
      </c>
      <c r="W31" s="34">
        <f t="shared" si="11"/>
        <v>-612522172.5</v>
      </c>
      <c r="X31" s="35" t="str">
        <f t="shared" si="12"/>
        <v>Desceu</v>
      </c>
      <c r="Y31" s="36">
        <f t="shared" si="13"/>
        <v>-0.0951</v>
      </c>
      <c r="Z31" s="37">
        <f t="shared" si="14"/>
        <v>25.66029396</v>
      </c>
      <c r="AA31" s="38">
        <f t="shared" si="15"/>
        <v>-612522172.5</v>
      </c>
      <c r="AB31" s="39" t="str">
        <f t="shared" si="16"/>
        <v>Desceu</v>
      </c>
      <c r="AC31" s="36">
        <f t="shared" si="17"/>
        <v>-0.204</v>
      </c>
      <c r="AD31" s="37">
        <f t="shared" si="18"/>
        <v>29.17085427</v>
      </c>
      <c r="AE31" s="38">
        <f t="shared" si="19"/>
        <v>-1493684881</v>
      </c>
      <c r="AF31" s="39" t="str">
        <f t="shared" si="20"/>
        <v>Desceu</v>
      </c>
      <c r="AG31" s="24" t="str">
        <f>VLOOKUP(A31,TICKER!A:B,2,0)</f>
        <v>Bradespar</v>
      </c>
      <c r="AH31" s="24" t="str">
        <f>VLOOKUP(AG31,SEGMENTO!A:B,2,0)</f>
        <v>Holding</v>
      </c>
      <c r="AI31" s="24">
        <f>VLOOKUP(AG31,SEGMENTO!A:C,3,0)</f>
        <v>40</v>
      </c>
      <c r="AJ31" s="24" t="str">
        <f t="shared" si="21"/>
        <v>-50 anos</v>
      </c>
    </row>
    <row r="32">
      <c r="A32" s="21" t="s">
        <v>88</v>
      </c>
      <c r="B32" s="22" t="s">
        <v>28</v>
      </c>
      <c r="C32" s="23">
        <v>5.55</v>
      </c>
      <c r="D32" s="22">
        <v>0.72</v>
      </c>
      <c r="E32" s="22">
        <v>-3.65</v>
      </c>
      <c r="F32" s="22">
        <v>-7.65</v>
      </c>
      <c r="G32" s="22">
        <v>-7.65</v>
      </c>
      <c r="H32" s="22">
        <v>-14.03</v>
      </c>
      <c r="I32" s="22">
        <v>5.46</v>
      </c>
      <c r="J32" s="22">
        <v>5.6</v>
      </c>
      <c r="K32" s="21" t="s">
        <v>89</v>
      </c>
      <c r="L32" s="24">
        <f t="shared" si="1"/>
        <v>0.0072</v>
      </c>
      <c r="M32" s="25">
        <f t="shared" si="2"/>
        <v>5.510325655</v>
      </c>
      <c r="N32" s="26">
        <f>vlookup(A32,'TOTAL_AÇÕES'!A:B,2,0)</f>
        <v>393173139</v>
      </c>
      <c r="O32" s="27">
        <f t="shared" si="3"/>
        <v>15598886.65</v>
      </c>
      <c r="P32" s="28" t="str">
        <f t="shared" si="4"/>
        <v>Subiu</v>
      </c>
      <c r="Q32" s="29">
        <f t="shared" si="5"/>
        <v>-0.0365</v>
      </c>
      <c r="R32" s="30">
        <f t="shared" si="6"/>
        <v>5.760249092</v>
      </c>
      <c r="S32" s="27">
        <f t="shared" si="7"/>
        <v>1926410731</v>
      </c>
      <c r="T32" s="31" t="str">
        <f t="shared" si="8"/>
        <v>Subiu</v>
      </c>
      <c r="U32" s="32">
        <f t="shared" si="9"/>
        <v>-0.0765</v>
      </c>
      <c r="V32" s="33">
        <f t="shared" si="10"/>
        <v>6.009745533</v>
      </c>
      <c r="W32" s="34">
        <f t="shared" si="11"/>
        <v>-180759594.5</v>
      </c>
      <c r="X32" s="35" t="str">
        <f t="shared" si="12"/>
        <v>Desceu</v>
      </c>
      <c r="Y32" s="36">
        <f t="shared" si="13"/>
        <v>-0.0765</v>
      </c>
      <c r="Z32" s="37">
        <f t="shared" si="14"/>
        <v>6.009745533</v>
      </c>
      <c r="AA32" s="38">
        <f t="shared" si="15"/>
        <v>-180759594.5</v>
      </c>
      <c r="AB32" s="39" t="str">
        <f t="shared" si="16"/>
        <v>Desceu</v>
      </c>
      <c r="AC32" s="36">
        <f t="shared" si="17"/>
        <v>-0.1403</v>
      </c>
      <c r="AD32" s="37">
        <f t="shared" si="18"/>
        <v>6.455740375</v>
      </c>
      <c r="AE32" s="38">
        <f t="shared" si="19"/>
        <v>-356112786.2</v>
      </c>
      <c r="AF32" s="39" t="str">
        <f t="shared" si="20"/>
        <v>Desceu</v>
      </c>
      <c r="AG32" s="24" t="str">
        <f>VLOOKUP(A32,TICKER!A:B,2,0)</f>
        <v>Locaweb</v>
      </c>
      <c r="AH32" s="24" t="str">
        <f>VLOOKUP(AG32,SEGMENTO!A:B,2,0)</f>
        <v>Tecnologia</v>
      </c>
      <c r="AI32" s="24">
        <f>VLOOKUP(AG32,SEGMENTO!A:C,3,0)</f>
        <v>24</v>
      </c>
      <c r="AJ32" s="24" t="str">
        <f t="shared" si="21"/>
        <v>-50 anos</v>
      </c>
    </row>
    <row r="33">
      <c r="A33" s="40" t="s">
        <v>90</v>
      </c>
      <c r="B33" s="41" t="s">
        <v>28</v>
      </c>
      <c r="C33" s="42">
        <v>23.83</v>
      </c>
      <c r="D33" s="41">
        <v>0.71</v>
      </c>
      <c r="E33" s="41">
        <v>1.49</v>
      </c>
      <c r="F33" s="41">
        <v>9.71</v>
      </c>
      <c r="G33" s="41">
        <v>9.71</v>
      </c>
      <c r="H33" s="41">
        <v>-26.61</v>
      </c>
      <c r="I33" s="41">
        <v>23.36</v>
      </c>
      <c r="J33" s="41">
        <v>23.99</v>
      </c>
      <c r="K33" s="40" t="s">
        <v>91</v>
      </c>
      <c r="L33" s="24">
        <f t="shared" si="1"/>
        <v>0.0071</v>
      </c>
      <c r="M33" s="25">
        <f t="shared" si="2"/>
        <v>23.6619998</v>
      </c>
      <c r="N33" s="26">
        <f>vlookup(A33,'TOTAL_AÇÕES'!A:B,2,0)</f>
        <v>275005663</v>
      </c>
      <c r="O33" s="27">
        <f t="shared" si="3"/>
        <v>46201006</v>
      </c>
      <c r="P33" s="28" t="str">
        <f t="shared" si="4"/>
        <v>Subiu</v>
      </c>
      <c r="Q33" s="29">
        <f t="shared" si="5"/>
        <v>0.0149</v>
      </c>
      <c r="R33" s="30">
        <f t="shared" si="6"/>
        <v>23.48014583</v>
      </c>
      <c r="S33" s="27">
        <f t="shared" si="7"/>
        <v>-7201416244</v>
      </c>
      <c r="T33" s="31" t="str">
        <f t="shared" si="8"/>
        <v>Desceu</v>
      </c>
      <c r="U33" s="32">
        <f t="shared" si="9"/>
        <v>0.0971</v>
      </c>
      <c r="V33" s="33">
        <f t="shared" si="10"/>
        <v>21.72090056</v>
      </c>
      <c r="W33" s="34">
        <f t="shared" si="11"/>
        <v>580014290.9</v>
      </c>
      <c r="X33" s="35" t="str">
        <f t="shared" si="12"/>
        <v>Subiu</v>
      </c>
      <c r="Y33" s="36">
        <f t="shared" si="13"/>
        <v>0.0971</v>
      </c>
      <c r="Z33" s="37">
        <f t="shared" si="14"/>
        <v>21.72090056</v>
      </c>
      <c r="AA33" s="38">
        <f t="shared" si="15"/>
        <v>580014290.9</v>
      </c>
      <c r="AB33" s="39" t="str">
        <f t="shared" si="16"/>
        <v>Subiu</v>
      </c>
      <c r="AC33" s="36">
        <f t="shared" si="17"/>
        <v>-0.2661</v>
      </c>
      <c r="AD33" s="37">
        <f t="shared" si="18"/>
        <v>32.47036381</v>
      </c>
      <c r="AE33" s="38">
        <f t="shared" si="19"/>
        <v>-2376148978</v>
      </c>
      <c r="AF33" s="39" t="str">
        <f t="shared" si="20"/>
        <v>Desceu</v>
      </c>
      <c r="AG33" s="24" t="str">
        <f>VLOOKUP(A33,TICKER!A:B,2,0)</f>
        <v>PetroRecôncavo</v>
      </c>
      <c r="AH33" s="24" t="str">
        <f>VLOOKUP(AG33,SEGMENTO!A:B,2,0)</f>
        <v>Petróleo</v>
      </c>
      <c r="AI33" s="24">
        <f>VLOOKUP(AG33,SEGMENTO!A:C,3,0)</f>
        <v>11</v>
      </c>
      <c r="AJ33" s="24" t="str">
        <f t="shared" si="21"/>
        <v>-50 anos</v>
      </c>
    </row>
    <row r="34">
      <c r="A34" s="21" t="s">
        <v>92</v>
      </c>
      <c r="B34" s="22" t="s">
        <v>28</v>
      </c>
      <c r="C34" s="23">
        <v>10.01</v>
      </c>
      <c r="D34" s="22">
        <v>0.7</v>
      </c>
      <c r="E34" s="22">
        <v>-0.3</v>
      </c>
      <c r="F34" s="22">
        <v>-3.47</v>
      </c>
      <c r="G34" s="22">
        <v>-3.47</v>
      </c>
      <c r="H34" s="22">
        <v>29.0</v>
      </c>
      <c r="I34" s="22">
        <v>9.93</v>
      </c>
      <c r="J34" s="22">
        <v>10.06</v>
      </c>
      <c r="K34" s="21" t="s">
        <v>93</v>
      </c>
      <c r="L34" s="24">
        <f t="shared" si="1"/>
        <v>0.007</v>
      </c>
      <c r="M34" s="25">
        <f t="shared" si="2"/>
        <v>9.94041708</v>
      </c>
      <c r="N34" s="26">
        <f>vlookup(A34,'TOTAL_AÇÕES'!A:B,2,0)</f>
        <v>5372783971</v>
      </c>
      <c r="O34" s="27">
        <f t="shared" si="3"/>
        <v>373853994.9</v>
      </c>
      <c r="P34" s="28" t="str">
        <f t="shared" si="4"/>
        <v>Subiu</v>
      </c>
      <c r="Q34" s="29">
        <f t="shared" si="5"/>
        <v>-0.003</v>
      </c>
      <c r="R34" s="30">
        <f t="shared" si="6"/>
        <v>10.04012036</v>
      </c>
      <c r="S34" s="27">
        <f t="shared" si="7"/>
        <v>-278225391.2</v>
      </c>
      <c r="T34" s="31" t="str">
        <f t="shared" si="8"/>
        <v>Desceu</v>
      </c>
      <c r="U34" s="32">
        <f t="shared" si="9"/>
        <v>-0.0347</v>
      </c>
      <c r="V34" s="33">
        <f t="shared" si="10"/>
        <v>10.36983321</v>
      </c>
      <c r="W34" s="34">
        <f t="shared" si="11"/>
        <v>-1933306116</v>
      </c>
      <c r="X34" s="35" t="str">
        <f t="shared" si="12"/>
        <v>Desceu</v>
      </c>
      <c r="Y34" s="36">
        <f t="shared" si="13"/>
        <v>-0.0347</v>
      </c>
      <c r="Z34" s="37">
        <f t="shared" si="14"/>
        <v>10.36983321</v>
      </c>
      <c r="AA34" s="38">
        <f t="shared" si="15"/>
        <v>-1933306116</v>
      </c>
      <c r="AB34" s="39" t="str">
        <f t="shared" si="16"/>
        <v>Desceu</v>
      </c>
      <c r="AC34" s="36">
        <f t="shared" si="17"/>
        <v>0.29</v>
      </c>
      <c r="AD34" s="37">
        <f t="shared" si="18"/>
        <v>7.759689922</v>
      </c>
      <c r="AE34" s="38">
        <f t="shared" si="19"/>
        <v>12090429914</v>
      </c>
      <c r="AF34" s="39" t="str">
        <f t="shared" si="20"/>
        <v>Subiu</v>
      </c>
      <c r="AG34" s="24" t="str">
        <f>VLOOKUP(A34,TICKER!A:B,2,0)</f>
        <v>Itaúsa</v>
      </c>
      <c r="AH34" s="24" t="str">
        <f>VLOOKUP(AG34,SEGMENTO!A:B,2,0)</f>
        <v>Holding</v>
      </c>
      <c r="AI34" s="24">
        <f>VLOOKUP(AG34,SEGMENTO!A:C,3,0)</f>
        <v>54</v>
      </c>
      <c r="AJ34" s="24" t="str">
        <f t="shared" si="21"/>
        <v>Entre 50 e 100 anos</v>
      </c>
    </row>
    <row r="35">
      <c r="A35" s="40" t="s">
        <v>94</v>
      </c>
      <c r="B35" s="41" t="s">
        <v>28</v>
      </c>
      <c r="C35" s="42">
        <v>56.97</v>
      </c>
      <c r="D35" s="41">
        <v>0.68</v>
      </c>
      <c r="E35" s="41">
        <v>1.88</v>
      </c>
      <c r="F35" s="41">
        <v>2.85</v>
      </c>
      <c r="G35" s="41">
        <v>2.85</v>
      </c>
      <c r="H35" s="41">
        <v>52.87</v>
      </c>
      <c r="I35" s="41">
        <v>56.55</v>
      </c>
      <c r="J35" s="41">
        <v>56.99</v>
      </c>
      <c r="K35" s="40" t="s">
        <v>95</v>
      </c>
      <c r="L35" s="24">
        <f t="shared" si="1"/>
        <v>0.0068</v>
      </c>
      <c r="M35" s="25">
        <f t="shared" si="2"/>
        <v>56.5852205</v>
      </c>
      <c r="N35" s="26">
        <f>vlookup(A35,'TOTAL_AÇÕES'!A:B,2,0)</f>
        <v>1420949112</v>
      </c>
      <c r="O35" s="27">
        <f t="shared" si="3"/>
        <v>546752088</v>
      </c>
      <c r="P35" s="28" t="str">
        <f t="shared" si="4"/>
        <v>Subiu</v>
      </c>
      <c r="Q35" s="29">
        <f t="shared" si="5"/>
        <v>0.0188</v>
      </c>
      <c r="R35" s="30">
        <f t="shared" si="6"/>
        <v>55.91872792</v>
      </c>
      <c r="S35" s="27">
        <f t="shared" si="7"/>
        <v>-23911094017</v>
      </c>
      <c r="T35" s="31" t="str">
        <f t="shared" si="8"/>
        <v>Desceu</v>
      </c>
      <c r="U35" s="32">
        <f t="shared" si="9"/>
        <v>0.0285</v>
      </c>
      <c r="V35" s="33">
        <f t="shared" si="10"/>
        <v>55.39134662</v>
      </c>
      <c r="W35" s="34">
        <f t="shared" si="11"/>
        <v>2243186117</v>
      </c>
      <c r="X35" s="35" t="str">
        <f t="shared" si="12"/>
        <v>Subiu</v>
      </c>
      <c r="Y35" s="36">
        <f t="shared" si="13"/>
        <v>0.0285</v>
      </c>
      <c r="Z35" s="37">
        <f t="shared" si="14"/>
        <v>55.39134662</v>
      </c>
      <c r="AA35" s="38">
        <f t="shared" si="15"/>
        <v>2243186117</v>
      </c>
      <c r="AB35" s="39" t="str">
        <f t="shared" si="16"/>
        <v>Subiu</v>
      </c>
      <c r="AC35" s="36">
        <f t="shared" si="17"/>
        <v>0.5287</v>
      </c>
      <c r="AD35" s="37">
        <f t="shared" si="18"/>
        <v>37.26695885</v>
      </c>
      <c r="AE35" s="38">
        <f t="shared" si="19"/>
        <v>27997018820</v>
      </c>
      <c r="AF35" s="39" t="str">
        <f t="shared" si="20"/>
        <v>Subiu</v>
      </c>
      <c r="AG35" s="24" t="str">
        <f>VLOOKUP(A35,TICKER!A:B,2,0)</f>
        <v>Banco do Brasil</v>
      </c>
      <c r="AH35" s="24" t="str">
        <f>VLOOKUP(AG35,SEGMENTO!A:B,2,0)</f>
        <v>Banco</v>
      </c>
      <c r="AI35" s="24">
        <f>VLOOKUP(AG35,SEGMENTO!A:C,3,0)</f>
        <v>213</v>
      </c>
      <c r="AJ35" s="24" t="str">
        <f t="shared" si="21"/>
        <v>+100 anos</v>
      </c>
    </row>
    <row r="36">
      <c r="A36" s="21" t="s">
        <v>96</v>
      </c>
      <c r="B36" s="22" t="s">
        <v>28</v>
      </c>
      <c r="C36" s="23">
        <v>26.16</v>
      </c>
      <c r="D36" s="22">
        <v>0.61</v>
      </c>
      <c r="E36" s="22">
        <v>-2.75</v>
      </c>
      <c r="F36" s="22">
        <v>-11.02</v>
      </c>
      <c r="G36" s="22">
        <v>-11.02</v>
      </c>
      <c r="H36" s="22">
        <v>10.07</v>
      </c>
      <c r="I36" s="22">
        <v>25.87</v>
      </c>
      <c r="J36" s="22">
        <v>26.38</v>
      </c>
      <c r="K36" s="21" t="s">
        <v>97</v>
      </c>
      <c r="L36" s="24">
        <f t="shared" si="1"/>
        <v>0.0061</v>
      </c>
      <c r="M36" s="25">
        <f t="shared" si="2"/>
        <v>26.00139151</v>
      </c>
      <c r="N36" s="26">
        <f>vlookup(A36,'TOTAL_AÇÕES'!A:B,2,0)</f>
        <v>1275798515</v>
      </c>
      <c r="O36" s="27">
        <f t="shared" si="3"/>
        <v>202352473.7</v>
      </c>
      <c r="P36" s="28" t="str">
        <f t="shared" si="4"/>
        <v>Subiu</v>
      </c>
      <c r="Q36" s="29">
        <f t="shared" si="5"/>
        <v>-0.0275</v>
      </c>
      <c r="R36" s="30">
        <f t="shared" si="6"/>
        <v>26.89974293</v>
      </c>
      <c r="S36" s="27">
        <f t="shared" si="7"/>
        <v>-8962910182</v>
      </c>
      <c r="T36" s="31" t="str">
        <f t="shared" si="8"/>
        <v>Desceu</v>
      </c>
      <c r="U36" s="32">
        <f t="shared" si="9"/>
        <v>-0.1102</v>
      </c>
      <c r="V36" s="33">
        <f t="shared" si="10"/>
        <v>29.39986514</v>
      </c>
      <c r="W36" s="34">
        <f t="shared" si="11"/>
        <v>-4133415132</v>
      </c>
      <c r="X36" s="35" t="str">
        <f t="shared" si="12"/>
        <v>Desceu</v>
      </c>
      <c r="Y36" s="36">
        <f t="shared" si="13"/>
        <v>-0.1102</v>
      </c>
      <c r="Z36" s="37">
        <f t="shared" si="14"/>
        <v>29.39986514</v>
      </c>
      <c r="AA36" s="38">
        <f t="shared" si="15"/>
        <v>-4133415132</v>
      </c>
      <c r="AB36" s="39" t="str">
        <f t="shared" si="16"/>
        <v>Desceu</v>
      </c>
      <c r="AC36" s="36">
        <f t="shared" si="17"/>
        <v>0.1007</v>
      </c>
      <c r="AD36" s="37">
        <f t="shared" si="18"/>
        <v>23.76669392</v>
      </c>
      <c r="AE36" s="38">
        <f t="shared" si="19"/>
        <v>3053376340</v>
      </c>
      <c r="AF36" s="39" t="str">
        <f t="shared" si="20"/>
        <v>Subiu</v>
      </c>
      <c r="AG36" s="24" t="str">
        <f>VLOOKUP(A36,TICKER!A:B,2,0)</f>
        <v>RaiaDrogasil</v>
      </c>
      <c r="AH36" s="24" t="str">
        <f>VLOOKUP(AG36,SEGMENTO!A:B,2,0)</f>
        <v>Varejo</v>
      </c>
      <c r="AI36" s="24">
        <f>VLOOKUP(AG36,SEGMENTO!A:C,3,0)</f>
        <v>117</v>
      </c>
      <c r="AJ36" s="24" t="str">
        <f t="shared" si="21"/>
        <v>+100 anos</v>
      </c>
    </row>
    <row r="37">
      <c r="A37" s="40" t="s">
        <v>98</v>
      </c>
      <c r="B37" s="41" t="s">
        <v>28</v>
      </c>
      <c r="C37" s="42">
        <v>10.08</v>
      </c>
      <c r="D37" s="41">
        <v>0.59</v>
      </c>
      <c r="E37" s="41">
        <v>3.28</v>
      </c>
      <c r="F37" s="41">
        <v>-7.18</v>
      </c>
      <c r="G37" s="41">
        <v>-7.18</v>
      </c>
      <c r="H37" s="41">
        <v>-21.14</v>
      </c>
      <c r="I37" s="41">
        <v>10.03</v>
      </c>
      <c r="J37" s="41">
        <v>10.14</v>
      </c>
      <c r="K37" s="40" t="s">
        <v>99</v>
      </c>
      <c r="L37" s="24">
        <f t="shared" si="1"/>
        <v>0.0059</v>
      </c>
      <c r="M37" s="25">
        <f t="shared" si="2"/>
        <v>10.02087683</v>
      </c>
      <c r="N37" s="26">
        <f>vlookup(A37,'TOTAL_AÇÕES'!A:B,2,0)</f>
        <v>660411219</v>
      </c>
      <c r="O37" s="27">
        <f t="shared" si="3"/>
        <v>39045606.94</v>
      </c>
      <c r="P37" s="28" t="str">
        <f t="shared" si="4"/>
        <v>Subiu</v>
      </c>
      <c r="Q37" s="29">
        <f t="shared" si="5"/>
        <v>0.0328</v>
      </c>
      <c r="R37" s="30">
        <f t="shared" si="6"/>
        <v>9.759876065</v>
      </c>
      <c r="S37" s="27">
        <f t="shared" si="7"/>
        <v>-133866680.6</v>
      </c>
      <c r="T37" s="31" t="str">
        <f t="shared" si="8"/>
        <v>Desceu</v>
      </c>
      <c r="U37" s="32">
        <f t="shared" si="9"/>
        <v>-0.0718</v>
      </c>
      <c r="V37" s="33">
        <f t="shared" si="10"/>
        <v>10.85972851</v>
      </c>
      <c r="W37" s="34">
        <f t="shared" si="11"/>
        <v>-514941453.7</v>
      </c>
      <c r="X37" s="35" t="str">
        <f t="shared" si="12"/>
        <v>Desceu</v>
      </c>
      <c r="Y37" s="36">
        <f t="shared" si="13"/>
        <v>-0.0718</v>
      </c>
      <c r="Z37" s="37">
        <f t="shared" si="14"/>
        <v>10.85972851</v>
      </c>
      <c r="AA37" s="38">
        <f t="shared" si="15"/>
        <v>-514941453.7</v>
      </c>
      <c r="AB37" s="39" t="str">
        <f t="shared" si="16"/>
        <v>Desceu</v>
      </c>
      <c r="AC37" s="36">
        <f t="shared" si="17"/>
        <v>-0.2114</v>
      </c>
      <c r="AD37" s="37">
        <f t="shared" si="18"/>
        <v>12.78214557</v>
      </c>
      <c r="AE37" s="38">
        <f t="shared" si="19"/>
        <v>-1784527253</v>
      </c>
      <c r="AF37" s="39" t="str">
        <f t="shared" si="20"/>
        <v>Desceu</v>
      </c>
      <c r="AG37" s="24" t="str">
        <f>VLOOKUP(A37,TICKER!A:B,2,0)</f>
        <v>Metalúrgica Gerdau</v>
      </c>
      <c r="AH37" s="24" t="str">
        <f>VLOOKUP(AG37,SEGMENTO!A:B,2,0)</f>
        <v>Siderurgia</v>
      </c>
      <c r="AI37" s="24">
        <f>VLOOKUP(AG37,SEGMENTO!A:C,3,0)</f>
        <v>121</v>
      </c>
      <c r="AJ37" s="24" t="str">
        <f t="shared" si="21"/>
        <v>+100 anos</v>
      </c>
    </row>
    <row r="38">
      <c r="A38" s="21" t="s">
        <v>100</v>
      </c>
      <c r="B38" s="22" t="s">
        <v>28</v>
      </c>
      <c r="C38" s="23">
        <v>18.57</v>
      </c>
      <c r="D38" s="22">
        <v>0.59</v>
      </c>
      <c r="E38" s="22">
        <v>2.65</v>
      </c>
      <c r="F38" s="22">
        <v>-4.08</v>
      </c>
      <c r="G38" s="22">
        <v>-4.08</v>
      </c>
      <c r="H38" s="22">
        <v>13.35</v>
      </c>
      <c r="I38" s="22">
        <v>18.3</v>
      </c>
      <c r="J38" s="22">
        <v>18.66</v>
      </c>
      <c r="K38" s="21" t="s">
        <v>101</v>
      </c>
      <c r="L38" s="24">
        <f t="shared" si="1"/>
        <v>0.0059</v>
      </c>
      <c r="M38" s="25">
        <f t="shared" si="2"/>
        <v>18.46107963</v>
      </c>
      <c r="N38" s="26">
        <f>vlookup(A38,'TOTAL_AÇÕES'!A:B,2,0)</f>
        <v>1168097881</v>
      </c>
      <c r="O38" s="27">
        <f t="shared" si="3"/>
        <v>127229653.2</v>
      </c>
      <c r="P38" s="28" t="str">
        <f t="shared" si="4"/>
        <v>Subiu</v>
      </c>
      <c r="Q38" s="29">
        <f t="shared" si="5"/>
        <v>0.0265</v>
      </c>
      <c r="R38" s="30">
        <f t="shared" si="6"/>
        <v>18.09059912</v>
      </c>
      <c r="S38" s="27">
        <f t="shared" si="7"/>
        <v>-4425167007</v>
      </c>
      <c r="T38" s="31" t="str">
        <f t="shared" si="8"/>
        <v>Desceu</v>
      </c>
      <c r="U38" s="32">
        <f t="shared" si="9"/>
        <v>-0.0408</v>
      </c>
      <c r="V38" s="33">
        <f t="shared" si="10"/>
        <v>19.35988324</v>
      </c>
      <c r="W38" s="34">
        <f t="shared" si="11"/>
        <v>-922660934.2</v>
      </c>
      <c r="X38" s="35" t="str">
        <f t="shared" si="12"/>
        <v>Desceu</v>
      </c>
      <c r="Y38" s="36">
        <f t="shared" si="13"/>
        <v>-0.0408</v>
      </c>
      <c r="Z38" s="37">
        <f t="shared" si="14"/>
        <v>19.35988324</v>
      </c>
      <c r="AA38" s="38">
        <f t="shared" si="15"/>
        <v>-922660934.2</v>
      </c>
      <c r="AB38" s="39" t="str">
        <f t="shared" si="16"/>
        <v>Desceu</v>
      </c>
      <c r="AC38" s="36">
        <f t="shared" si="17"/>
        <v>0.1335</v>
      </c>
      <c r="AD38" s="37">
        <f t="shared" si="18"/>
        <v>16.38288487</v>
      </c>
      <c r="AE38" s="38">
        <f t="shared" si="19"/>
        <v>2554764549</v>
      </c>
      <c r="AF38" s="39" t="str">
        <f t="shared" si="20"/>
        <v>Subiu</v>
      </c>
      <c r="AG38" s="24" t="str">
        <f>VLOOKUP(A38,TICKER!A:B,2,0)</f>
        <v>Cosan</v>
      </c>
      <c r="AH38" s="24" t="str">
        <f>VLOOKUP(AG38,SEGMENTO!A:B,2,0)</f>
        <v>Energia</v>
      </c>
      <c r="AI38" s="24">
        <f>VLOOKUP(AG38,SEGMENTO!A:C,3,0)</f>
        <v>84</v>
      </c>
      <c r="AJ38" s="24" t="str">
        <f t="shared" si="21"/>
        <v>Entre 50 e 100 anos</v>
      </c>
    </row>
    <row r="39">
      <c r="A39" s="40" t="s">
        <v>102</v>
      </c>
      <c r="B39" s="41" t="s">
        <v>28</v>
      </c>
      <c r="C39" s="42">
        <v>24.34</v>
      </c>
      <c r="D39" s="41">
        <v>0.57</v>
      </c>
      <c r="E39" s="41">
        <v>2.48</v>
      </c>
      <c r="F39" s="41">
        <v>-2.29</v>
      </c>
      <c r="G39" s="41">
        <v>-2.29</v>
      </c>
      <c r="H39" s="41">
        <v>17.29</v>
      </c>
      <c r="I39" s="41">
        <v>24.17</v>
      </c>
      <c r="J39" s="41">
        <v>24.56</v>
      </c>
      <c r="K39" s="40" t="s">
        <v>103</v>
      </c>
      <c r="L39" s="24">
        <f t="shared" si="1"/>
        <v>0.0057</v>
      </c>
      <c r="M39" s="25">
        <f t="shared" si="2"/>
        <v>24.20204832</v>
      </c>
      <c r="N39" s="26">
        <f>vlookup(A39,'TOTAL_AÇÕES'!A:B,2,0)</f>
        <v>1134986472</v>
      </c>
      <c r="O39" s="27">
        <f t="shared" si="3"/>
        <v>156573285.4</v>
      </c>
      <c r="P39" s="28" t="str">
        <f t="shared" si="4"/>
        <v>Subiu</v>
      </c>
      <c r="Q39" s="29">
        <f t="shared" si="5"/>
        <v>0.0248</v>
      </c>
      <c r="R39" s="30">
        <f t="shared" si="6"/>
        <v>23.7509758</v>
      </c>
      <c r="S39" s="27">
        <f t="shared" si="7"/>
        <v>-7340925473</v>
      </c>
      <c r="T39" s="31" t="str">
        <f t="shared" si="8"/>
        <v>Desceu</v>
      </c>
      <c r="U39" s="32">
        <f t="shared" si="9"/>
        <v>-0.0229</v>
      </c>
      <c r="V39" s="33">
        <f t="shared" si="10"/>
        <v>24.91044929</v>
      </c>
      <c r="W39" s="34">
        <f t="shared" si="11"/>
        <v>-647452225.6</v>
      </c>
      <c r="X39" s="35" t="str">
        <f t="shared" si="12"/>
        <v>Desceu</v>
      </c>
      <c r="Y39" s="36">
        <f t="shared" si="13"/>
        <v>-0.0229</v>
      </c>
      <c r="Z39" s="37">
        <f t="shared" si="14"/>
        <v>24.91044929</v>
      </c>
      <c r="AA39" s="38">
        <f t="shared" si="15"/>
        <v>-647452225.6</v>
      </c>
      <c r="AB39" s="39" t="str">
        <f t="shared" si="16"/>
        <v>Desceu</v>
      </c>
      <c r="AC39" s="36">
        <f t="shared" si="17"/>
        <v>0.1729</v>
      </c>
      <c r="AD39" s="37">
        <f t="shared" si="18"/>
        <v>20.75198227</v>
      </c>
      <c r="AE39" s="38">
        <f t="shared" si="19"/>
        <v>4072351589</v>
      </c>
      <c r="AF39" s="39" t="str">
        <f t="shared" si="20"/>
        <v>Subiu</v>
      </c>
      <c r="AG39" s="24" t="str">
        <f>VLOOKUP(A39,TICKER!A:B,2,0)</f>
        <v>JBS</v>
      </c>
      <c r="AH39" s="24" t="str">
        <f>VLOOKUP(AG39,SEGMENTO!A:B,2,0)</f>
        <v>Alimentos</v>
      </c>
      <c r="AI39" s="24">
        <f>VLOOKUP(AG39,SEGMENTO!A:C,3,0)</f>
        <v>64</v>
      </c>
      <c r="AJ39" s="24" t="str">
        <f t="shared" si="21"/>
        <v>Entre 50 e 100 anos</v>
      </c>
    </row>
    <row r="40">
      <c r="A40" s="21" t="s">
        <v>104</v>
      </c>
      <c r="B40" s="22" t="s">
        <v>28</v>
      </c>
      <c r="C40" s="23">
        <v>2.08</v>
      </c>
      <c r="D40" s="22">
        <v>0.48</v>
      </c>
      <c r="E40" s="22">
        <v>2.46</v>
      </c>
      <c r="F40" s="22">
        <v>-3.7</v>
      </c>
      <c r="G40" s="22">
        <v>-3.7</v>
      </c>
      <c r="H40" s="22">
        <v>-51.4</v>
      </c>
      <c r="I40" s="22">
        <v>2.02</v>
      </c>
      <c r="J40" s="22">
        <v>2.1</v>
      </c>
      <c r="K40" s="21" t="s">
        <v>105</v>
      </c>
      <c r="L40" s="24">
        <f t="shared" si="1"/>
        <v>0.0048</v>
      </c>
      <c r="M40" s="25">
        <f t="shared" si="2"/>
        <v>2.070063694</v>
      </c>
      <c r="N40" s="26">
        <f>vlookup(A40,'TOTAL_AÇÕES'!A:B,2,0)</f>
        <v>2867627068</v>
      </c>
      <c r="O40" s="27">
        <f t="shared" si="3"/>
        <v>28493619.27</v>
      </c>
      <c r="P40" s="28" t="str">
        <f t="shared" si="4"/>
        <v>Subiu</v>
      </c>
      <c r="Q40" s="29">
        <f t="shared" si="5"/>
        <v>0.0246</v>
      </c>
      <c r="R40" s="30">
        <f t="shared" si="6"/>
        <v>2.030060511</v>
      </c>
      <c r="S40" s="27">
        <f t="shared" si="7"/>
        <v>3847895740</v>
      </c>
      <c r="T40" s="31" t="str">
        <f t="shared" si="8"/>
        <v>Subiu</v>
      </c>
      <c r="U40" s="32">
        <f t="shared" si="9"/>
        <v>-0.037</v>
      </c>
      <c r="V40" s="33">
        <f t="shared" si="10"/>
        <v>2.159916926</v>
      </c>
      <c r="W40" s="34">
        <f t="shared" si="11"/>
        <v>-229171941</v>
      </c>
      <c r="X40" s="35" t="str">
        <f t="shared" si="12"/>
        <v>Desceu</v>
      </c>
      <c r="Y40" s="36">
        <f t="shared" si="13"/>
        <v>-0.037</v>
      </c>
      <c r="Z40" s="37">
        <f t="shared" si="14"/>
        <v>2.159916926</v>
      </c>
      <c r="AA40" s="38">
        <f t="shared" si="15"/>
        <v>-229171941</v>
      </c>
      <c r="AB40" s="39" t="str">
        <f t="shared" si="16"/>
        <v>Desceu</v>
      </c>
      <c r="AC40" s="36">
        <f t="shared" si="17"/>
        <v>-0.514</v>
      </c>
      <c r="AD40" s="37">
        <f t="shared" si="18"/>
        <v>4.279835391</v>
      </c>
      <c r="AE40" s="38">
        <f t="shared" si="19"/>
        <v>-6308307512</v>
      </c>
      <c r="AF40" s="39" t="str">
        <f t="shared" si="20"/>
        <v>Desceu</v>
      </c>
      <c r="AG40" s="24" t="str">
        <f>VLOOKUP(A40,TICKER!A:B,2,0)</f>
        <v>Magazine Luiza</v>
      </c>
      <c r="AH40" s="24" t="str">
        <f>VLOOKUP(AG40,SEGMENTO!A:B,2,0)</f>
        <v>Varejo</v>
      </c>
      <c r="AI40" s="24">
        <f>VLOOKUP(AG40,SEGMENTO!A:C,3,0)</f>
        <v>64</v>
      </c>
      <c r="AJ40" s="24" t="str">
        <f t="shared" si="21"/>
        <v>Entre 50 e 100 anos</v>
      </c>
    </row>
    <row r="41">
      <c r="A41" s="40" t="s">
        <v>106</v>
      </c>
      <c r="B41" s="41" t="s">
        <v>28</v>
      </c>
      <c r="C41" s="42">
        <v>13.75</v>
      </c>
      <c r="D41" s="41">
        <v>0.36</v>
      </c>
      <c r="E41" s="41">
        <v>-0.72</v>
      </c>
      <c r="F41" s="41">
        <v>-9.95</v>
      </c>
      <c r="G41" s="41">
        <v>-9.95</v>
      </c>
      <c r="H41" s="41">
        <v>15.78</v>
      </c>
      <c r="I41" s="41">
        <v>13.67</v>
      </c>
      <c r="J41" s="41">
        <v>13.9</v>
      </c>
      <c r="K41" s="40" t="s">
        <v>107</v>
      </c>
      <c r="L41" s="24">
        <f t="shared" si="1"/>
        <v>0.0036</v>
      </c>
      <c r="M41" s="25">
        <f t="shared" si="2"/>
        <v>13.70067756</v>
      </c>
      <c r="N41" s="26">
        <f>vlookup(A41,'TOTAL_AÇÕES'!A:B,2,0)</f>
        <v>1500728902</v>
      </c>
      <c r="O41" s="27">
        <f t="shared" si="3"/>
        <v>74019610.05</v>
      </c>
      <c r="P41" s="28" t="str">
        <f t="shared" si="4"/>
        <v>Subiu</v>
      </c>
      <c r="Q41" s="29">
        <f t="shared" si="5"/>
        <v>-0.0072</v>
      </c>
      <c r="R41" s="30">
        <f t="shared" si="6"/>
        <v>13.84971797</v>
      </c>
      <c r="S41" s="27">
        <f t="shared" si="7"/>
        <v>-2240615372</v>
      </c>
      <c r="T41" s="31" t="str">
        <f t="shared" si="8"/>
        <v>Desceu</v>
      </c>
      <c r="U41" s="32">
        <f t="shared" si="9"/>
        <v>-0.0995</v>
      </c>
      <c r="V41" s="33">
        <f t="shared" si="10"/>
        <v>15.26929484</v>
      </c>
      <c r="W41" s="34">
        <f t="shared" si="11"/>
        <v>-2280049671</v>
      </c>
      <c r="X41" s="35" t="str">
        <f t="shared" si="12"/>
        <v>Desceu</v>
      </c>
      <c r="Y41" s="36">
        <f t="shared" si="13"/>
        <v>-0.0995</v>
      </c>
      <c r="Z41" s="37">
        <f t="shared" si="14"/>
        <v>15.26929484</v>
      </c>
      <c r="AA41" s="38">
        <f t="shared" si="15"/>
        <v>-2280049671</v>
      </c>
      <c r="AB41" s="39" t="str">
        <f t="shared" si="16"/>
        <v>Desceu</v>
      </c>
      <c r="AC41" s="36">
        <f t="shared" si="17"/>
        <v>0.1578</v>
      </c>
      <c r="AD41" s="37">
        <f t="shared" si="18"/>
        <v>11.87597167</v>
      </c>
      <c r="AE41" s="38">
        <f t="shared" si="19"/>
        <v>2812408477</v>
      </c>
      <c r="AF41" s="39" t="str">
        <f t="shared" si="20"/>
        <v>Subiu</v>
      </c>
      <c r="AG41" s="24" t="str">
        <f>VLOOKUP(A41,TICKER!A:B,2,0)</f>
        <v>Banco Bradesco</v>
      </c>
      <c r="AH41" s="24" t="str">
        <f>VLOOKUP(AG41,SEGMENTO!A:B,2,0)</f>
        <v>Banco</v>
      </c>
      <c r="AI41" s="24">
        <f>VLOOKUP(AG41,SEGMENTO!A:C,3,0)</f>
        <v>78</v>
      </c>
      <c r="AJ41" s="24" t="str">
        <f t="shared" si="21"/>
        <v>Entre 50 e 100 anos</v>
      </c>
    </row>
    <row r="42">
      <c r="A42" s="21" t="s">
        <v>108</v>
      </c>
      <c r="B42" s="22" t="s">
        <v>28</v>
      </c>
      <c r="C42" s="23">
        <v>21.84</v>
      </c>
      <c r="D42" s="22">
        <v>0.27</v>
      </c>
      <c r="E42" s="22">
        <v>3.65</v>
      </c>
      <c r="F42" s="22">
        <v>-8.08</v>
      </c>
      <c r="G42" s="22">
        <v>-8.08</v>
      </c>
      <c r="H42" s="22">
        <v>-26.1</v>
      </c>
      <c r="I42" s="22">
        <v>21.7</v>
      </c>
      <c r="J42" s="22">
        <v>21.94</v>
      </c>
      <c r="K42" s="21" t="s">
        <v>109</v>
      </c>
      <c r="L42" s="24">
        <f t="shared" si="1"/>
        <v>0.0027</v>
      </c>
      <c r="M42" s="25">
        <f t="shared" si="2"/>
        <v>21.78119078</v>
      </c>
      <c r="N42" s="26">
        <f>vlookup(A42,'TOTAL_AÇÕES'!A:B,2,0)</f>
        <v>1118525506</v>
      </c>
      <c r="O42" s="27">
        <f t="shared" si="3"/>
        <v>65779607.1</v>
      </c>
      <c r="P42" s="28" t="str">
        <f t="shared" si="4"/>
        <v>Subiu</v>
      </c>
      <c r="Q42" s="29">
        <f t="shared" si="5"/>
        <v>0.0365</v>
      </c>
      <c r="R42" s="30">
        <f t="shared" si="6"/>
        <v>21.07091172</v>
      </c>
      <c r="S42" s="27">
        <f t="shared" si="7"/>
        <v>-5960377858</v>
      </c>
      <c r="T42" s="31" t="str">
        <f t="shared" si="8"/>
        <v>Desceu</v>
      </c>
      <c r="U42" s="32">
        <f t="shared" si="9"/>
        <v>-0.0808</v>
      </c>
      <c r="V42" s="33">
        <f t="shared" si="10"/>
        <v>23.75979112</v>
      </c>
      <c r="W42" s="34">
        <f t="shared" si="11"/>
        <v>-2147335337</v>
      </c>
      <c r="X42" s="35" t="str">
        <f t="shared" si="12"/>
        <v>Desceu</v>
      </c>
      <c r="Y42" s="36">
        <f t="shared" si="13"/>
        <v>-0.0808</v>
      </c>
      <c r="Z42" s="37">
        <f t="shared" si="14"/>
        <v>23.75979112</v>
      </c>
      <c r="AA42" s="38">
        <f t="shared" si="15"/>
        <v>-2147335337</v>
      </c>
      <c r="AB42" s="39" t="str">
        <f t="shared" si="16"/>
        <v>Desceu</v>
      </c>
      <c r="AC42" s="36">
        <f t="shared" si="17"/>
        <v>-0.261</v>
      </c>
      <c r="AD42" s="37">
        <f t="shared" si="18"/>
        <v>29.55345061</v>
      </c>
      <c r="AE42" s="38">
        <f t="shared" si="19"/>
        <v>-8627691245</v>
      </c>
      <c r="AF42" s="39" t="str">
        <f t="shared" si="20"/>
        <v>Desceu</v>
      </c>
      <c r="AG42" s="24" t="str">
        <f>VLOOKUP(A42,TICKER!A:B,2,0)</f>
        <v>Gerdau</v>
      </c>
      <c r="AH42" s="24" t="str">
        <f>VLOOKUP(AG42,SEGMENTO!A:B,2,0)</f>
        <v>Siderurgia</v>
      </c>
      <c r="AI42" s="24">
        <f>VLOOKUP(AG42,SEGMENTO!A:C,3,0)</f>
        <v>121</v>
      </c>
      <c r="AJ42" s="24" t="str">
        <f t="shared" si="21"/>
        <v>+100 anos</v>
      </c>
    </row>
    <row r="43">
      <c r="A43" s="40" t="s">
        <v>110</v>
      </c>
      <c r="B43" s="41" t="s">
        <v>28</v>
      </c>
      <c r="C43" s="42">
        <v>3.74</v>
      </c>
      <c r="D43" s="41">
        <v>0.26</v>
      </c>
      <c r="E43" s="41">
        <v>0.0</v>
      </c>
      <c r="F43" s="41">
        <v>-7.2</v>
      </c>
      <c r="G43" s="41">
        <v>-7.2</v>
      </c>
      <c r="H43" s="41">
        <v>15.46</v>
      </c>
      <c r="I43" s="41">
        <v>3.71</v>
      </c>
      <c r="J43" s="41">
        <v>3.78</v>
      </c>
      <c r="K43" s="40" t="s">
        <v>111</v>
      </c>
      <c r="L43" s="24">
        <f t="shared" si="1"/>
        <v>0.0026</v>
      </c>
      <c r="M43" s="25">
        <f t="shared" si="2"/>
        <v>3.730301217</v>
      </c>
      <c r="N43" s="26">
        <f>vlookup(A43,'TOTAL_AÇÕES'!A:B,2,0)</f>
        <v>1193047233</v>
      </c>
      <c r="O43" s="27">
        <f t="shared" si="3"/>
        <v>11571106.42</v>
      </c>
      <c r="P43" s="28" t="str">
        <f t="shared" si="4"/>
        <v>Subiu</v>
      </c>
      <c r="Q43" s="29">
        <f t="shared" si="5"/>
        <v>0</v>
      </c>
      <c r="R43" s="30">
        <f t="shared" si="6"/>
        <v>3.74</v>
      </c>
      <c r="S43" s="27">
        <f t="shared" si="7"/>
        <v>2967076172</v>
      </c>
      <c r="T43" s="31" t="str">
        <f t="shared" si="8"/>
        <v>Subiu</v>
      </c>
      <c r="U43" s="32">
        <f t="shared" si="9"/>
        <v>-0.072</v>
      </c>
      <c r="V43" s="33">
        <f t="shared" si="10"/>
        <v>4.030172414</v>
      </c>
      <c r="W43" s="34">
        <f t="shared" si="11"/>
        <v>-346189395.4</v>
      </c>
      <c r="X43" s="35" t="str">
        <f t="shared" si="12"/>
        <v>Desceu</v>
      </c>
      <c r="Y43" s="36">
        <f t="shared" si="13"/>
        <v>-0.072</v>
      </c>
      <c r="Z43" s="37">
        <f t="shared" si="14"/>
        <v>4.030172414</v>
      </c>
      <c r="AA43" s="38">
        <f t="shared" si="15"/>
        <v>-346189395.4</v>
      </c>
      <c r="AB43" s="39" t="str">
        <f t="shared" si="16"/>
        <v>Desceu</v>
      </c>
      <c r="AC43" s="36">
        <f t="shared" si="17"/>
        <v>0.1546</v>
      </c>
      <c r="AD43" s="37">
        <f t="shared" si="18"/>
        <v>3.239217045</v>
      </c>
      <c r="AE43" s="38">
        <f t="shared" si="19"/>
        <v>597457719</v>
      </c>
      <c r="AF43" s="39" t="str">
        <f t="shared" si="20"/>
        <v>Subiu</v>
      </c>
      <c r="AG43" s="24" t="str">
        <f>VLOOKUP(A43,TICKER!A:B,2,0)</f>
        <v>Raízen</v>
      </c>
      <c r="AH43" s="24" t="str">
        <f>VLOOKUP(AG43,SEGMENTO!A:B,2,0)</f>
        <v>Energia</v>
      </c>
      <c r="AI43" s="24">
        <f>VLOOKUP(AG43,SEGMENTO!A:C,3,0)</f>
        <v>8</v>
      </c>
      <c r="AJ43" s="24" t="str">
        <f t="shared" si="21"/>
        <v>-50 anos</v>
      </c>
    </row>
    <row r="44">
      <c r="A44" s="21" t="s">
        <v>112</v>
      </c>
      <c r="B44" s="22" t="s">
        <v>28</v>
      </c>
      <c r="C44" s="23">
        <v>10.07</v>
      </c>
      <c r="D44" s="22">
        <v>0.19</v>
      </c>
      <c r="E44" s="22">
        <v>0.9</v>
      </c>
      <c r="F44" s="22">
        <v>-2.8</v>
      </c>
      <c r="G44" s="22">
        <v>-2.8</v>
      </c>
      <c r="H44" s="22">
        <v>32.08</v>
      </c>
      <c r="I44" s="22">
        <v>9.96</v>
      </c>
      <c r="J44" s="22">
        <v>10.13</v>
      </c>
      <c r="K44" s="21" t="s">
        <v>113</v>
      </c>
      <c r="L44" s="24">
        <f t="shared" si="1"/>
        <v>0.0019</v>
      </c>
      <c r="M44" s="25">
        <f t="shared" si="2"/>
        <v>10.05090328</v>
      </c>
      <c r="N44" s="26">
        <f>vlookup(A44,'TOTAL_AÇÕES'!A:B,2,0)</f>
        <v>1679335290</v>
      </c>
      <c r="O44" s="27">
        <f t="shared" si="3"/>
        <v>32069789.5</v>
      </c>
      <c r="P44" s="28" t="str">
        <f t="shared" si="4"/>
        <v>Subiu</v>
      </c>
      <c r="Q44" s="29">
        <f t="shared" si="5"/>
        <v>0.009</v>
      </c>
      <c r="R44" s="30">
        <f t="shared" si="6"/>
        <v>9.980178394</v>
      </c>
      <c r="S44" s="27">
        <f t="shared" si="7"/>
        <v>-247348241.8</v>
      </c>
      <c r="T44" s="31" t="str">
        <f t="shared" si="8"/>
        <v>Desceu</v>
      </c>
      <c r="U44" s="32">
        <f t="shared" si="9"/>
        <v>-0.028</v>
      </c>
      <c r="V44" s="33">
        <f t="shared" si="10"/>
        <v>10.3600823</v>
      </c>
      <c r="W44" s="34">
        <f t="shared" si="11"/>
        <v>-487145451</v>
      </c>
      <c r="X44" s="35" t="str">
        <f t="shared" si="12"/>
        <v>Desceu</v>
      </c>
      <c r="Y44" s="36">
        <f t="shared" si="13"/>
        <v>-0.028</v>
      </c>
      <c r="Z44" s="37">
        <f t="shared" si="14"/>
        <v>10.3600823</v>
      </c>
      <c r="AA44" s="38">
        <f t="shared" si="15"/>
        <v>-487145451</v>
      </c>
      <c r="AB44" s="39" t="str">
        <f t="shared" si="16"/>
        <v>Desceu</v>
      </c>
      <c r="AC44" s="36">
        <f t="shared" si="17"/>
        <v>0.3208</v>
      </c>
      <c r="AD44" s="37">
        <f t="shared" si="18"/>
        <v>7.624167171</v>
      </c>
      <c r="AE44" s="38">
        <f t="shared" si="19"/>
        <v>4107373382</v>
      </c>
      <c r="AF44" s="39" t="str">
        <f t="shared" si="20"/>
        <v>Subiu</v>
      </c>
      <c r="AG44" s="24" t="str">
        <f>VLOOKUP(A44,TICKER!A:B,2,0)</f>
        <v>Copel</v>
      </c>
      <c r="AH44" s="24" t="str">
        <f>VLOOKUP(AG44,SEGMENTO!A:B,2,0)</f>
        <v>Energia</v>
      </c>
      <c r="AI44" s="24">
        <f>VLOOKUP(AG44,SEGMENTO!A:C,3,0)</f>
        <v>67</v>
      </c>
      <c r="AJ44" s="24" t="str">
        <f t="shared" si="21"/>
        <v>Entre 50 e 100 anos</v>
      </c>
    </row>
    <row r="45">
      <c r="A45" s="40" t="s">
        <v>114</v>
      </c>
      <c r="B45" s="41" t="s">
        <v>28</v>
      </c>
      <c r="C45" s="42">
        <v>8.18</v>
      </c>
      <c r="D45" s="41">
        <v>0.12</v>
      </c>
      <c r="E45" s="41">
        <v>-3.76</v>
      </c>
      <c r="F45" s="41">
        <v>-18.77</v>
      </c>
      <c r="G45" s="41">
        <v>-18.77</v>
      </c>
      <c r="H45" s="41">
        <v>-40.74</v>
      </c>
      <c r="I45" s="41">
        <v>8.11</v>
      </c>
      <c r="J45" s="41">
        <v>8.27</v>
      </c>
      <c r="K45" s="40" t="s">
        <v>115</v>
      </c>
      <c r="L45" s="24">
        <f t="shared" si="1"/>
        <v>0.0012</v>
      </c>
      <c r="M45" s="25">
        <f t="shared" si="2"/>
        <v>8.170195765</v>
      </c>
      <c r="N45" s="26">
        <f>vlookup(A45,'TOTAL_AÇÕES'!A:B,2,0)</f>
        <v>421383330</v>
      </c>
      <c r="O45" s="27">
        <f t="shared" si="3"/>
        <v>4131341.158</v>
      </c>
      <c r="P45" s="28" t="str">
        <f t="shared" si="4"/>
        <v>Subiu</v>
      </c>
      <c r="Q45" s="29">
        <f t="shared" si="5"/>
        <v>-0.0376</v>
      </c>
      <c r="R45" s="30">
        <f t="shared" si="6"/>
        <v>8.499584372</v>
      </c>
      <c r="S45" s="27">
        <f t="shared" si="7"/>
        <v>515331488</v>
      </c>
      <c r="T45" s="31" t="str">
        <f t="shared" si="8"/>
        <v>Subiu</v>
      </c>
      <c r="U45" s="32">
        <f t="shared" si="9"/>
        <v>-0.1877</v>
      </c>
      <c r="V45" s="33">
        <f t="shared" si="10"/>
        <v>10.07017112</v>
      </c>
      <c r="W45" s="34">
        <f t="shared" si="11"/>
        <v>-796486600.4</v>
      </c>
      <c r="X45" s="35" t="str">
        <f t="shared" si="12"/>
        <v>Desceu</v>
      </c>
      <c r="Y45" s="36">
        <f t="shared" si="13"/>
        <v>-0.1877</v>
      </c>
      <c r="Z45" s="37">
        <f t="shared" si="14"/>
        <v>10.07017112</v>
      </c>
      <c r="AA45" s="38">
        <f t="shared" si="15"/>
        <v>-796486600.4</v>
      </c>
      <c r="AB45" s="39" t="str">
        <f t="shared" si="16"/>
        <v>Desceu</v>
      </c>
      <c r="AC45" s="36">
        <f t="shared" si="17"/>
        <v>-0.4074</v>
      </c>
      <c r="AD45" s="37">
        <f t="shared" si="18"/>
        <v>13.80357746</v>
      </c>
      <c r="AE45" s="38">
        <f t="shared" si="19"/>
        <v>-2369681795</v>
      </c>
      <c r="AF45" s="39" t="str">
        <f t="shared" si="20"/>
        <v>Desceu</v>
      </c>
      <c r="AG45" s="24" t="str">
        <f>VLOOKUP(A45,TICKER!A:B,2,0)</f>
        <v>Grupo Vamos</v>
      </c>
      <c r="AH45" s="24" t="str">
        <f>VLOOKUP(AG45,SEGMENTO!A:B,2,0)</f>
        <v>Logística</v>
      </c>
      <c r="AI45" s="24">
        <f>VLOOKUP(AG45,SEGMENTO!A:C,3,0)</f>
        <v>57</v>
      </c>
      <c r="AJ45" s="24" t="str">
        <f t="shared" si="21"/>
        <v>Entre 50 e 100 anos</v>
      </c>
    </row>
    <row r="46">
      <c r="A46" s="21" t="s">
        <v>116</v>
      </c>
      <c r="B46" s="22" t="s">
        <v>28</v>
      </c>
      <c r="C46" s="23">
        <v>9.74</v>
      </c>
      <c r="D46" s="22">
        <v>0.0</v>
      </c>
      <c r="E46" s="22">
        <v>5.3</v>
      </c>
      <c r="F46" s="22">
        <v>0.41</v>
      </c>
      <c r="G46" s="22">
        <v>0.41</v>
      </c>
      <c r="H46" s="22">
        <v>17.99</v>
      </c>
      <c r="I46" s="22">
        <v>9.61</v>
      </c>
      <c r="J46" s="22">
        <v>9.86</v>
      </c>
      <c r="K46" s="21" t="s">
        <v>117</v>
      </c>
      <c r="L46" s="24">
        <f t="shared" si="1"/>
        <v>0</v>
      </c>
      <c r="M46" s="25">
        <f t="shared" si="2"/>
        <v>9.74</v>
      </c>
      <c r="N46" s="26">
        <f>vlookup(A46,'TOTAL_AÇÕES'!A:B,2,0)</f>
        <v>331799687</v>
      </c>
      <c r="O46" s="27">
        <f t="shared" si="3"/>
        <v>0</v>
      </c>
      <c r="P46" s="28" t="str">
        <f t="shared" si="4"/>
        <v>Estável</v>
      </c>
      <c r="Q46" s="29">
        <f t="shared" si="5"/>
        <v>0.053</v>
      </c>
      <c r="R46" s="30">
        <f t="shared" si="6"/>
        <v>9.249762583</v>
      </c>
      <c r="S46" s="27">
        <f t="shared" si="7"/>
        <v>128901645.3</v>
      </c>
      <c r="T46" s="31" t="str">
        <f t="shared" si="8"/>
        <v>Subiu</v>
      </c>
      <c r="U46" s="32">
        <f t="shared" si="9"/>
        <v>0.0041</v>
      </c>
      <c r="V46" s="33">
        <f t="shared" si="10"/>
        <v>9.700229061</v>
      </c>
      <c r="W46" s="34">
        <f t="shared" si="11"/>
        <v>13195985.16</v>
      </c>
      <c r="X46" s="35" t="str">
        <f t="shared" si="12"/>
        <v>Subiu</v>
      </c>
      <c r="Y46" s="36">
        <f t="shared" si="13"/>
        <v>0.0041</v>
      </c>
      <c r="Z46" s="37">
        <f t="shared" si="14"/>
        <v>9.700229061</v>
      </c>
      <c r="AA46" s="38">
        <f t="shared" si="15"/>
        <v>13195985.16</v>
      </c>
      <c r="AB46" s="39" t="str">
        <f t="shared" si="16"/>
        <v>Subiu</v>
      </c>
      <c r="AC46" s="36">
        <f t="shared" si="17"/>
        <v>0.1799</v>
      </c>
      <c r="AD46" s="37">
        <f t="shared" si="18"/>
        <v>8.254936859</v>
      </c>
      <c r="AE46" s="38">
        <f t="shared" si="19"/>
        <v>492743485.3</v>
      </c>
      <c r="AF46" s="39" t="str">
        <f t="shared" si="20"/>
        <v>Subiu</v>
      </c>
      <c r="AG46" s="24" t="str">
        <f>VLOOKUP(A46,TICKER!A:B,2,0)</f>
        <v>Marfrig</v>
      </c>
      <c r="AH46" s="24" t="str">
        <f>VLOOKUP(AG46,SEGMENTO!A:B,2,0)</f>
        <v>Alimentos</v>
      </c>
      <c r="AI46" s="24">
        <f>VLOOKUP(AG46,SEGMENTO!A:C,3,0)</f>
        <v>16</v>
      </c>
      <c r="AJ46" s="24" t="str">
        <f t="shared" si="21"/>
        <v>-50 anos</v>
      </c>
    </row>
    <row r="47">
      <c r="A47" s="40" t="s">
        <v>118</v>
      </c>
      <c r="B47" s="41" t="s">
        <v>28</v>
      </c>
      <c r="C47" s="42">
        <v>13.2</v>
      </c>
      <c r="D47" s="41">
        <v>0.0</v>
      </c>
      <c r="E47" s="41">
        <v>-1.12</v>
      </c>
      <c r="F47" s="41">
        <v>-3.86</v>
      </c>
      <c r="G47" s="41">
        <v>-3.86</v>
      </c>
      <c r="H47" s="41">
        <v>0.3</v>
      </c>
      <c r="I47" s="41">
        <v>13.15</v>
      </c>
      <c r="J47" s="41">
        <v>13.29</v>
      </c>
      <c r="K47" s="40" t="s">
        <v>119</v>
      </c>
      <c r="L47" s="24">
        <f t="shared" si="1"/>
        <v>0</v>
      </c>
      <c r="M47" s="25">
        <f t="shared" si="2"/>
        <v>13.2</v>
      </c>
      <c r="N47" s="26">
        <f>vlookup(A47,'TOTAL_AÇÕES'!A:B,2,0)</f>
        <v>4394245879</v>
      </c>
      <c r="O47" s="27">
        <f t="shared" si="3"/>
        <v>0</v>
      </c>
      <c r="P47" s="28" t="str">
        <f t="shared" si="4"/>
        <v>Estável</v>
      </c>
      <c r="Q47" s="29">
        <f t="shared" si="5"/>
        <v>-0.0112</v>
      </c>
      <c r="R47" s="30">
        <f t="shared" si="6"/>
        <v>13.34951456</v>
      </c>
      <c r="S47" s="27">
        <f t="shared" si="7"/>
        <v>-1982951898</v>
      </c>
      <c r="T47" s="31" t="str">
        <f t="shared" si="8"/>
        <v>Desceu</v>
      </c>
      <c r="U47" s="32">
        <f t="shared" si="9"/>
        <v>-0.0386</v>
      </c>
      <c r="V47" s="33">
        <f t="shared" si="10"/>
        <v>13.72997712</v>
      </c>
      <c r="W47" s="34">
        <f t="shared" si="11"/>
        <v>-2328849761</v>
      </c>
      <c r="X47" s="35" t="str">
        <f t="shared" si="12"/>
        <v>Desceu</v>
      </c>
      <c r="Y47" s="36">
        <f t="shared" si="13"/>
        <v>-0.0386</v>
      </c>
      <c r="Z47" s="37">
        <f t="shared" si="14"/>
        <v>13.72997712</v>
      </c>
      <c r="AA47" s="38">
        <f t="shared" si="15"/>
        <v>-2328849761</v>
      </c>
      <c r="AB47" s="39" t="str">
        <f t="shared" si="16"/>
        <v>Desceu</v>
      </c>
      <c r="AC47" s="36">
        <f t="shared" si="17"/>
        <v>0.003</v>
      </c>
      <c r="AD47" s="37">
        <f t="shared" si="18"/>
        <v>13.16051844</v>
      </c>
      <c r="AE47" s="38">
        <f t="shared" si="19"/>
        <v>173491661.8</v>
      </c>
      <c r="AF47" s="39" t="str">
        <f t="shared" si="20"/>
        <v>Subiu</v>
      </c>
      <c r="AG47" s="24" t="str">
        <f>VLOOKUP(A47,TICKER!A:B,2,0)</f>
        <v>Ambev</v>
      </c>
      <c r="AH47" s="24" t="str">
        <f>VLOOKUP(AG47,SEGMENTO!A:B,2,0)</f>
        <v>Bebidas</v>
      </c>
      <c r="AI47" s="24">
        <f>VLOOKUP(AG47,SEGMENTO!A:C,3,0)</f>
        <v>32</v>
      </c>
      <c r="AJ47" s="24" t="str">
        <f t="shared" si="21"/>
        <v>-50 anos</v>
      </c>
    </row>
    <row r="48">
      <c r="A48" s="21" t="s">
        <v>120</v>
      </c>
      <c r="B48" s="22" t="s">
        <v>28</v>
      </c>
      <c r="C48" s="23">
        <v>33.73</v>
      </c>
      <c r="D48" s="22">
        <v>-0.02</v>
      </c>
      <c r="E48" s="22">
        <v>-2.37</v>
      </c>
      <c r="F48" s="22">
        <v>0.24</v>
      </c>
      <c r="G48" s="22">
        <v>0.24</v>
      </c>
      <c r="H48" s="22">
        <v>0.91</v>
      </c>
      <c r="I48" s="22">
        <v>33.73</v>
      </c>
      <c r="J48" s="22">
        <v>34.03</v>
      </c>
      <c r="K48" s="21" t="s">
        <v>121</v>
      </c>
      <c r="L48" s="24">
        <f t="shared" si="1"/>
        <v>-0.0002</v>
      </c>
      <c r="M48" s="25">
        <f t="shared" si="2"/>
        <v>33.73674735</v>
      </c>
      <c r="N48" s="26">
        <f>vlookup(A48,'TOTAL_AÇÕES'!A:B,2,0)</f>
        <v>671750768</v>
      </c>
      <c r="O48" s="27">
        <f t="shared" si="3"/>
        <v>-4532537.188</v>
      </c>
      <c r="P48" s="28" t="str">
        <f t="shared" si="4"/>
        <v>Desceu</v>
      </c>
      <c r="Q48" s="29">
        <f t="shared" si="5"/>
        <v>-0.0237</v>
      </c>
      <c r="R48" s="30">
        <f t="shared" si="6"/>
        <v>34.54880672</v>
      </c>
      <c r="S48" s="27">
        <f t="shared" si="7"/>
        <v>-12903075965</v>
      </c>
      <c r="T48" s="31" t="str">
        <f t="shared" si="8"/>
        <v>Desceu</v>
      </c>
      <c r="U48" s="32">
        <f t="shared" si="9"/>
        <v>0.0024</v>
      </c>
      <c r="V48" s="33">
        <f t="shared" si="10"/>
        <v>33.64924182</v>
      </c>
      <c r="W48" s="34">
        <f t="shared" si="11"/>
        <v>54249369.68</v>
      </c>
      <c r="X48" s="35" t="str">
        <f t="shared" si="12"/>
        <v>Subiu</v>
      </c>
      <c r="Y48" s="36">
        <f t="shared" si="13"/>
        <v>0.0024</v>
      </c>
      <c r="Z48" s="37">
        <f t="shared" si="14"/>
        <v>33.64924182</v>
      </c>
      <c r="AA48" s="38">
        <f t="shared" si="15"/>
        <v>54249369.68</v>
      </c>
      <c r="AB48" s="39" t="str">
        <f t="shared" si="16"/>
        <v>Subiu</v>
      </c>
      <c r="AC48" s="36">
        <f t="shared" si="17"/>
        <v>0.0091</v>
      </c>
      <c r="AD48" s="37">
        <f t="shared" si="18"/>
        <v>33.42582499</v>
      </c>
      <c r="AE48" s="38">
        <f t="shared" si="19"/>
        <v>204329794.8</v>
      </c>
      <c r="AF48" s="39" t="str">
        <f t="shared" si="20"/>
        <v>Subiu</v>
      </c>
      <c r="AG48" s="24" t="str">
        <f>VLOOKUP(A48,TICKER!A:B,2,0)</f>
        <v>BB Seguridade</v>
      </c>
      <c r="AH48" s="24" t="str">
        <f>VLOOKUP(AG48,SEGMENTO!A:B,2,0)</f>
        <v>Seguros</v>
      </c>
      <c r="AI48" s="24">
        <f>VLOOKUP(AG48,SEGMENTO!A:C,3,0)</f>
        <v>11</v>
      </c>
      <c r="AJ48" s="24" t="str">
        <f t="shared" si="21"/>
        <v>-50 anos</v>
      </c>
    </row>
    <row r="49">
      <c r="A49" s="40" t="s">
        <v>122</v>
      </c>
      <c r="B49" s="41" t="s">
        <v>28</v>
      </c>
      <c r="C49" s="42">
        <v>77.04</v>
      </c>
      <c r="D49" s="41">
        <v>-0.06</v>
      </c>
      <c r="E49" s="41">
        <v>1.37</v>
      </c>
      <c r="F49" s="41">
        <v>2.22</v>
      </c>
      <c r="G49" s="41">
        <v>2.22</v>
      </c>
      <c r="H49" s="41">
        <v>45.92</v>
      </c>
      <c r="I49" s="41">
        <v>76.52</v>
      </c>
      <c r="J49" s="41">
        <v>77.69</v>
      </c>
      <c r="K49" s="40" t="s">
        <v>123</v>
      </c>
      <c r="L49" s="24">
        <f t="shared" si="1"/>
        <v>-0.0006</v>
      </c>
      <c r="M49" s="25">
        <f t="shared" si="2"/>
        <v>77.08625175</v>
      </c>
      <c r="N49" s="26">
        <f>vlookup(A49,'TOTAL_AÇÕES'!A:B,2,0)</f>
        <v>340001799</v>
      </c>
      <c r="O49" s="27">
        <f t="shared" si="3"/>
        <v>-15725678.56</v>
      </c>
      <c r="P49" s="28" t="str">
        <f t="shared" si="4"/>
        <v>Desceu</v>
      </c>
      <c r="Q49" s="29">
        <f t="shared" si="5"/>
        <v>0.0137</v>
      </c>
      <c r="R49" s="30">
        <f t="shared" si="6"/>
        <v>75.99881622</v>
      </c>
      <c r="S49" s="27">
        <f t="shared" si="7"/>
        <v>-34254696715</v>
      </c>
      <c r="T49" s="31" t="str">
        <f t="shared" si="8"/>
        <v>Desceu</v>
      </c>
      <c r="U49" s="32">
        <f t="shared" si="9"/>
        <v>0.0222</v>
      </c>
      <c r="V49" s="33">
        <f t="shared" si="10"/>
        <v>75.3668558</v>
      </c>
      <c r="W49" s="34">
        <f t="shared" si="11"/>
        <v>568872037.6</v>
      </c>
      <c r="X49" s="35" t="str">
        <f t="shared" si="12"/>
        <v>Subiu</v>
      </c>
      <c r="Y49" s="36">
        <f t="shared" si="13"/>
        <v>0.0222</v>
      </c>
      <c r="Z49" s="37">
        <f t="shared" si="14"/>
        <v>75.3668558</v>
      </c>
      <c r="AA49" s="38">
        <f t="shared" si="15"/>
        <v>568872037.6</v>
      </c>
      <c r="AB49" s="39" t="str">
        <f t="shared" si="16"/>
        <v>Subiu</v>
      </c>
      <c r="AC49" s="36">
        <f t="shared" si="17"/>
        <v>0.4592</v>
      </c>
      <c r="AD49" s="37">
        <f t="shared" si="18"/>
        <v>52.79605263</v>
      </c>
      <c r="AE49" s="38">
        <f t="shared" si="19"/>
        <v>8242985720</v>
      </c>
      <c r="AF49" s="39" t="str">
        <f t="shared" si="20"/>
        <v>Subiu</v>
      </c>
      <c r="AG49" s="24" t="str">
        <f>VLOOKUP(A49,TICKER!A:B,2,0)</f>
        <v>Sabesp</v>
      </c>
      <c r="AH49" s="24" t="str">
        <f>VLOOKUP(AG49,SEGMENTO!A:B,2,0)</f>
        <v>Saneamento</v>
      </c>
      <c r="AI49" s="24">
        <f>VLOOKUP(AG49,SEGMENTO!A:C,3,0)</f>
        <v>47</v>
      </c>
      <c r="AJ49" s="24" t="str">
        <f t="shared" si="21"/>
        <v>-50 anos</v>
      </c>
    </row>
    <row r="50">
      <c r="A50" s="21" t="s">
        <v>124</v>
      </c>
      <c r="B50" s="22" t="s">
        <v>28</v>
      </c>
      <c r="C50" s="23">
        <v>30.88</v>
      </c>
      <c r="D50" s="22">
        <v>-0.06</v>
      </c>
      <c r="E50" s="22">
        <v>-2.65</v>
      </c>
      <c r="F50" s="22">
        <v>-8.34</v>
      </c>
      <c r="G50" s="22">
        <v>-8.34</v>
      </c>
      <c r="H50" s="22">
        <v>5.89</v>
      </c>
      <c r="I50" s="22">
        <v>30.65</v>
      </c>
      <c r="J50" s="22">
        <v>31.34</v>
      </c>
      <c r="K50" s="21" t="s">
        <v>125</v>
      </c>
      <c r="L50" s="24">
        <f t="shared" si="1"/>
        <v>-0.0006</v>
      </c>
      <c r="M50" s="25">
        <f t="shared" si="2"/>
        <v>30.89853912</v>
      </c>
      <c r="N50" s="26">
        <f>vlookup(A50,'TOTAL_AÇÕES'!A:B,2,0)</f>
        <v>514122351</v>
      </c>
      <c r="O50" s="27">
        <f t="shared" si="3"/>
        <v>-9531377.746</v>
      </c>
      <c r="P50" s="28" t="str">
        <f t="shared" si="4"/>
        <v>Desceu</v>
      </c>
      <c r="Q50" s="29">
        <f t="shared" si="5"/>
        <v>-0.0265</v>
      </c>
      <c r="R50" s="30">
        <f t="shared" si="6"/>
        <v>31.72059579</v>
      </c>
      <c r="S50" s="27">
        <f t="shared" si="7"/>
        <v>-11446215329</v>
      </c>
      <c r="T50" s="31" t="str">
        <f t="shared" si="8"/>
        <v>Desceu</v>
      </c>
      <c r="U50" s="32">
        <f t="shared" si="9"/>
        <v>-0.0834</v>
      </c>
      <c r="V50" s="33">
        <f t="shared" si="10"/>
        <v>33.68972289</v>
      </c>
      <c r="W50" s="34">
        <f t="shared" si="11"/>
        <v>-1444541337</v>
      </c>
      <c r="X50" s="35" t="str">
        <f t="shared" si="12"/>
        <v>Desceu</v>
      </c>
      <c r="Y50" s="36">
        <f t="shared" si="13"/>
        <v>-0.0834</v>
      </c>
      <c r="Z50" s="37">
        <f t="shared" si="14"/>
        <v>33.68972289</v>
      </c>
      <c r="AA50" s="38">
        <f t="shared" si="15"/>
        <v>-1444541337</v>
      </c>
      <c r="AB50" s="39" t="str">
        <f t="shared" si="16"/>
        <v>Desceu</v>
      </c>
      <c r="AC50" s="36">
        <f t="shared" si="17"/>
        <v>0.0589</v>
      </c>
      <c r="AD50" s="37">
        <f t="shared" si="18"/>
        <v>29.16233828</v>
      </c>
      <c r="AE50" s="38">
        <f t="shared" si="19"/>
        <v>883088284</v>
      </c>
      <c r="AF50" s="39" t="str">
        <f t="shared" si="20"/>
        <v>Subiu</v>
      </c>
      <c r="AG50" s="24" t="str">
        <f>VLOOKUP(A50,TICKER!A:B,2,0)</f>
        <v>Totvs</v>
      </c>
      <c r="AH50" s="24" t="str">
        <f>VLOOKUP(AG50,SEGMENTO!A:B,2,0)</f>
        <v>Tecnologia</v>
      </c>
      <c r="AI50" s="24">
        <f>VLOOKUP(AG50,SEGMENTO!A:C,3,0)</f>
        <v>55</v>
      </c>
      <c r="AJ50" s="24" t="str">
        <f t="shared" si="21"/>
        <v>Entre 50 e 100 anos</v>
      </c>
    </row>
    <row r="51">
      <c r="A51" s="40" t="s">
        <v>126</v>
      </c>
      <c r="B51" s="41" t="s">
        <v>28</v>
      </c>
      <c r="C51" s="42">
        <v>11.64</v>
      </c>
      <c r="D51" s="41">
        <v>-0.17</v>
      </c>
      <c r="E51" s="41">
        <v>0.95</v>
      </c>
      <c r="F51" s="41">
        <v>1.39</v>
      </c>
      <c r="G51" s="41">
        <v>1.39</v>
      </c>
      <c r="H51" s="41">
        <v>12.26</v>
      </c>
      <c r="I51" s="41">
        <v>11.64</v>
      </c>
      <c r="J51" s="41">
        <v>11.8</v>
      </c>
      <c r="K51" s="40" t="s">
        <v>127</v>
      </c>
      <c r="L51" s="24">
        <f t="shared" si="1"/>
        <v>-0.0017</v>
      </c>
      <c r="M51" s="25">
        <f t="shared" si="2"/>
        <v>11.6598217</v>
      </c>
      <c r="N51" s="26">
        <f>vlookup(A51,'TOTAL_AÇÕES'!A:B,2,0)</f>
        <v>1437415777</v>
      </c>
      <c r="O51" s="27">
        <f t="shared" si="3"/>
        <v>-28492019.83</v>
      </c>
      <c r="P51" s="28" t="str">
        <f t="shared" si="4"/>
        <v>Desceu</v>
      </c>
      <c r="Q51" s="29">
        <f t="shared" si="5"/>
        <v>0.0095</v>
      </c>
      <c r="R51" s="30">
        <f t="shared" si="6"/>
        <v>11.53046062</v>
      </c>
      <c r="S51" s="27">
        <f t="shared" si="7"/>
        <v>-1045925579</v>
      </c>
      <c r="T51" s="31" t="str">
        <f t="shared" si="8"/>
        <v>Desceu</v>
      </c>
      <c r="U51" s="32">
        <f t="shared" si="9"/>
        <v>0.0139</v>
      </c>
      <c r="V51" s="33">
        <f t="shared" si="10"/>
        <v>11.48042213</v>
      </c>
      <c r="W51" s="34">
        <f t="shared" si="11"/>
        <v>229379744.6</v>
      </c>
      <c r="X51" s="35" t="str">
        <f t="shared" si="12"/>
        <v>Subiu</v>
      </c>
      <c r="Y51" s="36">
        <f t="shared" si="13"/>
        <v>0.0139</v>
      </c>
      <c r="Z51" s="37">
        <f t="shared" si="14"/>
        <v>11.48042213</v>
      </c>
      <c r="AA51" s="38">
        <f t="shared" si="15"/>
        <v>229379744.6</v>
      </c>
      <c r="AB51" s="39" t="str">
        <f t="shared" si="16"/>
        <v>Subiu</v>
      </c>
      <c r="AC51" s="36">
        <f t="shared" si="17"/>
        <v>0.1226</v>
      </c>
      <c r="AD51" s="37">
        <f t="shared" si="18"/>
        <v>10.36878675</v>
      </c>
      <c r="AE51" s="38">
        <f t="shared" si="19"/>
        <v>1827261989</v>
      </c>
      <c r="AF51" s="39" t="str">
        <f t="shared" si="20"/>
        <v>Subiu</v>
      </c>
      <c r="AG51" s="24" t="str">
        <f>VLOOKUP(A51,TICKER!A:B,2,0)</f>
        <v>CEMIG</v>
      </c>
      <c r="AH51" s="24" t="str">
        <f>VLOOKUP(AG51,SEGMENTO!A:B,2,0)</f>
        <v>Energia</v>
      </c>
      <c r="AI51" s="24">
        <f>VLOOKUP(AG51,SEGMENTO!A:C,3,0)</f>
        <v>69</v>
      </c>
      <c r="AJ51" s="24" t="str">
        <f t="shared" si="21"/>
        <v>Entre 50 e 100 anos</v>
      </c>
    </row>
    <row r="52">
      <c r="A52" s="21" t="s">
        <v>128</v>
      </c>
      <c r="B52" s="22" t="s">
        <v>28</v>
      </c>
      <c r="C52" s="23">
        <v>46.04</v>
      </c>
      <c r="D52" s="22">
        <v>-0.19</v>
      </c>
      <c r="E52" s="22">
        <v>-1.41</v>
      </c>
      <c r="F52" s="22">
        <v>-2.0</v>
      </c>
      <c r="G52" s="22">
        <v>-2.0</v>
      </c>
      <c r="H52" s="22">
        <v>7.43</v>
      </c>
      <c r="I52" s="22">
        <v>45.91</v>
      </c>
      <c r="J52" s="22">
        <v>46.42</v>
      </c>
      <c r="K52" s="21" t="s">
        <v>129</v>
      </c>
      <c r="L52" s="24">
        <f t="shared" si="1"/>
        <v>-0.0019</v>
      </c>
      <c r="M52" s="25">
        <f t="shared" si="2"/>
        <v>46.12764252</v>
      </c>
      <c r="N52" s="26">
        <f>vlookup(A52,'TOTAL_AÇÕES'!A:B,2,0)</f>
        <v>268544014</v>
      </c>
      <c r="O52" s="27">
        <f t="shared" si="3"/>
        <v>-23535874.33</v>
      </c>
      <c r="P52" s="28" t="str">
        <f t="shared" si="4"/>
        <v>Desceu</v>
      </c>
      <c r="Q52" s="29">
        <f t="shared" si="5"/>
        <v>-0.0141</v>
      </c>
      <c r="R52" s="30">
        <f t="shared" si="6"/>
        <v>46.69844812</v>
      </c>
      <c r="S52" s="27">
        <f t="shared" si="7"/>
        <v>-19161567544</v>
      </c>
      <c r="T52" s="31" t="str">
        <f t="shared" si="8"/>
        <v>Desceu</v>
      </c>
      <c r="U52" s="32">
        <f t="shared" si="9"/>
        <v>-0.02</v>
      </c>
      <c r="V52" s="33">
        <f t="shared" si="10"/>
        <v>46.97959184</v>
      </c>
      <c r="W52" s="34">
        <f t="shared" si="11"/>
        <v>-252321763.4</v>
      </c>
      <c r="X52" s="35" t="str">
        <f t="shared" si="12"/>
        <v>Desceu</v>
      </c>
      <c r="Y52" s="36">
        <f t="shared" si="13"/>
        <v>-0.02</v>
      </c>
      <c r="Z52" s="37">
        <f t="shared" si="14"/>
        <v>46.97959184</v>
      </c>
      <c r="AA52" s="38">
        <f t="shared" si="15"/>
        <v>-252321763.4</v>
      </c>
      <c r="AB52" s="39" t="str">
        <f t="shared" si="16"/>
        <v>Desceu</v>
      </c>
      <c r="AC52" s="36">
        <f t="shared" si="17"/>
        <v>0.0743</v>
      </c>
      <c r="AD52" s="37">
        <f t="shared" si="18"/>
        <v>42.85581309</v>
      </c>
      <c r="AE52" s="38">
        <f t="shared" si="19"/>
        <v>855094334.8</v>
      </c>
      <c r="AF52" s="39" t="str">
        <f t="shared" si="20"/>
        <v>Subiu</v>
      </c>
      <c r="AG52" s="24" t="str">
        <f>VLOOKUP(A52,TICKER!A:B,2,0)</f>
        <v>Eletrobras</v>
      </c>
      <c r="AH52" s="24" t="str">
        <f>VLOOKUP(AG52,SEGMENTO!A:B,2,0)</f>
        <v>Energia</v>
      </c>
      <c r="AI52" s="24">
        <f>VLOOKUP(AG52,SEGMENTO!A:C,3,0)</f>
        <v>64</v>
      </c>
      <c r="AJ52" s="24" t="str">
        <f t="shared" si="21"/>
        <v>Entre 50 e 100 anos</v>
      </c>
    </row>
    <row r="53">
      <c r="A53" s="40" t="s">
        <v>130</v>
      </c>
      <c r="B53" s="41" t="s">
        <v>28</v>
      </c>
      <c r="C53" s="42">
        <v>12.87</v>
      </c>
      <c r="D53" s="41">
        <v>-0.23</v>
      </c>
      <c r="E53" s="41">
        <v>1.42</v>
      </c>
      <c r="F53" s="41">
        <v>-5.44</v>
      </c>
      <c r="G53" s="41">
        <v>-5.44</v>
      </c>
      <c r="H53" s="41">
        <v>6.36</v>
      </c>
      <c r="I53" s="41">
        <v>12.84</v>
      </c>
      <c r="J53" s="41">
        <v>13.09</v>
      </c>
      <c r="K53" s="40" t="s">
        <v>131</v>
      </c>
      <c r="L53" s="24">
        <f t="shared" si="1"/>
        <v>-0.0023</v>
      </c>
      <c r="M53" s="25">
        <f t="shared" si="2"/>
        <v>12.89966924</v>
      </c>
      <c r="N53" s="26">
        <f>vlookup(A53,'TOTAL_AÇÕES'!A:B,2,0)</f>
        <v>1579130168</v>
      </c>
      <c r="O53" s="27">
        <f t="shared" si="3"/>
        <v>-46851590.76</v>
      </c>
      <c r="P53" s="28" t="str">
        <f t="shared" si="4"/>
        <v>Desceu</v>
      </c>
      <c r="Q53" s="29">
        <f t="shared" si="5"/>
        <v>0.0142</v>
      </c>
      <c r="R53" s="30">
        <f t="shared" si="6"/>
        <v>12.68980477</v>
      </c>
      <c r="S53" s="27">
        <f t="shared" si="7"/>
        <v>-1643123912</v>
      </c>
      <c r="T53" s="31" t="str">
        <f t="shared" si="8"/>
        <v>Desceu</v>
      </c>
      <c r="U53" s="32">
        <f t="shared" si="9"/>
        <v>-0.0544</v>
      </c>
      <c r="V53" s="33">
        <f t="shared" si="10"/>
        <v>13.61040609</v>
      </c>
      <c r="W53" s="34">
        <f t="shared" si="11"/>
        <v>-1169197595</v>
      </c>
      <c r="X53" s="35" t="str">
        <f t="shared" si="12"/>
        <v>Desceu</v>
      </c>
      <c r="Y53" s="36">
        <f t="shared" si="13"/>
        <v>-0.0544</v>
      </c>
      <c r="Z53" s="37">
        <f t="shared" si="14"/>
        <v>13.61040609</v>
      </c>
      <c r="AA53" s="38">
        <f t="shared" si="15"/>
        <v>-1169197595</v>
      </c>
      <c r="AB53" s="39" t="str">
        <f t="shared" si="16"/>
        <v>Desceu</v>
      </c>
      <c r="AC53" s="36">
        <f t="shared" si="17"/>
        <v>0.0636</v>
      </c>
      <c r="AD53" s="37">
        <f t="shared" si="18"/>
        <v>12.10041369</v>
      </c>
      <c r="AE53" s="38">
        <f t="shared" si="19"/>
        <v>1215276960</v>
      </c>
      <c r="AF53" s="39" t="str">
        <f t="shared" si="20"/>
        <v>Subiu</v>
      </c>
      <c r="AG53" s="24" t="str">
        <f>VLOOKUP(A53,TICKER!A:B,2,0)</f>
        <v>Eneva</v>
      </c>
      <c r="AH53" s="24" t="str">
        <f>VLOOKUP(AG53,SEGMENTO!A:B,2,0)</f>
        <v>Energia</v>
      </c>
      <c r="AI53" s="24">
        <f>VLOOKUP(AG53,SEGMENTO!A:C,3,0)</f>
        <v>17</v>
      </c>
      <c r="AJ53" s="24" t="str">
        <f t="shared" si="21"/>
        <v>-50 anos</v>
      </c>
    </row>
    <row r="54">
      <c r="A54" s="21" t="s">
        <v>132</v>
      </c>
      <c r="B54" s="22" t="s">
        <v>28</v>
      </c>
      <c r="C54" s="23">
        <v>33.17</v>
      </c>
      <c r="D54" s="22">
        <v>-0.24</v>
      </c>
      <c r="E54" s="22">
        <v>-0.93</v>
      </c>
      <c r="F54" s="22">
        <v>-10.13</v>
      </c>
      <c r="G54" s="22">
        <v>-10.13</v>
      </c>
      <c r="H54" s="22">
        <v>-11.84</v>
      </c>
      <c r="I54" s="22">
        <v>33.04</v>
      </c>
      <c r="J54" s="22">
        <v>33.5</v>
      </c>
      <c r="K54" s="21" t="s">
        <v>133</v>
      </c>
      <c r="L54" s="24">
        <f t="shared" si="1"/>
        <v>-0.0024</v>
      </c>
      <c r="M54" s="25">
        <f t="shared" si="2"/>
        <v>33.24979952</v>
      </c>
      <c r="N54" s="26">
        <f>vlookup(A54,'TOTAL_AÇÕES'!A:B,2,0)</f>
        <v>1481593024</v>
      </c>
      <c r="O54" s="27">
        <f t="shared" si="3"/>
        <v>-118230410.4</v>
      </c>
      <c r="P54" s="28" t="str">
        <f t="shared" si="4"/>
        <v>Desceu</v>
      </c>
      <c r="Q54" s="29">
        <f t="shared" si="5"/>
        <v>-0.0093</v>
      </c>
      <c r="R54" s="30">
        <f t="shared" si="6"/>
        <v>33.4813768</v>
      </c>
      <c r="S54" s="27">
        <f t="shared" si="7"/>
        <v>-12353224252</v>
      </c>
      <c r="T54" s="31" t="str">
        <f t="shared" si="8"/>
        <v>Desceu</v>
      </c>
      <c r="U54" s="32">
        <f t="shared" si="9"/>
        <v>-0.1013</v>
      </c>
      <c r="V54" s="33">
        <f t="shared" si="10"/>
        <v>36.90886837</v>
      </c>
      <c r="W54" s="34">
        <f t="shared" si="11"/>
        <v>-5539481288</v>
      </c>
      <c r="X54" s="35" t="str">
        <f t="shared" si="12"/>
        <v>Desceu</v>
      </c>
      <c r="Y54" s="36">
        <f t="shared" si="13"/>
        <v>-0.1013</v>
      </c>
      <c r="Z54" s="37">
        <f t="shared" si="14"/>
        <v>36.90886837</v>
      </c>
      <c r="AA54" s="38">
        <f t="shared" si="15"/>
        <v>-5539481288</v>
      </c>
      <c r="AB54" s="39" t="str">
        <f t="shared" si="16"/>
        <v>Desceu</v>
      </c>
      <c r="AC54" s="36">
        <f t="shared" si="17"/>
        <v>-0.1184</v>
      </c>
      <c r="AD54" s="37">
        <f t="shared" si="18"/>
        <v>37.62477314</v>
      </c>
      <c r="AE54" s="38">
        <f t="shared" si="19"/>
        <v>-6600160807</v>
      </c>
      <c r="AF54" s="39" t="str">
        <f t="shared" si="20"/>
        <v>Desceu</v>
      </c>
      <c r="AG54" s="24" t="str">
        <f>VLOOKUP(A54,TICKER!A:B,2,0)</f>
        <v>WEG</v>
      </c>
      <c r="AH54" s="24" t="str">
        <f>VLOOKUP(AG54,SEGMENTO!A:B,2,0)</f>
        <v>Automação</v>
      </c>
      <c r="AI54" s="24">
        <f>VLOOKUP(AG54,SEGMENTO!A:C,3,0)</f>
        <v>59</v>
      </c>
      <c r="AJ54" s="24" t="str">
        <f t="shared" si="21"/>
        <v>Entre 50 e 100 anos</v>
      </c>
    </row>
    <row r="55">
      <c r="A55" s="40" t="s">
        <v>134</v>
      </c>
      <c r="B55" s="41" t="s">
        <v>28</v>
      </c>
      <c r="C55" s="42">
        <v>19.3</v>
      </c>
      <c r="D55" s="41">
        <v>-0.25</v>
      </c>
      <c r="E55" s="41">
        <v>2.01</v>
      </c>
      <c r="F55" s="41">
        <v>2.55</v>
      </c>
      <c r="G55" s="41">
        <v>2.55</v>
      </c>
      <c r="H55" s="41">
        <v>-10.11</v>
      </c>
      <c r="I55" s="41">
        <v>19.1</v>
      </c>
      <c r="J55" s="41">
        <v>19.51</v>
      </c>
      <c r="K55" s="40" t="s">
        <v>135</v>
      </c>
      <c r="L55" s="24">
        <f t="shared" si="1"/>
        <v>-0.0025</v>
      </c>
      <c r="M55" s="25">
        <f t="shared" si="2"/>
        <v>19.34837093</v>
      </c>
      <c r="N55" s="26">
        <f>vlookup(A55,'TOTAL_AÇÕES'!A:B,2,0)</f>
        <v>195751130</v>
      </c>
      <c r="O55" s="27">
        <f t="shared" si="3"/>
        <v>-9468663.682</v>
      </c>
      <c r="P55" s="28" t="str">
        <f t="shared" si="4"/>
        <v>Desceu</v>
      </c>
      <c r="Q55" s="29">
        <f t="shared" si="5"/>
        <v>0.0201</v>
      </c>
      <c r="R55" s="30">
        <f t="shared" si="6"/>
        <v>18.91971375</v>
      </c>
      <c r="S55" s="27">
        <f t="shared" si="7"/>
        <v>-4852258373</v>
      </c>
      <c r="T55" s="31" t="str">
        <f t="shared" si="8"/>
        <v>Desceu</v>
      </c>
      <c r="U55" s="32">
        <f t="shared" si="9"/>
        <v>0.0255</v>
      </c>
      <c r="V55" s="33">
        <f t="shared" si="10"/>
        <v>18.82008776</v>
      </c>
      <c r="W55" s="34">
        <f t="shared" si="11"/>
        <v>93943362.88</v>
      </c>
      <c r="X55" s="35" t="str">
        <f t="shared" si="12"/>
        <v>Subiu</v>
      </c>
      <c r="Y55" s="36">
        <f t="shared" si="13"/>
        <v>0.0255</v>
      </c>
      <c r="Z55" s="37">
        <f t="shared" si="14"/>
        <v>18.82008776</v>
      </c>
      <c r="AA55" s="38">
        <f t="shared" si="15"/>
        <v>93943362.88</v>
      </c>
      <c r="AB55" s="39" t="str">
        <f t="shared" si="16"/>
        <v>Subiu</v>
      </c>
      <c r="AC55" s="36">
        <f t="shared" si="17"/>
        <v>-0.1011</v>
      </c>
      <c r="AD55" s="37">
        <f t="shared" si="18"/>
        <v>21.47068639</v>
      </c>
      <c r="AE55" s="38">
        <f t="shared" si="19"/>
        <v>-424914314.6</v>
      </c>
      <c r="AF55" s="39" t="str">
        <f t="shared" si="20"/>
        <v>Desceu</v>
      </c>
      <c r="AG55" s="24" t="str">
        <f>VLOOKUP(A55,TICKER!A:B,2,0)</f>
        <v>SLC Agrícola</v>
      </c>
      <c r="AH55" s="24" t="str">
        <f>VLOOKUP(AG55,SEGMENTO!A:B,2,0)</f>
        <v>Agronegócio</v>
      </c>
      <c r="AI55" s="24">
        <f>VLOOKUP(AG55,SEGMENTO!A:C,3,0)</f>
        <v>46</v>
      </c>
      <c r="AJ55" s="24" t="str">
        <f t="shared" si="21"/>
        <v>-50 anos</v>
      </c>
    </row>
    <row r="56">
      <c r="A56" s="21" t="s">
        <v>136</v>
      </c>
      <c r="B56" s="22" t="s">
        <v>28</v>
      </c>
      <c r="C56" s="23">
        <v>24.62</v>
      </c>
      <c r="D56" s="22">
        <v>-0.28</v>
      </c>
      <c r="E56" s="22">
        <v>0.53</v>
      </c>
      <c r="F56" s="22">
        <v>-7.27</v>
      </c>
      <c r="G56" s="22">
        <v>-7.27</v>
      </c>
      <c r="H56" s="22">
        <v>39.82</v>
      </c>
      <c r="I56" s="22">
        <v>24.53</v>
      </c>
      <c r="J56" s="22">
        <v>24.92</v>
      </c>
      <c r="K56" s="21" t="s">
        <v>137</v>
      </c>
      <c r="L56" s="24">
        <f t="shared" si="1"/>
        <v>-0.0028</v>
      </c>
      <c r="M56" s="25">
        <f t="shared" si="2"/>
        <v>24.68912956</v>
      </c>
      <c r="N56" s="26">
        <f>vlookup(A56,'TOTAL_AÇÕES'!A:B,2,0)</f>
        <v>532616595</v>
      </c>
      <c r="O56" s="27">
        <f t="shared" si="3"/>
        <v>-36819552.34</v>
      </c>
      <c r="P56" s="28" t="str">
        <f t="shared" si="4"/>
        <v>Desceu</v>
      </c>
      <c r="Q56" s="29">
        <f t="shared" si="5"/>
        <v>0.0053</v>
      </c>
      <c r="R56" s="30">
        <f t="shared" si="6"/>
        <v>24.49020193</v>
      </c>
      <c r="S56" s="27">
        <f t="shared" si="7"/>
        <v>-7721713709</v>
      </c>
      <c r="T56" s="31" t="str">
        <f t="shared" si="8"/>
        <v>Desceu</v>
      </c>
      <c r="U56" s="32">
        <f t="shared" si="9"/>
        <v>-0.0727</v>
      </c>
      <c r="V56" s="33">
        <f t="shared" si="10"/>
        <v>26.5501995</v>
      </c>
      <c r="W56" s="34">
        <f t="shared" si="11"/>
        <v>-1028056287</v>
      </c>
      <c r="X56" s="35" t="str">
        <f t="shared" si="12"/>
        <v>Desceu</v>
      </c>
      <c r="Y56" s="36">
        <f t="shared" si="13"/>
        <v>-0.0727</v>
      </c>
      <c r="Z56" s="37">
        <f t="shared" si="14"/>
        <v>26.5501995</v>
      </c>
      <c r="AA56" s="38">
        <f t="shared" si="15"/>
        <v>-1028056287</v>
      </c>
      <c r="AB56" s="39" t="str">
        <f t="shared" si="16"/>
        <v>Desceu</v>
      </c>
      <c r="AC56" s="36">
        <f t="shared" si="17"/>
        <v>0.3982</v>
      </c>
      <c r="AD56" s="37">
        <f t="shared" si="18"/>
        <v>17.6083536</v>
      </c>
      <c r="AE56" s="38">
        <f t="shared" si="19"/>
        <v>3734519232</v>
      </c>
      <c r="AF56" s="39" t="str">
        <f t="shared" si="20"/>
        <v>Subiu</v>
      </c>
      <c r="AG56" s="24" t="str">
        <f>VLOOKUP(A56,TICKER!A:B,2,0)</f>
        <v>ALOS3</v>
      </c>
      <c r="AH56" s="24" t="str">
        <f>VLOOKUP(AG56,SEGMENTO!A:B,2,0)</f>
        <v>Telecomunicações</v>
      </c>
      <c r="AI56" s="24">
        <f>VLOOKUP(AG56,SEGMENTO!A:C,3,0)</f>
        <v>9</v>
      </c>
      <c r="AJ56" s="24" t="str">
        <f t="shared" si="21"/>
        <v>-50 anos</v>
      </c>
    </row>
    <row r="57">
      <c r="A57" s="40" t="s">
        <v>138</v>
      </c>
      <c r="B57" s="41" t="s">
        <v>28</v>
      </c>
      <c r="C57" s="42">
        <v>13.27</v>
      </c>
      <c r="D57" s="41">
        <v>-0.3</v>
      </c>
      <c r="E57" s="41">
        <v>-1.78</v>
      </c>
      <c r="F57" s="41">
        <v>-6.42</v>
      </c>
      <c r="G57" s="41">
        <v>-6.42</v>
      </c>
      <c r="H57" s="41">
        <v>13.59</v>
      </c>
      <c r="I57" s="41">
        <v>13.23</v>
      </c>
      <c r="J57" s="41">
        <v>13.41</v>
      </c>
      <c r="K57" s="40" t="s">
        <v>139</v>
      </c>
      <c r="L57" s="24">
        <f t="shared" si="1"/>
        <v>-0.003</v>
      </c>
      <c r="M57" s="25">
        <f t="shared" si="2"/>
        <v>13.30992979</v>
      </c>
      <c r="N57" s="26">
        <f>vlookup(A57,'TOTAL_AÇÕES'!A:B,2,0)</f>
        <v>995335937</v>
      </c>
      <c r="O57" s="27">
        <f t="shared" si="3"/>
        <v>-39743554.31</v>
      </c>
      <c r="P57" s="28" t="str">
        <f t="shared" si="4"/>
        <v>Desceu</v>
      </c>
      <c r="Q57" s="29">
        <f t="shared" si="5"/>
        <v>-0.0178</v>
      </c>
      <c r="R57" s="30">
        <f t="shared" si="6"/>
        <v>13.51048666</v>
      </c>
      <c r="S57" s="27">
        <f t="shared" si="7"/>
        <v>-2065871426</v>
      </c>
      <c r="T57" s="31" t="str">
        <f t="shared" si="8"/>
        <v>Desceu</v>
      </c>
      <c r="U57" s="32">
        <f t="shared" si="9"/>
        <v>-0.0642</v>
      </c>
      <c r="V57" s="33">
        <f t="shared" si="10"/>
        <v>14.18038042</v>
      </c>
      <c r="W57" s="34">
        <f t="shared" si="11"/>
        <v>-906134351.5</v>
      </c>
      <c r="X57" s="35" t="str">
        <f t="shared" si="12"/>
        <v>Desceu</v>
      </c>
      <c r="Y57" s="36">
        <f t="shared" si="13"/>
        <v>-0.0642</v>
      </c>
      <c r="Z57" s="37">
        <f t="shared" si="14"/>
        <v>14.18038042</v>
      </c>
      <c r="AA57" s="38">
        <f t="shared" si="15"/>
        <v>-906134351.5</v>
      </c>
      <c r="AB57" s="39" t="str">
        <f t="shared" si="16"/>
        <v>Desceu</v>
      </c>
      <c r="AC57" s="36">
        <f t="shared" si="17"/>
        <v>0.1359</v>
      </c>
      <c r="AD57" s="37">
        <f t="shared" si="18"/>
        <v>11.68236641</v>
      </c>
      <c r="AE57" s="38">
        <f t="shared" si="19"/>
        <v>1580228771</v>
      </c>
      <c r="AF57" s="39" t="str">
        <f t="shared" si="20"/>
        <v>Subiu</v>
      </c>
      <c r="AG57" s="24" t="str">
        <f>VLOOKUP(A57,TICKER!A:B,2,0)</f>
        <v>Grupo CCR</v>
      </c>
      <c r="AH57" s="24" t="str">
        <f>VLOOKUP(AG57,SEGMENTO!A:B,2,0)</f>
        <v>Infraestrutura</v>
      </c>
      <c r="AI57" s="24">
        <f>VLOOKUP(AG57,SEGMENTO!A:C,3,0)</f>
        <v>23</v>
      </c>
      <c r="AJ57" s="24" t="str">
        <f t="shared" si="21"/>
        <v>-50 anos</v>
      </c>
    </row>
    <row r="58">
      <c r="A58" s="21" t="s">
        <v>140</v>
      </c>
      <c r="B58" s="22" t="s">
        <v>28</v>
      </c>
      <c r="C58" s="23">
        <v>3.03</v>
      </c>
      <c r="D58" s="22">
        <v>-0.32</v>
      </c>
      <c r="E58" s="22">
        <v>-5.02</v>
      </c>
      <c r="F58" s="22">
        <v>-13.18</v>
      </c>
      <c r="G58" s="22">
        <v>-13.18</v>
      </c>
      <c r="H58" s="22">
        <v>37.73</v>
      </c>
      <c r="I58" s="22">
        <v>2.97</v>
      </c>
      <c r="J58" s="22">
        <v>3.06</v>
      </c>
      <c r="K58" s="21" t="s">
        <v>141</v>
      </c>
      <c r="L58" s="24">
        <f t="shared" si="1"/>
        <v>-0.0032</v>
      </c>
      <c r="M58" s="25">
        <f t="shared" si="2"/>
        <v>3.039727127</v>
      </c>
      <c r="N58" s="26">
        <f>vlookup(A58,'TOTAL_AÇÕES'!A:B,2,0)</f>
        <v>1814920980</v>
      </c>
      <c r="O58" s="27">
        <f t="shared" si="3"/>
        <v>-17653966.51</v>
      </c>
      <c r="P58" s="28" t="str">
        <f t="shared" si="4"/>
        <v>Desceu</v>
      </c>
      <c r="Q58" s="29">
        <f t="shared" si="5"/>
        <v>-0.0502</v>
      </c>
      <c r="R58" s="30">
        <f t="shared" si="6"/>
        <v>3.190145294</v>
      </c>
      <c r="S58" s="27">
        <f t="shared" si="7"/>
        <v>3250315894</v>
      </c>
      <c r="T58" s="31" t="str">
        <f t="shared" si="8"/>
        <v>Subiu</v>
      </c>
      <c r="U58" s="32">
        <f t="shared" si="9"/>
        <v>-0.1318</v>
      </c>
      <c r="V58" s="33">
        <f t="shared" si="10"/>
        <v>3.489979267</v>
      </c>
      <c r="W58" s="34">
        <f t="shared" si="11"/>
        <v>-834826022.9</v>
      </c>
      <c r="X58" s="35" t="str">
        <f t="shared" si="12"/>
        <v>Desceu</v>
      </c>
      <c r="Y58" s="36">
        <f t="shared" si="13"/>
        <v>-0.1318</v>
      </c>
      <c r="Z58" s="37">
        <f t="shared" si="14"/>
        <v>3.489979267</v>
      </c>
      <c r="AA58" s="38">
        <f t="shared" si="15"/>
        <v>-834826022.9</v>
      </c>
      <c r="AB58" s="39" t="str">
        <f t="shared" si="16"/>
        <v>Desceu</v>
      </c>
      <c r="AC58" s="36">
        <f t="shared" si="17"/>
        <v>0.3773</v>
      </c>
      <c r="AD58" s="37">
        <f t="shared" si="18"/>
        <v>2.199956437</v>
      </c>
      <c r="AE58" s="38">
        <f t="shared" si="19"/>
        <v>1506463478</v>
      </c>
      <c r="AF58" s="39" t="str">
        <f t="shared" si="20"/>
        <v>Subiu</v>
      </c>
      <c r="AG58" s="24" t="str">
        <f>VLOOKUP(A58,TICKER!A:B,2,0)</f>
        <v>Cogna</v>
      </c>
      <c r="AH58" s="24" t="str">
        <f>VLOOKUP(AG58,SEGMENTO!A:B,2,0)</f>
        <v>Educação</v>
      </c>
      <c r="AI58" s="24">
        <f>VLOOKUP(AG58,SEGMENTO!A:C,3,0)</f>
        <v>50</v>
      </c>
      <c r="AJ58" s="24" t="str">
        <f t="shared" si="21"/>
        <v>Entre 50 e 100 anos</v>
      </c>
    </row>
    <row r="59">
      <c r="A59" s="40" t="s">
        <v>142</v>
      </c>
      <c r="B59" s="41" t="s">
        <v>28</v>
      </c>
      <c r="C59" s="42">
        <v>26.12</v>
      </c>
      <c r="D59" s="41">
        <v>-0.41</v>
      </c>
      <c r="E59" s="41">
        <v>-1.25</v>
      </c>
      <c r="F59" s="41">
        <v>-1.43</v>
      </c>
      <c r="G59" s="41">
        <v>-1.43</v>
      </c>
      <c r="H59" s="41">
        <v>22.81</v>
      </c>
      <c r="I59" s="41">
        <v>26.09</v>
      </c>
      <c r="J59" s="41">
        <v>26.4</v>
      </c>
      <c r="K59" s="40" t="s">
        <v>143</v>
      </c>
      <c r="L59" s="24">
        <f t="shared" si="1"/>
        <v>-0.0041</v>
      </c>
      <c r="M59" s="25">
        <f t="shared" si="2"/>
        <v>26.22753288</v>
      </c>
      <c r="N59" s="26">
        <f>vlookup(A59,'TOTAL_AÇÕES'!A:B,2,0)</f>
        <v>395801044</v>
      </c>
      <c r="O59" s="27">
        <f t="shared" si="3"/>
        <v>-42561628.08</v>
      </c>
      <c r="P59" s="28" t="str">
        <f t="shared" si="4"/>
        <v>Desceu</v>
      </c>
      <c r="Q59" s="29">
        <f t="shared" si="5"/>
        <v>-0.0125</v>
      </c>
      <c r="R59" s="30">
        <f t="shared" si="6"/>
        <v>26.45063291</v>
      </c>
      <c r="S59" s="27">
        <f t="shared" si="7"/>
        <v>-8731565801</v>
      </c>
      <c r="T59" s="31" t="str">
        <f t="shared" si="8"/>
        <v>Desceu</v>
      </c>
      <c r="U59" s="32">
        <f t="shared" si="9"/>
        <v>-0.0143</v>
      </c>
      <c r="V59" s="33">
        <f t="shared" si="10"/>
        <v>26.49893477</v>
      </c>
      <c r="W59" s="34">
        <f t="shared" si="11"/>
        <v>-149982776.5</v>
      </c>
      <c r="X59" s="35" t="str">
        <f t="shared" si="12"/>
        <v>Desceu</v>
      </c>
      <c r="Y59" s="36">
        <f t="shared" si="13"/>
        <v>-0.0143</v>
      </c>
      <c r="Z59" s="37">
        <f t="shared" si="14"/>
        <v>26.49893477</v>
      </c>
      <c r="AA59" s="38">
        <f t="shared" si="15"/>
        <v>-149982776.5</v>
      </c>
      <c r="AB59" s="39" t="str">
        <f t="shared" si="16"/>
        <v>Desceu</v>
      </c>
      <c r="AC59" s="36">
        <f t="shared" si="17"/>
        <v>0.2281</v>
      </c>
      <c r="AD59" s="37">
        <f t="shared" si="18"/>
        <v>21.26862633</v>
      </c>
      <c r="AE59" s="38">
        <f t="shared" si="19"/>
        <v>1920178762</v>
      </c>
      <c r="AF59" s="39" t="str">
        <f t="shared" si="20"/>
        <v>Subiu</v>
      </c>
      <c r="AG59" s="24" t="str">
        <f>VLOOKUP(A59,TICKER!A:B,2,0)</f>
        <v>Transmissão Paulista</v>
      </c>
      <c r="AH59" s="24" t="str">
        <f>VLOOKUP(AG59,SEGMENTO!A:B,2,0)</f>
        <v>Energia</v>
      </c>
      <c r="AI59" s="24">
        <f>VLOOKUP(AG59,SEGMENTO!A:C,3,0)</f>
        <v>23</v>
      </c>
      <c r="AJ59" s="24" t="str">
        <f t="shared" si="21"/>
        <v>-50 anos</v>
      </c>
    </row>
    <row r="60">
      <c r="A60" s="21" t="s">
        <v>144</v>
      </c>
      <c r="B60" s="22" t="s">
        <v>28</v>
      </c>
      <c r="C60" s="23">
        <v>41.04</v>
      </c>
      <c r="D60" s="22">
        <v>-0.46</v>
      </c>
      <c r="E60" s="22">
        <v>0.56</v>
      </c>
      <c r="F60" s="22">
        <v>-9.46</v>
      </c>
      <c r="G60" s="22">
        <v>-9.46</v>
      </c>
      <c r="H60" s="22">
        <v>13.41</v>
      </c>
      <c r="I60" s="22">
        <v>40.92</v>
      </c>
      <c r="J60" s="22">
        <v>41.59</v>
      </c>
      <c r="K60" s="21" t="s">
        <v>145</v>
      </c>
      <c r="L60" s="24">
        <f t="shared" si="1"/>
        <v>-0.0046</v>
      </c>
      <c r="M60" s="25">
        <f t="shared" si="2"/>
        <v>41.22965642</v>
      </c>
      <c r="N60" s="26">
        <f>vlookup(A60,'TOTAL_AÇÕES'!A:B,2,0)</f>
        <v>255236961</v>
      </c>
      <c r="O60" s="27">
        <f t="shared" si="3"/>
        <v>-48407328.15</v>
      </c>
      <c r="P60" s="28" t="str">
        <f t="shared" si="4"/>
        <v>Desceu</v>
      </c>
      <c r="Q60" s="29">
        <f t="shared" si="5"/>
        <v>0.0056</v>
      </c>
      <c r="R60" s="30">
        <f t="shared" si="6"/>
        <v>40.81145585</v>
      </c>
      <c r="S60" s="27">
        <f t="shared" si="7"/>
        <v>-16129075444</v>
      </c>
      <c r="T60" s="31" t="str">
        <f t="shared" si="8"/>
        <v>Desceu</v>
      </c>
      <c r="U60" s="32">
        <f t="shared" si="9"/>
        <v>-0.0946</v>
      </c>
      <c r="V60" s="33">
        <f t="shared" si="10"/>
        <v>45.32803181</v>
      </c>
      <c r="W60" s="34">
        <f t="shared" si="11"/>
        <v>-1094464208</v>
      </c>
      <c r="X60" s="35" t="str">
        <f t="shared" si="12"/>
        <v>Desceu</v>
      </c>
      <c r="Y60" s="36">
        <f t="shared" si="13"/>
        <v>-0.0946</v>
      </c>
      <c r="Z60" s="37">
        <f t="shared" si="14"/>
        <v>45.32803181</v>
      </c>
      <c r="AA60" s="38">
        <f t="shared" si="15"/>
        <v>-1094464208</v>
      </c>
      <c r="AB60" s="39" t="str">
        <f t="shared" si="16"/>
        <v>Desceu</v>
      </c>
      <c r="AC60" s="36">
        <f t="shared" si="17"/>
        <v>0.1341</v>
      </c>
      <c r="AD60" s="37">
        <f t="shared" si="18"/>
        <v>36.18728507</v>
      </c>
      <c r="AE60" s="38">
        <f t="shared" si="19"/>
        <v>1238592211</v>
      </c>
      <c r="AF60" s="39" t="str">
        <f t="shared" si="20"/>
        <v>Subiu</v>
      </c>
      <c r="AG60" s="24" t="str">
        <f>VLOOKUP(A60,TICKER!A:B,2,0)</f>
        <v>Engie</v>
      </c>
      <c r="AH60" s="24" t="str">
        <f>VLOOKUP(AG60,SEGMENTO!A:B,2,0)</f>
        <v>Energia</v>
      </c>
      <c r="AI60" s="24">
        <f>VLOOKUP(AG60,SEGMENTO!A:C,3,0)</f>
        <v>25</v>
      </c>
      <c r="AJ60" s="24" t="str">
        <f t="shared" si="21"/>
        <v>-50 anos</v>
      </c>
    </row>
    <row r="61">
      <c r="A61" s="40" t="s">
        <v>146</v>
      </c>
      <c r="B61" s="41" t="s">
        <v>28</v>
      </c>
      <c r="C61" s="42">
        <v>23.23</v>
      </c>
      <c r="D61" s="41">
        <v>-0.47</v>
      </c>
      <c r="E61" s="41">
        <v>2.43</v>
      </c>
      <c r="F61" s="41">
        <v>2.07</v>
      </c>
      <c r="G61" s="41">
        <v>2.07</v>
      </c>
      <c r="H61" s="41">
        <v>50.65</v>
      </c>
      <c r="I61" s="41">
        <v>22.97</v>
      </c>
      <c r="J61" s="41">
        <v>23.4</v>
      </c>
      <c r="K61" s="40" t="s">
        <v>147</v>
      </c>
      <c r="L61" s="24">
        <f t="shared" si="1"/>
        <v>-0.0047</v>
      </c>
      <c r="M61" s="25">
        <f t="shared" si="2"/>
        <v>23.33969657</v>
      </c>
      <c r="N61" s="26">
        <f>vlookup(A61,'TOTAL_AÇÕES'!A:B,2,0)</f>
        <v>1114412532</v>
      </c>
      <c r="O61" s="27">
        <f t="shared" si="3"/>
        <v>-122247236.7</v>
      </c>
      <c r="P61" s="28" t="str">
        <f t="shared" si="4"/>
        <v>Desceu</v>
      </c>
      <c r="Q61" s="29">
        <f t="shared" si="5"/>
        <v>0.0243</v>
      </c>
      <c r="R61" s="30">
        <f t="shared" si="6"/>
        <v>22.67890267</v>
      </c>
      <c r="S61" s="27">
        <f t="shared" si="7"/>
        <v>-6788681957</v>
      </c>
      <c r="T61" s="31" t="str">
        <f t="shared" si="8"/>
        <v>Desceu</v>
      </c>
      <c r="U61" s="32">
        <f t="shared" si="9"/>
        <v>0.0207</v>
      </c>
      <c r="V61" s="33">
        <f t="shared" si="10"/>
        <v>22.75889096</v>
      </c>
      <c r="W61" s="34">
        <f t="shared" si="11"/>
        <v>525009821.3</v>
      </c>
      <c r="X61" s="35" t="str">
        <f t="shared" si="12"/>
        <v>Subiu</v>
      </c>
      <c r="Y61" s="36">
        <f t="shared" si="13"/>
        <v>0.0207</v>
      </c>
      <c r="Z61" s="37">
        <f t="shared" si="14"/>
        <v>22.75889096</v>
      </c>
      <c r="AA61" s="38">
        <f t="shared" si="15"/>
        <v>525009821.3</v>
      </c>
      <c r="AB61" s="39" t="str">
        <f t="shared" si="16"/>
        <v>Subiu</v>
      </c>
      <c r="AC61" s="36">
        <f t="shared" si="17"/>
        <v>0.5065</v>
      </c>
      <c r="AD61" s="37">
        <f t="shared" si="18"/>
        <v>15.41984733</v>
      </c>
      <c r="AE61" s="38">
        <f t="shared" si="19"/>
        <v>8703732014</v>
      </c>
      <c r="AF61" s="39" t="str">
        <f t="shared" si="20"/>
        <v>Subiu</v>
      </c>
      <c r="AG61" s="24" t="str">
        <f>VLOOKUP(A61,TICKER!A:B,2,0)</f>
        <v>Vibra Energia</v>
      </c>
      <c r="AH61" s="24" t="str">
        <f>VLOOKUP(AG61,SEGMENTO!A:B,2,0)</f>
        <v>Energia</v>
      </c>
      <c r="AI61" s="24">
        <f>VLOOKUP(AG61,SEGMENTO!A:C,3,0)</f>
        <v>8</v>
      </c>
      <c r="AJ61" s="24" t="str">
        <f t="shared" si="21"/>
        <v>-50 anos</v>
      </c>
    </row>
    <row r="62">
      <c r="A62" s="21" t="s">
        <v>148</v>
      </c>
      <c r="B62" s="22" t="s">
        <v>28</v>
      </c>
      <c r="C62" s="23">
        <v>40.65</v>
      </c>
      <c r="D62" s="22">
        <v>-0.65</v>
      </c>
      <c r="E62" s="22">
        <v>5.45</v>
      </c>
      <c r="F62" s="22">
        <v>-8.24</v>
      </c>
      <c r="G62" s="22">
        <v>-8.24</v>
      </c>
      <c r="H62" s="22">
        <v>73.5</v>
      </c>
      <c r="I62" s="22">
        <v>40.09</v>
      </c>
      <c r="J62" s="22">
        <v>41.4</v>
      </c>
      <c r="K62" s="21" t="s">
        <v>149</v>
      </c>
      <c r="L62" s="24">
        <f t="shared" si="1"/>
        <v>-0.0065</v>
      </c>
      <c r="M62" s="25">
        <f t="shared" si="2"/>
        <v>40.9159537</v>
      </c>
      <c r="N62" s="26">
        <f>vlookup(A62,'TOTAL_AÇÕES'!A:B,2,0)</f>
        <v>81838843</v>
      </c>
      <c r="O62" s="27">
        <f t="shared" si="3"/>
        <v>-21765343.02</v>
      </c>
      <c r="P62" s="28" t="str">
        <f t="shared" si="4"/>
        <v>Desceu</v>
      </c>
      <c r="Q62" s="29">
        <f t="shared" si="5"/>
        <v>0.0545</v>
      </c>
      <c r="R62" s="30">
        <f t="shared" si="6"/>
        <v>38.54907539</v>
      </c>
      <c r="S62" s="27">
        <f t="shared" si="7"/>
        <v>-14963683926</v>
      </c>
      <c r="T62" s="31" t="str">
        <f t="shared" si="8"/>
        <v>Desceu</v>
      </c>
      <c r="U62" s="32">
        <f t="shared" si="9"/>
        <v>-0.0824</v>
      </c>
      <c r="V62" s="33">
        <f t="shared" si="10"/>
        <v>44.30034874</v>
      </c>
      <c r="W62" s="34">
        <f t="shared" si="11"/>
        <v>-298740317.1</v>
      </c>
      <c r="X62" s="35" t="str">
        <f t="shared" si="12"/>
        <v>Desceu</v>
      </c>
      <c r="Y62" s="36">
        <f t="shared" si="13"/>
        <v>-0.0824</v>
      </c>
      <c r="Z62" s="37">
        <f t="shared" si="14"/>
        <v>44.30034874</v>
      </c>
      <c r="AA62" s="38">
        <f t="shared" si="15"/>
        <v>-298740317.1</v>
      </c>
      <c r="AB62" s="39" t="str">
        <f t="shared" si="16"/>
        <v>Desceu</v>
      </c>
      <c r="AC62" s="36">
        <f t="shared" si="17"/>
        <v>0.735</v>
      </c>
      <c r="AD62" s="37">
        <f t="shared" si="18"/>
        <v>23.42939481</v>
      </c>
      <c r="AE62" s="38">
        <f t="shared" si="19"/>
        <v>1409314404</v>
      </c>
      <c r="AF62" s="39" t="str">
        <f t="shared" si="20"/>
        <v>Subiu</v>
      </c>
      <c r="AG62" s="24" t="str">
        <f>VLOOKUP(A62,TICKER!A:B,2,0)</f>
        <v>IRB Brasil RE</v>
      </c>
      <c r="AH62" s="24" t="str">
        <f>VLOOKUP(AG62,SEGMENTO!A:B,2,0)</f>
        <v>Seguros</v>
      </c>
      <c r="AI62" s="24">
        <f>VLOOKUP(AG62,SEGMENTO!A:C,3,0)</f>
        <v>83</v>
      </c>
      <c r="AJ62" s="24" t="str">
        <f t="shared" si="21"/>
        <v>Entre 50 e 100 anos</v>
      </c>
    </row>
    <row r="63">
      <c r="A63" s="40" t="s">
        <v>150</v>
      </c>
      <c r="B63" s="41" t="s">
        <v>28</v>
      </c>
      <c r="C63" s="42">
        <v>40.86</v>
      </c>
      <c r="D63" s="41">
        <v>-0.65</v>
      </c>
      <c r="E63" s="41">
        <v>-2.04</v>
      </c>
      <c r="F63" s="41">
        <v>-3.7</v>
      </c>
      <c r="G63" s="41">
        <v>-3.7</v>
      </c>
      <c r="H63" s="41">
        <v>-3.64</v>
      </c>
      <c r="I63" s="41">
        <v>40.86</v>
      </c>
      <c r="J63" s="41">
        <v>41.44</v>
      </c>
      <c r="K63" s="40" t="s">
        <v>151</v>
      </c>
      <c r="L63" s="24">
        <f t="shared" si="1"/>
        <v>-0.0065</v>
      </c>
      <c r="M63" s="25">
        <f t="shared" si="2"/>
        <v>41.12732763</v>
      </c>
      <c r="N63" s="26">
        <f>vlookup(A63,'TOTAL_AÇÕES'!A:B,2,0)</f>
        <v>1980568384</v>
      </c>
      <c r="O63" s="27">
        <f t="shared" si="3"/>
        <v>-529460651.3</v>
      </c>
      <c r="P63" s="28" t="str">
        <f t="shared" si="4"/>
        <v>Desceu</v>
      </c>
      <c r="Q63" s="29">
        <f t="shared" si="5"/>
        <v>-0.0204</v>
      </c>
      <c r="R63" s="30">
        <f t="shared" si="6"/>
        <v>41.71090241</v>
      </c>
      <c r="S63" s="27">
        <f t="shared" si="7"/>
        <v>-16592396011</v>
      </c>
      <c r="T63" s="31" t="str">
        <f t="shared" si="8"/>
        <v>Desceu</v>
      </c>
      <c r="U63" s="32">
        <f t="shared" si="9"/>
        <v>-0.037</v>
      </c>
      <c r="V63" s="33">
        <f t="shared" si="10"/>
        <v>42.42990654</v>
      </c>
      <c r="W63" s="34">
        <f t="shared" si="11"/>
        <v>-3109307263</v>
      </c>
      <c r="X63" s="35" t="str">
        <f t="shared" si="12"/>
        <v>Desceu</v>
      </c>
      <c r="Y63" s="36">
        <f t="shared" si="13"/>
        <v>-0.037</v>
      </c>
      <c r="Z63" s="37">
        <f t="shared" si="14"/>
        <v>42.42990654</v>
      </c>
      <c r="AA63" s="38">
        <f t="shared" si="15"/>
        <v>-3109307263</v>
      </c>
      <c r="AB63" s="39" t="str">
        <f t="shared" si="16"/>
        <v>Desceu</v>
      </c>
      <c r="AC63" s="36">
        <f t="shared" si="17"/>
        <v>-0.0364</v>
      </c>
      <c r="AD63" s="37">
        <f t="shared" si="18"/>
        <v>42.40348692</v>
      </c>
      <c r="AE63" s="38">
        <f t="shared" si="19"/>
        <v>-3056981403</v>
      </c>
      <c r="AF63" s="39" t="str">
        <f t="shared" si="20"/>
        <v>Desceu</v>
      </c>
      <c r="AG63" s="24" t="str">
        <f>VLOOKUP(A63,TICKER!A:B,2,0)</f>
        <v>Eletrobras</v>
      </c>
      <c r="AH63" s="24" t="str">
        <f>VLOOKUP(AG63,SEGMENTO!A:B,2,0)</f>
        <v>Energia</v>
      </c>
      <c r="AI63" s="24">
        <f>VLOOKUP(AG63,SEGMENTO!A:C,3,0)</f>
        <v>64</v>
      </c>
      <c r="AJ63" s="24" t="str">
        <f t="shared" si="21"/>
        <v>Entre 50 e 100 anos</v>
      </c>
    </row>
    <row r="64">
      <c r="A64" s="21" t="s">
        <v>152</v>
      </c>
      <c r="B64" s="22" t="s">
        <v>28</v>
      </c>
      <c r="C64" s="23">
        <v>3.4</v>
      </c>
      <c r="D64" s="22">
        <v>-0.87</v>
      </c>
      <c r="E64" s="22">
        <v>-4.23</v>
      </c>
      <c r="F64" s="22">
        <v>-13.92</v>
      </c>
      <c r="G64" s="22">
        <v>-13.92</v>
      </c>
      <c r="H64" s="22">
        <v>-46.63</v>
      </c>
      <c r="I64" s="22">
        <v>3.35</v>
      </c>
      <c r="J64" s="22">
        <v>3.47</v>
      </c>
      <c r="K64" s="21" t="s">
        <v>153</v>
      </c>
      <c r="L64" s="24">
        <f t="shared" si="1"/>
        <v>-0.0087</v>
      </c>
      <c r="M64" s="25">
        <f t="shared" si="2"/>
        <v>3.429839605</v>
      </c>
      <c r="N64" s="26">
        <f>vlookup(A64,'TOTAL_AÇÕES'!A:B,2,0)</f>
        <v>309729428</v>
      </c>
      <c r="O64" s="27">
        <f t="shared" si="3"/>
        <v>-9242203.652</v>
      </c>
      <c r="P64" s="28" t="str">
        <f t="shared" si="4"/>
        <v>Desceu</v>
      </c>
      <c r="Q64" s="29">
        <f t="shared" si="5"/>
        <v>-0.0423</v>
      </c>
      <c r="R64" s="30">
        <f t="shared" si="6"/>
        <v>3.550172288</v>
      </c>
      <c r="S64" s="27">
        <f t="shared" si="7"/>
        <v>3064859728</v>
      </c>
      <c r="T64" s="31" t="str">
        <f t="shared" si="8"/>
        <v>Subiu</v>
      </c>
      <c r="U64" s="32">
        <f t="shared" si="9"/>
        <v>-0.1392</v>
      </c>
      <c r="V64" s="33">
        <f t="shared" si="10"/>
        <v>3.949814126</v>
      </c>
      <c r="W64" s="34">
        <f t="shared" si="11"/>
        <v>-170293614.9</v>
      </c>
      <c r="X64" s="35" t="str">
        <f t="shared" si="12"/>
        <v>Desceu</v>
      </c>
      <c r="Y64" s="36">
        <f t="shared" si="13"/>
        <v>-0.1392</v>
      </c>
      <c r="Z64" s="37">
        <f t="shared" si="14"/>
        <v>3.949814126</v>
      </c>
      <c r="AA64" s="38">
        <f t="shared" si="15"/>
        <v>-170293614.9</v>
      </c>
      <c r="AB64" s="39" t="str">
        <f t="shared" si="16"/>
        <v>Desceu</v>
      </c>
      <c r="AC64" s="36">
        <f t="shared" si="17"/>
        <v>-0.4663</v>
      </c>
      <c r="AD64" s="37">
        <f t="shared" si="18"/>
        <v>6.370620199</v>
      </c>
      <c r="AE64" s="38">
        <f t="shared" si="19"/>
        <v>-920088494.9</v>
      </c>
      <c r="AF64" s="39" t="str">
        <f t="shared" si="20"/>
        <v>Desceu</v>
      </c>
      <c r="AG64" s="24" t="str">
        <f>VLOOKUP(A64,TICKER!A:B,2,0)</f>
        <v>Petz</v>
      </c>
      <c r="AH64" s="24" t="str">
        <f>VLOOKUP(AG64,SEGMENTO!A:B,2,0)</f>
        <v>Varejo</v>
      </c>
      <c r="AI64" s="24">
        <f>VLOOKUP(AG64,SEGMENTO!A:C,3,0)</f>
        <v>9</v>
      </c>
      <c r="AJ64" s="24" t="str">
        <f t="shared" si="21"/>
        <v>-50 anos</v>
      </c>
    </row>
    <row r="65">
      <c r="A65" s="40" t="s">
        <v>154</v>
      </c>
      <c r="B65" s="41" t="s">
        <v>28</v>
      </c>
      <c r="C65" s="42">
        <v>15.91</v>
      </c>
      <c r="D65" s="41">
        <v>-0.93</v>
      </c>
      <c r="E65" s="41">
        <v>-2.39</v>
      </c>
      <c r="F65" s="41">
        <v>-14.92</v>
      </c>
      <c r="G65" s="41">
        <v>-14.92</v>
      </c>
      <c r="H65" s="41">
        <v>8.93</v>
      </c>
      <c r="I65" s="41">
        <v>15.85</v>
      </c>
      <c r="J65" s="41">
        <v>16.31</v>
      </c>
      <c r="K65" s="40" t="s">
        <v>155</v>
      </c>
      <c r="L65" s="24">
        <f t="shared" si="1"/>
        <v>-0.0093</v>
      </c>
      <c r="M65" s="25">
        <f t="shared" si="2"/>
        <v>16.05935197</v>
      </c>
      <c r="N65" s="26">
        <f>vlookup(A65,'TOTAL_AÇÕES'!A:B,2,0)</f>
        <v>91514307</v>
      </c>
      <c r="O65" s="27">
        <f t="shared" si="3"/>
        <v>-13667842.34</v>
      </c>
      <c r="P65" s="28" t="str">
        <f t="shared" si="4"/>
        <v>Desceu</v>
      </c>
      <c r="Q65" s="29">
        <f t="shared" si="5"/>
        <v>-0.0239</v>
      </c>
      <c r="R65" s="30">
        <f t="shared" si="6"/>
        <v>16.29955947</v>
      </c>
      <c r="S65" s="27">
        <f t="shared" si="7"/>
        <v>-3502571335</v>
      </c>
      <c r="T65" s="31" t="str">
        <f t="shared" si="8"/>
        <v>Desceu</v>
      </c>
      <c r="U65" s="32">
        <f t="shared" si="9"/>
        <v>-0.1492</v>
      </c>
      <c r="V65" s="33">
        <f t="shared" si="10"/>
        <v>18.70004701</v>
      </c>
      <c r="W65" s="34">
        <f t="shared" si="11"/>
        <v>-255329219</v>
      </c>
      <c r="X65" s="35" t="str">
        <f t="shared" si="12"/>
        <v>Desceu</v>
      </c>
      <c r="Y65" s="36">
        <f t="shared" si="13"/>
        <v>-0.1492</v>
      </c>
      <c r="Z65" s="37">
        <f t="shared" si="14"/>
        <v>18.70004701</v>
      </c>
      <c r="AA65" s="38">
        <f t="shared" si="15"/>
        <v>-255329219</v>
      </c>
      <c r="AB65" s="39" t="str">
        <f t="shared" si="16"/>
        <v>Desceu</v>
      </c>
      <c r="AC65" s="36">
        <f t="shared" si="17"/>
        <v>0.0893</v>
      </c>
      <c r="AD65" s="37">
        <f t="shared" si="18"/>
        <v>14.60571009</v>
      </c>
      <c r="AE65" s="38">
        <f t="shared" si="19"/>
        <v>119361187.3</v>
      </c>
      <c r="AF65" s="39" t="str">
        <f t="shared" si="20"/>
        <v>Subiu</v>
      </c>
      <c r="AG65" s="24" t="str">
        <f>VLOOKUP(A65,TICKER!A:B,2,0)</f>
        <v>EZTEC</v>
      </c>
      <c r="AH65" s="24" t="str">
        <f>VLOOKUP(AG65,SEGMENTO!A:B,2,0)</f>
        <v>Imobiliário</v>
      </c>
      <c r="AI65" s="24">
        <f>VLOOKUP(AG65,SEGMENTO!A:C,3,0)</f>
        <v>42</v>
      </c>
      <c r="AJ65" s="24" t="str">
        <f t="shared" si="21"/>
        <v>-50 anos</v>
      </c>
    </row>
    <row r="66">
      <c r="A66" s="21" t="s">
        <v>156</v>
      </c>
      <c r="B66" s="22" t="s">
        <v>28</v>
      </c>
      <c r="C66" s="23">
        <v>16.49</v>
      </c>
      <c r="D66" s="22">
        <v>-1.07</v>
      </c>
      <c r="E66" s="22">
        <v>1.04</v>
      </c>
      <c r="F66" s="22">
        <v>-8.59</v>
      </c>
      <c r="G66" s="22">
        <v>-8.59</v>
      </c>
      <c r="H66" s="22">
        <v>17.16</v>
      </c>
      <c r="I66" s="22">
        <v>16.4</v>
      </c>
      <c r="J66" s="22">
        <v>16.71</v>
      </c>
      <c r="K66" s="21" t="s">
        <v>99</v>
      </c>
      <c r="L66" s="24">
        <f t="shared" si="1"/>
        <v>-0.0107</v>
      </c>
      <c r="M66" s="25">
        <f t="shared" si="2"/>
        <v>16.66835136</v>
      </c>
      <c r="N66" s="26">
        <f>vlookup(A66,'TOTAL_AÇÕES'!A:B,2,0)</f>
        <v>240822651</v>
      </c>
      <c r="O66" s="27">
        <f t="shared" si="3"/>
        <v>-42951047.22</v>
      </c>
      <c r="P66" s="28" t="str">
        <f t="shared" si="4"/>
        <v>Desceu</v>
      </c>
      <c r="Q66" s="29">
        <f t="shared" si="5"/>
        <v>0.0104</v>
      </c>
      <c r="R66" s="30">
        <f t="shared" si="6"/>
        <v>16.3202692</v>
      </c>
      <c r="S66" s="27">
        <f t="shared" si="7"/>
        <v>-3513239276</v>
      </c>
      <c r="T66" s="31" t="str">
        <f t="shared" si="8"/>
        <v>Desceu</v>
      </c>
      <c r="U66" s="32">
        <f t="shared" si="9"/>
        <v>-0.0859</v>
      </c>
      <c r="V66" s="33">
        <f t="shared" si="10"/>
        <v>18.03960179</v>
      </c>
      <c r="W66" s="34">
        <f t="shared" si="11"/>
        <v>-373179212.1</v>
      </c>
      <c r="X66" s="35" t="str">
        <f t="shared" si="12"/>
        <v>Desceu</v>
      </c>
      <c r="Y66" s="36">
        <f t="shared" si="13"/>
        <v>-0.0859</v>
      </c>
      <c r="Z66" s="37">
        <f t="shared" si="14"/>
        <v>18.03960179</v>
      </c>
      <c r="AA66" s="38">
        <f t="shared" si="15"/>
        <v>-373179212.1</v>
      </c>
      <c r="AB66" s="39" t="str">
        <f t="shared" si="16"/>
        <v>Desceu</v>
      </c>
      <c r="AC66" s="36">
        <f t="shared" si="17"/>
        <v>0.1716</v>
      </c>
      <c r="AD66" s="37">
        <f t="shared" si="18"/>
        <v>14.07476955</v>
      </c>
      <c r="AE66" s="38">
        <f t="shared" si="19"/>
        <v>581642200.7</v>
      </c>
      <c r="AF66" s="39" t="str">
        <f t="shared" si="20"/>
        <v>Subiu</v>
      </c>
      <c r="AG66" s="24" t="str">
        <f>VLOOKUP(A66,TICKER!A:B,2,0)</f>
        <v>Fleury</v>
      </c>
      <c r="AH66" s="24" t="str">
        <f>VLOOKUP(AG66,SEGMENTO!A:B,2,0)</f>
        <v>Saúde</v>
      </c>
      <c r="AI66" s="24">
        <f>VLOOKUP(AG66,SEGMENTO!A:C,3,0)</f>
        <v>95</v>
      </c>
      <c r="AJ66" s="24" t="str">
        <f t="shared" si="21"/>
        <v>Entre 50 e 100 anos</v>
      </c>
    </row>
    <row r="67">
      <c r="A67" s="40" t="s">
        <v>157</v>
      </c>
      <c r="B67" s="41" t="s">
        <v>28</v>
      </c>
      <c r="C67" s="42">
        <v>6.95</v>
      </c>
      <c r="D67" s="41">
        <v>-1.27</v>
      </c>
      <c r="E67" s="41">
        <v>-0.43</v>
      </c>
      <c r="F67" s="41">
        <v>-6.71</v>
      </c>
      <c r="G67" s="41">
        <v>-6.71</v>
      </c>
      <c r="H67" s="41">
        <v>-30.01</v>
      </c>
      <c r="I67" s="41">
        <v>6.87</v>
      </c>
      <c r="J67" s="41">
        <v>7.14</v>
      </c>
      <c r="K67" s="40" t="s">
        <v>158</v>
      </c>
      <c r="L67" s="24">
        <f t="shared" si="1"/>
        <v>-0.0127</v>
      </c>
      <c r="M67" s="25">
        <f t="shared" si="2"/>
        <v>7.039400385</v>
      </c>
      <c r="N67" s="26">
        <f>vlookup(A67,'TOTAL_AÇÕES'!A:B,2,0)</f>
        <v>496029967</v>
      </c>
      <c r="O67" s="27">
        <f t="shared" si="3"/>
        <v>-44345269.97</v>
      </c>
      <c r="P67" s="28" t="str">
        <f t="shared" si="4"/>
        <v>Desceu</v>
      </c>
      <c r="Q67" s="29">
        <f t="shared" si="5"/>
        <v>-0.0043</v>
      </c>
      <c r="R67" s="30">
        <f t="shared" si="6"/>
        <v>6.98001406</v>
      </c>
      <c r="S67" s="27">
        <f t="shared" si="7"/>
        <v>1298088583</v>
      </c>
      <c r="T67" s="31" t="str">
        <f t="shared" si="8"/>
        <v>Subiu</v>
      </c>
      <c r="U67" s="32">
        <f t="shared" si="9"/>
        <v>-0.0671</v>
      </c>
      <c r="V67" s="33">
        <f t="shared" si="10"/>
        <v>7.449887448</v>
      </c>
      <c r="W67" s="34">
        <f t="shared" si="11"/>
        <v>-247959154.2</v>
      </c>
      <c r="X67" s="35" t="str">
        <f t="shared" si="12"/>
        <v>Desceu</v>
      </c>
      <c r="Y67" s="36">
        <f t="shared" si="13"/>
        <v>-0.0671</v>
      </c>
      <c r="Z67" s="37">
        <f t="shared" si="14"/>
        <v>7.449887448</v>
      </c>
      <c r="AA67" s="38">
        <f t="shared" si="15"/>
        <v>-247959154.2</v>
      </c>
      <c r="AB67" s="39" t="str">
        <f t="shared" si="16"/>
        <v>Desceu</v>
      </c>
      <c r="AC67" s="36">
        <f t="shared" si="17"/>
        <v>-0.3001</v>
      </c>
      <c r="AD67" s="37">
        <f t="shared" si="18"/>
        <v>9.929989999</v>
      </c>
      <c r="AE67" s="38">
        <f t="shared" si="19"/>
        <v>-1478164341</v>
      </c>
      <c r="AF67" s="39" t="str">
        <f t="shared" si="20"/>
        <v>Desceu</v>
      </c>
      <c r="AG67" s="24" t="str">
        <f>VLOOKUP(A67,TICKER!A:B,2,0)</f>
        <v>Grupo Soma</v>
      </c>
      <c r="AH67" s="24" t="str">
        <f>VLOOKUP(AG67,SEGMENTO!A:B,2,0)</f>
        <v>Moda</v>
      </c>
      <c r="AI67" s="24">
        <f>VLOOKUP(AG67,SEGMENTO!A:C,3,0)</f>
        <v>17</v>
      </c>
      <c r="AJ67" s="24" t="str">
        <f t="shared" si="21"/>
        <v>-50 anos</v>
      </c>
    </row>
    <row r="68">
      <c r="A68" s="21" t="s">
        <v>159</v>
      </c>
      <c r="B68" s="22" t="s">
        <v>28</v>
      </c>
      <c r="C68" s="23">
        <v>8.67</v>
      </c>
      <c r="D68" s="22">
        <v>-1.36</v>
      </c>
      <c r="E68" s="22">
        <v>4.08</v>
      </c>
      <c r="F68" s="22">
        <v>-14.33</v>
      </c>
      <c r="G68" s="22">
        <v>-14.33</v>
      </c>
      <c r="H68" s="22">
        <v>-34.52</v>
      </c>
      <c r="I68" s="22">
        <v>8.62</v>
      </c>
      <c r="J68" s="22">
        <v>8.8</v>
      </c>
      <c r="K68" s="21" t="s">
        <v>160</v>
      </c>
      <c r="L68" s="24">
        <f t="shared" si="1"/>
        <v>-0.0136</v>
      </c>
      <c r="M68" s="25">
        <f t="shared" si="2"/>
        <v>8.789537713</v>
      </c>
      <c r="N68" s="26">
        <f>vlookup(A68,'TOTAL_AÇÕES'!A:B,2,0)</f>
        <v>176733968</v>
      </c>
      <c r="O68" s="27">
        <f t="shared" si="3"/>
        <v>-21126374.33</v>
      </c>
      <c r="P68" s="28" t="str">
        <f t="shared" si="4"/>
        <v>Desceu</v>
      </c>
      <c r="Q68" s="29">
        <f t="shared" si="5"/>
        <v>0.0408</v>
      </c>
      <c r="R68" s="30">
        <f t="shared" si="6"/>
        <v>8.330130669</v>
      </c>
      <c r="S68" s="27">
        <f t="shared" si="7"/>
        <v>602620037.7</v>
      </c>
      <c r="T68" s="31" t="str">
        <f t="shared" si="8"/>
        <v>Subiu</v>
      </c>
      <c r="U68" s="32">
        <f t="shared" si="9"/>
        <v>-0.1433</v>
      </c>
      <c r="V68" s="33">
        <f t="shared" si="10"/>
        <v>10.12022878</v>
      </c>
      <c r="W68" s="34">
        <f t="shared" si="11"/>
        <v>-256304687.7</v>
      </c>
      <c r="X68" s="35" t="str">
        <f t="shared" si="12"/>
        <v>Desceu</v>
      </c>
      <c r="Y68" s="36">
        <f t="shared" si="13"/>
        <v>-0.1433</v>
      </c>
      <c r="Z68" s="37">
        <f t="shared" si="14"/>
        <v>10.12022878</v>
      </c>
      <c r="AA68" s="38">
        <f t="shared" si="15"/>
        <v>-256304687.7</v>
      </c>
      <c r="AB68" s="39" t="str">
        <f t="shared" si="16"/>
        <v>Desceu</v>
      </c>
      <c r="AC68" s="36">
        <f t="shared" si="17"/>
        <v>-0.3452</v>
      </c>
      <c r="AD68" s="37">
        <f t="shared" si="18"/>
        <v>13.24068418</v>
      </c>
      <c r="AE68" s="38">
        <f t="shared" si="19"/>
        <v>-807795151.3</v>
      </c>
      <c r="AF68" s="39" t="str">
        <f t="shared" si="20"/>
        <v>Desceu</v>
      </c>
      <c r="AG68" s="24" t="str">
        <f>VLOOKUP(A68,TICKER!A:B,2,0)</f>
        <v>Alpargatas</v>
      </c>
      <c r="AH68" s="24" t="str">
        <f>VLOOKUP(AG68,SEGMENTO!A:B,2,0)</f>
        <v>Moda</v>
      </c>
      <c r="AI68" s="24">
        <f>VLOOKUP(AG68,SEGMENTO!A:C,3,0)</f>
        <v>113</v>
      </c>
      <c r="AJ68" s="24" t="str">
        <f t="shared" si="21"/>
        <v>+100 anos</v>
      </c>
    </row>
    <row r="69">
      <c r="A69" s="40" t="s">
        <v>161</v>
      </c>
      <c r="B69" s="41" t="s">
        <v>28</v>
      </c>
      <c r="C69" s="42">
        <v>22.84</v>
      </c>
      <c r="D69" s="41">
        <v>-1.38</v>
      </c>
      <c r="E69" s="41">
        <v>2.38</v>
      </c>
      <c r="F69" s="41">
        <v>-5.15</v>
      </c>
      <c r="G69" s="41">
        <v>-5.15</v>
      </c>
      <c r="H69" s="41">
        <v>60.09</v>
      </c>
      <c r="I69" s="41">
        <v>22.62</v>
      </c>
      <c r="J69" s="41">
        <v>23.34</v>
      </c>
      <c r="K69" s="40" t="s">
        <v>162</v>
      </c>
      <c r="L69" s="24">
        <f t="shared" si="1"/>
        <v>-0.0138</v>
      </c>
      <c r="M69" s="25">
        <f t="shared" si="2"/>
        <v>23.15960251</v>
      </c>
      <c r="N69" s="26">
        <f>vlookup(A69,'TOTAL_AÇÕES'!A:B,2,0)</f>
        <v>265784616</v>
      </c>
      <c r="O69" s="27">
        <f t="shared" si="3"/>
        <v>-84945431.64</v>
      </c>
      <c r="P69" s="28" t="str">
        <f t="shared" si="4"/>
        <v>Desceu</v>
      </c>
      <c r="Q69" s="29">
        <f t="shared" si="5"/>
        <v>0.0238</v>
      </c>
      <c r="R69" s="30">
        <f t="shared" si="6"/>
        <v>22.30904474</v>
      </c>
      <c r="S69" s="27">
        <f t="shared" si="7"/>
        <v>-6598161705</v>
      </c>
      <c r="T69" s="31" t="str">
        <f t="shared" si="8"/>
        <v>Desceu</v>
      </c>
      <c r="U69" s="32">
        <f t="shared" si="9"/>
        <v>-0.0515</v>
      </c>
      <c r="V69" s="33">
        <f t="shared" si="10"/>
        <v>24.08012652</v>
      </c>
      <c r="W69" s="34">
        <f t="shared" si="11"/>
        <v>-329606549.7</v>
      </c>
      <c r="X69" s="35" t="str">
        <f t="shared" si="12"/>
        <v>Desceu</v>
      </c>
      <c r="Y69" s="36">
        <f t="shared" si="13"/>
        <v>-0.0515</v>
      </c>
      <c r="Z69" s="37">
        <f t="shared" si="14"/>
        <v>24.08012652</v>
      </c>
      <c r="AA69" s="38">
        <f t="shared" si="15"/>
        <v>-329606549.7</v>
      </c>
      <c r="AB69" s="39" t="str">
        <f t="shared" si="16"/>
        <v>Desceu</v>
      </c>
      <c r="AC69" s="36">
        <f t="shared" si="17"/>
        <v>0.6009</v>
      </c>
      <c r="AD69" s="37">
        <f t="shared" si="18"/>
        <v>14.26697483</v>
      </c>
      <c r="AE69" s="38">
        <f t="shared" si="19"/>
        <v>2278578204</v>
      </c>
      <c r="AF69" s="39" t="str">
        <f t="shared" si="20"/>
        <v>Subiu</v>
      </c>
      <c r="AG69" s="24" t="str">
        <f>VLOOKUP(A69,TICKER!A:B,2,0)</f>
        <v>Cyrela</v>
      </c>
      <c r="AH69" s="24" t="str">
        <f>VLOOKUP(AG69,SEGMENTO!A:B,2,0)</f>
        <v>Construção</v>
      </c>
      <c r="AI69" s="24">
        <f>VLOOKUP(AG69,SEGMENTO!A:C,3,0)</f>
        <v>58</v>
      </c>
      <c r="AJ69" s="24" t="str">
        <f t="shared" si="21"/>
        <v>Entre 50 e 100 anos</v>
      </c>
    </row>
    <row r="70">
      <c r="A70" s="21" t="s">
        <v>163</v>
      </c>
      <c r="B70" s="22" t="s">
        <v>28</v>
      </c>
      <c r="C70" s="23">
        <v>22.4</v>
      </c>
      <c r="D70" s="22">
        <v>-1.4</v>
      </c>
      <c r="E70" s="22">
        <v>5.02</v>
      </c>
      <c r="F70" s="22">
        <v>0.04</v>
      </c>
      <c r="G70" s="22">
        <v>0.04</v>
      </c>
      <c r="H70" s="22">
        <v>34.29</v>
      </c>
      <c r="I70" s="22">
        <v>22.26</v>
      </c>
      <c r="J70" s="22">
        <v>22.92</v>
      </c>
      <c r="K70" s="21" t="s">
        <v>164</v>
      </c>
      <c r="L70" s="24">
        <f t="shared" si="1"/>
        <v>-0.014</v>
      </c>
      <c r="M70" s="25">
        <f t="shared" si="2"/>
        <v>22.71805274</v>
      </c>
      <c r="N70" s="26">
        <f>vlookup(A70,'TOTAL_AÇÕES'!A:B,2,0)</f>
        <v>734632705</v>
      </c>
      <c r="O70" s="27">
        <f t="shared" si="3"/>
        <v>-233651943.5</v>
      </c>
      <c r="P70" s="28" t="str">
        <f t="shared" si="4"/>
        <v>Desceu</v>
      </c>
      <c r="Q70" s="29">
        <f t="shared" si="5"/>
        <v>0.0502</v>
      </c>
      <c r="R70" s="30">
        <f t="shared" si="6"/>
        <v>21.32927062</v>
      </c>
      <c r="S70" s="27">
        <f t="shared" si="7"/>
        <v>-6093463017</v>
      </c>
      <c r="T70" s="31" t="str">
        <f t="shared" si="8"/>
        <v>Desceu</v>
      </c>
      <c r="U70" s="32">
        <f t="shared" si="9"/>
        <v>0.0004</v>
      </c>
      <c r="V70" s="33">
        <f t="shared" si="10"/>
        <v>22.39104358</v>
      </c>
      <c r="W70" s="34">
        <f t="shared" si="11"/>
        <v>6579677.166</v>
      </c>
      <c r="X70" s="35" t="str">
        <f t="shared" si="12"/>
        <v>Subiu</v>
      </c>
      <c r="Y70" s="36">
        <f t="shared" si="13"/>
        <v>0.0004</v>
      </c>
      <c r="Z70" s="37">
        <f t="shared" si="14"/>
        <v>22.39104358</v>
      </c>
      <c r="AA70" s="38">
        <f t="shared" si="15"/>
        <v>6579677.166</v>
      </c>
      <c r="AB70" s="39" t="str">
        <f t="shared" si="16"/>
        <v>Subiu</v>
      </c>
      <c r="AC70" s="36">
        <f t="shared" si="17"/>
        <v>0.3429</v>
      </c>
      <c r="AD70" s="37">
        <f t="shared" si="18"/>
        <v>16.68031871</v>
      </c>
      <c r="AE70" s="38">
        <f t="shared" si="19"/>
        <v>4201864935</v>
      </c>
      <c r="AF70" s="39" t="str">
        <f t="shared" si="20"/>
        <v>Subiu</v>
      </c>
      <c r="AG70" s="24" t="str">
        <f>VLOOKUP(A70,TICKER!A:B,2,0)</f>
        <v>Embraer</v>
      </c>
      <c r="AH70" s="24" t="str">
        <f>VLOOKUP(AG70,SEGMENTO!A:B,2,0)</f>
        <v>Aeronáutica</v>
      </c>
      <c r="AI70" s="24">
        <f>VLOOKUP(AG70,SEGMENTO!A:C,3,0)</f>
        <v>53</v>
      </c>
      <c r="AJ70" s="24" t="str">
        <f t="shared" si="21"/>
        <v>Entre 50 e 100 anos</v>
      </c>
    </row>
    <row r="71">
      <c r="A71" s="40" t="s">
        <v>165</v>
      </c>
      <c r="B71" s="41" t="s">
        <v>28</v>
      </c>
      <c r="C71" s="42">
        <v>15.97</v>
      </c>
      <c r="D71" s="41">
        <v>-1.41</v>
      </c>
      <c r="E71" s="41">
        <v>-7.37</v>
      </c>
      <c r="F71" s="41">
        <v>-5.45</v>
      </c>
      <c r="G71" s="41">
        <v>-5.45</v>
      </c>
      <c r="H71" s="41">
        <v>23.51</v>
      </c>
      <c r="I71" s="41">
        <v>15.84</v>
      </c>
      <c r="J71" s="41">
        <v>16.43</v>
      </c>
      <c r="K71" s="40" t="s">
        <v>166</v>
      </c>
      <c r="L71" s="24">
        <f t="shared" si="1"/>
        <v>-0.0141</v>
      </c>
      <c r="M71" s="25">
        <f t="shared" si="2"/>
        <v>16.1983974</v>
      </c>
      <c r="N71" s="26">
        <f>vlookup(A71,'TOTAL_AÇÕES'!A:B,2,0)</f>
        <v>846244302</v>
      </c>
      <c r="O71" s="27">
        <f t="shared" si="3"/>
        <v>-193280001.2</v>
      </c>
      <c r="P71" s="28" t="str">
        <f t="shared" si="4"/>
        <v>Desceu</v>
      </c>
      <c r="Q71" s="29">
        <f t="shared" si="5"/>
        <v>-0.0737</v>
      </c>
      <c r="R71" s="30">
        <f t="shared" si="6"/>
        <v>17.24063478</v>
      </c>
      <c r="S71" s="27">
        <f t="shared" si="7"/>
        <v>-3987335594</v>
      </c>
      <c r="T71" s="31" t="str">
        <f t="shared" si="8"/>
        <v>Desceu</v>
      </c>
      <c r="U71" s="32">
        <f t="shared" si="9"/>
        <v>-0.0545</v>
      </c>
      <c r="V71" s="33">
        <f t="shared" si="10"/>
        <v>16.89053411</v>
      </c>
      <c r="W71" s="34">
        <f t="shared" si="11"/>
        <v>-778996744.5</v>
      </c>
      <c r="X71" s="35" t="str">
        <f t="shared" si="12"/>
        <v>Desceu</v>
      </c>
      <c r="Y71" s="36">
        <f t="shared" si="13"/>
        <v>-0.0545</v>
      </c>
      <c r="Z71" s="37">
        <f t="shared" si="14"/>
        <v>16.89053411</v>
      </c>
      <c r="AA71" s="38">
        <f t="shared" si="15"/>
        <v>-778996744.5</v>
      </c>
      <c r="AB71" s="39" t="str">
        <f t="shared" si="16"/>
        <v>Desceu</v>
      </c>
      <c r="AC71" s="36">
        <f t="shared" si="17"/>
        <v>0.2351</v>
      </c>
      <c r="AD71" s="37">
        <f t="shared" si="18"/>
        <v>12.93012712</v>
      </c>
      <c r="AE71" s="38">
        <f t="shared" si="19"/>
        <v>2572475108</v>
      </c>
      <c r="AF71" s="39" t="str">
        <f t="shared" si="20"/>
        <v>Subiu</v>
      </c>
      <c r="AG71" s="24" t="str">
        <f>VLOOKUP(A71,TICKER!A:B,2,0)</f>
        <v>Natura</v>
      </c>
      <c r="AH71" s="24" t="str">
        <f>VLOOKUP(AG71,SEGMENTO!A:B,2,0)</f>
        <v>Cosméticos</v>
      </c>
      <c r="AI71" s="24">
        <f>VLOOKUP(AG71,SEGMENTO!A:C,3,0)</f>
        <v>54</v>
      </c>
      <c r="AJ71" s="24" t="str">
        <f t="shared" si="21"/>
        <v>Entre 50 e 100 anos</v>
      </c>
    </row>
    <row r="72">
      <c r="A72" s="21" t="s">
        <v>167</v>
      </c>
      <c r="B72" s="22" t="s">
        <v>28</v>
      </c>
      <c r="C72" s="23">
        <v>13.8</v>
      </c>
      <c r="D72" s="22">
        <v>-1.42</v>
      </c>
      <c r="E72" s="22">
        <v>-3.5</v>
      </c>
      <c r="F72" s="22">
        <v>2.0</v>
      </c>
      <c r="G72" s="22">
        <v>2.0</v>
      </c>
      <c r="H72" s="22">
        <v>-34.02</v>
      </c>
      <c r="I72" s="22">
        <v>13.63</v>
      </c>
      <c r="J72" s="22">
        <v>14.0</v>
      </c>
      <c r="K72" s="21" t="s">
        <v>168</v>
      </c>
      <c r="L72" s="24">
        <f t="shared" si="1"/>
        <v>-0.0142</v>
      </c>
      <c r="M72" s="25">
        <f t="shared" si="2"/>
        <v>13.99878271</v>
      </c>
      <c r="N72" s="26">
        <f>vlookup(A72,'TOTAL_AÇÕES'!A:B,2,0)</f>
        <v>1349217892</v>
      </c>
      <c r="O72" s="27">
        <f t="shared" si="3"/>
        <v>-268201195.1</v>
      </c>
      <c r="P72" s="28" t="str">
        <f t="shared" si="4"/>
        <v>Desceu</v>
      </c>
      <c r="Q72" s="29">
        <f t="shared" si="5"/>
        <v>-0.035</v>
      </c>
      <c r="R72" s="30">
        <f t="shared" si="6"/>
        <v>14.30051813</v>
      </c>
      <c r="S72" s="27">
        <f t="shared" si="7"/>
        <v>-2472830377</v>
      </c>
      <c r="T72" s="31" t="str">
        <f t="shared" si="8"/>
        <v>Desceu</v>
      </c>
      <c r="U72" s="32">
        <f t="shared" si="9"/>
        <v>0.02</v>
      </c>
      <c r="V72" s="33">
        <f t="shared" si="10"/>
        <v>13.52941176</v>
      </c>
      <c r="W72" s="34">
        <f t="shared" si="11"/>
        <v>365082488.4</v>
      </c>
      <c r="X72" s="35" t="str">
        <f t="shared" si="12"/>
        <v>Subiu</v>
      </c>
      <c r="Y72" s="36">
        <f t="shared" si="13"/>
        <v>0.02</v>
      </c>
      <c r="Z72" s="37">
        <f t="shared" si="14"/>
        <v>13.52941176</v>
      </c>
      <c r="AA72" s="38">
        <f t="shared" si="15"/>
        <v>365082488.4</v>
      </c>
      <c r="AB72" s="39" t="str">
        <f t="shared" si="16"/>
        <v>Subiu</v>
      </c>
      <c r="AC72" s="36">
        <f t="shared" si="17"/>
        <v>-0.3402</v>
      </c>
      <c r="AD72" s="37">
        <f t="shared" si="18"/>
        <v>20.91542892</v>
      </c>
      <c r="AE72" s="38">
        <f t="shared" si="19"/>
        <v>-9600264005</v>
      </c>
      <c r="AF72" s="39" t="str">
        <f t="shared" si="20"/>
        <v>Desceu</v>
      </c>
      <c r="AG72" s="24" t="str">
        <f>VLOOKUP(A72,TICKER!A:B,2,0)</f>
        <v>Assaí</v>
      </c>
      <c r="AH72" s="24" t="str">
        <f>VLOOKUP(AG72,SEGMENTO!A:B,2,0)</f>
        <v>Varejo</v>
      </c>
      <c r="AI72" s="24">
        <f>VLOOKUP(AG72,SEGMENTO!A:C,3,0)</f>
        <v>49</v>
      </c>
      <c r="AJ72" s="24" t="str">
        <f t="shared" si="21"/>
        <v>-50 anos</v>
      </c>
    </row>
    <row r="73">
      <c r="A73" s="40" t="s">
        <v>169</v>
      </c>
      <c r="B73" s="41" t="s">
        <v>28</v>
      </c>
      <c r="C73" s="42">
        <v>13.22</v>
      </c>
      <c r="D73" s="41">
        <v>-1.56</v>
      </c>
      <c r="E73" s="41">
        <v>-4.13</v>
      </c>
      <c r="F73" s="41">
        <v>-8.58</v>
      </c>
      <c r="G73" s="41">
        <v>-8.58</v>
      </c>
      <c r="H73" s="41">
        <v>3.88</v>
      </c>
      <c r="I73" s="41">
        <v>13.18</v>
      </c>
      <c r="J73" s="41">
        <v>13.42</v>
      </c>
      <c r="K73" s="40" t="s">
        <v>170</v>
      </c>
      <c r="L73" s="24">
        <f t="shared" si="1"/>
        <v>-0.0156</v>
      </c>
      <c r="M73" s="25">
        <f t="shared" si="2"/>
        <v>13.4295002</v>
      </c>
      <c r="N73" s="26">
        <f>vlookup(A73,'TOTAL_AÇÕES'!A:B,2,0)</f>
        <v>5602790110</v>
      </c>
      <c r="O73" s="27">
        <f t="shared" si="3"/>
        <v>-1173785666</v>
      </c>
      <c r="P73" s="28" t="str">
        <f t="shared" si="4"/>
        <v>Desceu</v>
      </c>
      <c r="Q73" s="29">
        <f t="shared" si="5"/>
        <v>-0.0413</v>
      </c>
      <c r="R73" s="30">
        <f t="shared" si="6"/>
        <v>13.78950662</v>
      </c>
      <c r="S73" s="27">
        <f t="shared" si="7"/>
        <v>-2209599461</v>
      </c>
      <c r="T73" s="31" t="str">
        <f t="shared" si="8"/>
        <v>Desceu</v>
      </c>
      <c r="U73" s="32">
        <f t="shared" si="9"/>
        <v>-0.0858</v>
      </c>
      <c r="V73" s="33">
        <f t="shared" si="10"/>
        <v>14.46073069</v>
      </c>
      <c r="W73" s="34">
        <f t="shared" si="11"/>
        <v>-6951553659</v>
      </c>
      <c r="X73" s="35" t="str">
        <f t="shared" si="12"/>
        <v>Desceu</v>
      </c>
      <c r="Y73" s="36">
        <f t="shared" si="13"/>
        <v>-0.0858</v>
      </c>
      <c r="Z73" s="37">
        <f t="shared" si="14"/>
        <v>14.46073069</v>
      </c>
      <c r="AA73" s="38">
        <f t="shared" si="15"/>
        <v>-6951553659</v>
      </c>
      <c r="AB73" s="39" t="str">
        <f t="shared" si="16"/>
        <v>Desceu</v>
      </c>
      <c r="AC73" s="36">
        <f t="shared" si="17"/>
        <v>0.0388</v>
      </c>
      <c r="AD73" s="37">
        <f t="shared" si="18"/>
        <v>12.72622256</v>
      </c>
      <c r="AE73" s="38">
        <f t="shared" si="19"/>
        <v>2766531332</v>
      </c>
      <c r="AF73" s="39" t="str">
        <f t="shared" si="20"/>
        <v>Subiu</v>
      </c>
      <c r="AG73" s="24" t="str">
        <f>VLOOKUP(A73,TICKER!A:B,2,0)</f>
        <v>B3</v>
      </c>
      <c r="AH73" s="24" t="str">
        <f>VLOOKUP(AG73,SEGMENTO!A:B,2,0)</f>
        <v>Bolsa de Valores</v>
      </c>
      <c r="AI73" s="24">
        <f>VLOOKUP(AG73,SEGMENTO!A:C,3,0)</f>
        <v>126</v>
      </c>
      <c r="AJ73" s="24" t="str">
        <f t="shared" si="21"/>
        <v>+100 anos</v>
      </c>
    </row>
    <row r="74">
      <c r="A74" s="21" t="s">
        <v>171</v>
      </c>
      <c r="B74" s="22" t="s">
        <v>28</v>
      </c>
      <c r="C74" s="23">
        <v>31.08</v>
      </c>
      <c r="D74" s="22">
        <v>-1.61</v>
      </c>
      <c r="E74" s="22">
        <v>-5.27</v>
      </c>
      <c r="F74" s="22">
        <v>-13.06</v>
      </c>
      <c r="G74" s="22">
        <v>-13.06</v>
      </c>
      <c r="H74" s="22">
        <v>-27.52</v>
      </c>
      <c r="I74" s="22">
        <v>30.91</v>
      </c>
      <c r="J74" s="22">
        <v>31.72</v>
      </c>
      <c r="K74" s="21" t="s">
        <v>172</v>
      </c>
      <c r="L74" s="24">
        <f t="shared" si="1"/>
        <v>-0.0161</v>
      </c>
      <c r="M74" s="25">
        <f t="shared" si="2"/>
        <v>31.58857607</v>
      </c>
      <c r="N74" s="26">
        <f>vlookup(A74,'TOTAL_AÇÕES'!A:B,2,0)</f>
        <v>409490388</v>
      </c>
      <c r="O74" s="27">
        <f t="shared" si="3"/>
        <v>-208257014.2</v>
      </c>
      <c r="P74" s="28" t="str">
        <f t="shared" si="4"/>
        <v>Desceu</v>
      </c>
      <c r="Q74" s="29">
        <f t="shared" si="5"/>
        <v>-0.0527</v>
      </c>
      <c r="R74" s="30">
        <f t="shared" si="6"/>
        <v>32.80903621</v>
      </c>
      <c r="S74" s="27">
        <f t="shared" si="7"/>
        <v>-12006889918</v>
      </c>
      <c r="T74" s="31" t="str">
        <f t="shared" si="8"/>
        <v>Desceu</v>
      </c>
      <c r="U74" s="32">
        <f t="shared" si="9"/>
        <v>-0.1306</v>
      </c>
      <c r="V74" s="33">
        <f t="shared" si="10"/>
        <v>35.74879227</v>
      </c>
      <c r="W74" s="34">
        <f t="shared" si="11"/>
        <v>-1911825558</v>
      </c>
      <c r="X74" s="35" t="str">
        <f t="shared" si="12"/>
        <v>Desceu</v>
      </c>
      <c r="Y74" s="36">
        <f t="shared" si="13"/>
        <v>-0.1306</v>
      </c>
      <c r="Z74" s="37">
        <f t="shared" si="14"/>
        <v>35.74879227</v>
      </c>
      <c r="AA74" s="38">
        <f t="shared" si="15"/>
        <v>-1911825558</v>
      </c>
      <c r="AB74" s="39" t="str">
        <f t="shared" si="16"/>
        <v>Desceu</v>
      </c>
      <c r="AC74" s="36">
        <f t="shared" si="17"/>
        <v>-0.2752</v>
      </c>
      <c r="AD74" s="37">
        <f t="shared" si="18"/>
        <v>42.8807947</v>
      </c>
      <c r="AE74" s="38">
        <f t="shared" si="19"/>
        <v>-4832312001</v>
      </c>
      <c r="AF74" s="39" t="str">
        <f t="shared" si="20"/>
        <v>Desceu</v>
      </c>
      <c r="AG74" s="24" t="str">
        <f>VLOOKUP(A74,TICKER!A:B,2,0)</f>
        <v>Hypera</v>
      </c>
      <c r="AH74" s="24" t="str">
        <f>VLOOKUP(AG74,SEGMENTO!A:B,2,0)</f>
        <v>Farmacêutica</v>
      </c>
      <c r="AI74" s="24">
        <f>VLOOKUP(AG74,SEGMENTO!A:C,3,0)</f>
        <v>61</v>
      </c>
      <c r="AJ74" s="24" t="str">
        <f t="shared" si="21"/>
        <v>Entre 50 e 100 anos</v>
      </c>
    </row>
    <row r="75">
      <c r="A75" s="40" t="s">
        <v>173</v>
      </c>
      <c r="B75" s="41" t="s">
        <v>28</v>
      </c>
      <c r="C75" s="42">
        <v>28.2</v>
      </c>
      <c r="D75" s="41">
        <v>-1.94</v>
      </c>
      <c r="E75" s="41">
        <v>0.36</v>
      </c>
      <c r="F75" s="41">
        <v>-3.79</v>
      </c>
      <c r="G75" s="41">
        <v>-3.79</v>
      </c>
      <c r="H75" s="41">
        <v>17.1</v>
      </c>
      <c r="I75" s="41">
        <v>28.13</v>
      </c>
      <c r="J75" s="41">
        <v>28.97</v>
      </c>
      <c r="K75" s="40" t="s">
        <v>174</v>
      </c>
      <c r="L75" s="24">
        <f t="shared" si="1"/>
        <v>-0.0194</v>
      </c>
      <c r="M75" s="25">
        <f t="shared" si="2"/>
        <v>28.75790332</v>
      </c>
      <c r="N75" s="26">
        <f>vlookup(A75,'TOTAL_AÇÕES'!A:B,2,0)</f>
        <v>142377330</v>
      </c>
      <c r="O75" s="27">
        <f t="shared" si="3"/>
        <v>-79432785.74</v>
      </c>
      <c r="P75" s="28" t="str">
        <f t="shared" si="4"/>
        <v>Desceu</v>
      </c>
      <c r="Q75" s="29">
        <f t="shared" si="5"/>
        <v>0.0036</v>
      </c>
      <c r="R75" s="30">
        <f t="shared" si="6"/>
        <v>28.09884416</v>
      </c>
      <c r="S75" s="27">
        <f t="shared" si="7"/>
        <v>-9580588080</v>
      </c>
      <c r="T75" s="31" t="str">
        <f t="shared" si="8"/>
        <v>Desceu</v>
      </c>
      <c r="U75" s="32">
        <f t="shared" si="9"/>
        <v>-0.0379</v>
      </c>
      <c r="V75" s="33">
        <f t="shared" si="10"/>
        <v>29.31088244</v>
      </c>
      <c r="W75" s="34">
        <f t="shared" si="11"/>
        <v>-158164476.4</v>
      </c>
      <c r="X75" s="35" t="str">
        <f t="shared" si="12"/>
        <v>Desceu</v>
      </c>
      <c r="Y75" s="36">
        <f t="shared" si="13"/>
        <v>-0.0379</v>
      </c>
      <c r="Z75" s="37">
        <f t="shared" si="14"/>
        <v>29.31088244</v>
      </c>
      <c r="AA75" s="38">
        <f t="shared" si="15"/>
        <v>-158164476.4</v>
      </c>
      <c r="AB75" s="39" t="str">
        <f t="shared" si="16"/>
        <v>Desceu</v>
      </c>
      <c r="AC75" s="36">
        <f t="shared" si="17"/>
        <v>0.171</v>
      </c>
      <c r="AD75" s="37">
        <f t="shared" si="18"/>
        <v>24.08198121</v>
      </c>
      <c r="AE75" s="38">
        <f t="shared" si="19"/>
        <v>586312519.8</v>
      </c>
      <c r="AF75" s="39" t="str">
        <f t="shared" si="20"/>
        <v>Subiu</v>
      </c>
      <c r="AG75" s="24" t="str">
        <f>VLOOKUP(A75,TICKER!A:B,2,0)</f>
        <v>São Martinho</v>
      </c>
      <c r="AH75" s="24" t="str">
        <f>VLOOKUP(AG75,SEGMENTO!A:B,2,0)</f>
        <v>Açúcar e Álcool</v>
      </c>
      <c r="AI75" s="24">
        <f>VLOOKUP(AG75,SEGMENTO!A:C,3,0)</f>
        <v>82</v>
      </c>
      <c r="AJ75" s="24" t="str">
        <f t="shared" si="21"/>
        <v>Entre 50 e 100 anos</v>
      </c>
    </row>
    <row r="76">
      <c r="A76" s="21" t="s">
        <v>175</v>
      </c>
      <c r="B76" s="22" t="s">
        <v>28</v>
      </c>
      <c r="C76" s="23">
        <v>3.93</v>
      </c>
      <c r="D76" s="22">
        <v>-1.99</v>
      </c>
      <c r="E76" s="22">
        <v>-2.24</v>
      </c>
      <c r="F76" s="22">
        <v>-11.69</v>
      </c>
      <c r="G76" s="22">
        <v>-11.69</v>
      </c>
      <c r="H76" s="22">
        <v>-11.49</v>
      </c>
      <c r="I76" s="22">
        <v>3.89</v>
      </c>
      <c r="J76" s="22">
        <v>4.06</v>
      </c>
      <c r="K76" s="21" t="s">
        <v>176</v>
      </c>
      <c r="L76" s="24">
        <f t="shared" si="1"/>
        <v>-0.0199</v>
      </c>
      <c r="M76" s="25">
        <f t="shared" si="2"/>
        <v>4.009794919</v>
      </c>
      <c r="N76" s="26">
        <f>vlookup(A76,'TOTAL_AÇÕES'!A:B,2,0)</f>
        <v>4394332306</v>
      </c>
      <c r="O76" s="27">
        <f t="shared" si="3"/>
        <v>-350645389.9</v>
      </c>
      <c r="P76" s="28" t="str">
        <f t="shared" si="4"/>
        <v>Desceu</v>
      </c>
      <c r="Q76" s="29">
        <f t="shared" si="5"/>
        <v>-0.0224</v>
      </c>
      <c r="R76" s="30">
        <f t="shared" si="6"/>
        <v>4.0200491</v>
      </c>
      <c r="S76" s="27">
        <f t="shared" si="7"/>
        <v>2822818011</v>
      </c>
      <c r="T76" s="31" t="str">
        <f t="shared" si="8"/>
        <v>Subiu</v>
      </c>
      <c r="U76" s="32">
        <f t="shared" si="9"/>
        <v>-0.1169</v>
      </c>
      <c r="V76" s="33">
        <f t="shared" si="10"/>
        <v>4.450232137</v>
      </c>
      <c r="W76" s="34">
        <f t="shared" si="11"/>
        <v>-2286072885</v>
      </c>
      <c r="X76" s="35" t="str">
        <f t="shared" si="12"/>
        <v>Desceu</v>
      </c>
      <c r="Y76" s="36">
        <f t="shared" si="13"/>
        <v>-0.1169</v>
      </c>
      <c r="Z76" s="37">
        <f t="shared" si="14"/>
        <v>4.450232137</v>
      </c>
      <c r="AA76" s="38">
        <f t="shared" si="15"/>
        <v>-2286072885</v>
      </c>
      <c r="AB76" s="39" t="str">
        <f t="shared" si="16"/>
        <v>Desceu</v>
      </c>
      <c r="AC76" s="36">
        <f t="shared" si="17"/>
        <v>-0.1149</v>
      </c>
      <c r="AD76" s="37">
        <f t="shared" si="18"/>
        <v>4.440176251</v>
      </c>
      <c r="AE76" s="38">
        <f t="shared" si="19"/>
        <v>-2241883983</v>
      </c>
      <c r="AF76" s="39" t="str">
        <f t="shared" si="20"/>
        <v>Desceu</v>
      </c>
      <c r="AG76" s="24" t="str">
        <f>VLOOKUP(A76,TICKER!A:B,2,0)</f>
        <v>Hapvida</v>
      </c>
      <c r="AH76" s="24" t="str">
        <f>VLOOKUP(AG76,SEGMENTO!A:B,2,0)</f>
        <v>Saúde</v>
      </c>
      <c r="AI76" s="24">
        <f>VLOOKUP(AG76,SEGMENTO!A:C,3,0)</f>
        <v>45</v>
      </c>
      <c r="AJ76" s="24" t="str">
        <f t="shared" si="21"/>
        <v>-50 anos</v>
      </c>
    </row>
    <row r="77">
      <c r="A77" s="40" t="s">
        <v>177</v>
      </c>
      <c r="B77" s="41" t="s">
        <v>28</v>
      </c>
      <c r="C77" s="42">
        <v>15.78</v>
      </c>
      <c r="D77" s="41">
        <v>-2.29</v>
      </c>
      <c r="E77" s="41">
        <v>-5.62</v>
      </c>
      <c r="F77" s="41">
        <v>-9.41</v>
      </c>
      <c r="G77" s="41">
        <v>-9.41</v>
      </c>
      <c r="H77" s="41">
        <v>-24.94</v>
      </c>
      <c r="I77" s="41">
        <v>15.7</v>
      </c>
      <c r="J77" s="41">
        <v>16.23</v>
      </c>
      <c r="K77" s="40" t="s">
        <v>178</v>
      </c>
      <c r="L77" s="24">
        <f t="shared" si="1"/>
        <v>-0.0229</v>
      </c>
      <c r="M77" s="25">
        <f t="shared" si="2"/>
        <v>16.14983113</v>
      </c>
      <c r="N77" s="26">
        <f>vlookup(A77,'TOTAL_AÇÕES'!A:B,2,0)</f>
        <v>951329770</v>
      </c>
      <c r="O77" s="27">
        <f t="shared" si="3"/>
        <v>-351831366.6</v>
      </c>
      <c r="P77" s="28" t="str">
        <f t="shared" si="4"/>
        <v>Desceu</v>
      </c>
      <c r="Q77" s="29">
        <f t="shared" si="5"/>
        <v>-0.0562</v>
      </c>
      <c r="R77" s="30">
        <f t="shared" si="6"/>
        <v>16.71964399</v>
      </c>
      <c r="S77" s="27">
        <f t="shared" si="7"/>
        <v>-3718964177</v>
      </c>
      <c r="T77" s="31" t="str">
        <f t="shared" si="8"/>
        <v>Desceu</v>
      </c>
      <c r="U77" s="32">
        <f t="shared" si="9"/>
        <v>-0.0941</v>
      </c>
      <c r="V77" s="33">
        <f t="shared" si="10"/>
        <v>17.41914119</v>
      </c>
      <c r="W77" s="34">
        <f t="shared" si="11"/>
        <v>-1559363807</v>
      </c>
      <c r="X77" s="35" t="str">
        <f t="shared" si="12"/>
        <v>Desceu</v>
      </c>
      <c r="Y77" s="36">
        <f t="shared" si="13"/>
        <v>-0.0941</v>
      </c>
      <c r="Z77" s="37">
        <f t="shared" si="14"/>
        <v>17.41914119</v>
      </c>
      <c r="AA77" s="38">
        <f t="shared" si="15"/>
        <v>-1559363807</v>
      </c>
      <c r="AB77" s="39" t="str">
        <f t="shared" si="16"/>
        <v>Desceu</v>
      </c>
      <c r="AC77" s="36">
        <f t="shared" si="17"/>
        <v>-0.2494</v>
      </c>
      <c r="AD77" s="37">
        <f t="shared" si="18"/>
        <v>21.02318145</v>
      </c>
      <c r="AE77" s="38">
        <f t="shared" si="19"/>
        <v>-4987994607</v>
      </c>
      <c r="AF77" s="39" t="str">
        <f t="shared" si="20"/>
        <v>Desceu</v>
      </c>
      <c r="AG77" s="24" t="str">
        <f>VLOOKUP(A77,TICKER!A:B,2,0)</f>
        <v>Lojas Renner</v>
      </c>
      <c r="AH77" s="24" t="str">
        <f>VLOOKUP(AG77,SEGMENTO!A:B,2,0)</f>
        <v>Varejo</v>
      </c>
      <c r="AI77" s="24">
        <f>VLOOKUP(AG77,SEGMENTO!A:C,3,0)</f>
        <v>54</v>
      </c>
      <c r="AJ77" s="24" t="str">
        <f t="shared" si="21"/>
        <v>Entre 50 e 100 anos</v>
      </c>
    </row>
    <row r="78">
      <c r="A78" s="21" t="s">
        <v>179</v>
      </c>
      <c r="B78" s="22" t="s">
        <v>28</v>
      </c>
      <c r="C78" s="23">
        <v>10.71</v>
      </c>
      <c r="D78" s="22">
        <v>-2.45</v>
      </c>
      <c r="E78" s="22">
        <v>-9.47</v>
      </c>
      <c r="F78" s="22">
        <v>-13.98</v>
      </c>
      <c r="G78" s="22">
        <v>-13.98</v>
      </c>
      <c r="H78" s="22">
        <v>-32.72</v>
      </c>
      <c r="I78" s="22">
        <v>10.7</v>
      </c>
      <c r="J78" s="22">
        <v>11.08</v>
      </c>
      <c r="K78" s="21" t="s">
        <v>180</v>
      </c>
      <c r="L78" s="24">
        <f t="shared" si="1"/>
        <v>-0.0245</v>
      </c>
      <c r="M78" s="25">
        <f t="shared" si="2"/>
        <v>10.97898514</v>
      </c>
      <c r="N78" s="26">
        <f>vlookup(A78,'TOTAL_AÇÕES'!A:B,2,0)</f>
        <v>533990587</v>
      </c>
      <c r="O78" s="27">
        <f t="shared" si="3"/>
        <v>-143635530.6</v>
      </c>
      <c r="P78" s="28" t="str">
        <f t="shared" si="4"/>
        <v>Desceu</v>
      </c>
      <c r="Q78" s="29">
        <f t="shared" si="5"/>
        <v>-0.0947</v>
      </c>
      <c r="R78" s="30">
        <f t="shared" si="6"/>
        <v>11.83033249</v>
      </c>
      <c r="S78" s="27">
        <f t="shared" si="7"/>
        <v>-1200394791</v>
      </c>
      <c r="T78" s="31" t="str">
        <f t="shared" si="8"/>
        <v>Desceu</v>
      </c>
      <c r="U78" s="32">
        <f t="shared" si="9"/>
        <v>-0.1398</v>
      </c>
      <c r="V78" s="33">
        <f t="shared" si="10"/>
        <v>12.45059289</v>
      </c>
      <c r="W78" s="34">
        <f t="shared" si="11"/>
        <v>-929460216.6</v>
      </c>
      <c r="X78" s="35" t="str">
        <f t="shared" si="12"/>
        <v>Desceu</v>
      </c>
      <c r="Y78" s="36">
        <f t="shared" si="13"/>
        <v>-0.1398</v>
      </c>
      <c r="Z78" s="37">
        <f t="shared" si="14"/>
        <v>12.45059289</v>
      </c>
      <c r="AA78" s="38">
        <f t="shared" si="15"/>
        <v>-929460216.6</v>
      </c>
      <c r="AB78" s="39" t="str">
        <f t="shared" si="16"/>
        <v>Desceu</v>
      </c>
      <c r="AC78" s="36">
        <f t="shared" si="17"/>
        <v>-0.3272</v>
      </c>
      <c r="AD78" s="37">
        <f t="shared" si="18"/>
        <v>15.91854935</v>
      </c>
      <c r="AE78" s="38">
        <f t="shared" si="19"/>
        <v>-2781316323</v>
      </c>
      <c r="AF78" s="39" t="str">
        <f t="shared" si="20"/>
        <v>Desceu</v>
      </c>
      <c r="AG78" s="24" t="str">
        <f>VLOOKUP(A78,TICKER!A:B,2,0)</f>
        <v>Carrefour Brasil</v>
      </c>
      <c r="AH78" s="24" t="str">
        <f>VLOOKUP(AG78,SEGMENTO!A:B,2,0)</f>
        <v>Varejo</v>
      </c>
      <c r="AI78" s="24">
        <f>VLOOKUP(AG78,SEGMENTO!A:C,3,0)</f>
        <v>37</v>
      </c>
      <c r="AJ78" s="24" t="str">
        <f t="shared" si="21"/>
        <v>-50 anos</v>
      </c>
    </row>
    <row r="79">
      <c r="A79" s="40" t="s">
        <v>181</v>
      </c>
      <c r="B79" s="41" t="s">
        <v>28</v>
      </c>
      <c r="C79" s="42">
        <v>8.7</v>
      </c>
      <c r="D79" s="41">
        <v>-2.46</v>
      </c>
      <c r="E79" s="41">
        <v>-6.95</v>
      </c>
      <c r="F79" s="41">
        <v>-23.55</v>
      </c>
      <c r="G79" s="41">
        <v>-23.55</v>
      </c>
      <c r="H79" s="41">
        <v>-85.74</v>
      </c>
      <c r="I79" s="41">
        <v>8.67</v>
      </c>
      <c r="J79" s="41">
        <v>8.95</v>
      </c>
      <c r="K79" s="40" t="s">
        <v>182</v>
      </c>
      <c r="L79" s="24">
        <f t="shared" si="1"/>
        <v>-0.0246</v>
      </c>
      <c r="M79" s="25">
        <f t="shared" si="2"/>
        <v>8.919417675</v>
      </c>
      <c r="N79" s="26">
        <f>vlookup(A79,'TOTAL_AÇÕES'!A:B,2,0)</f>
        <v>94843047</v>
      </c>
      <c r="O79" s="27">
        <f t="shared" si="3"/>
        <v>-20810240.84</v>
      </c>
      <c r="P79" s="28" t="str">
        <f t="shared" si="4"/>
        <v>Desceu</v>
      </c>
      <c r="Q79" s="29">
        <f t="shared" si="5"/>
        <v>-0.0695</v>
      </c>
      <c r="R79" s="30">
        <f t="shared" si="6"/>
        <v>9.349811929</v>
      </c>
      <c r="S79" s="27">
        <f t="shared" si="7"/>
        <v>77364487.26</v>
      </c>
      <c r="T79" s="31" t="str">
        <f t="shared" si="8"/>
        <v>Subiu</v>
      </c>
      <c r="U79" s="32">
        <f t="shared" si="9"/>
        <v>-0.2355</v>
      </c>
      <c r="V79" s="33">
        <f t="shared" si="10"/>
        <v>11.37998692</v>
      </c>
      <c r="W79" s="34">
        <f t="shared" si="11"/>
        <v>-254178125.4</v>
      </c>
      <c r="X79" s="35" t="str">
        <f t="shared" si="12"/>
        <v>Desceu</v>
      </c>
      <c r="Y79" s="36">
        <f t="shared" si="13"/>
        <v>-0.2355</v>
      </c>
      <c r="Z79" s="37">
        <f t="shared" si="14"/>
        <v>11.37998692</v>
      </c>
      <c r="AA79" s="38">
        <f t="shared" si="15"/>
        <v>-254178125.4</v>
      </c>
      <c r="AB79" s="39" t="str">
        <f t="shared" si="16"/>
        <v>Desceu</v>
      </c>
      <c r="AC79" s="36">
        <f t="shared" si="17"/>
        <v>-0.8574</v>
      </c>
      <c r="AD79" s="37">
        <f t="shared" si="18"/>
        <v>61.00981767</v>
      </c>
      <c r="AE79" s="38">
        <f t="shared" si="19"/>
        <v>-4961222496</v>
      </c>
      <c r="AF79" s="39" t="str">
        <f t="shared" si="20"/>
        <v>Desceu</v>
      </c>
      <c r="AG79" s="24" t="str">
        <f>VLOOKUP(A79,TICKER!A:B,2,0)</f>
        <v>Casas Bahia</v>
      </c>
      <c r="AH79" s="24" t="str">
        <f>VLOOKUP(AG79,SEGMENTO!A:B,2,0)</f>
        <v>Varejo</v>
      </c>
      <c r="AI79" s="24">
        <f>VLOOKUP(AG79,SEGMENTO!A:C,3,0)</f>
        <v>95</v>
      </c>
      <c r="AJ79" s="24" t="str">
        <f t="shared" si="21"/>
        <v>Entre 50 e 100 anos</v>
      </c>
    </row>
    <row r="80">
      <c r="A80" s="21" t="s">
        <v>183</v>
      </c>
      <c r="B80" s="22" t="s">
        <v>28</v>
      </c>
      <c r="C80" s="23">
        <v>56.24</v>
      </c>
      <c r="D80" s="22">
        <v>-3.63</v>
      </c>
      <c r="E80" s="22">
        <v>-6.41</v>
      </c>
      <c r="F80" s="22">
        <v>-11.57</v>
      </c>
      <c r="G80" s="22">
        <v>-11.57</v>
      </c>
      <c r="H80" s="22">
        <v>-2.77</v>
      </c>
      <c r="I80" s="22">
        <v>56.04</v>
      </c>
      <c r="J80" s="22">
        <v>58.9</v>
      </c>
      <c r="K80" s="21" t="s">
        <v>184</v>
      </c>
      <c r="L80" s="24">
        <f t="shared" si="1"/>
        <v>-0.0363</v>
      </c>
      <c r="M80" s="25">
        <f t="shared" si="2"/>
        <v>58.35841029</v>
      </c>
      <c r="N80" s="26">
        <f>vlookup(A80,'TOTAL_AÇÕES'!A:B,2,0)</f>
        <v>853202347</v>
      </c>
      <c r="O80" s="27">
        <f t="shared" si="3"/>
        <v>-1807432634</v>
      </c>
      <c r="P80" s="28" t="str">
        <f t="shared" si="4"/>
        <v>Desceu</v>
      </c>
      <c r="Q80" s="29">
        <f t="shared" si="5"/>
        <v>-0.0641</v>
      </c>
      <c r="R80" s="30">
        <f t="shared" si="6"/>
        <v>60.09189016</v>
      </c>
      <c r="S80" s="27">
        <f t="shared" si="7"/>
        <v>-26060762465</v>
      </c>
      <c r="T80" s="31" t="str">
        <f t="shared" si="8"/>
        <v>Desceu</v>
      </c>
      <c r="U80" s="32">
        <f t="shared" si="9"/>
        <v>-0.1157</v>
      </c>
      <c r="V80" s="33">
        <f t="shared" si="10"/>
        <v>63.59832636</v>
      </c>
      <c r="W80" s="34">
        <f t="shared" si="11"/>
        <v>-6278141320</v>
      </c>
      <c r="X80" s="35" t="str">
        <f t="shared" si="12"/>
        <v>Desceu</v>
      </c>
      <c r="Y80" s="36">
        <f t="shared" si="13"/>
        <v>-0.1157</v>
      </c>
      <c r="Z80" s="37">
        <f t="shared" si="14"/>
        <v>63.59832636</v>
      </c>
      <c r="AA80" s="38">
        <f t="shared" si="15"/>
        <v>-6278141320</v>
      </c>
      <c r="AB80" s="39" t="str">
        <f t="shared" si="16"/>
        <v>Desceu</v>
      </c>
      <c r="AC80" s="36">
        <f t="shared" si="17"/>
        <v>-0.0277</v>
      </c>
      <c r="AD80" s="37">
        <f t="shared" si="18"/>
        <v>57.84222976</v>
      </c>
      <c r="AE80" s="38">
        <f t="shared" si="19"/>
        <v>-1367026195</v>
      </c>
      <c r="AF80" s="39" t="str">
        <f t="shared" si="20"/>
        <v>Desceu</v>
      </c>
      <c r="AG80" s="24" t="str">
        <f>VLOOKUP(A80,TICKER!A:B,2,0)</f>
        <v>Localiza</v>
      </c>
      <c r="AH80" s="24" t="str">
        <f>VLOOKUP(AG80,SEGMENTO!A:B,2,0)</f>
        <v>Aluguel de Carros</v>
      </c>
      <c r="AI80" s="24">
        <f>VLOOKUP(AG80,SEGMENTO!A:C,3,0)</f>
        <v>49</v>
      </c>
      <c r="AJ80" s="24" t="str">
        <f t="shared" si="21"/>
        <v>-50 anos</v>
      </c>
    </row>
    <row r="81">
      <c r="A81" s="40" t="s">
        <v>185</v>
      </c>
      <c r="B81" s="41" t="s">
        <v>28</v>
      </c>
      <c r="C81" s="42">
        <v>3.07</v>
      </c>
      <c r="D81" s="41">
        <v>-4.36</v>
      </c>
      <c r="E81" s="41">
        <v>-5.54</v>
      </c>
      <c r="F81" s="41">
        <v>-12.29</v>
      </c>
      <c r="G81" s="41">
        <v>-12.29</v>
      </c>
      <c r="H81" s="41">
        <v>-36.83</v>
      </c>
      <c r="I81" s="41">
        <v>3.05</v>
      </c>
      <c r="J81" s="41">
        <v>3.23</v>
      </c>
      <c r="K81" s="40" t="s">
        <v>186</v>
      </c>
      <c r="L81" s="24">
        <f t="shared" si="1"/>
        <v>-0.0436</v>
      </c>
      <c r="M81" s="25">
        <f t="shared" si="2"/>
        <v>3.209953994</v>
      </c>
      <c r="N81" s="26">
        <f>vlookup(A81,'TOTAL_AÇÕES'!A:B,2,0)</f>
        <v>525582771</v>
      </c>
      <c r="O81" s="27">
        <f t="shared" si="3"/>
        <v>-73557408.06</v>
      </c>
      <c r="P81" s="28" t="str">
        <f t="shared" si="4"/>
        <v>Desceu</v>
      </c>
      <c r="Q81" s="29">
        <f t="shared" si="5"/>
        <v>-0.0554</v>
      </c>
      <c r="R81" s="30">
        <f t="shared" si="6"/>
        <v>3.250052932</v>
      </c>
      <c r="S81" s="27">
        <f t="shared" si="7"/>
        <v>3219456427</v>
      </c>
      <c r="T81" s="31" t="str">
        <f t="shared" si="8"/>
        <v>Subiu</v>
      </c>
      <c r="U81" s="32">
        <f t="shared" si="9"/>
        <v>-0.1229</v>
      </c>
      <c r="V81" s="33">
        <f t="shared" si="10"/>
        <v>3.500171018</v>
      </c>
      <c r="W81" s="34">
        <f t="shared" si="11"/>
        <v>-226090475.7</v>
      </c>
      <c r="X81" s="35" t="str">
        <f t="shared" si="12"/>
        <v>Desceu</v>
      </c>
      <c r="Y81" s="36">
        <f t="shared" si="13"/>
        <v>-0.1229</v>
      </c>
      <c r="Z81" s="37">
        <f t="shared" si="14"/>
        <v>3.500171018</v>
      </c>
      <c r="AA81" s="38">
        <f t="shared" si="15"/>
        <v>-226090475.7</v>
      </c>
      <c r="AB81" s="39" t="str">
        <f t="shared" si="16"/>
        <v>Desceu</v>
      </c>
      <c r="AC81" s="36">
        <f t="shared" si="17"/>
        <v>-0.3683</v>
      </c>
      <c r="AD81" s="37">
        <f t="shared" si="18"/>
        <v>4.859901852</v>
      </c>
      <c r="AE81" s="38">
        <f t="shared" si="19"/>
        <v>-940741575.3</v>
      </c>
      <c r="AF81" s="39" t="str">
        <f t="shared" si="20"/>
        <v>Desceu</v>
      </c>
      <c r="AG81" s="24" t="str">
        <f>VLOOKUP(A81,TICKER!A:B,2,0)</f>
        <v>CVC</v>
      </c>
      <c r="AH81" s="24" t="str">
        <f>VLOOKUP(AG81,SEGMENTO!A:B,2,0)</f>
        <v>Turismo</v>
      </c>
      <c r="AI81" s="24">
        <f>VLOOKUP(AG81,SEGMENTO!A:C,3,0)</f>
        <v>50</v>
      </c>
      <c r="AJ81" s="24" t="str">
        <f t="shared" si="21"/>
        <v>Entre 50 e 100 anos</v>
      </c>
    </row>
    <row r="82">
      <c r="A82" s="21" t="s">
        <v>187</v>
      </c>
      <c r="B82" s="22" t="s">
        <v>28</v>
      </c>
      <c r="C82" s="23">
        <v>5.92</v>
      </c>
      <c r="D82" s="22">
        <v>-8.07</v>
      </c>
      <c r="E82" s="22">
        <v>-15.91</v>
      </c>
      <c r="F82" s="22">
        <v>-34.0</v>
      </c>
      <c r="G82" s="22">
        <v>-34.0</v>
      </c>
      <c r="H82" s="22">
        <v>-25.44</v>
      </c>
      <c r="I82" s="22">
        <v>5.51</v>
      </c>
      <c r="J82" s="22">
        <v>6.02</v>
      </c>
      <c r="K82" s="21" t="s">
        <v>188</v>
      </c>
      <c r="L82" s="24">
        <f t="shared" si="1"/>
        <v>-0.0807</v>
      </c>
      <c r="M82" s="25">
        <f t="shared" si="2"/>
        <v>6.439682367</v>
      </c>
      <c r="N82" s="26">
        <f>vlookup(A82,'TOTAL_AÇÕES'!A:B,2,0)</f>
        <v>198184909</v>
      </c>
      <c r="O82" s="27">
        <f t="shared" si="3"/>
        <v>-102993202.6</v>
      </c>
      <c r="P82" s="28" t="str">
        <f t="shared" si="4"/>
        <v>Desceu</v>
      </c>
      <c r="Q82" s="29">
        <f t="shared" si="5"/>
        <v>-0.1591</v>
      </c>
      <c r="R82" s="30">
        <f t="shared" si="6"/>
        <v>7.040076109</v>
      </c>
      <c r="S82" s="27">
        <f t="shared" si="7"/>
        <v>1267149577</v>
      </c>
      <c r="T82" s="31" t="str">
        <f t="shared" si="8"/>
        <v>Subiu</v>
      </c>
      <c r="U82" s="32">
        <f t="shared" si="9"/>
        <v>-0.34</v>
      </c>
      <c r="V82" s="33">
        <f t="shared" si="10"/>
        <v>8.96969697</v>
      </c>
      <c r="W82" s="34">
        <f t="shared" si="11"/>
        <v>-604403916.4</v>
      </c>
      <c r="X82" s="35" t="str">
        <f t="shared" si="12"/>
        <v>Desceu</v>
      </c>
      <c r="Y82" s="36">
        <f t="shared" si="13"/>
        <v>-0.34</v>
      </c>
      <c r="Z82" s="37">
        <f t="shared" si="14"/>
        <v>8.96969697</v>
      </c>
      <c r="AA82" s="38">
        <f t="shared" si="15"/>
        <v>-604403916.4</v>
      </c>
      <c r="AB82" s="39" t="str">
        <f t="shared" si="16"/>
        <v>Desceu</v>
      </c>
      <c r="AC82" s="36">
        <f t="shared" si="17"/>
        <v>-0.2544</v>
      </c>
      <c r="AD82" s="37">
        <f t="shared" si="18"/>
        <v>7.939914163</v>
      </c>
      <c r="AE82" s="38">
        <f t="shared" si="19"/>
        <v>-400316504.6</v>
      </c>
      <c r="AF82" s="39" t="str">
        <f t="shared" si="20"/>
        <v>Desceu</v>
      </c>
      <c r="AG82" s="24" t="str">
        <f>VLOOKUP(A82,TICKER!A:B,2,0)</f>
        <v>GOL</v>
      </c>
      <c r="AH82" s="24" t="str">
        <f>VLOOKUP(AG82,SEGMENTO!A:B,2,0)</f>
        <v>Aviação</v>
      </c>
      <c r="AI82" s="24">
        <f>VLOOKUP(AG82,SEGMENTO!A:C,3,0)</f>
        <v>20</v>
      </c>
      <c r="AJ82" s="24" t="str">
        <f t="shared" si="21"/>
        <v>-50 anos</v>
      </c>
    </row>
    <row r="83">
      <c r="C83" s="43"/>
      <c r="M83" s="43"/>
      <c r="O83" s="44"/>
      <c r="P83" s="45"/>
      <c r="Q83" s="46"/>
      <c r="R83" s="47"/>
      <c r="S83" s="44"/>
      <c r="U83" s="46"/>
      <c r="V83" s="44"/>
      <c r="Y83" s="46"/>
      <c r="Z83" s="44"/>
      <c r="AC83" s="46"/>
      <c r="AD83" s="44"/>
    </row>
    <row r="84">
      <c r="C84" s="43"/>
      <c r="M84" s="43"/>
      <c r="O84" s="44"/>
      <c r="P84" s="45"/>
      <c r="Q84" s="46"/>
      <c r="R84" s="47"/>
      <c r="S84" s="44"/>
      <c r="U84" s="46"/>
      <c r="V84" s="44"/>
      <c r="Y84" s="46"/>
      <c r="Z84" s="44"/>
      <c r="AC84" s="46"/>
      <c r="AD84" s="44"/>
    </row>
    <row r="85">
      <c r="C85" s="43"/>
      <c r="M85" s="43"/>
      <c r="O85" s="44"/>
      <c r="P85" s="45"/>
      <c r="Q85" s="46"/>
      <c r="R85" s="47"/>
      <c r="S85" s="44"/>
      <c r="U85" s="46"/>
      <c r="V85" s="44"/>
      <c r="Y85" s="46"/>
      <c r="Z85" s="44"/>
      <c r="AC85" s="46"/>
      <c r="AD85" s="44"/>
    </row>
    <row r="86">
      <c r="C86" s="43"/>
      <c r="M86" s="43"/>
      <c r="O86" s="44"/>
      <c r="P86" s="45"/>
      <c r="Q86" s="46"/>
      <c r="R86" s="47"/>
      <c r="S86" s="44"/>
      <c r="U86" s="46"/>
      <c r="V86" s="44"/>
      <c r="Y86" s="46"/>
      <c r="Z86" s="44"/>
      <c r="AC86" s="46"/>
      <c r="AD86" s="44"/>
    </row>
    <row r="87">
      <c r="C87" s="43"/>
      <c r="M87" s="43"/>
      <c r="O87" s="44"/>
      <c r="P87" s="45"/>
      <c r="Q87" s="46"/>
      <c r="R87" s="47"/>
      <c r="S87" s="44"/>
      <c r="U87" s="46"/>
      <c r="V87" s="44"/>
      <c r="Y87" s="46"/>
      <c r="Z87" s="44"/>
      <c r="AC87" s="46"/>
      <c r="AD87" s="44"/>
    </row>
    <row r="88">
      <c r="C88" s="43"/>
      <c r="M88" s="43"/>
      <c r="O88" s="44"/>
      <c r="P88" s="45"/>
      <c r="Q88" s="46"/>
      <c r="R88" s="47"/>
      <c r="S88" s="44"/>
      <c r="U88" s="46"/>
      <c r="V88" s="44"/>
      <c r="Y88" s="46"/>
      <c r="Z88" s="44"/>
      <c r="AC88" s="46"/>
      <c r="AD88" s="44"/>
    </row>
    <row r="89">
      <c r="C89" s="43"/>
      <c r="M89" s="43"/>
      <c r="O89" s="44"/>
      <c r="P89" s="45"/>
      <c r="Q89" s="46"/>
      <c r="R89" s="47"/>
      <c r="S89" s="44"/>
      <c r="U89" s="46"/>
      <c r="V89" s="44"/>
      <c r="Y89" s="46"/>
      <c r="Z89" s="44"/>
      <c r="AC89" s="46"/>
      <c r="AD89" s="44"/>
    </row>
    <row r="90">
      <c r="C90" s="43"/>
      <c r="M90" s="43"/>
      <c r="O90" s="44"/>
      <c r="P90" s="45"/>
      <c r="Q90" s="46"/>
      <c r="R90" s="47"/>
      <c r="S90" s="44"/>
      <c r="U90" s="46"/>
      <c r="V90" s="44"/>
      <c r="Y90" s="46"/>
      <c r="Z90" s="44"/>
      <c r="AC90" s="46"/>
      <c r="AD90" s="44"/>
    </row>
    <row r="91">
      <c r="C91" s="43"/>
      <c r="M91" s="43"/>
      <c r="O91" s="44"/>
      <c r="P91" s="45"/>
      <c r="Q91" s="46"/>
      <c r="R91" s="47"/>
      <c r="S91" s="44"/>
      <c r="U91" s="46"/>
      <c r="V91" s="44"/>
      <c r="Y91" s="46"/>
      <c r="Z91" s="44"/>
      <c r="AC91" s="46"/>
      <c r="AD91" s="44"/>
    </row>
    <row r="92">
      <c r="C92" s="43"/>
      <c r="M92" s="43"/>
      <c r="O92" s="44"/>
      <c r="P92" s="45"/>
      <c r="Q92" s="46"/>
      <c r="R92" s="47"/>
      <c r="S92" s="44"/>
      <c r="U92" s="46"/>
      <c r="V92" s="44"/>
      <c r="Y92" s="46"/>
      <c r="Z92" s="44"/>
      <c r="AC92" s="46"/>
      <c r="AD92" s="44"/>
    </row>
    <row r="93">
      <c r="C93" s="43"/>
      <c r="M93" s="43"/>
      <c r="O93" s="44"/>
      <c r="P93" s="45"/>
      <c r="Q93" s="46"/>
      <c r="R93" s="47"/>
      <c r="S93" s="44"/>
      <c r="U93" s="46"/>
      <c r="V93" s="44"/>
      <c r="Y93" s="46"/>
      <c r="Z93" s="44"/>
      <c r="AC93" s="46"/>
      <c r="AD93" s="44"/>
    </row>
    <row r="94">
      <c r="C94" s="43"/>
      <c r="M94" s="43"/>
      <c r="O94" s="44"/>
      <c r="P94" s="45"/>
      <c r="Q94" s="46"/>
      <c r="R94" s="47"/>
      <c r="S94" s="44"/>
      <c r="U94" s="46"/>
      <c r="V94" s="44"/>
      <c r="Y94" s="46"/>
      <c r="Z94" s="44"/>
      <c r="AC94" s="46"/>
      <c r="AD94" s="44"/>
    </row>
    <row r="95">
      <c r="C95" s="43"/>
      <c r="M95" s="43"/>
      <c r="O95" s="44"/>
      <c r="P95" s="45"/>
      <c r="Q95" s="46"/>
      <c r="R95" s="47"/>
      <c r="S95" s="44"/>
      <c r="U95" s="46"/>
      <c r="V95" s="44"/>
      <c r="Y95" s="46"/>
      <c r="Z95" s="44"/>
      <c r="AC95" s="46"/>
      <c r="AD95" s="44"/>
    </row>
    <row r="96">
      <c r="C96" s="43"/>
      <c r="M96" s="43"/>
      <c r="O96" s="44"/>
      <c r="P96" s="45"/>
      <c r="Q96" s="46"/>
      <c r="R96" s="47"/>
      <c r="S96" s="44"/>
      <c r="U96" s="46"/>
      <c r="V96" s="44"/>
      <c r="Y96" s="46"/>
      <c r="Z96" s="44"/>
      <c r="AC96" s="46"/>
      <c r="AD96" s="44"/>
    </row>
    <row r="97">
      <c r="C97" s="43"/>
      <c r="M97" s="43"/>
      <c r="O97" s="44"/>
      <c r="P97" s="45"/>
      <c r="Q97" s="46"/>
      <c r="R97" s="47"/>
      <c r="S97" s="44"/>
      <c r="U97" s="46"/>
      <c r="V97" s="44"/>
      <c r="Y97" s="46"/>
      <c r="Z97" s="44"/>
      <c r="AC97" s="46"/>
      <c r="AD97" s="44"/>
    </row>
    <row r="98">
      <c r="C98" s="43"/>
      <c r="M98" s="43"/>
      <c r="O98" s="44"/>
      <c r="P98" s="45"/>
      <c r="Q98" s="46"/>
      <c r="R98" s="47"/>
      <c r="S98" s="44"/>
      <c r="U98" s="46"/>
      <c r="V98" s="44"/>
      <c r="Y98" s="46"/>
      <c r="Z98" s="44"/>
      <c r="AC98" s="46"/>
      <c r="AD98" s="44"/>
    </row>
    <row r="99">
      <c r="C99" s="43"/>
      <c r="M99" s="43"/>
      <c r="O99" s="44"/>
      <c r="P99" s="45"/>
      <c r="Q99" s="46"/>
      <c r="R99" s="47"/>
      <c r="S99" s="44"/>
      <c r="U99" s="46"/>
      <c r="V99" s="44"/>
      <c r="Y99" s="46"/>
      <c r="Z99" s="44"/>
      <c r="AC99" s="46"/>
      <c r="AD99" s="44"/>
    </row>
    <row r="100">
      <c r="C100" s="43"/>
      <c r="M100" s="43"/>
      <c r="O100" s="44"/>
      <c r="P100" s="45"/>
      <c r="Q100" s="46"/>
      <c r="R100" s="47"/>
      <c r="S100" s="44"/>
      <c r="U100" s="46"/>
      <c r="V100" s="44"/>
      <c r="Y100" s="46"/>
      <c r="Z100" s="44"/>
      <c r="AC100" s="46"/>
      <c r="AD100" s="44"/>
    </row>
    <row r="101">
      <c r="C101" s="43"/>
      <c r="M101" s="43"/>
      <c r="O101" s="44"/>
      <c r="P101" s="45"/>
      <c r="Q101" s="46"/>
      <c r="R101" s="47"/>
      <c r="S101" s="44"/>
      <c r="U101" s="46"/>
      <c r="V101" s="44"/>
      <c r="Y101" s="46"/>
      <c r="Z101" s="44"/>
      <c r="AC101" s="46"/>
      <c r="AD101" s="44"/>
    </row>
    <row r="102">
      <c r="C102" s="43"/>
      <c r="M102" s="43"/>
      <c r="O102" s="44"/>
      <c r="P102" s="45"/>
      <c r="Q102" s="46"/>
      <c r="R102" s="47"/>
      <c r="S102" s="44"/>
      <c r="U102" s="46"/>
      <c r="V102" s="44"/>
      <c r="Y102" s="46"/>
      <c r="Z102" s="44"/>
      <c r="AC102" s="46"/>
      <c r="AD102" s="44"/>
    </row>
    <row r="103">
      <c r="C103" s="43"/>
      <c r="M103" s="43"/>
      <c r="O103" s="44"/>
      <c r="P103" s="45"/>
      <c r="Q103" s="46"/>
      <c r="R103" s="47"/>
      <c r="S103" s="44"/>
      <c r="U103" s="46"/>
      <c r="V103" s="44"/>
      <c r="Y103" s="46"/>
      <c r="Z103" s="44"/>
      <c r="AC103" s="46"/>
      <c r="AD103" s="44"/>
    </row>
    <row r="104">
      <c r="C104" s="43"/>
      <c r="M104" s="43"/>
      <c r="O104" s="44"/>
      <c r="P104" s="45"/>
      <c r="Q104" s="46"/>
      <c r="R104" s="47"/>
      <c r="S104" s="44"/>
      <c r="U104" s="46"/>
      <c r="V104" s="44"/>
      <c r="Y104" s="46"/>
      <c r="Z104" s="44"/>
      <c r="AC104" s="46"/>
      <c r="AD104" s="44"/>
    </row>
    <row r="105">
      <c r="C105" s="43"/>
      <c r="M105" s="43"/>
      <c r="O105" s="44"/>
      <c r="P105" s="45"/>
      <c r="Q105" s="46"/>
      <c r="R105" s="47"/>
      <c r="S105" s="44"/>
      <c r="U105" s="46"/>
      <c r="V105" s="44"/>
      <c r="Y105" s="46"/>
      <c r="Z105" s="44"/>
      <c r="AC105" s="46"/>
      <c r="AD105" s="44"/>
    </row>
    <row r="106">
      <c r="C106" s="43"/>
      <c r="M106" s="43"/>
      <c r="O106" s="44"/>
      <c r="P106" s="45"/>
      <c r="Q106" s="46"/>
      <c r="R106" s="47"/>
      <c r="S106" s="44"/>
      <c r="U106" s="46"/>
      <c r="V106" s="44"/>
      <c r="Y106" s="46"/>
      <c r="Z106" s="44"/>
      <c r="AC106" s="46"/>
      <c r="AD106" s="44"/>
    </row>
    <row r="107">
      <c r="C107" s="43"/>
      <c r="M107" s="43"/>
      <c r="O107" s="44"/>
      <c r="P107" s="45"/>
      <c r="Q107" s="46"/>
      <c r="R107" s="47"/>
      <c r="S107" s="44"/>
      <c r="U107" s="46"/>
      <c r="V107" s="44"/>
      <c r="Y107" s="46"/>
      <c r="Z107" s="44"/>
      <c r="AC107" s="46"/>
      <c r="AD107" s="44"/>
    </row>
    <row r="108">
      <c r="C108" s="43"/>
      <c r="M108" s="43"/>
      <c r="O108" s="44"/>
      <c r="P108" s="45"/>
      <c r="Q108" s="46"/>
      <c r="R108" s="47"/>
      <c r="S108" s="44"/>
      <c r="U108" s="46"/>
      <c r="V108" s="44"/>
      <c r="Y108" s="46"/>
      <c r="Z108" s="44"/>
      <c r="AC108" s="46"/>
      <c r="AD108" s="44"/>
    </row>
    <row r="109">
      <c r="C109" s="43"/>
      <c r="M109" s="43"/>
      <c r="O109" s="44"/>
      <c r="P109" s="45"/>
      <c r="Q109" s="46"/>
      <c r="R109" s="47"/>
      <c r="S109" s="44"/>
      <c r="U109" s="46"/>
      <c r="V109" s="44"/>
      <c r="Y109" s="46"/>
      <c r="Z109" s="44"/>
      <c r="AC109" s="46"/>
      <c r="AD109" s="44"/>
    </row>
    <row r="110">
      <c r="C110" s="43"/>
      <c r="M110" s="43"/>
      <c r="O110" s="44"/>
      <c r="P110" s="45"/>
      <c r="Q110" s="46"/>
      <c r="R110" s="47"/>
      <c r="S110" s="44"/>
      <c r="U110" s="46"/>
      <c r="V110" s="44"/>
      <c r="Y110" s="46"/>
      <c r="Z110" s="44"/>
      <c r="AC110" s="46"/>
      <c r="AD110" s="44"/>
    </row>
    <row r="111">
      <c r="C111" s="43"/>
      <c r="M111" s="43"/>
      <c r="O111" s="44"/>
      <c r="P111" s="45"/>
      <c r="Q111" s="46"/>
      <c r="R111" s="47"/>
      <c r="S111" s="44"/>
      <c r="U111" s="46"/>
      <c r="V111" s="44"/>
      <c r="Y111" s="46"/>
      <c r="Z111" s="44"/>
      <c r="AC111" s="46"/>
      <c r="AD111" s="44"/>
    </row>
    <row r="112">
      <c r="C112" s="43"/>
      <c r="M112" s="43"/>
      <c r="O112" s="44"/>
      <c r="P112" s="45"/>
      <c r="Q112" s="46"/>
      <c r="R112" s="47"/>
      <c r="S112" s="44"/>
      <c r="U112" s="46"/>
      <c r="V112" s="44"/>
      <c r="Y112" s="46"/>
      <c r="Z112" s="44"/>
      <c r="AC112" s="46"/>
      <c r="AD112" s="44"/>
    </row>
    <row r="113">
      <c r="C113" s="43"/>
      <c r="M113" s="43"/>
      <c r="O113" s="44"/>
      <c r="P113" s="45"/>
      <c r="Q113" s="46"/>
      <c r="R113" s="47"/>
      <c r="S113" s="44"/>
      <c r="U113" s="46"/>
      <c r="V113" s="44"/>
      <c r="Y113" s="46"/>
      <c r="Z113" s="44"/>
      <c r="AC113" s="46"/>
      <c r="AD113" s="44"/>
    </row>
    <row r="114">
      <c r="C114" s="43"/>
      <c r="M114" s="43"/>
      <c r="O114" s="44"/>
      <c r="P114" s="45"/>
      <c r="Q114" s="46"/>
      <c r="R114" s="47"/>
      <c r="S114" s="44"/>
      <c r="U114" s="46"/>
      <c r="V114" s="44"/>
      <c r="Y114" s="46"/>
      <c r="Z114" s="44"/>
      <c r="AC114" s="46"/>
      <c r="AD114" s="44"/>
    </row>
    <row r="115">
      <c r="C115" s="43"/>
      <c r="M115" s="43"/>
      <c r="O115" s="44"/>
      <c r="P115" s="45"/>
      <c r="Q115" s="46"/>
      <c r="R115" s="47"/>
      <c r="S115" s="44"/>
      <c r="U115" s="46"/>
      <c r="V115" s="44"/>
      <c r="Y115" s="46"/>
      <c r="Z115" s="44"/>
      <c r="AC115" s="46"/>
      <c r="AD115" s="44"/>
    </row>
    <row r="116">
      <c r="C116" s="43"/>
      <c r="M116" s="43"/>
      <c r="O116" s="44"/>
      <c r="P116" s="45"/>
      <c r="Q116" s="46"/>
      <c r="R116" s="47"/>
      <c r="S116" s="44"/>
      <c r="U116" s="46"/>
      <c r="V116" s="44"/>
      <c r="Y116" s="46"/>
      <c r="Z116" s="44"/>
      <c r="AC116" s="46"/>
      <c r="AD116" s="44"/>
    </row>
    <row r="117">
      <c r="C117" s="43"/>
      <c r="M117" s="43"/>
      <c r="O117" s="44"/>
      <c r="P117" s="45"/>
      <c r="Q117" s="46"/>
      <c r="R117" s="47"/>
      <c r="S117" s="44"/>
      <c r="U117" s="46"/>
      <c r="V117" s="44"/>
      <c r="Y117" s="46"/>
      <c r="Z117" s="44"/>
      <c r="AC117" s="46"/>
      <c r="AD117" s="44"/>
    </row>
    <row r="118">
      <c r="C118" s="43"/>
      <c r="M118" s="43"/>
      <c r="O118" s="44"/>
      <c r="P118" s="45"/>
      <c r="Q118" s="46"/>
      <c r="R118" s="47"/>
      <c r="S118" s="44"/>
      <c r="U118" s="46"/>
      <c r="V118" s="44"/>
      <c r="Y118" s="46"/>
      <c r="Z118" s="44"/>
      <c r="AC118" s="46"/>
      <c r="AD118" s="44"/>
    </row>
    <row r="119">
      <c r="C119" s="43"/>
      <c r="M119" s="43"/>
      <c r="O119" s="44"/>
      <c r="P119" s="45"/>
      <c r="Q119" s="46"/>
      <c r="R119" s="47"/>
      <c r="S119" s="44"/>
      <c r="U119" s="46"/>
      <c r="V119" s="44"/>
      <c r="Y119" s="46"/>
      <c r="Z119" s="44"/>
      <c r="AC119" s="46"/>
      <c r="AD119" s="44"/>
    </row>
    <row r="120">
      <c r="C120" s="43"/>
      <c r="M120" s="43"/>
      <c r="O120" s="44"/>
      <c r="P120" s="45"/>
      <c r="Q120" s="46"/>
      <c r="R120" s="47"/>
      <c r="S120" s="44"/>
      <c r="U120" s="46"/>
      <c r="V120" s="44"/>
      <c r="Y120" s="46"/>
      <c r="Z120" s="44"/>
      <c r="AC120" s="46"/>
      <c r="AD120" s="44"/>
    </row>
    <row r="121">
      <c r="C121" s="43"/>
      <c r="M121" s="43"/>
      <c r="O121" s="44"/>
      <c r="P121" s="45"/>
      <c r="Q121" s="46"/>
      <c r="R121" s="47"/>
      <c r="S121" s="44"/>
      <c r="U121" s="46"/>
      <c r="V121" s="44"/>
      <c r="Y121" s="46"/>
      <c r="Z121" s="44"/>
      <c r="AC121" s="46"/>
      <c r="AD121" s="44"/>
    </row>
    <row r="122">
      <c r="C122" s="43"/>
      <c r="M122" s="43"/>
      <c r="O122" s="44"/>
      <c r="P122" s="45"/>
      <c r="Q122" s="46"/>
      <c r="R122" s="47"/>
      <c r="S122" s="44"/>
      <c r="U122" s="46"/>
      <c r="V122" s="44"/>
      <c r="Y122" s="46"/>
      <c r="Z122" s="44"/>
      <c r="AC122" s="46"/>
      <c r="AD122" s="44"/>
    </row>
    <row r="123">
      <c r="C123" s="43"/>
      <c r="M123" s="43"/>
      <c r="O123" s="44"/>
      <c r="P123" s="45"/>
      <c r="Q123" s="46"/>
      <c r="R123" s="47"/>
      <c r="S123" s="44"/>
      <c r="U123" s="46"/>
      <c r="V123" s="44"/>
      <c r="Y123" s="46"/>
      <c r="Z123" s="44"/>
      <c r="AC123" s="46"/>
      <c r="AD123" s="44"/>
    </row>
    <row r="124">
      <c r="C124" s="43"/>
      <c r="M124" s="43"/>
      <c r="O124" s="44"/>
      <c r="P124" s="45"/>
      <c r="Q124" s="46"/>
      <c r="R124" s="47"/>
      <c r="S124" s="44"/>
      <c r="U124" s="46"/>
      <c r="V124" s="44"/>
      <c r="Y124" s="46"/>
      <c r="Z124" s="44"/>
      <c r="AC124" s="46"/>
      <c r="AD124" s="44"/>
    </row>
    <row r="125">
      <c r="C125" s="43"/>
      <c r="M125" s="43"/>
      <c r="O125" s="44"/>
      <c r="P125" s="45"/>
      <c r="Q125" s="46"/>
      <c r="R125" s="47"/>
      <c r="S125" s="44"/>
      <c r="U125" s="46"/>
      <c r="V125" s="44"/>
      <c r="Y125" s="46"/>
      <c r="Z125" s="44"/>
      <c r="AC125" s="46"/>
      <c r="AD125" s="44"/>
    </row>
    <row r="126">
      <c r="C126" s="43"/>
      <c r="M126" s="43"/>
      <c r="O126" s="44"/>
      <c r="P126" s="45"/>
      <c r="Q126" s="46"/>
      <c r="R126" s="47"/>
      <c r="S126" s="44"/>
      <c r="U126" s="46"/>
      <c r="V126" s="44"/>
      <c r="Y126" s="46"/>
      <c r="Z126" s="44"/>
      <c r="AC126" s="46"/>
      <c r="AD126" s="44"/>
    </row>
    <row r="127">
      <c r="C127" s="43"/>
      <c r="M127" s="43"/>
      <c r="O127" s="44"/>
      <c r="P127" s="45"/>
      <c r="Q127" s="46"/>
      <c r="R127" s="47"/>
      <c r="S127" s="44"/>
      <c r="U127" s="46"/>
      <c r="V127" s="44"/>
      <c r="Y127" s="46"/>
      <c r="Z127" s="44"/>
      <c r="AC127" s="46"/>
      <c r="AD127" s="44"/>
    </row>
    <row r="128">
      <c r="C128" s="43"/>
      <c r="M128" s="43"/>
      <c r="O128" s="44"/>
      <c r="P128" s="45"/>
      <c r="Q128" s="46"/>
      <c r="R128" s="47"/>
      <c r="S128" s="44"/>
      <c r="U128" s="46"/>
      <c r="V128" s="44"/>
      <c r="Y128" s="46"/>
      <c r="Z128" s="44"/>
      <c r="AC128" s="46"/>
      <c r="AD128" s="44"/>
    </row>
    <row r="129">
      <c r="C129" s="43"/>
      <c r="M129" s="43"/>
      <c r="O129" s="44"/>
      <c r="P129" s="45"/>
      <c r="Q129" s="46"/>
      <c r="R129" s="47"/>
      <c r="S129" s="44"/>
      <c r="U129" s="46"/>
      <c r="V129" s="44"/>
      <c r="Y129" s="46"/>
      <c r="Z129" s="44"/>
      <c r="AC129" s="46"/>
      <c r="AD129" s="44"/>
    </row>
    <row r="130">
      <c r="C130" s="43"/>
      <c r="M130" s="43"/>
      <c r="O130" s="44"/>
      <c r="P130" s="45"/>
      <c r="Q130" s="46"/>
      <c r="R130" s="47"/>
      <c r="S130" s="44"/>
      <c r="U130" s="46"/>
      <c r="V130" s="44"/>
      <c r="Y130" s="46"/>
      <c r="Z130" s="44"/>
      <c r="AC130" s="46"/>
      <c r="AD130" s="44"/>
    </row>
    <row r="131">
      <c r="C131" s="43"/>
      <c r="M131" s="43"/>
      <c r="O131" s="44"/>
      <c r="P131" s="45"/>
      <c r="Q131" s="46"/>
      <c r="R131" s="47"/>
      <c r="S131" s="44"/>
      <c r="U131" s="46"/>
      <c r="V131" s="44"/>
      <c r="Y131" s="46"/>
      <c r="Z131" s="44"/>
      <c r="AC131" s="46"/>
      <c r="AD131" s="44"/>
    </row>
    <row r="132">
      <c r="C132" s="43"/>
      <c r="M132" s="43"/>
      <c r="O132" s="44"/>
      <c r="P132" s="45"/>
      <c r="Q132" s="46"/>
      <c r="R132" s="47"/>
      <c r="S132" s="44"/>
      <c r="U132" s="46"/>
      <c r="V132" s="44"/>
      <c r="Y132" s="46"/>
      <c r="Z132" s="44"/>
      <c r="AC132" s="46"/>
      <c r="AD132" s="44"/>
    </row>
    <row r="133">
      <c r="C133" s="43"/>
      <c r="M133" s="43"/>
      <c r="O133" s="44"/>
      <c r="P133" s="45"/>
      <c r="Q133" s="46"/>
      <c r="R133" s="47"/>
      <c r="S133" s="44"/>
      <c r="U133" s="46"/>
      <c r="V133" s="44"/>
      <c r="Y133" s="46"/>
      <c r="Z133" s="44"/>
      <c r="AC133" s="46"/>
      <c r="AD133" s="44"/>
    </row>
    <row r="134">
      <c r="C134" s="43"/>
      <c r="M134" s="43"/>
      <c r="O134" s="44"/>
      <c r="P134" s="45"/>
      <c r="Q134" s="46"/>
      <c r="R134" s="47"/>
      <c r="S134" s="44"/>
      <c r="U134" s="46"/>
      <c r="V134" s="44"/>
      <c r="Y134" s="46"/>
      <c r="Z134" s="44"/>
      <c r="AC134" s="46"/>
      <c r="AD134" s="44"/>
    </row>
    <row r="135">
      <c r="C135" s="43"/>
      <c r="M135" s="43"/>
      <c r="O135" s="44"/>
      <c r="P135" s="45"/>
      <c r="Q135" s="46"/>
      <c r="R135" s="47"/>
      <c r="S135" s="44"/>
      <c r="U135" s="46"/>
      <c r="V135" s="44"/>
      <c r="Y135" s="46"/>
      <c r="Z135" s="44"/>
      <c r="AC135" s="46"/>
      <c r="AD135" s="44"/>
    </row>
    <row r="136">
      <c r="C136" s="43"/>
      <c r="M136" s="43"/>
      <c r="O136" s="44"/>
      <c r="P136" s="45"/>
      <c r="Q136" s="46"/>
      <c r="R136" s="47"/>
      <c r="S136" s="44"/>
      <c r="U136" s="46"/>
      <c r="V136" s="44"/>
      <c r="Y136" s="46"/>
      <c r="Z136" s="44"/>
      <c r="AC136" s="46"/>
      <c r="AD136" s="44"/>
    </row>
    <row r="137">
      <c r="C137" s="43"/>
      <c r="M137" s="43"/>
      <c r="O137" s="44"/>
      <c r="P137" s="45"/>
      <c r="Q137" s="46"/>
      <c r="R137" s="47"/>
      <c r="S137" s="44"/>
      <c r="U137" s="46"/>
      <c r="V137" s="44"/>
      <c r="Y137" s="46"/>
      <c r="Z137" s="44"/>
      <c r="AC137" s="46"/>
      <c r="AD137" s="44"/>
    </row>
    <row r="138">
      <c r="C138" s="43"/>
      <c r="M138" s="43"/>
      <c r="O138" s="44"/>
      <c r="P138" s="45"/>
      <c r="Q138" s="46"/>
      <c r="R138" s="47"/>
      <c r="S138" s="44"/>
      <c r="U138" s="46"/>
      <c r="V138" s="44"/>
      <c r="Y138" s="46"/>
      <c r="Z138" s="44"/>
      <c r="AC138" s="46"/>
      <c r="AD138" s="44"/>
    </row>
    <row r="139">
      <c r="C139" s="43"/>
      <c r="M139" s="43"/>
      <c r="O139" s="44"/>
      <c r="P139" s="45"/>
      <c r="Q139" s="46"/>
      <c r="R139" s="47"/>
      <c r="S139" s="44"/>
      <c r="U139" s="46"/>
      <c r="V139" s="44"/>
      <c r="Y139" s="46"/>
      <c r="Z139" s="44"/>
      <c r="AC139" s="46"/>
      <c r="AD139" s="44"/>
    </row>
    <row r="140">
      <c r="C140" s="43"/>
      <c r="M140" s="43"/>
      <c r="O140" s="44"/>
      <c r="P140" s="45"/>
      <c r="Q140" s="46"/>
      <c r="R140" s="47"/>
      <c r="S140" s="44"/>
      <c r="U140" s="46"/>
      <c r="V140" s="44"/>
      <c r="Y140" s="46"/>
      <c r="Z140" s="44"/>
      <c r="AC140" s="46"/>
      <c r="AD140" s="44"/>
    </row>
    <row r="141">
      <c r="C141" s="43"/>
      <c r="M141" s="43"/>
      <c r="O141" s="44"/>
      <c r="P141" s="45"/>
      <c r="Q141" s="46"/>
      <c r="R141" s="47"/>
      <c r="S141" s="44"/>
      <c r="U141" s="46"/>
      <c r="V141" s="44"/>
      <c r="Y141" s="46"/>
      <c r="Z141" s="44"/>
      <c r="AC141" s="46"/>
      <c r="AD141" s="44"/>
    </row>
    <row r="142">
      <c r="C142" s="43"/>
      <c r="M142" s="43"/>
      <c r="O142" s="44"/>
      <c r="P142" s="45"/>
      <c r="Q142" s="46"/>
      <c r="R142" s="47"/>
      <c r="S142" s="44"/>
      <c r="U142" s="46"/>
      <c r="V142" s="44"/>
      <c r="Y142" s="46"/>
      <c r="Z142" s="44"/>
      <c r="AC142" s="46"/>
      <c r="AD142" s="44"/>
    </row>
    <row r="143">
      <c r="C143" s="43"/>
      <c r="M143" s="43"/>
      <c r="O143" s="44"/>
      <c r="P143" s="45"/>
      <c r="Q143" s="46"/>
      <c r="R143" s="47"/>
      <c r="S143" s="44"/>
      <c r="U143" s="46"/>
      <c r="V143" s="44"/>
      <c r="Y143" s="46"/>
      <c r="Z143" s="44"/>
      <c r="AC143" s="46"/>
      <c r="AD143" s="44"/>
    </row>
    <row r="144">
      <c r="C144" s="43"/>
      <c r="M144" s="43"/>
      <c r="O144" s="44"/>
      <c r="P144" s="45"/>
      <c r="Q144" s="46"/>
      <c r="R144" s="47"/>
      <c r="S144" s="44"/>
      <c r="U144" s="46"/>
      <c r="V144" s="44"/>
      <c r="Y144" s="46"/>
      <c r="Z144" s="44"/>
      <c r="AC144" s="46"/>
      <c r="AD144" s="44"/>
    </row>
    <row r="145">
      <c r="C145" s="43"/>
      <c r="M145" s="43"/>
      <c r="O145" s="44"/>
      <c r="P145" s="45"/>
      <c r="Q145" s="46"/>
      <c r="R145" s="47"/>
      <c r="S145" s="44"/>
      <c r="U145" s="46"/>
      <c r="V145" s="44"/>
      <c r="Y145" s="46"/>
      <c r="Z145" s="44"/>
      <c r="AC145" s="46"/>
      <c r="AD145" s="44"/>
    </row>
    <row r="146">
      <c r="C146" s="43"/>
      <c r="M146" s="43"/>
      <c r="O146" s="44"/>
      <c r="P146" s="45"/>
      <c r="Q146" s="46"/>
      <c r="R146" s="47"/>
      <c r="S146" s="44"/>
      <c r="U146" s="46"/>
      <c r="V146" s="44"/>
      <c r="Y146" s="46"/>
      <c r="Z146" s="44"/>
      <c r="AC146" s="46"/>
      <c r="AD146" s="44"/>
    </row>
    <row r="147">
      <c r="C147" s="43"/>
      <c r="M147" s="43"/>
      <c r="O147" s="44"/>
      <c r="P147" s="45"/>
      <c r="Q147" s="46"/>
      <c r="R147" s="47"/>
      <c r="S147" s="44"/>
      <c r="U147" s="46"/>
      <c r="V147" s="44"/>
      <c r="Y147" s="46"/>
      <c r="Z147" s="44"/>
      <c r="AC147" s="46"/>
      <c r="AD147" s="44"/>
    </row>
    <row r="148">
      <c r="C148" s="43"/>
      <c r="M148" s="43"/>
      <c r="O148" s="44"/>
      <c r="P148" s="45"/>
      <c r="Q148" s="46"/>
      <c r="R148" s="47"/>
      <c r="S148" s="44"/>
      <c r="U148" s="46"/>
      <c r="V148" s="44"/>
      <c r="Y148" s="46"/>
      <c r="Z148" s="44"/>
      <c r="AC148" s="46"/>
      <c r="AD148" s="44"/>
    </row>
    <row r="149">
      <c r="C149" s="43"/>
      <c r="M149" s="43"/>
      <c r="O149" s="44"/>
      <c r="P149" s="45"/>
      <c r="Q149" s="46"/>
      <c r="R149" s="47"/>
      <c r="S149" s="44"/>
      <c r="U149" s="46"/>
      <c r="V149" s="44"/>
      <c r="Y149" s="46"/>
      <c r="Z149" s="44"/>
      <c r="AC149" s="46"/>
      <c r="AD149" s="44"/>
    </row>
    <row r="150">
      <c r="C150" s="43"/>
      <c r="M150" s="43"/>
      <c r="O150" s="44"/>
      <c r="P150" s="45"/>
      <c r="Q150" s="46"/>
      <c r="R150" s="47"/>
      <c r="S150" s="44"/>
      <c r="U150" s="46"/>
      <c r="V150" s="44"/>
      <c r="Y150" s="46"/>
      <c r="Z150" s="44"/>
      <c r="AC150" s="46"/>
      <c r="AD150" s="44"/>
    </row>
    <row r="151">
      <c r="C151" s="43"/>
      <c r="M151" s="43"/>
      <c r="O151" s="44"/>
      <c r="P151" s="45"/>
      <c r="Q151" s="46"/>
      <c r="R151" s="47"/>
      <c r="S151" s="44"/>
      <c r="U151" s="46"/>
      <c r="V151" s="44"/>
      <c r="Y151" s="46"/>
      <c r="Z151" s="44"/>
      <c r="AC151" s="46"/>
      <c r="AD151" s="44"/>
    </row>
    <row r="152">
      <c r="C152" s="43"/>
      <c r="M152" s="43"/>
      <c r="O152" s="44"/>
      <c r="P152" s="45"/>
      <c r="Q152" s="46"/>
      <c r="R152" s="47"/>
      <c r="S152" s="44"/>
      <c r="U152" s="46"/>
      <c r="V152" s="44"/>
      <c r="Y152" s="46"/>
      <c r="Z152" s="44"/>
      <c r="AC152" s="46"/>
      <c r="AD152" s="44"/>
    </row>
    <row r="153">
      <c r="C153" s="43"/>
      <c r="M153" s="43"/>
      <c r="O153" s="44"/>
      <c r="P153" s="45"/>
      <c r="Q153" s="46"/>
      <c r="R153" s="47"/>
      <c r="S153" s="44"/>
      <c r="U153" s="46"/>
      <c r="V153" s="44"/>
      <c r="Y153" s="46"/>
      <c r="Z153" s="44"/>
      <c r="AC153" s="46"/>
      <c r="AD153" s="44"/>
    </row>
    <row r="154">
      <c r="C154" s="43"/>
      <c r="M154" s="43"/>
      <c r="O154" s="44"/>
      <c r="P154" s="45"/>
      <c r="Q154" s="46"/>
      <c r="R154" s="47"/>
      <c r="S154" s="44"/>
      <c r="U154" s="46"/>
      <c r="V154" s="44"/>
      <c r="Y154" s="46"/>
      <c r="Z154" s="44"/>
      <c r="AC154" s="46"/>
      <c r="AD154" s="44"/>
    </row>
    <row r="155">
      <c r="C155" s="43"/>
      <c r="M155" s="43"/>
      <c r="O155" s="44"/>
      <c r="P155" s="45"/>
      <c r="Q155" s="46"/>
      <c r="R155" s="47"/>
      <c r="S155" s="44"/>
      <c r="U155" s="46"/>
      <c r="V155" s="44"/>
      <c r="Y155" s="46"/>
      <c r="Z155" s="44"/>
      <c r="AC155" s="46"/>
      <c r="AD155" s="44"/>
    </row>
    <row r="156">
      <c r="C156" s="43"/>
      <c r="M156" s="43"/>
      <c r="O156" s="44"/>
      <c r="P156" s="45"/>
      <c r="Q156" s="46"/>
      <c r="R156" s="47"/>
      <c r="S156" s="44"/>
      <c r="U156" s="46"/>
      <c r="V156" s="44"/>
      <c r="Y156" s="46"/>
      <c r="Z156" s="44"/>
      <c r="AC156" s="46"/>
      <c r="AD156" s="44"/>
    </row>
    <row r="157">
      <c r="C157" s="43"/>
      <c r="M157" s="43"/>
      <c r="O157" s="44"/>
      <c r="P157" s="45"/>
      <c r="Q157" s="46"/>
      <c r="R157" s="47"/>
      <c r="S157" s="44"/>
      <c r="U157" s="46"/>
      <c r="V157" s="44"/>
      <c r="Y157" s="46"/>
      <c r="Z157" s="44"/>
      <c r="AC157" s="46"/>
      <c r="AD157" s="44"/>
    </row>
    <row r="158">
      <c r="C158" s="43"/>
      <c r="M158" s="43"/>
      <c r="O158" s="44"/>
      <c r="P158" s="45"/>
      <c r="Q158" s="46"/>
      <c r="R158" s="47"/>
      <c r="S158" s="44"/>
      <c r="U158" s="46"/>
      <c r="V158" s="44"/>
      <c r="Y158" s="46"/>
      <c r="Z158" s="44"/>
      <c r="AC158" s="46"/>
      <c r="AD158" s="44"/>
    </row>
    <row r="159">
      <c r="C159" s="43"/>
      <c r="M159" s="43"/>
      <c r="O159" s="44"/>
      <c r="P159" s="45"/>
      <c r="Q159" s="46"/>
      <c r="R159" s="47"/>
      <c r="S159" s="44"/>
      <c r="U159" s="46"/>
      <c r="V159" s="44"/>
      <c r="Y159" s="46"/>
      <c r="Z159" s="44"/>
      <c r="AC159" s="46"/>
      <c r="AD159" s="44"/>
    </row>
    <row r="160">
      <c r="C160" s="43"/>
      <c r="M160" s="43"/>
      <c r="O160" s="44"/>
      <c r="P160" s="45"/>
      <c r="Q160" s="46"/>
      <c r="R160" s="47"/>
      <c r="S160" s="44"/>
      <c r="U160" s="46"/>
      <c r="V160" s="44"/>
      <c r="Y160" s="46"/>
      <c r="Z160" s="44"/>
      <c r="AC160" s="46"/>
      <c r="AD160" s="44"/>
    </row>
    <row r="161">
      <c r="C161" s="43"/>
      <c r="M161" s="43"/>
      <c r="O161" s="44"/>
      <c r="P161" s="45"/>
      <c r="Q161" s="46"/>
      <c r="R161" s="47"/>
      <c r="S161" s="44"/>
      <c r="U161" s="46"/>
      <c r="V161" s="44"/>
      <c r="Y161" s="46"/>
      <c r="Z161" s="44"/>
      <c r="AC161" s="46"/>
      <c r="AD161" s="44"/>
    </row>
    <row r="162">
      <c r="C162" s="43"/>
      <c r="M162" s="43"/>
      <c r="O162" s="44"/>
      <c r="P162" s="45"/>
      <c r="Q162" s="46"/>
      <c r="R162" s="47"/>
      <c r="S162" s="44"/>
      <c r="U162" s="46"/>
      <c r="V162" s="44"/>
      <c r="Y162" s="46"/>
      <c r="Z162" s="44"/>
      <c r="AC162" s="46"/>
      <c r="AD162" s="44"/>
    </row>
    <row r="163">
      <c r="C163" s="43"/>
      <c r="M163" s="43"/>
      <c r="O163" s="44"/>
      <c r="P163" s="45"/>
      <c r="Q163" s="46"/>
      <c r="R163" s="47"/>
      <c r="S163" s="44"/>
      <c r="U163" s="46"/>
      <c r="V163" s="44"/>
      <c r="Y163" s="46"/>
      <c r="Z163" s="44"/>
      <c r="AC163" s="46"/>
      <c r="AD163" s="44"/>
    </row>
    <row r="164">
      <c r="C164" s="43"/>
      <c r="M164" s="43"/>
      <c r="O164" s="44"/>
      <c r="P164" s="45"/>
      <c r="Q164" s="46"/>
      <c r="R164" s="47"/>
      <c r="S164" s="44"/>
      <c r="U164" s="46"/>
      <c r="V164" s="44"/>
      <c r="Y164" s="46"/>
      <c r="Z164" s="44"/>
      <c r="AC164" s="46"/>
      <c r="AD164" s="44"/>
    </row>
    <row r="165">
      <c r="C165" s="43"/>
      <c r="M165" s="43"/>
      <c r="O165" s="44"/>
      <c r="P165" s="45"/>
      <c r="Q165" s="46"/>
      <c r="R165" s="47"/>
      <c r="S165" s="44"/>
      <c r="U165" s="46"/>
      <c r="V165" s="44"/>
      <c r="Y165" s="46"/>
      <c r="Z165" s="44"/>
      <c r="AC165" s="46"/>
      <c r="AD165" s="44"/>
    </row>
    <row r="166">
      <c r="C166" s="43"/>
      <c r="M166" s="43"/>
      <c r="O166" s="44"/>
      <c r="P166" s="45"/>
      <c r="Q166" s="46"/>
      <c r="R166" s="47"/>
      <c r="S166" s="44"/>
      <c r="U166" s="46"/>
      <c r="V166" s="44"/>
      <c r="Y166" s="46"/>
      <c r="Z166" s="44"/>
      <c r="AC166" s="46"/>
      <c r="AD166" s="44"/>
    </row>
    <row r="167">
      <c r="C167" s="43"/>
      <c r="M167" s="43"/>
      <c r="O167" s="44"/>
      <c r="P167" s="45"/>
      <c r="Q167" s="46"/>
      <c r="R167" s="47"/>
      <c r="S167" s="44"/>
      <c r="U167" s="46"/>
      <c r="V167" s="44"/>
      <c r="Y167" s="46"/>
      <c r="Z167" s="44"/>
      <c r="AC167" s="46"/>
      <c r="AD167" s="44"/>
    </row>
    <row r="168">
      <c r="C168" s="43"/>
      <c r="M168" s="43"/>
      <c r="O168" s="44"/>
      <c r="P168" s="45"/>
      <c r="Q168" s="46"/>
      <c r="R168" s="47"/>
      <c r="S168" s="44"/>
      <c r="U168" s="46"/>
      <c r="V168" s="44"/>
      <c r="Y168" s="46"/>
      <c r="Z168" s="44"/>
      <c r="AC168" s="46"/>
      <c r="AD168" s="44"/>
    </row>
    <row r="169">
      <c r="C169" s="43"/>
      <c r="M169" s="43"/>
      <c r="O169" s="44"/>
      <c r="P169" s="45"/>
      <c r="Q169" s="46"/>
      <c r="R169" s="47"/>
      <c r="S169" s="44"/>
      <c r="U169" s="46"/>
      <c r="V169" s="44"/>
      <c r="Y169" s="46"/>
      <c r="Z169" s="44"/>
      <c r="AC169" s="46"/>
      <c r="AD169" s="44"/>
    </row>
    <row r="170">
      <c r="C170" s="43"/>
      <c r="M170" s="43"/>
      <c r="O170" s="44"/>
      <c r="P170" s="45"/>
      <c r="Q170" s="46"/>
      <c r="R170" s="47"/>
      <c r="S170" s="44"/>
      <c r="U170" s="46"/>
      <c r="V170" s="44"/>
      <c r="Y170" s="46"/>
      <c r="Z170" s="44"/>
      <c r="AC170" s="46"/>
      <c r="AD170" s="44"/>
    </row>
    <row r="171">
      <c r="C171" s="43"/>
      <c r="M171" s="43"/>
      <c r="O171" s="44"/>
      <c r="P171" s="45"/>
      <c r="Q171" s="46"/>
      <c r="R171" s="47"/>
      <c r="S171" s="44"/>
      <c r="U171" s="46"/>
      <c r="V171" s="44"/>
      <c r="Y171" s="46"/>
      <c r="Z171" s="44"/>
      <c r="AC171" s="46"/>
      <c r="AD171" s="44"/>
    </row>
    <row r="172">
      <c r="C172" s="43"/>
      <c r="M172" s="43"/>
      <c r="O172" s="44"/>
      <c r="P172" s="45"/>
      <c r="Q172" s="46"/>
      <c r="R172" s="47"/>
      <c r="S172" s="44"/>
      <c r="U172" s="46"/>
      <c r="V172" s="44"/>
      <c r="Y172" s="46"/>
      <c r="Z172" s="44"/>
      <c r="AC172" s="46"/>
      <c r="AD172" s="44"/>
    </row>
    <row r="173">
      <c r="C173" s="43"/>
      <c r="M173" s="43"/>
      <c r="O173" s="44"/>
      <c r="P173" s="45"/>
      <c r="Q173" s="46"/>
      <c r="R173" s="47"/>
      <c r="S173" s="44"/>
      <c r="U173" s="46"/>
      <c r="V173" s="44"/>
      <c r="Y173" s="46"/>
      <c r="Z173" s="44"/>
      <c r="AC173" s="46"/>
      <c r="AD173" s="44"/>
    </row>
    <row r="174">
      <c r="C174" s="43"/>
      <c r="M174" s="43"/>
      <c r="O174" s="44"/>
      <c r="P174" s="45"/>
      <c r="Q174" s="46"/>
      <c r="R174" s="47"/>
      <c r="S174" s="44"/>
      <c r="U174" s="46"/>
      <c r="V174" s="44"/>
      <c r="Y174" s="46"/>
      <c r="Z174" s="44"/>
      <c r="AC174" s="46"/>
      <c r="AD174" s="44"/>
    </row>
    <row r="175">
      <c r="C175" s="43"/>
      <c r="M175" s="43"/>
      <c r="O175" s="44"/>
      <c r="P175" s="45"/>
      <c r="Q175" s="46"/>
      <c r="R175" s="47"/>
      <c r="S175" s="44"/>
      <c r="U175" s="46"/>
      <c r="V175" s="44"/>
      <c r="Y175" s="46"/>
      <c r="Z175" s="44"/>
      <c r="AC175" s="46"/>
      <c r="AD175" s="44"/>
    </row>
    <row r="176">
      <c r="C176" s="43"/>
      <c r="M176" s="43"/>
      <c r="O176" s="44"/>
      <c r="P176" s="45"/>
      <c r="Q176" s="46"/>
      <c r="R176" s="47"/>
      <c r="S176" s="44"/>
      <c r="U176" s="46"/>
      <c r="V176" s="44"/>
      <c r="Y176" s="46"/>
      <c r="Z176" s="44"/>
      <c r="AC176" s="46"/>
      <c r="AD176" s="44"/>
    </row>
    <row r="177">
      <c r="C177" s="43"/>
      <c r="M177" s="43"/>
      <c r="O177" s="44"/>
      <c r="P177" s="45"/>
      <c r="Q177" s="46"/>
      <c r="R177" s="47"/>
      <c r="S177" s="44"/>
      <c r="U177" s="46"/>
      <c r="V177" s="44"/>
      <c r="Y177" s="46"/>
      <c r="Z177" s="44"/>
      <c r="AC177" s="46"/>
      <c r="AD177" s="44"/>
    </row>
    <row r="178">
      <c r="C178" s="43"/>
      <c r="M178" s="43"/>
      <c r="O178" s="44"/>
      <c r="P178" s="45"/>
      <c r="Q178" s="46"/>
      <c r="R178" s="47"/>
      <c r="S178" s="44"/>
      <c r="U178" s="46"/>
      <c r="V178" s="44"/>
      <c r="Y178" s="46"/>
      <c r="Z178" s="44"/>
      <c r="AC178" s="46"/>
      <c r="AD178" s="44"/>
    </row>
    <row r="179">
      <c r="C179" s="43"/>
      <c r="M179" s="43"/>
      <c r="O179" s="44"/>
      <c r="P179" s="45"/>
      <c r="Q179" s="46"/>
      <c r="R179" s="47"/>
      <c r="S179" s="44"/>
      <c r="U179" s="46"/>
      <c r="V179" s="44"/>
      <c r="Y179" s="46"/>
      <c r="Z179" s="44"/>
      <c r="AC179" s="46"/>
      <c r="AD179" s="44"/>
    </row>
    <row r="180">
      <c r="C180" s="43"/>
      <c r="M180" s="43"/>
      <c r="O180" s="44"/>
      <c r="P180" s="45"/>
      <c r="Q180" s="46"/>
      <c r="R180" s="47"/>
      <c r="S180" s="44"/>
      <c r="U180" s="46"/>
      <c r="V180" s="44"/>
      <c r="Y180" s="46"/>
      <c r="Z180" s="44"/>
      <c r="AC180" s="46"/>
      <c r="AD180" s="44"/>
    </row>
    <row r="181">
      <c r="C181" s="43"/>
      <c r="M181" s="43"/>
      <c r="O181" s="44"/>
      <c r="P181" s="45"/>
      <c r="Q181" s="46"/>
      <c r="R181" s="47"/>
      <c r="S181" s="44"/>
      <c r="U181" s="46"/>
      <c r="V181" s="44"/>
      <c r="Y181" s="46"/>
      <c r="Z181" s="44"/>
      <c r="AC181" s="46"/>
      <c r="AD181" s="44"/>
    </row>
    <row r="182">
      <c r="C182" s="43"/>
      <c r="M182" s="43"/>
      <c r="O182" s="44"/>
      <c r="P182" s="45"/>
      <c r="Q182" s="46"/>
      <c r="R182" s="47"/>
      <c r="S182" s="44"/>
      <c r="U182" s="46"/>
      <c r="V182" s="44"/>
      <c r="Y182" s="46"/>
      <c r="Z182" s="44"/>
      <c r="AC182" s="46"/>
      <c r="AD182" s="44"/>
    </row>
    <row r="183">
      <c r="C183" s="43"/>
      <c r="M183" s="43"/>
      <c r="O183" s="44"/>
      <c r="P183" s="45"/>
      <c r="Q183" s="46"/>
      <c r="R183" s="47"/>
      <c r="S183" s="44"/>
      <c r="U183" s="46"/>
      <c r="V183" s="44"/>
      <c r="Y183" s="46"/>
      <c r="Z183" s="44"/>
      <c r="AC183" s="46"/>
      <c r="AD183" s="44"/>
    </row>
    <row r="184">
      <c r="C184" s="43"/>
      <c r="M184" s="43"/>
      <c r="O184" s="44"/>
      <c r="P184" s="45"/>
      <c r="Q184" s="46"/>
      <c r="R184" s="47"/>
      <c r="S184" s="44"/>
      <c r="U184" s="46"/>
      <c r="V184" s="44"/>
      <c r="Y184" s="46"/>
      <c r="Z184" s="44"/>
      <c r="AC184" s="46"/>
      <c r="AD184" s="44"/>
    </row>
    <row r="185">
      <c r="C185" s="43"/>
      <c r="M185" s="43"/>
      <c r="O185" s="44"/>
      <c r="P185" s="45"/>
      <c r="Q185" s="46"/>
      <c r="R185" s="47"/>
      <c r="S185" s="44"/>
      <c r="U185" s="46"/>
      <c r="V185" s="44"/>
      <c r="Y185" s="46"/>
      <c r="Z185" s="44"/>
      <c r="AC185" s="46"/>
      <c r="AD185" s="44"/>
    </row>
    <row r="186">
      <c r="C186" s="43"/>
      <c r="M186" s="43"/>
      <c r="O186" s="44"/>
      <c r="P186" s="45"/>
      <c r="Q186" s="46"/>
      <c r="R186" s="47"/>
      <c r="S186" s="44"/>
      <c r="U186" s="46"/>
      <c r="V186" s="44"/>
      <c r="Y186" s="46"/>
      <c r="Z186" s="44"/>
      <c r="AC186" s="46"/>
      <c r="AD186" s="44"/>
    </row>
    <row r="187">
      <c r="C187" s="43"/>
      <c r="M187" s="43"/>
      <c r="O187" s="44"/>
      <c r="P187" s="45"/>
      <c r="Q187" s="46"/>
      <c r="R187" s="47"/>
      <c r="S187" s="44"/>
      <c r="U187" s="46"/>
      <c r="V187" s="44"/>
      <c r="Y187" s="46"/>
      <c r="Z187" s="44"/>
      <c r="AC187" s="46"/>
      <c r="AD187" s="44"/>
    </row>
    <row r="188">
      <c r="C188" s="43"/>
      <c r="M188" s="43"/>
      <c r="O188" s="44"/>
      <c r="P188" s="45"/>
      <c r="Q188" s="46"/>
      <c r="R188" s="47"/>
      <c r="S188" s="44"/>
      <c r="U188" s="46"/>
      <c r="V188" s="44"/>
      <c r="Y188" s="46"/>
      <c r="Z188" s="44"/>
      <c r="AC188" s="46"/>
      <c r="AD188" s="44"/>
    </row>
    <row r="189">
      <c r="C189" s="43"/>
      <c r="M189" s="43"/>
      <c r="O189" s="44"/>
      <c r="P189" s="45"/>
      <c r="Q189" s="46"/>
      <c r="R189" s="47"/>
      <c r="S189" s="44"/>
      <c r="U189" s="46"/>
      <c r="V189" s="44"/>
      <c r="Y189" s="46"/>
      <c r="Z189" s="44"/>
      <c r="AC189" s="46"/>
      <c r="AD189" s="44"/>
    </row>
    <row r="190">
      <c r="C190" s="43"/>
      <c r="M190" s="43"/>
      <c r="O190" s="44"/>
      <c r="P190" s="45"/>
      <c r="Q190" s="46"/>
      <c r="R190" s="47"/>
      <c r="S190" s="44"/>
      <c r="U190" s="46"/>
      <c r="V190" s="44"/>
      <c r="Y190" s="46"/>
      <c r="Z190" s="44"/>
      <c r="AC190" s="46"/>
      <c r="AD190" s="44"/>
    </row>
    <row r="191">
      <c r="C191" s="43"/>
      <c r="M191" s="43"/>
      <c r="O191" s="44"/>
      <c r="P191" s="45"/>
      <c r="Q191" s="46"/>
      <c r="R191" s="47"/>
      <c r="S191" s="44"/>
      <c r="U191" s="46"/>
      <c r="V191" s="44"/>
      <c r="Y191" s="46"/>
      <c r="Z191" s="44"/>
      <c r="AC191" s="46"/>
      <c r="AD191" s="44"/>
    </row>
    <row r="192">
      <c r="C192" s="43"/>
      <c r="M192" s="43"/>
      <c r="O192" s="44"/>
      <c r="P192" s="45"/>
      <c r="Q192" s="46"/>
      <c r="R192" s="47"/>
      <c r="S192" s="44"/>
      <c r="U192" s="46"/>
      <c r="V192" s="44"/>
      <c r="Y192" s="46"/>
      <c r="Z192" s="44"/>
      <c r="AC192" s="46"/>
      <c r="AD192" s="44"/>
    </row>
    <row r="193">
      <c r="C193" s="43"/>
      <c r="M193" s="43"/>
      <c r="O193" s="44"/>
      <c r="P193" s="45"/>
      <c r="Q193" s="46"/>
      <c r="R193" s="47"/>
      <c r="S193" s="44"/>
      <c r="U193" s="46"/>
      <c r="V193" s="44"/>
      <c r="Y193" s="46"/>
      <c r="Z193" s="44"/>
      <c r="AC193" s="46"/>
      <c r="AD193" s="44"/>
    </row>
    <row r="194">
      <c r="C194" s="43"/>
      <c r="M194" s="43"/>
      <c r="O194" s="44"/>
      <c r="P194" s="45"/>
      <c r="Q194" s="46"/>
      <c r="R194" s="47"/>
      <c r="S194" s="44"/>
      <c r="U194" s="46"/>
      <c r="V194" s="44"/>
      <c r="Y194" s="46"/>
      <c r="Z194" s="44"/>
      <c r="AC194" s="46"/>
      <c r="AD194" s="44"/>
    </row>
    <row r="195">
      <c r="C195" s="43"/>
      <c r="M195" s="43"/>
      <c r="O195" s="44"/>
      <c r="P195" s="45"/>
      <c r="Q195" s="46"/>
      <c r="R195" s="47"/>
      <c r="S195" s="44"/>
      <c r="U195" s="46"/>
      <c r="V195" s="44"/>
      <c r="Y195" s="46"/>
      <c r="Z195" s="44"/>
      <c r="AC195" s="46"/>
      <c r="AD195" s="44"/>
    </row>
    <row r="196">
      <c r="C196" s="43"/>
      <c r="M196" s="43"/>
      <c r="O196" s="44"/>
      <c r="P196" s="45"/>
      <c r="Q196" s="46"/>
      <c r="R196" s="47"/>
      <c r="S196" s="44"/>
      <c r="U196" s="46"/>
      <c r="V196" s="44"/>
      <c r="Y196" s="46"/>
      <c r="Z196" s="44"/>
      <c r="AC196" s="46"/>
      <c r="AD196" s="44"/>
    </row>
    <row r="197">
      <c r="C197" s="43"/>
      <c r="M197" s="43"/>
      <c r="O197" s="44"/>
      <c r="P197" s="45"/>
      <c r="Q197" s="46"/>
      <c r="R197" s="47"/>
      <c r="S197" s="44"/>
      <c r="U197" s="46"/>
      <c r="V197" s="44"/>
      <c r="Y197" s="46"/>
      <c r="Z197" s="44"/>
      <c r="AC197" s="46"/>
      <c r="AD197" s="44"/>
    </row>
    <row r="198">
      <c r="C198" s="43"/>
      <c r="M198" s="43"/>
      <c r="O198" s="44"/>
      <c r="P198" s="45"/>
      <c r="Q198" s="46"/>
      <c r="R198" s="47"/>
      <c r="S198" s="44"/>
      <c r="U198" s="46"/>
      <c r="V198" s="44"/>
      <c r="Y198" s="46"/>
      <c r="Z198" s="44"/>
      <c r="AC198" s="46"/>
      <c r="AD198" s="44"/>
    </row>
    <row r="199">
      <c r="C199" s="43"/>
      <c r="M199" s="43"/>
      <c r="O199" s="44"/>
      <c r="P199" s="45"/>
      <c r="Q199" s="46"/>
      <c r="R199" s="47"/>
      <c r="S199" s="44"/>
      <c r="U199" s="46"/>
      <c r="V199" s="44"/>
      <c r="Y199" s="46"/>
      <c r="Z199" s="44"/>
      <c r="AC199" s="46"/>
      <c r="AD199" s="44"/>
    </row>
    <row r="200">
      <c r="C200" s="43"/>
      <c r="M200" s="43"/>
      <c r="O200" s="44"/>
      <c r="P200" s="45"/>
      <c r="Q200" s="46"/>
      <c r="R200" s="47"/>
      <c r="S200" s="44"/>
      <c r="U200" s="46"/>
      <c r="V200" s="44"/>
      <c r="Y200" s="46"/>
      <c r="Z200" s="44"/>
      <c r="AC200" s="46"/>
      <c r="AD200" s="44"/>
    </row>
    <row r="201">
      <c r="C201" s="43"/>
      <c r="M201" s="43"/>
      <c r="O201" s="44"/>
      <c r="P201" s="45"/>
      <c r="Q201" s="46"/>
      <c r="R201" s="47"/>
      <c r="S201" s="44"/>
      <c r="U201" s="46"/>
      <c r="V201" s="44"/>
      <c r="Y201" s="46"/>
      <c r="Z201" s="44"/>
      <c r="AC201" s="46"/>
      <c r="AD201" s="44"/>
    </row>
    <row r="202">
      <c r="C202" s="43"/>
      <c r="M202" s="43"/>
      <c r="O202" s="44"/>
      <c r="P202" s="45"/>
      <c r="Q202" s="46"/>
      <c r="R202" s="47"/>
      <c r="S202" s="44"/>
      <c r="U202" s="46"/>
      <c r="V202" s="44"/>
      <c r="Y202" s="46"/>
      <c r="Z202" s="44"/>
      <c r="AC202" s="46"/>
      <c r="AD202" s="44"/>
    </row>
    <row r="203">
      <c r="C203" s="43"/>
      <c r="M203" s="43"/>
      <c r="O203" s="44"/>
      <c r="P203" s="45"/>
      <c r="Q203" s="46"/>
      <c r="R203" s="47"/>
      <c r="S203" s="44"/>
      <c r="U203" s="46"/>
      <c r="V203" s="44"/>
      <c r="Y203" s="46"/>
      <c r="Z203" s="44"/>
      <c r="AC203" s="46"/>
      <c r="AD203" s="44"/>
    </row>
    <row r="204">
      <c r="C204" s="43"/>
      <c r="M204" s="43"/>
      <c r="O204" s="44"/>
      <c r="P204" s="45"/>
      <c r="Q204" s="46"/>
      <c r="R204" s="47"/>
      <c r="S204" s="44"/>
      <c r="U204" s="46"/>
      <c r="V204" s="44"/>
      <c r="Y204" s="46"/>
      <c r="Z204" s="44"/>
      <c r="AC204" s="46"/>
      <c r="AD204" s="44"/>
    </row>
    <row r="205">
      <c r="C205" s="43"/>
      <c r="M205" s="43"/>
      <c r="O205" s="44"/>
      <c r="P205" s="45"/>
      <c r="Q205" s="46"/>
      <c r="R205" s="47"/>
      <c r="S205" s="44"/>
      <c r="U205" s="46"/>
      <c r="V205" s="44"/>
      <c r="Y205" s="46"/>
      <c r="Z205" s="44"/>
      <c r="AC205" s="46"/>
      <c r="AD205" s="44"/>
    </row>
    <row r="206">
      <c r="C206" s="43"/>
      <c r="M206" s="43"/>
      <c r="O206" s="44"/>
      <c r="P206" s="45"/>
      <c r="Q206" s="46"/>
      <c r="R206" s="47"/>
      <c r="S206" s="44"/>
      <c r="U206" s="46"/>
      <c r="V206" s="44"/>
      <c r="Y206" s="46"/>
      <c r="Z206" s="44"/>
      <c r="AC206" s="46"/>
      <c r="AD206" s="44"/>
    </row>
    <row r="207">
      <c r="C207" s="43"/>
      <c r="M207" s="43"/>
      <c r="O207" s="44"/>
      <c r="P207" s="45"/>
      <c r="Q207" s="46"/>
      <c r="R207" s="47"/>
      <c r="S207" s="44"/>
      <c r="U207" s="46"/>
      <c r="V207" s="44"/>
      <c r="Y207" s="46"/>
      <c r="Z207" s="44"/>
      <c r="AC207" s="46"/>
      <c r="AD207" s="44"/>
    </row>
    <row r="208">
      <c r="C208" s="43"/>
      <c r="M208" s="43"/>
      <c r="O208" s="44"/>
      <c r="P208" s="45"/>
      <c r="Q208" s="46"/>
      <c r="R208" s="47"/>
      <c r="S208" s="44"/>
      <c r="U208" s="46"/>
      <c r="V208" s="44"/>
      <c r="Y208" s="46"/>
      <c r="Z208" s="44"/>
      <c r="AC208" s="46"/>
      <c r="AD208" s="44"/>
    </row>
    <row r="209">
      <c r="C209" s="43"/>
      <c r="M209" s="43"/>
      <c r="O209" s="44"/>
      <c r="P209" s="45"/>
      <c r="Q209" s="46"/>
      <c r="R209" s="47"/>
      <c r="S209" s="44"/>
      <c r="U209" s="46"/>
      <c r="V209" s="44"/>
      <c r="Y209" s="46"/>
      <c r="Z209" s="44"/>
      <c r="AC209" s="46"/>
      <c r="AD209" s="44"/>
    </row>
    <row r="210">
      <c r="C210" s="43"/>
      <c r="M210" s="43"/>
      <c r="O210" s="44"/>
      <c r="P210" s="45"/>
      <c r="Q210" s="46"/>
      <c r="R210" s="47"/>
      <c r="S210" s="44"/>
      <c r="U210" s="46"/>
      <c r="V210" s="44"/>
      <c r="Y210" s="46"/>
      <c r="Z210" s="44"/>
      <c r="AC210" s="46"/>
      <c r="AD210" s="44"/>
    </row>
    <row r="211">
      <c r="C211" s="43"/>
      <c r="M211" s="43"/>
      <c r="O211" s="44"/>
      <c r="P211" s="45"/>
      <c r="Q211" s="46"/>
      <c r="R211" s="47"/>
      <c r="S211" s="44"/>
      <c r="U211" s="46"/>
      <c r="V211" s="44"/>
      <c r="Y211" s="46"/>
      <c r="Z211" s="44"/>
      <c r="AC211" s="46"/>
      <c r="AD211" s="44"/>
    </row>
    <row r="212">
      <c r="C212" s="43"/>
      <c r="M212" s="43"/>
      <c r="O212" s="44"/>
      <c r="P212" s="45"/>
      <c r="Q212" s="46"/>
      <c r="R212" s="47"/>
      <c r="S212" s="44"/>
      <c r="U212" s="46"/>
      <c r="V212" s="44"/>
      <c r="Y212" s="46"/>
      <c r="Z212" s="44"/>
      <c r="AC212" s="46"/>
      <c r="AD212" s="44"/>
    </row>
    <row r="213">
      <c r="C213" s="43"/>
      <c r="M213" s="43"/>
      <c r="O213" s="44"/>
      <c r="P213" s="45"/>
      <c r="Q213" s="46"/>
      <c r="R213" s="47"/>
      <c r="S213" s="44"/>
      <c r="U213" s="46"/>
      <c r="V213" s="44"/>
      <c r="Y213" s="46"/>
      <c r="Z213" s="44"/>
      <c r="AC213" s="46"/>
      <c r="AD213" s="44"/>
    </row>
    <row r="214">
      <c r="C214" s="43"/>
      <c r="M214" s="43"/>
      <c r="O214" s="44"/>
      <c r="P214" s="45"/>
      <c r="Q214" s="46"/>
      <c r="R214" s="47"/>
      <c r="S214" s="44"/>
      <c r="U214" s="46"/>
      <c r="V214" s="44"/>
      <c r="Y214" s="46"/>
      <c r="Z214" s="44"/>
      <c r="AC214" s="46"/>
      <c r="AD214" s="44"/>
    </row>
    <row r="215">
      <c r="C215" s="43"/>
      <c r="M215" s="43"/>
      <c r="O215" s="44"/>
      <c r="P215" s="45"/>
      <c r="Q215" s="46"/>
      <c r="R215" s="47"/>
      <c r="S215" s="44"/>
      <c r="U215" s="46"/>
      <c r="V215" s="44"/>
      <c r="Y215" s="46"/>
      <c r="Z215" s="44"/>
      <c r="AC215" s="46"/>
      <c r="AD215" s="44"/>
    </row>
    <row r="216">
      <c r="C216" s="43"/>
      <c r="M216" s="43"/>
      <c r="O216" s="44"/>
      <c r="P216" s="45"/>
      <c r="Q216" s="46"/>
      <c r="R216" s="47"/>
      <c r="S216" s="44"/>
      <c r="U216" s="46"/>
      <c r="V216" s="44"/>
      <c r="Y216" s="46"/>
      <c r="Z216" s="44"/>
      <c r="AC216" s="46"/>
      <c r="AD216" s="44"/>
    </row>
    <row r="217">
      <c r="C217" s="43"/>
      <c r="M217" s="43"/>
      <c r="O217" s="44"/>
      <c r="P217" s="45"/>
      <c r="Q217" s="46"/>
      <c r="R217" s="47"/>
      <c r="S217" s="44"/>
      <c r="U217" s="46"/>
      <c r="V217" s="44"/>
      <c r="Y217" s="46"/>
      <c r="Z217" s="44"/>
      <c r="AC217" s="46"/>
      <c r="AD217" s="44"/>
    </row>
    <row r="218">
      <c r="C218" s="43"/>
      <c r="M218" s="43"/>
      <c r="O218" s="44"/>
      <c r="P218" s="45"/>
      <c r="Q218" s="46"/>
      <c r="R218" s="47"/>
      <c r="S218" s="44"/>
      <c r="U218" s="46"/>
      <c r="V218" s="44"/>
      <c r="Y218" s="46"/>
      <c r="Z218" s="44"/>
      <c r="AC218" s="46"/>
      <c r="AD218" s="44"/>
    </row>
    <row r="219">
      <c r="C219" s="43"/>
      <c r="M219" s="43"/>
      <c r="O219" s="44"/>
      <c r="P219" s="45"/>
      <c r="Q219" s="46"/>
      <c r="R219" s="47"/>
      <c r="S219" s="44"/>
      <c r="U219" s="46"/>
      <c r="V219" s="44"/>
      <c r="Y219" s="46"/>
      <c r="Z219" s="44"/>
      <c r="AC219" s="46"/>
      <c r="AD219" s="44"/>
    </row>
    <row r="220">
      <c r="C220" s="43"/>
      <c r="M220" s="43"/>
      <c r="O220" s="44"/>
      <c r="P220" s="45"/>
      <c r="Q220" s="46"/>
      <c r="R220" s="47"/>
      <c r="S220" s="44"/>
      <c r="U220" s="46"/>
      <c r="V220" s="44"/>
      <c r="Y220" s="46"/>
      <c r="Z220" s="44"/>
      <c r="AC220" s="46"/>
      <c r="AD220" s="44"/>
    </row>
    <row r="221">
      <c r="C221" s="43"/>
      <c r="M221" s="43"/>
      <c r="O221" s="44"/>
      <c r="P221" s="45"/>
      <c r="Q221" s="46"/>
      <c r="R221" s="47"/>
      <c r="S221" s="44"/>
      <c r="U221" s="46"/>
      <c r="V221" s="44"/>
      <c r="Y221" s="46"/>
      <c r="Z221" s="44"/>
      <c r="AC221" s="46"/>
      <c r="AD221" s="44"/>
    </row>
    <row r="222">
      <c r="C222" s="43"/>
      <c r="M222" s="43"/>
      <c r="O222" s="44"/>
      <c r="P222" s="45"/>
      <c r="Q222" s="46"/>
      <c r="R222" s="47"/>
      <c r="S222" s="44"/>
      <c r="U222" s="46"/>
      <c r="V222" s="44"/>
      <c r="Y222" s="46"/>
      <c r="Z222" s="44"/>
      <c r="AC222" s="46"/>
      <c r="AD222" s="44"/>
    </row>
    <row r="223">
      <c r="C223" s="43"/>
      <c r="M223" s="43"/>
      <c r="O223" s="44"/>
      <c r="P223" s="45"/>
      <c r="Q223" s="46"/>
      <c r="R223" s="47"/>
      <c r="S223" s="44"/>
      <c r="U223" s="46"/>
      <c r="V223" s="44"/>
      <c r="Y223" s="46"/>
      <c r="Z223" s="44"/>
      <c r="AC223" s="46"/>
      <c r="AD223" s="44"/>
    </row>
    <row r="224">
      <c r="C224" s="43"/>
      <c r="M224" s="43"/>
      <c r="O224" s="44"/>
      <c r="P224" s="45"/>
      <c r="Q224" s="46"/>
      <c r="R224" s="47"/>
      <c r="S224" s="44"/>
      <c r="U224" s="46"/>
      <c r="V224" s="44"/>
      <c r="Y224" s="46"/>
      <c r="Z224" s="44"/>
      <c r="AC224" s="46"/>
      <c r="AD224" s="44"/>
    </row>
    <row r="225">
      <c r="C225" s="43"/>
      <c r="M225" s="43"/>
      <c r="O225" s="44"/>
      <c r="P225" s="45"/>
      <c r="Q225" s="46"/>
      <c r="R225" s="47"/>
      <c r="S225" s="44"/>
      <c r="U225" s="46"/>
      <c r="V225" s="44"/>
      <c r="Y225" s="46"/>
      <c r="Z225" s="44"/>
      <c r="AC225" s="46"/>
      <c r="AD225" s="44"/>
    </row>
    <row r="226">
      <c r="C226" s="43"/>
      <c r="M226" s="43"/>
      <c r="O226" s="44"/>
      <c r="P226" s="45"/>
      <c r="Q226" s="46"/>
      <c r="R226" s="47"/>
      <c r="S226" s="44"/>
      <c r="U226" s="46"/>
      <c r="V226" s="44"/>
      <c r="Y226" s="46"/>
      <c r="Z226" s="44"/>
      <c r="AC226" s="46"/>
      <c r="AD226" s="44"/>
    </row>
    <row r="227">
      <c r="C227" s="43"/>
      <c r="M227" s="43"/>
      <c r="O227" s="44"/>
      <c r="P227" s="45"/>
      <c r="Q227" s="46"/>
      <c r="R227" s="47"/>
      <c r="S227" s="44"/>
      <c r="U227" s="46"/>
      <c r="V227" s="44"/>
      <c r="Y227" s="46"/>
      <c r="Z227" s="44"/>
      <c r="AC227" s="46"/>
      <c r="AD227" s="44"/>
    </row>
    <row r="228">
      <c r="C228" s="43"/>
      <c r="M228" s="43"/>
      <c r="O228" s="44"/>
      <c r="P228" s="45"/>
      <c r="Q228" s="46"/>
      <c r="R228" s="47"/>
      <c r="S228" s="44"/>
      <c r="U228" s="46"/>
      <c r="V228" s="44"/>
      <c r="Y228" s="46"/>
      <c r="Z228" s="44"/>
      <c r="AC228" s="46"/>
      <c r="AD228" s="44"/>
    </row>
    <row r="229">
      <c r="C229" s="43"/>
      <c r="M229" s="43"/>
      <c r="O229" s="44"/>
      <c r="P229" s="45"/>
      <c r="Q229" s="46"/>
      <c r="R229" s="47"/>
      <c r="S229" s="44"/>
      <c r="U229" s="46"/>
      <c r="V229" s="44"/>
      <c r="Y229" s="46"/>
      <c r="Z229" s="44"/>
      <c r="AC229" s="46"/>
      <c r="AD229" s="44"/>
    </row>
    <row r="230">
      <c r="C230" s="43"/>
      <c r="M230" s="43"/>
      <c r="O230" s="44"/>
      <c r="P230" s="45"/>
      <c r="Q230" s="46"/>
      <c r="R230" s="47"/>
      <c r="S230" s="44"/>
      <c r="U230" s="46"/>
      <c r="V230" s="44"/>
      <c r="Y230" s="46"/>
      <c r="Z230" s="44"/>
      <c r="AC230" s="46"/>
      <c r="AD230" s="44"/>
    </row>
    <row r="231">
      <c r="C231" s="43"/>
      <c r="M231" s="43"/>
      <c r="O231" s="44"/>
      <c r="P231" s="45"/>
      <c r="Q231" s="46"/>
      <c r="R231" s="47"/>
      <c r="S231" s="44"/>
      <c r="U231" s="46"/>
      <c r="V231" s="44"/>
      <c r="Y231" s="46"/>
      <c r="Z231" s="44"/>
      <c r="AC231" s="46"/>
      <c r="AD231" s="44"/>
    </row>
    <row r="232">
      <c r="C232" s="43"/>
      <c r="M232" s="43"/>
      <c r="O232" s="44"/>
      <c r="P232" s="45"/>
      <c r="Q232" s="46"/>
      <c r="R232" s="47"/>
      <c r="S232" s="44"/>
      <c r="U232" s="46"/>
      <c r="V232" s="44"/>
      <c r="Y232" s="46"/>
      <c r="Z232" s="44"/>
      <c r="AC232" s="46"/>
      <c r="AD232" s="44"/>
    </row>
    <row r="233">
      <c r="C233" s="43"/>
      <c r="M233" s="43"/>
      <c r="O233" s="44"/>
      <c r="P233" s="45"/>
      <c r="Q233" s="46"/>
      <c r="R233" s="47"/>
      <c r="S233" s="44"/>
      <c r="U233" s="46"/>
      <c r="V233" s="44"/>
      <c r="Y233" s="46"/>
      <c r="Z233" s="44"/>
      <c r="AC233" s="46"/>
      <c r="AD233" s="44"/>
    </row>
    <row r="234">
      <c r="C234" s="43"/>
      <c r="M234" s="43"/>
      <c r="O234" s="44"/>
      <c r="P234" s="45"/>
      <c r="Q234" s="46"/>
      <c r="R234" s="47"/>
      <c r="S234" s="44"/>
      <c r="U234" s="46"/>
      <c r="V234" s="44"/>
      <c r="Y234" s="46"/>
      <c r="Z234" s="44"/>
      <c r="AC234" s="46"/>
      <c r="AD234" s="44"/>
    </row>
    <row r="235">
      <c r="C235" s="43"/>
      <c r="M235" s="43"/>
      <c r="O235" s="44"/>
      <c r="P235" s="45"/>
      <c r="Q235" s="46"/>
      <c r="R235" s="47"/>
      <c r="S235" s="44"/>
      <c r="U235" s="46"/>
      <c r="V235" s="44"/>
      <c r="Y235" s="46"/>
      <c r="Z235" s="44"/>
      <c r="AC235" s="46"/>
      <c r="AD235" s="44"/>
    </row>
    <row r="236">
      <c r="C236" s="43"/>
      <c r="M236" s="43"/>
      <c r="O236" s="44"/>
      <c r="P236" s="45"/>
      <c r="Q236" s="46"/>
      <c r="R236" s="47"/>
      <c r="S236" s="44"/>
      <c r="U236" s="46"/>
      <c r="V236" s="44"/>
      <c r="Y236" s="46"/>
      <c r="Z236" s="44"/>
      <c r="AC236" s="46"/>
      <c r="AD236" s="44"/>
    </row>
    <row r="237">
      <c r="C237" s="43"/>
      <c r="M237" s="43"/>
      <c r="O237" s="44"/>
      <c r="P237" s="45"/>
      <c r="Q237" s="46"/>
      <c r="R237" s="47"/>
      <c r="S237" s="44"/>
      <c r="U237" s="46"/>
      <c r="V237" s="44"/>
      <c r="Y237" s="46"/>
      <c r="Z237" s="44"/>
      <c r="AC237" s="46"/>
      <c r="AD237" s="44"/>
    </row>
    <row r="238">
      <c r="C238" s="43"/>
      <c r="M238" s="43"/>
      <c r="O238" s="44"/>
      <c r="P238" s="45"/>
      <c r="Q238" s="46"/>
      <c r="R238" s="47"/>
      <c r="S238" s="44"/>
      <c r="U238" s="46"/>
      <c r="V238" s="44"/>
      <c r="Y238" s="46"/>
      <c r="Z238" s="44"/>
      <c r="AC238" s="46"/>
      <c r="AD238" s="44"/>
    </row>
    <row r="239">
      <c r="C239" s="43"/>
      <c r="M239" s="43"/>
      <c r="O239" s="44"/>
      <c r="P239" s="45"/>
      <c r="Q239" s="46"/>
      <c r="R239" s="47"/>
      <c r="S239" s="44"/>
      <c r="U239" s="46"/>
      <c r="V239" s="44"/>
      <c r="Y239" s="46"/>
      <c r="Z239" s="44"/>
      <c r="AC239" s="46"/>
      <c r="AD239" s="44"/>
    </row>
    <row r="240">
      <c r="C240" s="43"/>
      <c r="M240" s="43"/>
      <c r="O240" s="44"/>
      <c r="P240" s="45"/>
      <c r="Q240" s="46"/>
      <c r="R240" s="47"/>
      <c r="S240" s="44"/>
      <c r="U240" s="46"/>
      <c r="V240" s="44"/>
      <c r="Y240" s="46"/>
      <c r="Z240" s="44"/>
      <c r="AC240" s="46"/>
      <c r="AD240" s="44"/>
    </row>
    <row r="241">
      <c r="C241" s="43"/>
      <c r="M241" s="43"/>
      <c r="O241" s="44"/>
      <c r="P241" s="45"/>
      <c r="Q241" s="46"/>
      <c r="R241" s="47"/>
      <c r="S241" s="44"/>
      <c r="U241" s="46"/>
      <c r="V241" s="44"/>
      <c r="Y241" s="46"/>
      <c r="Z241" s="44"/>
      <c r="AC241" s="46"/>
      <c r="AD241" s="44"/>
    </row>
    <row r="242">
      <c r="C242" s="43"/>
      <c r="M242" s="43"/>
      <c r="O242" s="44"/>
      <c r="P242" s="45"/>
      <c r="Q242" s="46"/>
      <c r="R242" s="47"/>
      <c r="S242" s="44"/>
      <c r="U242" s="46"/>
      <c r="V242" s="44"/>
      <c r="Y242" s="46"/>
      <c r="Z242" s="44"/>
      <c r="AC242" s="46"/>
      <c r="AD242" s="44"/>
    </row>
    <row r="243">
      <c r="C243" s="43"/>
      <c r="M243" s="43"/>
      <c r="O243" s="44"/>
      <c r="P243" s="45"/>
      <c r="Q243" s="46"/>
      <c r="R243" s="47"/>
      <c r="S243" s="44"/>
      <c r="U243" s="46"/>
      <c r="V243" s="44"/>
      <c r="Y243" s="46"/>
      <c r="Z243" s="44"/>
      <c r="AC243" s="46"/>
      <c r="AD243" s="44"/>
    </row>
    <row r="244">
      <c r="C244" s="43"/>
      <c r="M244" s="43"/>
      <c r="O244" s="44"/>
      <c r="P244" s="45"/>
      <c r="Q244" s="46"/>
      <c r="R244" s="47"/>
      <c r="S244" s="44"/>
      <c r="U244" s="46"/>
      <c r="V244" s="44"/>
      <c r="Y244" s="46"/>
      <c r="Z244" s="44"/>
      <c r="AC244" s="46"/>
      <c r="AD244" s="44"/>
    </row>
    <row r="245">
      <c r="C245" s="43"/>
      <c r="M245" s="43"/>
      <c r="O245" s="44"/>
      <c r="P245" s="45"/>
      <c r="Q245" s="46"/>
      <c r="R245" s="47"/>
      <c r="S245" s="44"/>
      <c r="U245" s="46"/>
      <c r="V245" s="44"/>
      <c r="Y245" s="46"/>
      <c r="Z245" s="44"/>
      <c r="AC245" s="46"/>
      <c r="AD245" s="44"/>
    </row>
    <row r="246">
      <c r="C246" s="43"/>
      <c r="M246" s="43"/>
      <c r="O246" s="44"/>
      <c r="P246" s="45"/>
      <c r="Q246" s="46"/>
      <c r="R246" s="47"/>
      <c r="S246" s="44"/>
      <c r="U246" s="46"/>
      <c r="V246" s="44"/>
      <c r="Y246" s="46"/>
      <c r="Z246" s="44"/>
      <c r="AC246" s="46"/>
      <c r="AD246" s="44"/>
    </row>
    <row r="247">
      <c r="C247" s="43"/>
      <c r="M247" s="43"/>
      <c r="O247" s="44"/>
      <c r="P247" s="45"/>
      <c r="Q247" s="46"/>
      <c r="R247" s="47"/>
      <c r="S247" s="44"/>
      <c r="U247" s="46"/>
      <c r="V247" s="44"/>
      <c r="Y247" s="46"/>
      <c r="Z247" s="44"/>
      <c r="AC247" s="46"/>
      <c r="AD247" s="44"/>
    </row>
    <row r="248">
      <c r="C248" s="43"/>
      <c r="M248" s="43"/>
      <c r="O248" s="44"/>
      <c r="P248" s="45"/>
      <c r="Q248" s="46"/>
      <c r="R248" s="47"/>
      <c r="S248" s="44"/>
      <c r="U248" s="46"/>
      <c r="V248" s="44"/>
      <c r="Y248" s="46"/>
      <c r="Z248" s="44"/>
      <c r="AC248" s="46"/>
      <c r="AD248" s="44"/>
    </row>
    <row r="249">
      <c r="C249" s="43"/>
      <c r="M249" s="43"/>
      <c r="O249" s="44"/>
      <c r="P249" s="45"/>
      <c r="Q249" s="46"/>
      <c r="R249" s="47"/>
      <c r="S249" s="44"/>
      <c r="U249" s="46"/>
      <c r="V249" s="44"/>
      <c r="Y249" s="46"/>
      <c r="Z249" s="44"/>
      <c r="AC249" s="46"/>
      <c r="AD249" s="44"/>
    </row>
    <row r="250">
      <c r="C250" s="43"/>
      <c r="M250" s="43"/>
      <c r="O250" s="44"/>
      <c r="P250" s="45"/>
      <c r="Q250" s="46"/>
      <c r="R250" s="47"/>
      <c r="S250" s="44"/>
      <c r="U250" s="46"/>
      <c r="V250" s="44"/>
      <c r="Y250" s="46"/>
      <c r="Z250" s="44"/>
      <c r="AC250" s="46"/>
      <c r="AD250" s="44"/>
    </row>
    <row r="251">
      <c r="C251" s="43"/>
      <c r="M251" s="43"/>
      <c r="O251" s="44"/>
      <c r="P251" s="45"/>
      <c r="Q251" s="46"/>
      <c r="R251" s="47"/>
      <c r="S251" s="44"/>
      <c r="U251" s="46"/>
      <c r="V251" s="44"/>
      <c r="Y251" s="46"/>
      <c r="Z251" s="44"/>
      <c r="AC251" s="46"/>
      <c r="AD251" s="44"/>
    </row>
    <row r="252">
      <c r="C252" s="43"/>
      <c r="M252" s="43"/>
      <c r="O252" s="44"/>
      <c r="P252" s="45"/>
      <c r="Q252" s="46"/>
      <c r="R252" s="47"/>
      <c r="S252" s="44"/>
      <c r="U252" s="46"/>
      <c r="V252" s="44"/>
      <c r="Y252" s="46"/>
      <c r="Z252" s="44"/>
      <c r="AC252" s="46"/>
      <c r="AD252" s="44"/>
    </row>
    <row r="253">
      <c r="C253" s="43"/>
      <c r="M253" s="43"/>
      <c r="O253" s="44"/>
      <c r="P253" s="45"/>
      <c r="Q253" s="46"/>
      <c r="R253" s="47"/>
      <c r="S253" s="44"/>
      <c r="U253" s="46"/>
      <c r="V253" s="44"/>
      <c r="Y253" s="46"/>
      <c r="Z253" s="44"/>
      <c r="AC253" s="46"/>
      <c r="AD253" s="44"/>
    </row>
    <row r="254">
      <c r="C254" s="43"/>
      <c r="M254" s="43"/>
      <c r="O254" s="44"/>
      <c r="P254" s="45"/>
      <c r="Q254" s="46"/>
      <c r="R254" s="47"/>
      <c r="S254" s="44"/>
      <c r="U254" s="46"/>
      <c r="V254" s="44"/>
      <c r="Y254" s="46"/>
      <c r="Z254" s="44"/>
      <c r="AC254" s="46"/>
      <c r="AD254" s="44"/>
    </row>
    <row r="255">
      <c r="C255" s="43"/>
      <c r="M255" s="43"/>
      <c r="O255" s="44"/>
      <c r="P255" s="45"/>
      <c r="Q255" s="46"/>
      <c r="R255" s="47"/>
      <c r="S255" s="44"/>
      <c r="U255" s="46"/>
      <c r="V255" s="44"/>
      <c r="Y255" s="46"/>
      <c r="Z255" s="44"/>
      <c r="AC255" s="46"/>
      <c r="AD255" s="44"/>
    </row>
    <row r="256">
      <c r="C256" s="43"/>
      <c r="M256" s="43"/>
      <c r="O256" s="44"/>
      <c r="P256" s="45"/>
      <c r="Q256" s="46"/>
      <c r="R256" s="47"/>
      <c r="S256" s="44"/>
      <c r="U256" s="46"/>
      <c r="V256" s="44"/>
      <c r="Y256" s="46"/>
      <c r="Z256" s="44"/>
      <c r="AC256" s="46"/>
      <c r="AD256" s="44"/>
    </row>
    <row r="257">
      <c r="C257" s="43"/>
      <c r="M257" s="43"/>
      <c r="O257" s="44"/>
      <c r="P257" s="45"/>
      <c r="Q257" s="46"/>
      <c r="R257" s="47"/>
      <c r="S257" s="44"/>
      <c r="U257" s="46"/>
      <c r="V257" s="44"/>
      <c r="Y257" s="46"/>
      <c r="Z257" s="44"/>
      <c r="AC257" s="46"/>
      <c r="AD257" s="44"/>
    </row>
    <row r="258">
      <c r="C258" s="43"/>
      <c r="M258" s="43"/>
      <c r="O258" s="44"/>
      <c r="P258" s="45"/>
      <c r="Q258" s="46"/>
      <c r="R258" s="47"/>
      <c r="S258" s="44"/>
      <c r="U258" s="46"/>
      <c r="V258" s="44"/>
      <c r="Y258" s="46"/>
      <c r="Z258" s="44"/>
      <c r="AC258" s="46"/>
      <c r="AD258" s="44"/>
    </row>
    <row r="259">
      <c r="C259" s="43"/>
      <c r="M259" s="43"/>
      <c r="O259" s="44"/>
      <c r="P259" s="45"/>
      <c r="Q259" s="46"/>
      <c r="R259" s="47"/>
      <c r="S259" s="44"/>
      <c r="U259" s="46"/>
      <c r="V259" s="44"/>
      <c r="Y259" s="46"/>
      <c r="Z259" s="44"/>
      <c r="AC259" s="46"/>
      <c r="AD259" s="44"/>
    </row>
    <row r="260">
      <c r="C260" s="43"/>
      <c r="M260" s="43"/>
      <c r="O260" s="44"/>
      <c r="P260" s="45"/>
      <c r="Q260" s="46"/>
      <c r="R260" s="47"/>
      <c r="S260" s="44"/>
      <c r="U260" s="46"/>
      <c r="V260" s="44"/>
      <c r="Y260" s="46"/>
      <c r="Z260" s="44"/>
      <c r="AC260" s="46"/>
      <c r="AD260" s="44"/>
    </row>
    <row r="261">
      <c r="C261" s="43"/>
      <c r="M261" s="43"/>
      <c r="O261" s="44"/>
      <c r="P261" s="45"/>
      <c r="Q261" s="46"/>
      <c r="R261" s="47"/>
      <c r="S261" s="44"/>
      <c r="U261" s="46"/>
      <c r="V261" s="44"/>
      <c r="Y261" s="46"/>
      <c r="Z261" s="44"/>
      <c r="AC261" s="46"/>
      <c r="AD261" s="44"/>
    </row>
    <row r="262">
      <c r="C262" s="43"/>
      <c r="M262" s="43"/>
      <c r="O262" s="44"/>
      <c r="P262" s="45"/>
      <c r="Q262" s="46"/>
      <c r="R262" s="47"/>
      <c r="S262" s="44"/>
      <c r="U262" s="46"/>
      <c r="V262" s="44"/>
      <c r="Y262" s="46"/>
      <c r="Z262" s="44"/>
      <c r="AC262" s="46"/>
      <c r="AD262" s="44"/>
    </row>
    <row r="263">
      <c r="C263" s="43"/>
      <c r="M263" s="43"/>
      <c r="O263" s="44"/>
      <c r="P263" s="45"/>
      <c r="Q263" s="46"/>
      <c r="R263" s="47"/>
      <c r="S263" s="44"/>
      <c r="U263" s="46"/>
      <c r="V263" s="44"/>
      <c r="Y263" s="46"/>
      <c r="Z263" s="44"/>
      <c r="AC263" s="46"/>
      <c r="AD263" s="44"/>
    </row>
    <row r="264">
      <c r="C264" s="43"/>
      <c r="M264" s="43"/>
      <c r="O264" s="44"/>
      <c r="P264" s="45"/>
      <c r="Q264" s="46"/>
      <c r="R264" s="47"/>
      <c r="S264" s="44"/>
      <c r="U264" s="46"/>
      <c r="V264" s="44"/>
      <c r="Y264" s="46"/>
      <c r="Z264" s="44"/>
      <c r="AC264" s="46"/>
      <c r="AD264" s="44"/>
    </row>
    <row r="265">
      <c r="C265" s="43"/>
      <c r="M265" s="43"/>
      <c r="O265" s="44"/>
      <c r="P265" s="45"/>
      <c r="Q265" s="46"/>
      <c r="R265" s="47"/>
      <c r="S265" s="44"/>
      <c r="U265" s="46"/>
      <c r="V265" s="44"/>
      <c r="Y265" s="46"/>
      <c r="Z265" s="44"/>
      <c r="AC265" s="46"/>
      <c r="AD265" s="44"/>
    </row>
    <row r="266">
      <c r="C266" s="43"/>
      <c r="M266" s="43"/>
      <c r="O266" s="44"/>
      <c r="P266" s="45"/>
      <c r="Q266" s="46"/>
      <c r="R266" s="47"/>
      <c r="S266" s="44"/>
      <c r="U266" s="46"/>
      <c r="V266" s="44"/>
      <c r="Y266" s="46"/>
      <c r="Z266" s="44"/>
      <c r="AC266" s="46"/>
      <c r="AD266" s="44"/>
    </row>
    <row r="267">
      <c r="C267" s="43"/>
      <c r="M267" s="43"/>
      <c r="O267" s="44"/>
      <c r="P267" s="45"/>
      <c r="Q267" s="46"/>
      <c r="R267" s="47"/>
      <c r="S267" s="44"/>
      <c r="U267" s="46"/>
      <c r="V267" s="44"/>
      <c r="Y267" s="46"/>
      <c r="Z267" s="44"/>
      <c r="AC267" s="46"/>
      <c r="AD267" s="44"/>
    </row>
    <row r="268">
      <c r="C268" s="43"/>
      <c r="M268" s="43"/>
      <c r="O268" s="44"/>
      <c r="P268" s="45"/>
      <c r="Q268" s="46"/>
      <c r="R268" s="47"/>
      <c r="S268" s="44"/>
      <c r="U268" s="46"/>
      <c r="V268" s="44"/>
      <c r="Y268" s="46"/>
      <c r="Z268" s="44"/>
      <c r="AC268" s="46"/>
      <c r="AD268" s="44"/>
    </row>
    <row r="269">
      <c r="C269" s="43"/>
      <c r="M269" s="43"/>
      <c r="O269" s="44"/>
      <c r="P269" s="45"/>
      <c r="Q269" s="46"/>
      <c r="R269" s="47"/>
      <c r="S269" s="44"/>
      <c r="U269" s="46"/>
      <c r="V269" s="44"/>
      <c r="Y269" s="46"/>
      <c r="Z269" s="44"/>
      <c r="AC269" s="46"/>
      <c r="AD269" s="44"/>
    </row>
    <row r="270">
      <c r="C270" s="43"/>
      <c r="M270" s="43"/>
      <c r="O270" s="44"/>
      <c r="P270" s="45"/>
      <c r="Q270" s="46"/>
      <c r="R270" s="47"/>
      <c r="S270" s="44"/>
      <c r="U270" s="46"/>
      <c r="V270" s="44"/>
      <c r="Y270" s="46"/>
      <c r="Z270" s="44"/>
      <c r="AC270" s="46"/>
      <c r="AD270" s="44"/>
    </row>
    <row r="271">
      <c r="C271" s="43"/>
      <c r="M271" s="43"/>
      <c r="O271" s="44"/>
      <c r="P271" s="45"/>
      <c r="Q271" s="46"/>
      <c r="R271" s="47"/>
      <c r="S271" s="44"/>
      <c r="U271" s="46"/>
      <c r="V271" s="44"/>
      <c r="Y271" s="46"/>
      <c r="Z271" s="44"/>
      <c r="AC271" s="46"/>
      <c r="AD271" s="44"/>
    </row>
    <row r="272">
      <c r="C272" s="43"/>
      <c r="M272" s="43"/>
      <c r="O272" s="44"/>
      <c r="P272" s="45"/>
      <c r="Q272" s="46"/>
      <c r="R272" s="47"/>
      <c r="S272" s="44"/>
      <c r="U272" s="46"/>
      <c r="V272" s="44"/>
      <c r="Y272" s="46"/>
      <c r="Z272" s="44"/>
      <c r="AC272" s="46"/>
      <c r="AD272" s="44"/>
    </row>
    <row r="273">
      <c r="C273" s="43"/>
      <c r="M273" s="43"/>
      <c r="O273" s="44"/>
      <c r="P273" s="45"/>
      <c r="Q273" s="46"/>
      <c r="R273" s="47"/>
      <c r="S273" s="44"/>
      <c r="U273" s="46"/>
      <c r="V273" s="44"/>
      <c r="Y273" s="46"/>
      <c r="Z273" s="44"/>
      <c r="AC273" s="46"/>
      <c r="AD273" s="44"/>
    </row>
    <row r="274">
      <c r="C274" s="43"/>
      <c r="M274" s="43"/>
      <c r="O274" s="44"/>
      <c r="P274" s="45"/>
      <c r="Q274" s="46"/>
      <c r="R274" s="47"/>
      <c r="S274" s="44"/>
      <c r="U274" s="46"/>
      <c r="V274" s="44"/>
      <c r="Y274" s="46"/>
      <c r="Z274" s="44"/>
      <c r="AC274" s="46"/>
      <c r="AD274" s="44"/>
    </row>
    <row r="275">
      <c r="C275" s="43"/>
      <c r="M275" s="43"/>
      <c r="O275" s="44"/>
      <c r="P275" s="45"/>
      <c r="Q275" s="46"/>
      <c r="R275" s="47"/>
      <c r="S275" s="44"/>
      <c r="U275" s="46"/>
      <c r="V275" s="44"/>
      <c r="Y275" s="46"/>
      <c r="Z275" s="44"/>
      <c r="AC275" s="46"/>
      <c r="AD275" s="44"/>
    </row>
    <row r="276">
      <c r="C276" s="43"/>
      <c r="M276" s="43"/>
      <c r="O276" s="44"/>
      <c r="P276" s="45"/>
      <c r="Q276" s="46"/>
      <c r="R276" s="47"/>
      <c r="S276" s="44"/>
      <c r="U276" s="46"/>
      <c r="V276" s="44"/>
      <c r="Y276" s="46"/>
      <c r="Z276" s="44"/>
      <c r="AC276" s="46"/>
      <c r="AD276" s="44"/>
    </row>
    <row r="277">
      <c r="C277" s="43"/>
      <c r="M277" s="43"/>
      <c r="O277" s="44"/>
      <c r="P277" s="45"/>
      <c r="Q277" s="46"/>
      <c r="R277" s="47"/>
      <c r="S277" s="44"/>
      <c r="U277" s="46"/>
      <c r="V277" s="44"/>
      <c r="Y277" s="46"/>
      <c r="Z277" s="44"/>
      <c r="AC277" s="46"/>
      <c r="AD277" s="44"/>
    </row>
    <row r="278">
      <c r="C278" s="43"/>
      <c r="M278" s="43"/>
      <c r="O278" s="44"/>
      <c r="P278" s="45"/>
      <c r="Q278" s="46"/>
      <c r="R278" s="47"/>
      <c r="S278" s="44"/>
      <c r="U278" s="46"/>
      <c r="V278" s="44"/>
      <c r="Y278" s="46"/>
      <c r="Z278" s="44"/>
      <c r="AC278" s="46"/>
      <c r="AD278" s="44"/>
    </row>
    <row r="279">
      <c r="C279" s="43"/>
      <c r="M279" s="43"/>
      <c r="O279" s="44"/>
      <c r="P279" s="45"/>
      <c r="Q279" s="46"/>
      <c r="R279" s="47"/>
      <c r="S279" s="44"/>
      <c r="U279" s="46"/>
      <c r="V279" s="44"/>
      <c r="Y279" s="46"/>
      <c r="Z279" s="44"/>
      <c r="AC279" s="46"/>
      <c r="AD279" s="44"/>
    </row>
    <row r="280">
      <c r="C280" s="43"/>
      <c r="M280" s="43"/>
      <c r="O280" s="44"/>
      <c r="P280" s="45"/>
      <c r="Q280" s="46"/>
      <c r="R280" s="47"/>
      <c r="S280" s="44"/>
      <c r="U280" s="46"/>
      <c r="V280" s="44"/>
      <c r="Y280" s="46"/>
      <c r="Z280" s="44"/>
      <c r="AC280" s="46"/>
      <c r="AD280" s="44"/>
    </row>
    <row r="281">
      <c r="C281" s="43"/>
      <c r="M281" s="43"/>
      <c r="O281" s="44"/>
      <c r="P281" s="45"/>
      <c r="Q281" s="46"/>
      <c r="R281" s="47"/>
      <c r="S281" s="44"/>
      <c r="U281" s="46"/>
      <c r="V281" s="44"/>
      <c r="Y281" s="46"/>
      <c r="Z281" s="44"/>
      <c r="AC281" s="46"/>
      <c r="AD281" s="44"/>
    </row>
    <row r="282">
      <c r="C282" s="43"/>
      <c r="M282" s="43"/>
      <c r="O282" s="44"/>
      <c r="P282" s="45"/>
      <c r="Q282" s="46"/>
      <c r="R282" s="47"/>
      <c r="S282" s="44"/>
      <c r="U282" s="46"/>
      <c r="V282" s="44"/>
      <c r="Y282" s="46"/>
      <c r="Z282" s="44"/>
      <c r="AC282" s="46"/>
      <c r="AD282" s="44"/>
    </row>
    <row r="283">
      <c r="C283" s="43"/>
      <c r="M283" s="43"/>
      <c r="O283" s="44"/>
      <c r="P283" s="45"/>
      <c r="Q283" s="46"/>
      <c r="R283" s="47"/>
      <c r="S283" s="44"/>
      <c r="U283" s="46"/>
      <c r="V283" s="44"/>
      <c r="Y283" s="46"/>
      <c r="Z283" s="44"/>
      <c r="AC283" s="46"/>
      <c r="AD283" s="44"/>
    </row>
    <row r="284">
      <c r="C284" s="43"/>
      <c r="M284" s="43"/>
      <c r="O284" s="44"/>
      <c r="P284" s="45"/>
      <c r="Q284" s="46"/>
      <c r="R284" s="47"/>
      <c r="S284" s="44"/>
      <c r="U284" s="46"/>
      <c r="V284" s="44"/>
      <c r="Y284" s="46"/>
      <c r="Z284" s="44"/>
      <c r="AC284" s="46"/>
      <c r="AD284" s="44"/>
    </row>
    <row r="285">
      <c r="C285" s="43"/>
      <c r="M285" s="43"/>
      <c r="O285" s="44"/>
      <c r="P285" s="45"/>
      <c r="Q285" s="46"/>
      <c r="R285" s="47"/>
      <c r="S285" s="44"/>
      <c r="U285" s="46"/>
      <c r="V285" s="44"/>
      <c r="Y285" s="46"/>
      <c r="Z285" s="44"/>
      <c r="AC285" s="46"/>
      <c r="AD285" s="44"/>
    </row>
    <row r="286">
      <c r="C286" s="43"/>
      <c r="M286" s="43"/>
      <c r="O286" s="44"/>
      <c r="P286" s="45"/>
      <c r="Q286" s="46"/>
      <c r="R286" s="47"/>
      <c r="S286" s="44"/>
      <c r="U286" s="46"/>
      <c r="V286" s="44"/>
      <c r="Y286" s="46"/>
      <c r="Z286" s="44"/>
      <c r="AC286" s="46"/>
      <c r="AD286" s="44"/>
    </row>
    <row r="287">
      <c r="C287" s="43"/>
      <c r="M287" s="43"/>
      <c r="O287" s="44"/>
      <c r="P287" s="45"/>
      <c r="Q287" s="46"/>
      <c r="R287" s="47"/>
      <c r="S287" s="44"/>
      <c r="U287" s="46"/>
      <c r="V287" s="44"/>
      <c r="Y287" s="46"/>
      <c r="Z287" s="44"/>
      <c r="AC287" s="46"/>
      <c r="AD287" s="44"/>
    </row>
    <row r="288">
      <c r="C288" s="43"/>
      <c r="M288" s="43"/>
      <c r="O288" s="44"/>
      <c r="P288" s="45"/>
      <c r="Q288" s="46"/>
      <c r="R288" s="47"/>
      <c r="S288" s="44"/>
      <c r="U288" s="46"/>
      <c r="V288" s="44"/>
      <c r="Y288" s="46"/>
      <c r="Z288" s="44"/>
      <c r="AC288" s="46"/>
      <c r="AD288" s="44"/>
    </row>
    <row r="289">
      <c r="C289" s="43"/>
      <c r="M289" s="43"/>
      <c r="O289" s="44"/>
      <c r="P289" s="45"/>
      <c r="Q289" s="46"/>
      <c r="R289" s="47"/>
      <c r="S289" s="44"/>
      <c r="U289" s="46"/>
      <c r="V289" s="44"/>
      <c r="Y289" s="46"/>
      <c r="Z289" s="44"/>
      <c r="AC289" s="46"/>
      <c r="AD289" s="44"/>
    </row>
    <row r="290">
      <c r="C290" s="43"/>
      <c r="M290" s="43"/>
      <c r="O290" s="44"/>
      <c r="P290" s="45"/>
      <c r="Q290" s="46"/>
      <c r="R290" s="47"/>
      <c r="S290" s="44"/>
      <c r="U290" s="46"/>
      <c r="V290" s="44"/>
      <c r="Y290" s="46"/>
      <c r="Z290" s="44"/>
      <c r="AC290" s="46"/>
      <c r="AD290" s="44"/>
    </row>
    <row r="291">
      <c r="C291" s="43"/>
      <c r="M291" s="43"/>
      <c r="O291" s="44"/>
      <c r="P291" s="45"/>
      <c r="Q291" s="46"/>
      <c r="R291" s="47"/>
      <c r="S291" s="44"/>
      <c r="U291" s="46"/>
      <c r="V291" s="44"/>
      <c r="Y291" s="46"/>
      <c r="Z291" s="44"/>
      <c r="AC291" s="46"/>
      <c r="AD291" s="44"/>
    </row>
    <row r="292">
      <c r="C292" s="43"/>
      <c r="M292" s="43"/>
      <c r="O292" s="44"/>
      <c r="P292" s="45"/>
      <c r="Q292" s="46"/>
      <c r="R292" s="47"/>
      <c r="S292" s="44"/>
      <c r="U292" s="46"/>
      <c r="V292" s="44"/>
      <c r="Y292" s="46"/>
      <c r="Z292" s="44"/>
      <c r="AC292" s="46"/>
      <c r="AD292" s="44"/>
    </row>
    <row r="293">
      <c r="C293" s="43"/>
      <c r="M293" s="43"/>
      <c r="O293" s="44"/>
      <c r="P293" s="45"/>
      <c r="Q293" s="46"/>
      <c r="R293" s="47"/>
      <c r="S293" s="44"/>
      <c r="U293" s="46"/>
      <c r="V293" s="44"/>
      <c r="Y293" s="46"/>
      <c r="Z293" s="44"/>
      <c r="AC293" s="46"/>
      <c r="AD293" s="44"/>
    </row>
    <row r="294">
      <c r="C294" s="43"/>
      <c r="M294" s="43"/>
      <c r="O294" s="44"/>
      <c r="P294" s="45"/>
      <c r="Q294" s="46"/>
      <c r="R294" s="47"/>
      <c r="S294" s="44"/>
      <c r="U294" s="46"/>
      <c r="V294" s="44"/>
      <c r="Y294" s="46"/>
      <c r="Z294" s="44"/>
      <c r="AC294" s="46"/>
      <c r="AD294" s="44"/>
    </row>
    <row r="295">
      <c r="C295" s="43"/>
      <c r="M295" s="43"/>
      <c r="O295" s="44"/>
      <c r="P295" s="45"/>
      <c r="Q295" s="46"/>
      <c r="R295" s="47"/>
      <c r="S295" s="44"/>
      <c r="U295" s="46"/>
      <c r="V295" s="44"/>
      <c r="Y295" s="46"/>
      <c r="Z295" s="44"/>
      <c r="AC295" s="46"/>
      <c r="AD295" s="44"/>
    </row>
    <row r="296">
      <c r="C296" s="43"/>
      <c r="M296" s="43"/>
      <c r="O296" s="44"/>
      <c r="P296" s="45"/>
      <c r="Q296" s="46"/>
      <c r="R296" s="47"/>
      <c r="S296" s="44"/>
      <c r="U296" s="46"/>
      <c r="V296" s="44"/>
      <c r="Y296" s="46"/>
      <c r="Z296" s="44"/>
      <c r="AC296" s="46"/>
      <c r="AD296" s="44"/>
    </row>
    <row r="297">
      <c r="C297" s="43"/>
      <c r="M297" s="43"/>
      <c r="O297" s="44"/>
      <c r="P297" s="45"/>
      <c r="Q297" s="46"/>
      <c r="R297" s="47"/>
      <c r="S297" s="44"/>
      <c r="U297" s="46"/>
      <c r="V297" s="44"/>
      <c r="Y297" s="46"/>
      <c r="Z297" s="44"/>
      <c r="AC297" s="46"/>
      <c r="AD297" s="44"/>
    </row>
    <row r="298">
      <c r="C298" s="43"/>
      <c r="M298" s="43"/>
      <c r="O298" s="44"/>
      <c r="P298" s="45"/>
      <c r="Q298" s="46"/>
      <c r="R298" s="47"/>
      <c r="S298" s="44"/>
      <c r="U298" s="46"/>
      <c r="V298" s="44"/>
      <c r="Y298" s="46"/>
      <c r="Z298" s="44"/>
      <c r="AC298" s="46"/>
      <c r="AD298" s="44"/>
    </row>
    <row r="299">
      <c r="C299" s="43"/>
      <c r="M299" s="43"/>
      <c r="O299" s="44"/>
      <c r="P299" s="45"/>
      <c r="Q299" s="46"/>
      <c r="R299" s="47"/>
      <c r="S299" s="44"/>
      <c r="U299" s="46"/>
      <c r="V299" s="44"/>
      <c r="Y299" s="46"/>
      <c r="Z299" s="44"/>
      <c r="AC299" s="46"/>
      <c r="AD299" s="44"/>
    </row>
    <row r="300">
      <c r="C300" s="43"/>
      <c r="M300" s="43"/>
      <c r="O300" s="44"/>
      <c r="P300" s="45"/>
      <c r="Q300" s="46"/>
      <c r="R300" s="47"/>
      <c r="S300" s="44"/>
      <c r="U300" s="46"/>
      <c r="V300" s="44"/>
      <c r="Y300" s="46"/>
      <c r="Z300" s="44"/>
      <c r="AC300" s="46"/>
      <c r="AD300" s="44"/>
    </row>
    <row r="301">
      <c r="C301" s="43"/>
      <c r="M301" s="43"/>
      <c r="O301" s="44"/>
      <c r="P301" s="45"/>
      <c r="Q301" s="46"/>
      <c r="R301" s="47"/>
      <c r="S301" s="44"/>
      <c r="U301" s="46"/>
      <c r="V301" s="44"/>
      <c r="Y301" s="46"/>
      <c r="Z301" s="44"/>
      <c r="AC301" s="46"/>
      <c r="AD301" s="44"/>
    </row>
    <row r="302">
      <c r="C302" s="43"/>
      <c r="M302" s="43"/>
      <c r="O302" s="44"/>
      <c r="P302" s="45"/>
      <c r="Q302" s="46"/>
      <c r="R302" s="47"/>
      <c r="S302" s="44"/>
      <c r="U302" s="46"/>
      <c r="V302" s="44"/>
      <c r="Y302" s="46"/>
      <c r="Z302" s="44"/>
      <c r="AC302" s="46"/>
      <c r="AD302" s="44"/>
    </row>
    <row r="303">
      <c r="C303" s="43"/>
      <c r="M303" s="43"/>
      <c r="O303" s="44"/>
      <c r="P303" s="45"/>
      <c r="Q303" s="46"/>
      <c r="R303" s="47"/>
      <c r="S303" s="44"/>
      <c r="U303" s="46"/>
      <c r="V303" s="44"/>
      <c r="Y303" s="46"/>
      <c r="Z303" s="44"/>
      <c r="AC303" s="46"/>
      <c r="AD303" s="44"/>
    </row>
    <row r="304">
      <c r="C304" s="43"/>
      <c r="M304" s="43"/>
      <c r="O304" s="44"/>
      <c r="P304" s="45"/>
      <c r="Q304" s="46"/>
      <c r="R304" s="47"/>
      <c r="S304" s="44"/>
      <c r="U304" s="46"/>
      <c r="V304" s="44"/>
      <c r="Y304" s="46"/>
      <c r="Z304" s="44"/>
      <c r="AC304" s="46"/>
      <c r="AD304" s="44"/>
    </row>
    <row r="305">
      <c r="C305" s="43"/>
      <c r="M305" s="43"/>
      <c r="O305" s="44"/>
      <c r="P305" s="45"/>
      <c r="Q305" s="46"/>
      <c r="R305" s="47"/>
      <c r="S305" s="44"/>
      <c r="U305" s="46"/>
      <c r="V305" s="44"/>
      <c r="Y305" s="46"/>
      <c r="Z305" s="44"/>
      <c r="AC305" s="46"/>
      <c r="AD305" s="44"/>
    </row>
    <row r="306">
      <c r="C306" s="43"/>
      <c r="M306" s="43"/>
      <c r="O306" s="44"/>
      <c r="P306" s="45"/>
      <c r="Q306" s="46"/>
      <c r="R306" s="47"/>
      <c r="S306" s="44"/>
      <c r="U306" s="46"/>
      <c r="V306" s="44"/>
      <c r="Y306" s="46"/>
      <c r="Z306" s="44"/>
      <c r="AC306" s="46"/>
      <c r="AD306" s="44"/>
    </row>
    <row r="307">
      <c r="C307" s="43"/>
      <c r="M307" s="43"/>
      <c r="O307" s="44"/>
      <c r="P307" s="45"/>
      <c r="Q307" s="46"/>
      <c r="R307" s="47"/>
      <c r="S307" s="44"/>
      <c r="U307" s="46"/>
      <c r="V307" s="44"/>
      <c r="Y307" s="46"/>
      <c r="Z307" s="44"/>
      <c r="AC307" s="46"/>
      <c r="AD307" s="44"/>
    </row>
    <row r="308">
      <c r="C308" s="43"/>
      <c r="M308" s="43"/>
      <c r="O308" s="44"/>
      <c r="P308" s="45"/>
      <c r="Q308" s="46"/>
      <c r="R308" s="47"/>
      <c r="S308" s="44"/>
      <c r="U308" s="46"/>
      <c r="V308" s="44"/>
      <c r="Y308" s="46"/>
      <c r="Z308" s="44"/>
      <c r="AC308" s="46"/>
      <c r="AD308" s="44"/>
    </row>
    <row r="309">
      <c r="C309" s="43"/>
      <c r="M309" s="43"/>
      <c r="O309" s="44"/>
      <c r="P309" s="45"/>
      <c r="Q309" s="46"/>
      <c r="R309" s="47"/>
      <c r="S309" s="44"/>
      <c r="U309" s="46"/>
      <c r="V309" s="44"/>
      <c r="Y309" s="46"/>
      <c r="Z309" s="44"/>
      <c r="AC309" s="46"/>
      <c r="AD309" s="44"/>
    </row>
    <row r="310">
      <c r="C310" s="43"/>
      <c r="M310" s="43"/>
      <c r="O310" s="44"/>
      <c r="P310" s="45"/>
      <c r="Q310" s="46"/>
      <c r="R310" s="47"/>
      <c r="S310" s="44"/>
      <c r="U310" s="46"/>
      <c r="V310" s="44"/>
      <c r="Y310" s="46"/>
      <c r="Z310" s="44"/>
      <c r="AC310" s="46"/>
      <c r="AD310" s="44"/>
    </row>
    <row r="311">
      <c r="C311" s="43"/>
      <c r="M311" s="43"/>
      <c r="O311" s="44"/>
      <c r="P311" s="45"/>
      <c r="Q311" s="46"/>
      <c r="R311" s="47"/>
      <c r="S311" s="44"/>
      <c r="U311" s="46"/>
      <c r="V311" s="44"/>
      <c r="Y311" s="46"/>
      <c r="Z311" s="44"/>
      <c r="AC311" s="46"/>
      <c r="AD311" s="44"/>
    </row>
    <row r="312">
      <c r="C312" s="43"/>
      <c r="M312" s="43"/>
      <c r="O312" s="44"/>
      <c r="P312" s="45"/>
      <c r="Q312" s="46"/>
      <c r="R312" s="47"/>
      <c r="S312" s="44"/>
      <c r="U312" s="46"/>
      <c r="V312" s="44"/>
      <c r="Y312" s="46"/>
      <c r="Z312" s="44"/>
      <c r="AC312" s="46"/>
      <c r="AD312" s="44"/>
    </row>
    <row r="313">
      <c r="C313" s="43"/>
      <c r="M313" s="43"/>
      <c r="O313" s="44"/>
      <c r="P313" s="45"/>
      <c r="Q313" s="46"/>
      <c r="R313" s="47"/>
      <c r="S313" s="44"/>
      <c r="U313" s="46"/>
      <c r="V313" s="44"/>
      <c r="Y313" s="46"/>
      <c r="Z313" s="44"/>
      <c r="AC313" s="46"/>
      <c r="AD313" s="44"/>
    </row>
    <row r="314">
      <c r="C314" s="43"/>
      <c r="M314" s="43"/>
      <c r="O314" s="44"/>
      <c r="P314" s="45"/>
      <c r="Q314" s="46"/>
      <c r="R314" s="47"/>
      <c r="S314" s="44"/>
      <c r="U314" s="46"/>
      <c r="V314" s="44"/>
      <c r="Y314" s="46"/>
      <c r="Z314" s="44"/>
      <c r="AC314" s="46"/>
      <c r="AD314" s="44"/>
    </row>
    <row r="315">
      <c r="C315" s="43"/>
      <c r="M315" s="43"/>
      <c r="O315" s="44"/>
      <c r="P315" s="45"/>
      <c r="Q315" s="46"/>
      <c r="R315" s="47"/>
      <c r="S315" s="44"/>
      <c r="U315" s="46"/>
      <c r="V315" s="44"/>
      <c r="Y315" s="46"/>
      <c r="Z315" s="44"/>
      <c r="AC315" s="46"/>
      <c r="AD315" s="44"/>
    </row>
    <row r="316">
      <c r="C316" s="43"/>
      <c r="M316" s="43"/>
      <c r="O316" s="44"/>
      <c r="P316" s="45"/>
      <c r="Q316" s="46"/>
      <c r="R316" s="47"/>
      <c r="S316" s="44"/>
      <c r="U316" s="46"/>
      <c r="V316" s="44"/>
      <c r="Y316" s="46"/>
      <c r="Z316" s="44"/>
      <c r="AC316" s="46"/>
      <c r="AD316" s="44"/>
    </row>
    <row r="317">
      <c r="C317" s="43"/>
      <c r="M317" s="43"/>
      <c r="O317" s="44"/>
      <c r="P317" s="45"/>
      <c r="Q317" s="46"/>
      <c r="R317" s="47"/>
      <c r="S317" s="44"/>
      <c r="U317" s="46"/>
      <c r="V317" s="44"/>
      <c r="Y317" s="46"/>
      <c r="Z317" s="44"/>
      <c r="AC317" s="46"/>
      <c r="AD317" s="44"/>
    </row>
    <row r="318">
      <c r="C318" s="43"/>
      <c r="M318" s="43"/>
      <c r="O318" s="44"/>
      <c r="P318" s="45"/>
      <c r="Q318" s="46"/>
      <c r="R318" s="47"/>
      <c r="S318" s="44"/>
      <c r="U318" s="46"/>
      <c r="V318" s="44"/>
      <c r="Y318" s="46"/>
      <c r="Z318" s="44"/>
      <c r="AC318" s="46"/>
      <c r="AD318" s="44"/>
    </row>
    <row r="319">
      <c r="C319" s="43"/>
      <c r="M319" s="43"/>
      <c r="O319" s="44"/>
      <c r="P319" s="45"/>
      <c r="Q319" s="46"/>
      <c r="R319" s="47"/>
      <c r="S319" s="44"/>
      <c r="U319" s="46"/>
      <c r="V319" s="44"/>
      <c r="Y319" s="46"/>
      <c r="Z319" s="44"/>
      <c r="AC319" s="46"/>
      <c r="AD319" s="44"/>
    </row>
    <row r="320">
      <c r="C320" s="43"/>
      <c r="M320" s="43"/>
      <c r="O320" s="44"/>
      <c r="P320" s="45"/>
      <c r="Q320" s="46"/>
      <c r="R320" s="47"/>
      <c r="S320" s="44"/>
      <c r="U320" s="46"/>
      <c r="V320" s="44"/>
      <c r="Y320" s="46"/>
      <c r="Z320" s="44"/>
      <c r="AC320" s="46"/>
      <c r="AD320" s="44"/>
    </row>
    <row r="321">
      <c r="C321" s="43"/>
      <c r="M321" s="43"/>
      <c r="O321" s="44"/>
      <c r="P321" s="45"/>
      <c r="Q321" s="46"/>
      <c r="R321" s="47"/>
      <c r="S321" s="44"/>
      <c r="U321" s="46"/>
      <c r="V321" s="44"/>
      <c r="Y321" s="46"/>
      <c r="Z321" s="44"/>
      <c r="AC321" s="46"/>
      <c r="AD321" s="44"/>
    </row>
    <row r="322">
      <c r="C322" s="43"/>
      <c r="M322" s="43"/>
      <c r="O322" s="44"/>
      <c r="P322" s="45"/>
      <c r="Q322" s="46"/>
      <c r="R322" s="47"/>
      <c r="S322" s="44"/>
      <c r="U322" s="46"/>
      <c r="V322" s="44"/>
      <c r="Y322" s="46"/>
      <c r="Z322" s="44"/>
      <c r="AC322" s="46"/>
      <c r="AD322" s="44"/>
    </row>
    <row r="323">
      <c r="C323" s="43"/>
      <c r="M323" s="43"/>
      <c r="O323" s="44"/>
      <c r="P323" s="45"/>
      <c r="Q323" s="46"/>
      <c r="R323" s="47"/>
      <c r="S323" s="44"/>
      <c r="U323" s="46"/>
      <c r="V323" s="44"/>
      <c r="Y323" s="46"/>
      <c r="Z323" s="44"/>
      <c r="AC323" s="46"/>
      <c r="AD323" s="44"/>
    </row>
    <row r="324">
      <c r="C324" s="43"/>
      <c r="M324" s="43"/>
      <c r="O324" s="44"/>
      <c r="P324" s="45"/>
      <c r="Q324" s="46"/>
      <c r="R324" s="47"/>
      <c r="S324" s="44"/>
      <c r="U324" s="46"/>
      <c r="V324" s="44"/>
      <c r="Y324" s="46"/>
      <c r="Z324" s="44"/>
      <c r="AC324" s="46"/>
      <c r="AD324" s="44"/>
    </row>
    <row r="325">
      <c r="C325" s="43"/>
      <c r="M325" s="43"/>
      <c r="O325" s="44"/>
      <c r="P325" s="45"/>
      <c r="Q325" s="46"/>
      <c r="R325" s="47"/>
      <c r="S325" s="44"/>
      <c r="U325" s="46"/>
      <c r="V325" s="44"/>
      <c r="Y325" s="46"/>
      <c r="Z325" s="44"/>
      <c r="AC325" s="46"/>
      <c r="AD325" s="44"/>
    </row>
    <row r="326">
      <c r="C326" s="43"/>
      <c r="M326" s="43"/>
      <c r="O326" s="44"/>
      <c r="P326" s="45"/>
      <c r="Q326" s="46"/>
      <c r="R326" s="47"/>
      <c r="S326" s="44"/>
      <c r="U326" s="46"/>
      <c r="V326" s="44"/>
      <c r="Y326" s="46"/>
      <c r="Z326" s="44"/>
      <c r="AC326" s="46"/>
      <c r="AD326" s="44"/>
    </row>
    <row r="327">
      <c r="C327" s="43"/>
      <c r="M327" s="43"/>
      <c r="O327" s="44"/>
      <c r="P327" s="45"/>
      <c r="Q327" s="46"/>
      <c r="R327" s="47"/>
      <c r="S327" s="44"/>
      <c r="U327" s="46"/>
      <c r="V327" s="44"/>
      <c r="Y327" s="46"/>
      <c r="Z327" s="44"/>
      <c r="AC327" s="46"/>
      <c r="AD327" s="44"/>
    </row>
    <row r="328">
      <c r="C328" s="43"/>
      <c r="M328" s="43"/>
      <c r="O328" s="44"/>
      <c r="P328" s="45"/>
      <c r="Q328" s="46"/>
      <c r="R328" s="47"/>
      <c r="S328" s="44"/>
      <c r="U328" s="46"/>
      <c r="V328" s="44"/>
      <c r="Y328" s="46"/>
      <c r="Z328" s="44"/>
      <c r="AC328" s="46"/>
      <c r="AD328" s="44"/>
    </row>
    <row r="329">
      <c r="C329" s="43"/>
      <c r="M329" s="43"/>
      <c r="O329" s="44"/>
      <c r="P329" s="45"/>
      <c r="Q329" s="46"/>
      <c r="R329" s="47"/>
      <c r="S329" s="44"/>
      <c r="U329" s="46"/>
      <c r="V329" s="44"/>
      <c r="Y329" s="46"/>
      <c r="Z329" s="44"/>
      <c r="AC329" s="46"/>
      <c r="AD329" s="44"/>
    </row>
    <row r="330">
      <c r="C330" s="43"/>
      <c r="M330" s="43"/>
      <c r="O330" s="44"/>
      <c r="P330" s="45"/>
      <c r="Q330" s="46"/>
      <c r="R330" s="47"/>
      <c r="S330" s="44"/>
      <c r="U330" s="46"/>
      <c r="V330" s="44"/>
      <c r="Y330" s="46"/>
      <c r="Z330" s="44"/>
      <c r="AC330" s="46"/>
      <c r="AD330" s="44"/>
    </row>
    <row r="331">
      <c r="C331" s="43"/>
      <c r="M331" s="43"/>
      <c r="O331" s="44"/>
      <c r="P331" s="45"/>
      <c r="Q331" s="46"/>
      <c r="R331" s="47"/>
      <c r="S331" s="44"/>
      <c r="U331" s="46"/>
      <c r="V331" s="44"/>
      <c r="Y331" s="46"/>
      <c r="Z331" s="44"/>
      <c r="AC331" s="46"/>
      <c r="AD331" s="44"/>
    </row>
    <row r="332">
      <c r="C332" s="43"/>
      <c r="M332" s="43"/>
      <c r="O332" s="44"/>
      <c r="P332" s="45"/>
      <c r="Q332" s="46"/>
      <c r="R332" s="47"/>
      <c r="S332" s="44"/>
      <c r="U332" s="46"/>
      <c r="V332" s="44"/>
      <c r="Y332" s="46"/>
      <c r="Z332" s="44"/>
      <c r="AC332" s="46"/>
      <c r="AD332" s="44"/>
    </row>
    <row r="333">
      <c r="C333" s="43"/>
      <c r="M333" s="43"/>
      <c r="O333" s="44"/>
      <c r="P333" s="45"/>
      <c r="Q333" s="46"/>
      <c r="R333" s="47"/>
      <c r="S333" s="44"/>
      <c r="U333" s="46"/>
      <c r="V333" s="44"/>
      <c r="Y333" s="46"/>
      <c r="Z333" s="44"/>
      <c r="AC333" s="46"/>
      <c r="AD333" s="44"/>
    </row>
    <row r="334">
      <c r="C334" s="43"/>
      <c r="M334" s="43"/>
      <c r="O334" s="44"/>
      <c r="P334" s="45"/>
      <c r="Q334" s="46"/>
      <c r="R334" s="47"/>
      <c r="S334" s="44"/>
      <c r="U334" s="46"/>
      <c r="V334" s="44"/>
      <c r="Y334" s="46"/>
      <c r="Z334" s="44"/>
      <c r="AC334" s="46"/>
      <c r="AD334" s="44"/>
    </row>
    <row r="335">
      <c r="C335" s="43"/>
      <c r="M335" s="43"/>
      <c r="O335" s="44"/>
      <c r="P335" s="45"/>
      <c r="Q335" s="46"/>
      <c r="R335" s="47"/>
      <c r="S335" s="44"/>
      <c r="U335" s="46"/>
      <c r="V335" s="44"/>
      <c r="Y335" s="46"/>
      <c r="Z335" s="44"/>
      <c r="AC335" s="46"/>
      <c r="AD335" s="44"/>
    </row>
    <row r="336">
      <c r="C336" s="43"/>
      <c r="M336" s="43"/>
      <c r="O336" s="44"/>
      <c r="P336" s="45"/>
      <c r="Q336" s="46"/>
      <c r="R336" s="47"/>
      <c r="S336" s="44"/>
      <c r="U336" s="46"/>
      <c r="V336" s="44"/>
      <c r="Y336" s="46"/>
      <c r="Z336" s="44"/>
      <c r="AC336" s="46"/>
      <c r="AD336" s="44"/>
    </row>
    <row r="337">
      <c r="C337" s="43"/>
      <c r="M337" s="43"/>
      <c r="O337" s="44"/>
      <c r="P337" s="45"/>
      <c r="Q337" s="46"/>
      <c r="R337" s="47"/>
      <c r="S337" s="44"/>
      <c r="U337" s="46"/>
      <c r="V337" s="44"/>
      <c r="Y337" s="46"/>
      <c r="Z337" s="44"/>
      <c r="AC337" s="46"/>
      <c r="AD337" s="44"/>
    </row>
    <row r="338">
      <c r="C338" s="43"/>
      <c r="M338" s="43"/>
      <c r="O338" s="44"/>
      <c r="P338" s="45"/>
      <c r="Q338" s="46"/>
      <c r="R338" s="47"/>
      <c r="S338" s="44"/>
      <c r="U338" s="46"/>
      <c r="V338" s="44"/>
      <c r="Y338" s="46"/>
      <c r="Z338" s="44"/>
      <c r="AC338" s="46"/>
      <c r="AD338" s="44"/>
    </row>
    <row r="339">
      <c r="C339" s="43"/>
      <c r="M339" s="43"/>
      <c r="O339" s="44"/>
      <c r="P339" s="45"/>
      <c r="Q339" s="46"/>
      <c r="R339" s="47"/>
      <c r="S339" s="44"/>
      <c r="U339" s="46"/>
      <c r="V339" s="44"/>
      <c r="Y339" s="46"/>
      <c r="Z339" s="44"/>
      <c r="AC339" s="46"/>
      <c r="AD339" s="44"/>
    </row>
    <row r="340">
      <c r="C340" s="43"/>
      <c r="M340" s="43"/>
      <c r="O340" s="44"/>
      <c r="P340" s="45"/>
      <c r="Q340" s="46"/>
      <c r="R340" s="47"/>
      <c r="S340" s="44"/>
      <c r="U340" s="46"/>
      <c r="V340" s="44"/>
      <c r="Y340" s="46"/>
      <c r="Z340" s="44"/>
      <c r="AC340" s="46"/>
      <c r="AD340" s="44"/>
    </row>
    <row r="341">
      <c r="C341" s="43"/>
      <c r="M341" s="43"/>
      <c r="O341" s="44"/>
      <c r="P341" s="45"/>
      <c r="Q341" s="46"/>
      <c r="R341" s="47"/>
      <c r="S341" s="44"/>
      <c r="U341" s="46"/>
      <c r="V341" s="44"/>
      <c r="Y341" s="46"/>
      <c r="Z341" s="44"/>
      <c r="AC341" s="46"/>
      <c r="AD341" s="44"/>
    </row>
    <row r="342">
      <c r="C342" s="43"/>
      <c r="M342" s="43"/>
      <c r="O342" s="44"/>
      <c r="P342" s="45"/>
      <c r="Q342" s="46"/>
      <c r="R342" s="47"/>
      <c r="S342" s="44"/>
      <c r="U342" s="46"/>
      <c r="V342" s="44"/>
      <c r="Y342" s="46"/>
      <c r="Z342" s="44"/>
      <c r="AC342" s="46"/>
      <c r="AD342" s="44"/>
    </row>
    <row r="343">
      <c r="C343" s="43"/>
      <c r="M343" s="43"/>
      <c r="O343" s="44"/>
      <c r="P343" s="45"/>
      <c r="Q343" s="46"/>
      <c r="R343" s="47"/>
      <c r="S343" s="44"/>
      <c r="U343" s="46"/>
      <c r="V343" s="44"/>
      <c r="Y343" s="46"/>
      <c r="Z343" s="44"/>
      <c r="AC343" s="46"/>
      <c r="AD343" s="44"/>
    </row>
    <row r="344">
      <c r="C344" s="43"/>
      <c r="M344" s="43"/>
      <c r="O344" s="44"/>
      <c r="P344" s="45"/>
      <c r="Q344" s="46"/>
      <c r="R344" s="47"/>
      <c r="S344" s="44"/>
      <c r="U344" s="46"/>
      <c r="V344" s="44"/>
      <c r="Y344" s="46"/>
      <c r="Z344" s="44"/>
      <c r="AC344" s="46"/>
      <c r="AD344" s="44"/>
    </row>
    <row r="345">
      <c r="C345" s="43"/>
      <c r="M345" s="43"/>
      <c r="O345" s="44"/>
      <c r="P345" s="45"/>
      <c r="Q345" s="46"/>
      <c r="R345" s="47"/>
      <c r="S345" s="44"/>
      <c r="U345" s="46"/>
      <c r="V345" s="44"/>
      <c r="Y345" s="46"/>
      <c r="Z345" s="44"/>
      <c r="AC345" s="46"/>
      <c r="AD345" s="44"/>
    </row>
    <row r="346">
      <c r="C346" s="43"/>
      <c r="M346" s="43"/>
      <c r="O346" s="44"/>
      <c r="P346" s="45"/>
      <c r="Q346" s="46"/>
      <c r="R346" s="47"/>
      <c r="S346" s="44"/>
      <c r="U346" s="46"/>
      <c r="V346" s="44"/>
      <c r="Y346" s="46"/>
      <c r="Z346" s="44"/>
      <c r="AC346" s="46"/>
      <c r="AD346" s="44"/>
    </row>
    <row r="347">
      <c r="C347" s="43"/>
      <c r="M347" s="43"/>
      <c r="O347" s="44"/>
      <c r="P347" s="45"/>
      <c r="Q347" s="46"/>
      <c r="R347" s="47"/>
      <c r="S347" s="44"/>
      <c r="U347" s="46"/>
      <c r="V347" s="44"/>
      <c r="Y347" s="46"/>
      <c r="Z347" s="44"/>
      <c r="AC347" s="46"/>
      <c r="AD347" s="44"/>
    </row>
    <row r="348">
      <c r="C348" s="43"/>
      <c r="M348" s="43"/>
      <c r="O348" s="44"/>
      <c r="P348" s="45"/>
      <c r="Q348" s="46"/>
      <c r="R348" s="47"/>
      <c r="S348" s="44"/>
      <c r="U348" s="46"/>
      <c r="V348" s="44"/>
      <c r="Y348" s="46"/>
      <c r="Z348" s="44"/>
      <c r="AC348" s="46"/>
      <c r="AD348" s="44"/>
    </row>
    <row r="349">
      <c r="C349" s="43"/>
      <c r="M349" s="43"/>
      <c r="O349" s="44"/>
      <c r="P349" s="45"/>
      <c r="Q349" s="46"/>
      <c r="R349" s="47"/>
      <c r="S349" s="44"/>
      <c r="U349" s="46"/>
      <c r="V349" s="44"/>
      <c r="Y349" s="46"/>
      <c r="Z349" s="44"/>
      <c r="AC349" s="46"/>
      <c r="AD349" s="44"/>
    </row>
    <row r="350">
      <c r="C350" s="43"/>
      <c r="M350" s="43"/>
      <c r="O350" s="44"/>
      <c r="P350" s="45"/>
      <c r="Q350" s="46"/>
      <c r="R350" s="47"/>
      <c r="S350" s="44"/>
      <c r="U350" s="46"/>
      <c r="V350" s="44"/>
      <c r="Y350" s="46"/>
      <c r="Z350" s="44"/>
      <c r="AC350" s="46"/>
      <c r="AD350" s="44"/>
    </row>
    <row r="351">
      <c r="C351" s="43"/>
      <c r="M351" s="43"/>
      <c r="O351" s="44"/>
      <c r="P351" s="45"/>
      <c r="Q351" s="46"/>
      <c r="R351" s="47"/>
      <c r="S351" s="44"/>
      <c r="U351" s="46"/>
      <c r="V351" s="44"/>
      <c r="Y351" s="46"/>
      <c r="Z351" s="44"/>
      <c r="AC351" s="46"/>
      <c r="AD351" s="44"/>
    </row>
    <row r="352">
      <c r="C352" s="43"/>
      <c r="M352" s="43"/>
      <c r="O352" s="44"/>
      <c r="P352" s="45"/>
      <c r="Q352" s="46"/>
      <c r="R352" s="47"/>
      <c r="S352" s="44"/>
      <c r="U352" s="46"/>
      <c r="V352" s="44"/>
      <c r="Y352" s="46"/>
      <c r="Z352" s="44"/>
      <c r="AC352" s="46"/>
      <c r="AD352" s="44"/>
    </row>
    <row r="353">
      <c r="C353" s="43"/>
      <c r="M353" s="43"/>
      <c r="O353" s="44"/>
      <c r="P353" s="45"/>
      <c r="Q353" s="46"/>
      <c r="R353" s="47"/>
      <c r="S353" s="44"/>
      <c r="U353" s="46"/>
      <c r="V353" s="44"/>
      <c r="Y353" s="46"/>
      <c r="Z353" s="44"/>
      <c r="AC353" s="46"/>
      <c r="AD353" s="44"/>
    </row>
    <row r="354">
      <c r="C354" s="43"/>
      <c r="M354" s="43"/>
      <c r="O354" s="44"/>
      <c r="P354" s="45"/>
      <c r="Q354" s="46"/>
      <c r="R354" s="47"/>
      <c r="S354" s="44"/>
      <c r="U354" s="46"/>
      <c r="V354" s="44"/>
      <c r="Y354" s="46"/>
      <c r="Z354" s="44"/>
      <c r="AC354" s="46"/>
      <c r="AD354" s="44"/>
    </row>
    <row r="355">
      <c r="C355" s="43"/>
      <c r="M355" s="43"/>
      <c r="O355" s="44"/>
      <c r="P355" s="45"/>
      <c r="Q355" s="46"/>
      <c r="R355" s="47"/>
      <c r="S355" s="44"/>
      <c r="U355" s="46"/>
      <c r="V355" s="44"/>
      <c r="Y355" s="46"/>
      <c r="Z355" s="44"/>
      <c r="AC355" s="46"/>
      <c r="AD355" s="44"/>
    </row>
    <row r="356">
      <c r="C356" s="43"/>
      <c r="M356" s="43"/>
      <c r="O356" s="44"/>
      <c r="P356" s="45"/>
      <c r="Q356" s="46"/>
      <c r="R356" s="47"/>
      <c r="S356" s="44"/>
      <c r="U356" s="46"/>
      <c r="V356" s="44"/>
      <c r="Y356" s="46"/>
      <c r="Z356" s="44"/>
      <c r="AC356" s="46"/>
      <c r="AD356" s="44"/>
    </row>
    <row r="357">
      <c r="C357" s="43"/>
      <c r="M357" s="43"/>
      <c r="O357" s="44"/>
      <c r="P357" s="45"/>
      <c r="Q357" s="46"/>
      <c r="R357" s="47"/>
      <c r="S357" s="44"/>
      <c r="U357" s="46"/>
      <c r="V357" s="44"/>
      <c r="Y357" s="46"/>
      <c r="Z357" s="44"/>
      <c r="AC357" s="46"/>
      <c r="AD357" s="44"/>
    </row>
    <row r="358">
      <c r="C358" s="43"/>
      <c r="M358" s="43"/>
      <c r="O358" s="44"/>
      <c r="P358" s="45"/>
      <c r="Q358" s="46"/>
      <c r="R358" s="47"/>
      <c r="S358" s="44"/>
      <c r="U358" s="46"/>
      <c r="V358" s="44"/>
      <c r="Y358" s="46"/>
      <c r="Z358" s="44"/>
      <c r="AC358" s="46"/>
      <c r="AD358" s="44"/>
    </row>
    <row r="359">
      <c r="C359" s="43"/>
      <c r="M359" s="43"/>
      <c r="O359" s="44"/>
      <c r="P359" s="45"/>
      <c r="Q359" s="46"/>
      <c r="R359" s="47"/>
      <c r="S359" s="44"/>
      <c r="U359" s="46"/>
      <c r="V359" s="44"/>
      <c r="Y359" s="46"/>
      <c r="Z359" s="44"/>
      <c r="AC359" s="46"/>
      <c r="AD359" s="44"/>
    </row>
    <row r="360">
      <c r="C360" s="43"/>
      <c r="M360" s="43"/>
      <c r="O360" s="44"/>
      <c r="P360" s="45"/>
      <c r="Q360" s="46"/>
      <c r="R360" s="47"/>
      <c r="S360" s="44"/>
      <c r="U360" s="46"/>
      <c r="V360" s="44"/>
      <c r="Y360" s="46"/>
      <c r="Z360" s="44"/>
      <c r="AC360" s="46"/>
      <c r="AD360" s="44"/>
    </row>
    <row r="361">
      <c r="C361" s="43"/>
      <c r="M361" s="43"/>
      <c r="O361" s="44"/>
      <c r="P361" s="45"/>
      <c r="Q361" s="46"/>
      <c r="R361" s="47"/>
      <c r="S361" s="44"/>
      <c r="U361" s="46"/>
      <c r="V361" s="44"/>
      <c r="Y361" s="46"/>
      <c r="Z361" s="44"/>
      <c r="AC361" s="46"/>
      <c r="AD361" s="44"/>
    </row>
    <row r="362">
      <c r="C362" s="43"/>
      <c r="M362" s="43"/>
      <c r="O362" s="44"/>
      <c r="P362" s="45"/>
      <c r="Q362" s="46"/>
      <c r="R362" s="47"/>
      <c r="S362" s="44"/>
      <c r="U362" s="46"/>
      <c r="V362" s="44"/>
      <c r="Y362" s="46"/>
      <c r="Z362" s="44"/>
      <c r="AC362" s="46"/>
      <c r="AD362" s="44"/>
    </row>
    <row r="363">
      <c r="C363" s="43"/>
      <c r="M363" s="43"/>
      <c r="O363" s="44"/>
      <c r="P363" s="45"/>
      <c r="Q363" s="46"/>
      <c r="R363" s="47"/>
      <c r="S363" s="44"/>
      <c r="U363" s="46"/>
      <c r="V363" s="44"/>
      <c r="Y363" s="46"/>
      <c r="Z363" s="44"/>
      <c r="AC363" s="46"/>
      <c r="AD363" s="44"/>
    </row>
    <row r="364">
      <c r="C364" s="43"/>
      <c r="M364" s="43"/>
      <c r="O364" s="44"/>
      <c r="P364" s="45"/>
      <c r="Q364" s="46"/>
      <c r="R364" s="47"/>
      <c r="S364" s="44"/>
      <c r="U364" s="46"/>
      <c r="V364" s="44"/>
      <c r="Y364" s="46"/>
      <c r="Z364" s="44"/>
      <c r="AC364" s="46"/>
      <c r="AD364" s="44"/>
    </row>
    <row r="365">
      <c r="C365" s="43"/>
      <c r="M365" s="43"/>
      <c r="O365" s="44"/>
      <c r="P365" s="45"/>
      <c r="Q365" s="46"/>
      <c r="R365" s="47"/>
      <c r="S365" s="44"/>
      <c r="U365" s="46"/>
      <c r="V365" s="44"/>
      <c r="Y365" s="46"/>
      <c r="Z365" s="44"/>
      <c r="AC365" s="46"/>
      <c r="AD365" s="44"/>
    </row>
    <row r="366">
      <c r="C366" s="43"/>
      <c r="M366" s="43"/>
      <c r="O366" s="44"/>
      <c r="P366" s="45"/>
      <c r="Q366" s="46"/>
      <c r="R366" s="47"/>
      <c r="S366" s="44"/>
      <c r="U366" s="46"/>
      <c r="V366" s="44"/>
      <c r="Y366" s="46"/>
      <c r="Z366" s="44"/>
      <c r="AC366" s="46"/>
      <c r="AD366" s="44"/>
    </row>
    <row r="367">
      <c r="C367" s="43"/>
      <c r="M367" s="43"/>
      <c r="O367" s="44"/>
      <c r="P367" s="45"/>
      <c r="Q367" s="46"/>
      <c r="R367" s="47"/>
      <c r="S367" s="44"/>
      <c r="U367" s="46"/>
      <c r="V367" s="44"/>
      <c r="Y367" s="46"/>
      <c r="Z367" s="44"/>
      <c r="AC367" s="46"/>
      <c r="AD367" s="44"/>
    </row>
    <row r="368">
      <c r="C368" s="43"/>
      <c r="M368" s="43"/>
      <c r="O368" s="44"/>
      <c r="P368" s="45"/>
      <c r="Q368" s="46"/>
      <c r="R368" s="47"/>
      <c r="S368" s="44"/>
      <c r="U368" s="46"/>
      <c r="V368" s="44"/>
      <c r="Y368" s="46"/>
      <c r="Z368" s="44"/>
      <c r="AC368" s="46"/>
      <c r="AD368" s="44"/>
    </row>
    <row r="369">
      <c r="C369" s="43"/>
      <c r="M369" s="43"/>
      <c r="O369" s="44"/>
      <c r="P369" s="45"/>
      <c r="Q369" s="46"/>
      <c r="R369" s="47"/>
      <c r="S369" s="44"/>
      <c r="U369" s="46"/>
      <c r="V369" s="44"/>
      <c r="Y369" s="46"/>
      <c r="Z369" s="44"/>
      <c r="AC369" s="46"/>
      <c r="AD369" s="44"/>
    </row>
    <row r="370">
      <c r="C370" s="43"/>
      <c r="M370" s="43"/>
      <c r="O370" s="44"/>
      <c r="P370" s="45"/>
      <c r="Q370" s="46"/>
      <c r="R370" s="47"/>
      <c r="S370" s="44"/>
      <c r="U370" s="46"/>
      <c r="V370" s="44"/>
      <c r="Y370" s="46"/>
      <c r="Z370" s="44"/>
      <c r="AC370" s="46"/>
      <c r="AD370" s="44"/>
    </row>
    <row r="371">
      <c r="C371" s="43"/>
      <c r="M371" s="43"/>
      <c r="O371" s="44"/>
      <c r="P371" s="45"/>
      <c r="Q371" s="46"/>
      <c r="R371" s="47"/>
      <c r="S371" s="44"/>
      <c r="U371" s="46"/>
      <c r="V371" s="44"/>
      <c r="Y371" s="46"/>
      <c r="Z371" s="44"/>
      <c r="AC371" s="46"/>
      <c r="AD371" s="44"/>
    </row>
    <row r="372">
      <c r="C372" s="43"/>
      <c r="M372" s="43"/>
      <c r="O372" s="44"/>
      <c r="P372" s="45"/>
      <c r="Q372" s="46"/>
      <c r="R372" s="47"/>
      <c r="S372" s="44"/>
      <c r="U372" s="46"/>
      <c r="V372" s="44"/>
      <c r="Y372" s="46"/>
      <c r="Z372" s="44"/>
      <c r="AC372" s="46"/>
      <c r="AD372" s="44"/>
    </row>
    <row r="373">
      <c r="C373" s="43"/>
      <c r="M373" s="43"/>
      <c r="O373" s="44"/>
      <c r="P373" s="45"/>
      <c r="Q373" s="46"/>
      <c r="R373" s="47"/>
      <c r="S373" s="44"/>
      <c r="U373" s="46"/>
      <c r="V373" s="44"/>
      <c r="Y373" s="46"/>
      <c r="Z373" s="44"/>
      <c r="AC373" s="46"/>
      <c r="AD373" s="44"/>
    </row>
    <row r="374">
      <c r="C374" s="43"/>
      <c r="M374" s="43"/>
      <c r="O374" s="44"/>
      <c r="P374" s="45"/>
      <c r="Q374" s="46"/>
      <c r="R374" s="47"/>
      <c r="S374" s="44"/>
      <c r="U374" s="46"/>
      <c r="V374" s="44"/>
      <c r="Y374" s="46"/>
      <c r="Z374" s="44"/>
      <c r="AC374" s="46"/>
      <c r="AD374" s="44"/>
    </row>
    <row r="375">
      <c r="C375" s="43"/>
      <c r="M375" s="43"/>
      <c r="O375" s="44"/>
      <c r="P375" s="45"/>
      <c r="Q375" s="46"/>
      <c r="R375" s="47"/>
      <c r="S375" s="44"/>
      <c r="U375" s="46"/>
      <c r="V375" s="44"/>
      <c r="Y375" s="46"/>
      <c r="Z375" s="44"/>
      <c r="AC375" s="46"/>
      <c r="AD375" s="44"/>
    </row>
    <row r="376">
      <c r="C376" s="43"/>
      <c r="M376" s="43"/>
      <c r="O376" s="44"/>
      <c r="P376" s="45"/>
      <c r="Q376" s="46"/>
      <c r="R376" s="47"/>
      <c r="S376" s="44"/>
      <c r="U376" s="46"/>
      <c r="V376" s="44"/>
      <c r="Y376" s="46"/>
      <c r="Z376" s="44"/>
      <c r="AC376" s="46"/>
      <c r="AD376" s="44"/>
    </row>
    <row r="377">
      <c r="C377" s="43"/>
      <c r="M377" s="43"/>
      <c r="O377" s="44"/>
      <c r="P377" s="45"/>
      <c r="Q377" s="46"/>
      <c r="R377" s="47"/>
      <c r="S377" s="44"/>
      <c r="U377" s="46"/>
      <c r="V377" s="44"/>
      <c r="Y377" s="46"/>
      <c r="Z377" s="44"/>
      <c r="AC377" s="46"/>
      <c r="AD377" s="44"/>
    </row>
    <row r="378">
      <c r="C378" s="43"/>
      <c r="M378" s="43"/>
      <c r="O378" s="44"/>
      <c r="P378" s="45"/>
      <c r="Q378" s="46"/>
      <c r="R378" s="47"/>
      <c r="S378" s="44"/>
      <c r="U378" s="46"/>
      <c r="V378" s="44"/>
      <c r="Y378" s="46"/>
      <c r="Z378" s="44"/>
      <c r="AC378" s="46"/>
      <c r="AD378" s="44"/>
    </row>
    <row r="379">
      <c r="C379" s="43"/>
      <c r="M379" s="43"/>
      <c r="O379" s="44"/>
      <c r="P379" s="45"/>
      <c r="Q379" s="46"/>
      <c r="R379" s="47"/>
      <c r="S379" s="44"/>
      <c r="U379" s="46"/>
      <c r="V379" s="44"/>
      <c r="Y379" s="46"/>
      <c r="Z379" s="44"/>
      <c r="AC379" s="46"/>
      <c r="AD379" s="44"/>
    </row>
    <row r="380">
      <c r="C380" s="43"/>
      <c r="M380" s="43"/>
      <c r="O380" s="44"/>
      <c r="P380" s="45"/>
      <c r="Q380" s="46"/>
      <c r="R380" s="47"/>
      <c r="S380" s="44"/>
      <c r="U380" s="46"/>
      <c r="V380" s="44"/>
      <c r="Y380" s="46"/>
      <c r="Z380" s="44"/>
      <c r="AC380" s="46"/>
      <c r="AD380" s="44"/>
    </row>
    <row r="381">
      <c r="C381" s="43"/>
      <c r="M381" s="43"/>
      <c r="O381" s="44"/>
      <c r="P381" s="45"/>
      <c r="Q381" s="46"/>
      <c r="R381" s="47"/>
      <c r="S381" s="44"/>
      <c r="U381" s="46"/>
      <c r="V381" s="44"/>
      <c r="Y381" s="46"/>
      <c r="Z381" s="44"/>
      <c r="AC381" s="46"/>
      <c r="AD381" s="44"/>
    </row>
    <row r="382">
      <c r="C382" s="43"/>
      <c r="M382" s="43"/>
      <c r="O382" s="44"/>
      <c r="P382" s="45"/>
      <c r="Q382" s="46"/>
      <c r="R382" s="47"/>
      <c r="S382" s="44"/>
      <c r="U382" s="46"/>
      <c r="V382" s="44"/>
      <c r="Y382" s="46"/>
      <c r="Z382" s="44"/>
      <c r="AC382" s="46"/>
      <c r="AD382" s="44"/>
    </row>
    <row r="383">
      <c r="C383" s="43"/>
      <c r="M383" s="43"/>
      <c r="O383" s="44"/>
      <c r="P383" s="45"/>
      <c r="Q383" s="46"/>
      <c r="R383" s="47"/>
      <c r="S383" s="44"/>
      <c r="U383" s="46"/>
      <c r="V383" s="44"/>
      <c r="Y383" s="46"/>
      <c r="Z383" s="44"/>
      <c r="AC383" s="46"/>
      <c r="AD383" s="44"/>
    </row>
    <row r="384">
      <c r="C384" s="43"/>
      <c r="M384" s="43"/>
      <c r="O384" s="44"/>
      <c r="P384" s="45"/>
      <c r="Q384" s="46"/>
      <c r="R384" s="47"/>
      <c r="S384" s="44"/>
      <c r="U384" s="46"/>
      <c r="V384" s="44"/>
      <c r="Y384" s="46"/>
      <c r="Z384" s="44"/>
      <c r="AC384" s="46"/>
      <c r="AD384" s="44"/>
    </row>
    <row r="385">
      <c r="C385" s="43"/>
      <c r="M385" s="43"/>
      <c r="O385" s="44"/>
      <c r="P385" s="45"/>
      <c r="Q385" s="46"/>
      <c r="R385" s="47"/>
      <c r="S385" s="44"/>
      <c r="U385" s="46"/>
      <c r="V385" s="44"/>
      <c r="Y385" s="46"/>
      <c r="Z385" s="44"/>
      <c r="AC385" s="46"/>
      <c r="AD385" s="44"/>
    </row>
    <row r="386">
      <c r="C386" s="43"/>
      <c r="M386" s="43"/>
      <c r="O386" s="44"/>
      <c r="P386" s="45"/>
      <c r="Q386" s="46"/>
      <c r="R386" s="47"/>
      <c r="S386" s="44"/>
      <c r="U386" s="46"/>
      <c r="V386" s="44"/>
      <c r="Y386" s="46"/>
      <c r="Z386" s="44"/>
      <c r="AC386" s="46"/>
      <c r="AD386" s="44"/>
    </row>
    <row r="387">
      <c r="C387" s="43"/>
      <c r="M387" s="43"/>
      <c r="O387" s="44"/>
      <c r="P387" s="45"/>
      <c r="Q387" s="46"/>
      <c r="R387" s="47"/>
      <c r="S387" s="44"/>
      <c r="U387" s="46"/>
      <c r="V387" s="44"/>
      <c r="Y387" s="46"/>
      <c r="Z387" s="44"/>
      <c r="AC387" s="46"/>
      <c r="AD387" s="44"/>
    </row>
    <row r="388">
      <c r="C388" s="43"/>
      <c r="M388" s="43"/>
      <c r="O388" s="44"/>
      <c r="P388" s="45"/>
      <c r="Q388" s="46"/>
      <c r="R388" s="47"/>
      <c r="S388" s="44"/>
      <c r="U388" s="46"/>
      <c r="V388" s="44"/>
      <c r="Y388" s="46"/>
      <c r="Z388" s="44"/>
      <c r="AC388" s="46"/>
      <c r="AD388" s="44"/>
    </row>
    <row r="389">
      <c r="C389" s="43"/>
      <c r="M389" s="43"/>
      <c r="O389" s="44"/>
      <c r="P389" s="45"/>
      <c r="Q389" s="46"/>
      <c r="R389" s="47"/>
      <c r="S389" s="44"/>
      <c r="U389" s="46"/>
      <c r="V389" s="44"/>
      <c r="Y389" s="46"/>
      <c r="Z389" s="44"/>
      <c r="AC389" s="46"/>
      <c r="AD389" s="44"/>
    </row>
    <row r="390">
      <c r="C390" s="43"/>
      <c r="M390" s="43"/>
      <c r="O390" s="44"/>
      <c r="P390" s="45"/>
      <c r="Q390" s="46"/>
      <c r="R390" s="47"/>
      <c r="S390" s="44"/>
      <c r="U390" s="46"/>
      <c r="V390" s="44"/>
      <c r="Y390" s="46"/>
      <c r="Z390" s="44"/>
      <c r="AC390" s="46"/>
      <c r="AD390" s="44"/>
    </row>
    <row r="391">
      <c r="C391" s="43"/>
      <c r="M391" s="43"/>
      <c r="O391" s="44"/>
      <c r="P391" s="45"/>
      <c r="Q391" s="46"/>
      <c r="R391" s="47"/>
      <c r="S391" s="44"/>
      <c r="U391" s="46"/>
      <c r="V391" s="44"/>
      <c r="Y391" s="46"/>
      <c r="Z391" s="44"/>
      <c r="AC391" s="46"/>
      <c r="AD391" s="44"/>
    </row>
    <row r="392">
      <c r="C392" s="43"/>
      <c r="M392" s="43"/>
      <c r="O392" s="44"/>
      <c r="P392" s="45"/>
      <c r="Q392" s="46"/>
      <c r="R392" s="47"/>
      <c r="S392" s="44"/>
      <c r="U392" s="46"/>
      <c r="V392" s="44"/>
      <c r="Y392" s="46"/>
      <c r="Z392" s="44"/>
      <c r="AC392" s="46"/>
      <c r="AD392" s="44"/>
    </row>
    <row r="393">
      <c r="C393" s="43"/>
      <c r="M393" s="43"/>
      <c r="O393" s="44"/>
      <c r="P393" s="45"/>
      <c r="Q393" s="46"/>
      <c r="R393" s="47"/>
      <c r="S393" s="44"/>
      <c r="U393" s="46"/>
      <c r="V393" s="44"/>
      <c r="Y393" s="46"/>
      <c r="Z393" s="44"/>
      <c r="AC393" s="46"/>
      <c r="AD393" s="44"/>
    </row>
    <row r="394">
      <c r="C394" s="43"/>
      <c r="M394" s="43"/>
      <c r="O394" s="44"/>
      <c r="P394" s="45"/>
      <c r="Q394" s="46"/>
      <c r="R394" s="47"/>
      <c r="S394" s="44"/>
      <c r="U394" s="46"/>
      <c r="V394" s="44"/>
      <c r="Y394" s="46"/>
      <c r="Z394" s="44"/>
      <c r="AC394" s="46"/>
      <c r="AD394" s="44"/>
    </row>
    <row r="395">
      <c r="C395" s="43"/>
      <c r="M395" s="43"/>
      <c r="O395" s="44"/>
      <c r="P395" s="45"/>
      <c r="Q395" s="46"/>
      <c r="R395" s="47"/>
      <c r="S395" s="44"/>
      <c r="U395" s="46"/>
      <c r="V395" s="44"/>
      <c r="Y395" s="46"/>
      <c r="Z395" s="44"/>
      <c r="AC395" s="46"/>
      <c r="AD395" s="44"/>
    </row>
    <row r="396">
      <c r="C396" s="43"/>
      <c r="M396" s="43"/>
      <c r="O396" s="44"/>
      <c r="P396" s="45"/>
      <c r="Q396" s="46"/>
      <c r="R396" s="47"/>
      <c r="S396" s="44"/>
      <c r="U396" s="46"/>
      <c r="V396" s="44"/>
      <c r="Y396" s="46"/>
      <c r="Z396" s="44"/>
      <c r="AC396" s="46"/>
      <c r="AD396" s="44"/>
    </row>
    <row r="397">
      <c r="C397" s="43"/>
      <c r="M397" s="43"/>
      <c r="O397" s="44"/>
      <c r="P397" s="45"/>
      <c r="Q397" s="46"/>
      <c r="R397" s="47"/>
      <c r="S397" s="44"/>
      <c r="U397" s="46"/>
      <c r="V397" s="44"/>
      <c r="Y397" s="46"/>
      <c r="Z397" s="44"/>
      <c r="AC397" s="46"/>
      <c r="AD397" s="44"/>
    </row>
    <row r="398">
      <c r="C398" s="43"/>
      <c r="M398" s="43"/>
      <c r="O398" s="44"/>
      <c r="P398" s="45"/>
      <c r="Q398" s="46"/>
      <c r="R398" s="47"/>
      <c r="S398" s="44"/>
      <c r="U398" s="46"/>
      <c r="V398" s="44"/>
      <c r="Y398" s="46"/>
      <c r="Z398" s="44"/>
      <c r="AC398" s="46"/>
      <c r="AD398" s="44"/>
    </row>
    <row r="399">
      <c r="C399" s="43"/>
      <c r="M399" s="43"/>
      <c r="O399" s="44"/>
      <c r="P399" s="45"/>
      <c r="Q399" s="46"/>
      <c r="R399" s="47"/>
      <c r="S399" s="44"/>
      <c r="U399" s="46"/>
      <c r="V399" s="44"/>
      <c r="Y399" s="46"/>
      <c r="Z399" s="44"/>
      <c r="AC399" s="46"/>
      <c r="AD399" s="44"/>
    </row>
    <row r="400">
      <c r="C400" s="43"/>
      <c r="M400" s="43"/>
      <c r="O400" s="44"/>
      <c r="P400" s="45"/>
      <c r="Q400" s="46"/>
      <c r="R400" s="47"/>
      <c r="S400" s="44"/>
      <c r="U400" s="46"/>
      <c r="V400" s="44"/>
      <c r="Y400" s="46"/>
      <c r="Z400" s="44"/>
      <c r="AC400" s="46"/>
      <c r="AD400" s="44"/>
    </row>
    <row r="401">
      <c r="C401" s="43"/>
      <c r="M401" s="43"/>
      <c r="O401" s="44"/>
      <c r="P401" s="45"/>
      <c r="Q401" s="46"/>
      <c r="R401" s="47"/>
      <c r="S401" s="44"/>
      <c r="U401" s="46"/>
      <c r="V401" s="44"/>
      <c r="Y401" s="46"/>
      <c r="Z401" s="44"/>
      <c r="AC401" s="46"/>
      <c r="AD401" s="44"/>
    </row>
    <row r="402">
      <c r="C402" s="43"/>
      <c r="M402" s="43"/>
      <c r="O402" s="44"/>
      <c r="P402" s="45"/>
      <c r="Q402" s="46"/>
      <c r="R402" s="47"/>
      <c r="S402" s="44"/>
      <c r="U402" s="46"/>
      <c r="V402" s="44"/>
      <c r="Y402" s="46"/>
      <c r="Z402" s="44"/>
      <c r="AC402" s="46"/>
      <c r="AD402" s="44"/>
    </row>
    <row r="403">
      <c r="C403" s="43"/>
      <c r="M403" s="43"/>
      <c r="O403" s="44"/>
      <c r="P403" s="45"/>
      <c r="Q403" s="46"/>
      <c r="R403" s="47"/>
      <c r="S403" s="44"/>
      <c r="U403" s="46"/>
      <c r="V403" s="44"/>
      <c r="Y403" s="46"/>
      <c r="Z403" s="44"/>
      <c r="AC403" s="46"/>
      <c r="AD403" s="44"/>
    </row>
    <row r="404">
      <c r="C404" s="43"/>
      <c r="M404" s="43"/>
      <c r="O404" s="44"/>
      <c r="P404" s="45"/>
      <c r="Q404" s="46"/>
      <c r="R404" s="47"/>
      <c r="S404" s="44"/>
      <c r="U404" s="46"/>
      <c r="V404" s="44"/>
      <c r="Y404" s="46"/>
      <c r="Z404" s="44"/>
      <c r="AC404" s="46"/>
      <c r="AD404" s="44"/>
    </row>
    <row r="405">
      <c r="C405" s="43"/>
      <c r="M405" s="43"/>
      <c r="O405" s="44"/>
      <c r="P405" s="45"/>
      <c r="Q405" s="46"/>
      <c r="R405" s="47"/>
      <c r="S405" s="44"/>
      <c r="U405" s="46"/>
      <c r="V405" s="44"/>
      <c r="Y405" s="46"/>
      <c r="Z405" s="44"/>
      <c r="AC405" s="46"/>
      <c r="AD405" s="44"/>
    </row>
    <row r="406">
      <c r="C406" s="43"/>
      <c r="M406" s="43"/>
      <c r="O406" s="44"/>
      <c r="P406" s="45"/>
      <c r="Q406" s="46"/>
      <c r="R406" s="47"/>
      <c r="S406" s="44"/>
      <c r="U406" s="46"/>
      <c r="V406" s="44"/>
      <c r="Y406" s="46"/>
      <c r="Z406" s="44"/>
      <c r="AC406" s="46"/>
      <c r="AD406" s="44"/>
    </row>
    <row r="407">
      <c r="C407" s="43"/>
      <c r="M407" s="43"/>
      <c r="O407" s="44"/>
      <c r="P407" s="45"/>
      <c r="Q407" s="46"/>
      <c r="R407" s="47"/>
      <c r="S407" s="44"/>
      <c r="U407" s="46"/>
      <c r="V407" s="44"/>
      <c r="Y407" s="46"/>
      <c r="Z407" s="44"/>
      <c r="AC407" s="46"/>
      <c r="AD407" s="44"/>
    </row>
    <row r="408">
      <c r="C408" s="43"/>
      <c r="M408" s="43"/>
      <c r="O408" s="44"/>
      <c r="P408" s="45"/>
      <c r="Q408" s="46"/>
      <c r="R408" s="47"/>
      <c r="S408" s="44"/>
      <c r="U408" s="46"/>
      <c r="V408" s="44"/>
      <c r="Y408" s="46"/>
      <c r="Z408" s="44"/>
      <c r="AC408" s="46"/>
      <c r="AD408" s="44"/>
    </row>
    <row r="409">
      <c r="C409" s="43"/>
      <c r="M409" s="43"/>
      <c r="O409" s="44"/>
      <c r="P409" s="45"/>
      <c r="Q409" s="46"/>
      <c r="R409" s="47"/>
      <c r="S409" s="44"/>
      <c r="U409" s="46"/>
      <c r="V409" s="44"/>
      <c r="Y409" s="46"/>
      <c r="Z409" s="44"/>
      <c r="AC409" s="46"/>
      <c r="AD409" s="44"/>
    </row>
    <row r="410">
      <c r="C410" s="43"/>
      <c r="M410" s="43"/>
      <c r="O410" s="44"/>
      <c r="P410" s="45"/>
      <c r="Q410" s="46"/>
      <c r="R410" s="47"/>
      <c r="S410" s="44"/>
      <c r="U410" s="46"/>
      <c r="V410" s="44"/>
      <c r="Y410" s="46"/>
      <c r="Z410" s="44"/>
      <c r="AC410" s="46"/>
      <c r="AD410" s="44"/>
    </row>
    <row r="411">
      <c r="C411" s="43"/>
      <c r="M411" s="43"/>
      <c r="O411" s="44"/>
      <c r="P411" s="45"/>
      <c r="Q411" s="46"/>
      <c r="R411" s="47"/>
      <c r="S411" s="44"/>
      <c r="U411" s="46"/>
      <c r="V411" s="44"/>
      <c r="Y411" s="46"/>
      <c r="Z411" s="44"/>
      <c r="AC411" s="46"/>
      <c r="AD411" s="44"/>
    </row>
    <row r="412">
      <c r="C412" s="43"/>
      <c r="M412" s="43"/>
      <c r="O412" s="44"/>
      <c r="P412" s="45"/>
      <c r="Q412" s="46"/>
      <c r="R412" s="47"/>
      <c r="S412" s="44"/>
      <c r="U412" s="46"/>
      <c r="V412" s="44"/>
      <c r="Y412" s="46"/>
      <c r="Z412" s="44"/>
      <c r="AC412" s="46"/>
      <c r="AD412" s="44"/>
    </row>
    <row r="413">
      <c r="C413" s="43"/>
      <c r="M413" s="43"/>
      <c r="O413" s="44"/>
      <c r="P413" s="45"/>
      <c r="Q413" s="46"/>
      <c r="R413" s="47"/>
      <c r="S413" s="44"/>
      <c r="U413" s="46"/>
      <c r="V413" s="44"/>
      <c r="Y413" s="46"/>
      <c r="Z413" s="44"/>
      <c r="AC413" s="46"/>
      <c r="AD413" s="44"/>
    </row>
    <row r="414">
      <c r="C414" s="43"/>
      <c r="M414" s="43"/>
      <c r="O414" s="44"/>
      <c r="P414" s="45"/>
      <c r="Q414" s="46"/>
      <c r="R414" s="47"/>
      <c r="S414" s="44"/>
      <c r="U414" s="46"/>
      <c r="V414" s="44"/>
      <c r="Y414" s="46"/>
      <c r="Z414" s="44"/>
      <c r="AC414" s="46"/>
      <c r="AD414" s="44"/>
    </row>
    <row r="415">
      <c r="C415" s="43"/>
      <c r="M415" s="43"/>
      <c r="O415" s="44"/>
      <c r="P415" s="45"/>
      <c r="Q415" s="46"/>
      <c r="R415" s="47"/>
      <c r="S415" s="44"/>
      <c r="U415" s="46"/>
      <c r="V415" s="44"/>
      <c r="Y415" s="46"/>
      <c r="Z415" s="44"/>
      <c r="AC415" s="46"/>
      <c r="AD415" s="44"/>
    </row>
    <row r="416">
      <c r="C416" s="43"/>
      <c r="M416" s="43"/>
      <c r="O416" s="44"/>
      <c r="P416" s="45"/>
      <c r="Q416" s="46"/>
      <c r="R416" s="47"/>
      <c r="S416" s="44"/>
      <c r="U416" s="46"/>
      <c r="V416" s="44"/>
      <c r="Y416" s="46"/>
      <c r="Z416" s="44"/>
      <c r="AC416" s="46"/>
      <c r="AD416" s="44"/>
    </row>
    <row r="417">
      <c r="C417" s="43"/>
      <c r="M417" s="43"/>
      <c r="O417" s="44"/>
      <c r="P417" s="45"/>
      <c r="Q417" s="46"/>
      <c r="R417" s="47"/>
      <c r="S417" s="44"/>
      <c r="U417" s="46"/>
      <c r="V417" s="44"/>
      <c r="Y417" s="46"/>
      <c r="Z417" s="44"/>
      <c r="AC417" s="46"/>
      <c r="AD417" s="44"/>
    </row>
    <row r="418">
      <c r="C418" s="43"/>
      <c r="M418" s="43"/>
      <c r="O418" s="44"/>
      <c r="P418" s="45"/>
      <c r="Q418" s="46"/>
      <c r="R418" s="47"/>
      <c r="S418" s="44"/>
      <c r="U418" s="46"/>
      <c r="V418" s="44"/>
      <c r="Y418" s="46"/>
      <c r="Z418" s="44"/>
      <c r="AC418" s="46"/>
      <c r="AD418" s="44"/>
    </row>
    <row r="419">
      <c r="C419" s="43"/>
      <c r="M419" s="43"/>
      <c r="O419" s="44"/>
      <c r="P419" s="45"/>
      <c r="Q419" s="46"/>
      <c r="R419" s="47"/>
      <c r="S419" s="44"/>
      <c r="U419" s="46"/>
      <c r="V419" s="44"/>
      <c r="Y419" s="46"/>
      <c r="Z419" s="44"/>
      <c r="AC419" s="46"/>
      <c r="AD419" s="44"/>
    </row>
    <row r="420">
      <c r="C420" s="43"/>
      <c r="M420" s="43"/>
      <c r="O420" s="44"/>
      <c r="P420" s="45"/>
      <c r="Q420" s="46"/>
      <c r="R420" s="47"/>
      <c r="S420" s="44"/>
      <c r="U420" s="46"/>
      <c r="V420" s="44"/>
      <c r="Y420" s="46"/>
      <c r="Z420" s="44"/>
      <c r="AC420" s="46"/>
      <c r="AD420" s="44"/>
    </row>
    <row r="421">
      <c r="C421" s="43"/>
      <c r="M421" s="43"/>
      <c r="O421" s="44"/>
      <c r="P421" s="45"/>
      <c r="Q421" s="46"/>
      <c r="R421" s="47"/>
      <c r="S421" s="44"/>
      <c r="U421" s="46"/>
      <c r="V421" s="44"/>
      <c r="Y421" s="46"/>
      <c r="Z421" s="44"/>
      <c r="AC421" s="46"/>
      <c r="AD421" s="44"/>
    </row>
    <row r="422">
      <c r="C422" s="43"/>
      <c r="M422" s="43"/>
      <c r="O422" s="44"/>
      <c r="P422" s="45"/>
      <c r="Q422" s="46"/>
      <c r="R422" s="47"/>
      <c r="S422" s="44"/>
      <c r="U422" s="46"/>
      <c r="V422" s="44"/>
      <c r="Y422" s="46"/>
      <c r="Z422" s="44"/>
      <c r="AC422" s="46"/>
      <c r="AD422" s="44"/>
    </row>
    <row r="423">
      <c r="C423" s="43"/>
      <c r="M423" s="43"/>
      <c r="O423" s="44"/>
      <c r="P423" s="45"/>
      <c r="Q423" s="46"/>
      <c r="R423" s="47"/>
      <c r="S423" s="44"/>
      <c r="U423" s="46"/>
      <c r="V423" s="44"/>
      <c r="Y423" s="46"/>
      <c r="Z423" s="44"/>
      <c r="AC423" s="46"/>
      <c r="AD423" s="44"/>
    </row>
    <row r="424">
      <c r="C424" s="43"/>
      <c r="M424" s="43"/>
      <c r="O424" s="44"/>
      <c r="P424" s="45"/>
      <c r="Q424" s="46"/>
      <c r="R424" s="47"/>
      <c r="S424" s="44"/>
      <c r="U424" s="46"/>
      <c r="V424" s="44"/>
      <c r="Y424" s="46"/>
      <c r="Z424" s="44"/>
      <c r="AC424" s="46"/>
      <c r="AD424" s="44"/>
    </row>
    <row r="425">
      <c r="C425" s="43"/>
      <c r="M425" s="43"/>
      <c r="O425" s="44"/>
      <c r="P425" s="45"/>
      <c r="Q425" s="46"/>
      <c r="R425" s="47"/>
      <c r="S425" s="44"/>
      <c r="U425" s="46"/>
      <c r="V425" s="44"/>
      <c r="Y425" s="46"/>
      <c r="Z425" s="44"/>
      <c r="AC425" s="46"/>
      <c r="AD425" s="44"/>
    </row>
    <row r="426">
      <c r="C426" s="43"/>
      <c r="M426" s="43"/>
      <c r="O426" s="44"/>
      <c r="P426" s="45"/>
      <c r="Q426" s="46"/>
      <c r="R426" s="47"/>
      <c r="S426" s="44"/>
      <c r="U426" s="46"/>
      <c r="V426" s="44"/>
      <c r="Y426" s="46"/>
      <c r="Z426" s="44"/>
      <c r="AC426" s="46"/>
      <c r="AD426" s="44"/>
    </row>
    <row r="427">
      <c r="C427" s="43"/>
      <c r="M427" s="43"/>
      <c r="O427" s="44"/>
      <c r="P427" s="45"/>
      <c r="Q427" s="46"/>
      <c r="R427" s="47"/>
      <c r="S427" s="44"/>
      <c r="U427" s="46"/>
      <c r="V427" s="44"/>
      <c r="Y427" s="46"/>
      <c r="Z427" s="44"/>
      <c r="AC427" s="46"/>
      <c r="AD427" s="44"/>
    </row>
    <row r="428">
      <c r="C428" s="43"/>
      <c r="M428" s="43"/>
      <c r="O428" s="44"/>
      <c r="P428" s="45"/>
      <c r="Q428" s="46"/>
      <c r="R428" s="47"/>
      <c r="S428" s="44"/>
      <c r="U428" s="46"/>
      <c r="V428" s="44"/>
      <c r="Y428" s="46"/>
      <c r="Z428" s="44"/>
      <c r="AC428" s="46"/>
      <c r="AD428" s="44"/>
    </row>
    <row r="429">
      <c r="C429" s="43"/>
      <c r="M429" s="43"/>
      <c r="O429" s="44"/>
      <c r="P429" s="45"/>
      <c r="Q429" s="46"/>
      <c r="R429" s="47"/>
      <c r="S429" s="44"/>
      <c r="U429" s="46"/>
      <c r="V429" s="44"/>
      <c r="Y429" s="46"/>
      <c r="Z429" s="44"/>
      <c r="AC429" s="46"/>
      <c r="AD429" s="44"/>
    </row>
    <row r="430">
      <c r="C430" s="43"/>
      <c r="M430" s="43"/>
      <c r="O430" s="44"/>
      <c r="P430" s="45"/>
      <c r="Q430" s="46"/>
      <c r="R430" s="47"/>
      <c r="S430" s="44"/>
      <c r="U430" s="46"/>
      <c r="V430" s="44"/>
      <c r="Y430" s="46"/>
      <c r="Z430" s="44"/>
      <c r="AC430" s="46"/>
      <c r="AD430" s="44"/>
    </row>
    <row r="431">
      <c r="C431" s="43"/>
      <c r="M431" s="43"/>
      <c r="O431" s="44"/>
      <c r="P431" s="45"/>
      <c r="Q431" s="46"/>
      <c r="R431" s="47"/>
      <c r="S431" s="44"/>
      <c r="U431" s="46"/>
      <c r="V431" s="44"/>
      <c r="Y431" s="46"/>
      <c r="Z431" s="44"/>
      <c r="AC431" s="46"/>
      <c r="AD431" s="44"/>
    </row>
    <row r="432">
      <c r="C432" s="43"/>
      <c r="M432" s="43"/>
      <c r="O432" s="44"/>
      <c r="P432" s="45"/>
      <c r="Q432" s="46"/>
      <c r="R432" s="47"/>
      <c r="S432" s="44"/>
      <c r="U432" s="46"/>
      <c r="V432" s="44"/>
      <c r="Y432" s="46"/>
      <c r="Z432" s="44"/>
      <c r="AC432" s="46"/>
      <c r="AD432" s="44"/>
    </row>
    <row r="433">
      <c r="C433" s="43"/>
      <c r="M433" s="43"/>
      <c r="O433" s="44"/>
      <c r="P433" s="45"/>
      <c r="Q433" s="46"/>
      <c r="R433" s="47"/>
      <c r="S433" s="44"/>
      <c r="U433" s="46"/>
      <c r="V433" s="44"/>
      <c r="Y433" s="46"/>
      <c r="Z433" s="44"/>
      <c r="AC433" s="46"/>
      <c r="AD433" s="44"/>
    </row>
    <row r="434">
      <c r="C434" s="43"/>
      <c r="M434" s="43"/>
      <c r="O434" s="44"/>
      <c r="P434" s="45"/>
      <c r="Q434" s="46"/>
      <c r="R434" s="47"/>
      <c r="S434" s="44"/>
      <c r="U434" s="46"/>
      <c r="V434" s="44"/>
      <c r="Y434" s="46"/>
      <c r="Z434" s="44"/>
      <c r="AC434" s="46"/>
      <c r="AD434" s="44"/>
    </row>
    <row r="435">
      <c r="C435" s="43"/>
      <c r="M435" s="43"/>
      <c r="O435" s="44"/>
      <c r="P435" s="45"/>
      <c r="Q435" s="46"/>
      <c r="R435" s="47"/>
      <c r="S435" s="44"/>
      <c r="U435" s="46"/>
      <c r="V435" s="44"/>
      <c r="Y435" s="46"/>
      <c r="Z435" s="44"/>
      <c r="AC435" s="46"/>
      <c r="AD435" s="44"/>
    </row>
    <row r="436">
      <c r="C436" s="43"/>
      <c r="M436" s="43"/>
      <c r="O436" s="44"/>
      <c r="P436" s="45"/>
      <c r="Q436" s="46"/>
      <c r="R436" s="47"/>
      <c r="S436" s="44"/>
      <c r="U436" s="46"/>
      <c r="V436" s="44"/>
      <c r="Y436" s="46"/>
      <c r="Z436" s="44"/>
      <c r="AC436" s="46"/>
      <c r="AD436" s="44"/>
    </row>
    <row r="437">
      <c r="C437" s="43"/>
      <c r="M437" s="43"/>
      <c r="O437" s="44"/>
      <c r="P437" s="45"/>
      <c r="Q437" s="46"/>
      <c r="R437" s="47"/>
      <c r="S437" s="44"/>
      <c r="U437" s="46"/>
      <c r="V437" s="44"/>
      <c r="Y437" s="46"/>
      <c r="Z437" s="44"/>
      <c r="AC437" s="46"/>
      <c r="AD437" s="44"/>
    </row>
    <row r="438">
      <c r="C438" s="43"/>
      <c r="M438" s="43"/>
      <c r="O438" s="44"/>
      <c r="P438" s="45"/>
      <c r="Q438" s="46"/>
      <c r="R438" s="47"/>
      <c r="S438" s="44"/>
      <c r="U438" s="46"/>
      <c r="V438" s="44"/>
      <c r="Y438" s="46"/>
      <c r="Z438" s="44"/>
      <c r="AC438" s="46"/>
      <c r="AD438" s="44"/>
    </row>
    <row r="439">
      <c r="C439" s="43"/>
      <c r="M439" s="43"/>
      <c r="O439" s="44"/>
      <c r="P439" s="45"/>
      <c r="Q439" s="46"/>
      <c r="R439" s="47"/>
      <c r="S439" s="44"/>
      <c r="U439" s="46"/>
      <c r="V439" s="44"/>
      <c r="Y439" s="46"/>
      <c r="Z439" s="44"/>
      <c r="AC439" s="46"/>
      <c r="AD439" s="44"/>
    </row>
    <row r="440">
      <c r="C440" s="43"/>
      <c r="M440" s="43"/>
      <c r="O440" s="44"/>
      <c r="P440" s="45"/>
      <c r="Q440" s="46"/>
      <c r="R440" s="47"/>
      <c r="S440" s="44"/>
      <c r="U440" s="46"/>
      <c r="V440" s="44"/>
      <c r="Y440" s="46"/>
      <c r="Z440" s="44"/>
      <c r="AC440" s="46"/>
      <c r="AD440" s="44"/>
    </row>
    <row r="441">
      <c r="C441" s="43"/>
      <c r="M441" s="43"/>
      <c r="O441" s="44"/>
      <c r="P441" s="45"/>
      <c r="Q441" s="46"/>
      <c r="R441" s="47"/>
      <c r="S441" s="44"/>
      <c r="U441" s="46"/>
      <c r="V441" s="44"/>
      <c r="Y441" s="46"/>
      <c r="Z441" s="44"/>
      <c r="AC441" s="46"/>
      <c r="AD441" s="44"/>
    </row>
    <row r="442">
      <c r="C442" s="43"/>
      <c r="M442" s="43"/>
      <c r="O442" s="44"/>
      <c r="P442" s="45"/>
      <c r="Q442" s="46"/>
      <c r="R442" s="47"/>
      <c r="S442" s="44"/>
      <c r="U442" s="46"/>
      <c r="V442" s="44"/>
      <c r="Y442" s="46"/>
      <c r="Z442" s="44"/>
      <c r="AC442" s="46"/>
      <c r="AD442" s="44"/>
    </row>
    <row r="443">
      <c r="C443" s="43"/>
      <c r="M443" s="43"/>
      <c r="O443" s="44"/>
      <c r="P443" s="45"/>
      <c r="Q443" s="46"/>
      <c r="R443" s="47"/>
      <c r="S443" s="44"/>
      <c r="U443" s="46"/>
      <c r="V443" s="44"/>
      <c r="Y443" s="46"/>
      <c r="Z443" s="44"/>
      <c r="AC443" s="46"/>
      <c r="AD443" s="44"/>
    </row>
    <row r="444">
      <c r="C444" s="43"/>
      <c r="M444" s="43"/>
      <c r="O444" s="44"/>
      <c r="P444" s="45"/>
      <c r="Q444" s="46"/>
      <c r="R444" s="47"/>
      <c r="S444" s="44"/>
      <c r="U444" s="46"/>
      <c r="V444" s="44"/>
      <c r="Y444" s="46"/>
      <c r="Z444" s="44"/>
      <c r="AC444" s="46"/>
      <c r="AD444" s="44"/>
    </row>
    <row r="445">
      <c r="C445" s="43"/>
      <c r="M445" s="43"/>
      <c r="O445" s="44"/>
      <c r="P445" s="45"/>
      <c r="Q445" s="46"/>
      <c r="R445" s="47"/>
      <c r="S445" s="44"/>
      <c r="U445" s="46"/>
      <c r="V445" s="44"/>
      <c r="Y445" s="46"/>
      <c r="Z445" s="44"/>
      <c r="AC445" s="46"/>
      <c r="AD445" s="44"/>
    </row>
    <row r="446">
      <c r="C446" s="43"/>
      <c r="M446" s="43"/>
      <c r="O446" s="44"/>
      <c r="P446" s="45"/>
      <c r="Q446" s="46"/>
      <c r="R446" s="47"/>
      <c r="S446" s="44"/>
      <c r="U446" s="46"/>
      <c r="V446" s="44"/>
      <c r="Y446" s="46"/>
      <c r="Z446" s="44"/>
      <c r="AC446" s="46"/>
      <c r="AD446" s="44"/>
    </row>
    <row r="447">
      <c r="C447" s="43"/>
      <c r="M447" s="43"/>
      <c r="O447" s="44"/>
      <c r="P447" s="45"/>
      <c r="Q447" s="46"/>
      <c r="R447" s="47"/>
      <c r="S447" s="44"/>
      <c r="U447" s="46"/>
      <c r="V447" s="44"/>
      <c r="Y447" s="46"/>
      <c r="Z447" s="44"/>
      <c r="AC447" s="46"/>
      <c r="AD447" s="44"/>
    </row>
    <row r="448">
      <c r="C448" s="43"/>
      <c r="M448" s="43"/>
      <c r="O448" s="44"/>
      <c r="P448" s="45"/>
      <c r="Q448" s="46"/>
      <c r="R448" s="47"/>
      <c r="S448" s="44"/>
      <c r="U448" s="46"/>
      <c r="V448" s="44"/>
      <c r="Y448" s="46"/>
      <c r="Z448" s="44"/>
      <c r="AC448" s="46"/>
      <c r="AD448" s="44"/>
    </row>
    <row r="449">
      <c r="C449" s="43"/>
      <c r="M449" s="43"/>
      <c r="O449" s="44"/>
      <c r="P449" s="45"/>
      <c r="Q449" s="46"/>
      <c r="R449" s="47"/>
      <c r="S449" s="44"/>
      <c r="U449" s="46"/>
      <c r="V449" s="44"/>
      <c r="Y449" s="46"/>
      <c r="Z449" s="44"/>
      <c r="AC449" s="46"/>
      <c r="AD449" s="44"/>
    </row>
    <row r="450">
      <c r="C450" s="43"/>
      <c r="M450" s="43"/>
      <c r="O450" s="44"/>
      <c r="P450" s="45"/>
      <c r="Q450" s="46"/>
      <c r="R450" s="47"/>
      <c r="S450" s="44"/>
      <c r="U450" s="46"/>
      <c r="V450" s="44"/>
      <c r="Y450" s="46"/>
      <c r="Z450" s="44"/>
      <c r="AC450" s="46"/>
      <c r="AD450" s="44"/>
    </row>
    <row r="451">
      <c r="C451" s="43"/>
      <c r="M451" s="43"/>
      <c r="O451" s="44"/>
      <c r="P451" s="45"/>
      <c r="Q451" s="46"/>
      <c r="R451" s="47"/>
      <c r="S451" s="44"/>
      <c r="U451" s="46"/>
      <c r="V451" s="44"/>
      <c r="Y451" s="46"/>
      <c r="Z451" s="44"/>
      <c r="AC451" s="46"/>
      <c r="AD451" s="44"/>
    </row>
    <row r="452">
      <c r="C452" s="43"/>
      <c r="M452" s="43"/>
      <c r="O452" s="44"/>
      <c r="P452" s="45"/>
      <c r="Q452" s="46"/>
      <c r="R452" s="47"/>
      <c r="S452" s="44"/>
      <c r="U452" s="46"/>
      <c r="V452" s="44"/>
      <c r="Y452" s="46"/>
      <c r="Z452" s="44"/>
      <c r="AC452" s="46"/>
      <c r="AD452" s="44"/>
    </row>
    <row r="453">
      <c r="C453" s="43"/>
      <c r="M453" s="43"/>
      <c r="O453" s="44"/>
      <c r="P453" s="45"/>
      <c r="Q453" s="46"/>
      <c r="R453" s="47"/>
      <c r="S453" s="44"/>
      <c r="U453" s="46"/>
      <c r="V453" s="44"/>
      <c r="Y453" s="46"/>
      <c r="Z453" s="44"/>
      <c r="AC453" s="46"/>
      <c r="AD453" s="44"/>
    </row>
    <row r="454">
      <c r="C454" s="43"/>
      <c r="M454" s="43"/>
      <c r="O454" s="44"/>
      <c r="P454" s="45"/>
      <c r="Q454" s="46"/>
      <c r="R454" s="47"/>
      <c r="S454" s="44"/>
      <c r="U454" s="46"/>
      <c r="V454" s="44"/>
      <c r="Y454" s="46"/>
      <c r="Z454" s="44"/>
      <c r="AC454" s="46"/>
      <c r="AD454" s="44"/>
    </row>
    <row r="455">
      <c r="C455" s="43"/>
      <c r="M455" s="43"/>
      <c r="O455" s="44"/>
      <c r="P455" s="45"/>
      <c r="Q455" s="46"/>
      <c r="R455" s="47"/>
      <c r="S455" s="44"/>
      <c r="U455" s="46"/>
      <c r="V455" s="44"/>
      <c r="Y455" s="46"/>
      <c r="Z455" s="44"/>
      <c r="AC455" s="46"/>
      <c r="AD455" s="44"/>
    </row>
    <row r="456">
      <c r="C456" s="43"/>
      <c r="M456" s="43"/>
      <c r="O456" s="44"/>
      <c r="P456" s="45"/>
      <c r="Q456" s="46"/>
      <c r="R456" s="47"/>
      <c r="S456" s="44"/>
      <c r="U456" s="46"/>
      <c r="V456" s="44"/>
      <c r="Y456" s="46"/>
      <c r="Z456" s="44"/>
      <c r="AC456" s="46"/>
      <c r="AD456" s="44"/>
    </row>
    <row r="457">
      <c r="C457" s="43"/>
      <c r="M457" s="43"/>
      <c r="O457" s="44"/>
      <c r="P457" s="45"/>
      <c r="Q457" s="46"/>
      <c r="R457" s="47"/>
      <c r="S457" s="44"/>
      <c r="U457" s="46"/>
      <c r="V457" s="44"/>
      <c r="Y457" s="46"/>
      <c r="Z457" s="44"/>
      <c r="AC457" s="46"/>
      <c r="AD457" s="44"/>
    </row>
    <row r="458">
      <c r="C458" s="43"/>
      <c r="M458" s="43"/>
      <c r="O458" s="44"/>
      <c r="P458" s="45"/>
      <c r="Q458" s="46"/>
      <c r="R458" s="47"/>
      <c r="S458" s="44"/>
      <c r="U458" s="46"/>
      <c r="V458" s="44"/>
      <c r="Y458" s="46"/>
      <c r="Z458" s="44"/>
      <c r="AC458" s="46"/>
      <c r="AD458" s="44"/>
    </row>
    <row r="459">
      <c r="C459" s="43"/>
      <c r="M459" s="43"/>
      <c r="O459" s="44"/>
      <c r="P459" s="45"/>
      <c r="Q459" s="46"/>
      <c r="R459" s="47"/>
      <c r="S459" s="44"/>
      <c r="U459" s="46"/>
      <c r="V459" s="44"/>
      <c r="Y459" s="46"/>
      <c r="Z459" s="44"/>
      <c r="AC459" s="46"/>
      <c r="AD459" s="44"/>
    </row>
    <row r="460">
      <c r="C460" s="43"/>
      <c r="M460" s="43"/>
      <c r="O460" s="44"/>
      <c r="P460" s="45"/>
      <c r="Q460" s="46"/>
      <c r="R460" s="47"/>
      <c r="S460" s="44"/>
      <c r="U460" s="46"/>
      <c r="V460" s="44"/>
      <c r="Y460" s="46"/>
      <c r="Z460" s="44"/>
      <c r="AC460" s="46"/>
      <c r="AD460" s="44"/>
    </row>
    <row r="461">
      <c r="C461" s="43"/>
      <c r="M461" s="43"/>
      <c r="O461" s="44"/>
      <c r="P461" s="45"/>
      <c r="Q461" s="46"/>
      <c r="R461" s="47"/>
      <c r="S461" s="44"/>
      <c r="U461" s="46"/>
      <c r="V461" s="44"/>
      <c r="Y461" s="46"/>
      <c r="Z461" s="44"/>
      <c r="AC461" s="46"/>
      <c r="AD461" s="44"/>
    </row>
    <row r="462">
      <c r="C462" s="43"/>
      <c r="M462" s="43"/>
      <c r="O462" s="44"/>
      <c r="P462" s="45"/>
      <c r="Q462" s="46"/>
      <c r="R462" s="47"/>
      <c r="S462" s="44"/>
      <c r="U462" s="46"/>
      <c r="V462" s="44"/>
      <c r="Y462" s="46"/>
      <c r="Z462" s="44"/>
      <c r="AC462" s="46"/>
      <c r="AD462" s="44"/>
    </row>
    <row r="463">
      <c r="C463" s="43"/>
      <c r="M463" s="43"/>
      <c r="O463" s="44"/>
      <c r="P463" s="45"/>
      <c r="Q463" s="46"/>
      <c r="R463" s="47"/>
      <c r="S463" s="44"/>
      <c r="U463" s="46"/>
      <c r="V463" s="44"/>
      <c r="Y463" s="46"/>
      <c r="Z463" s="44"/>
      <c r="AC463" s="46"/>
      <c r="AD463" s="44"/>
    </row>
    <row r="464">
      <c r="C464" s="43"/>
      <c r="M464" s="43"/>
      <c r="O464" s="44"/>
      <c r="P464" s="45"/>
      <c r="Q464" s="46"/>
      <c r="R464" s="47"/>
      <c r="S464" s="44"/>
      <c r="U464" s="46"/>
      <c r="V464" s="44"/>
      <c r="Y464" s="46"/>
      <c r="Z464" s="44"/>
      <c r="AC464" s="46"/>
      <c r="AD464" s="44"/>
    </row>
    <row r="465">
      <c r="C465" s="43"/>
      <c r="M465" s="43"/>
      <c r="O465" s="44"/>
      <c r="P465" s="45"/>
      <c r="Q465" s="46"/>
      <c r="R465" s="47"/>
      <c r="S465" s="44"/>
      <c r="U465" s="46"/>
      <c r="V465" s="44"/>
      <c r="Y465" s="46"/>
      <c r="Z465" s="44"/>
      <c r="AC465" s="46"/>
      <c r="AD465" s="44"/>
    </row>
    <row r="466">
      <c r="C466" s="43"/>
      <c r="M466" s="43"/>
      <c r="O466" s="44"/>
      <c r="P466" s="45"/>
      <c r="Q466" s="46"/>
      <c r="R466" s="47"/>
      <c r="S466" s="44"/>
      <c r="U466" s="46"/>
      <c r="V466" s="44"/>
      <c r="Y466" s="46"/>
      <c r="Z466" s="44"/>
      <c r="AC466" s="46"/>
      <c r="AD466" s="44"/>
    </row>
    <row r="467">
      <c r="C467" s="43"/>
      <c r="M467" s="43"/>
      <c r="O467" s="44"/>
      <c r="P467" s="45"/>
      <c r="Q467" s="46"/>
      <c r="R467" s="47"/>
      <c r="S467" s="44"/>
      <c r="U467" s="46"/>
      <c r="V467" s="44"/>
      <c r="Y467" s="46"/>
      <c r="Z467" s="44"/>
      <c r="AC467" s="46"/>
      <c r="AD467" s="44"/>
    </row>
    <row r="468">
      <c r="C468" s="43"/>
      <c r="M468" s="43"/>
      <c r="O468" s="44"/>
      <c r="P468" s="45"/>
      <c r="Q468" s="46"/>
      <c r="R468" s="47"/>
      <c r="S468" s="44"/>
      <c r="U468" s="46"/>
      <c r="V468" s="44"/>
      <c r="Y468" s="46"/>
      <c r="Z468" s="44"/>
      <c r="AC468" s="46"/>
      <c r="AD468" s="44"/>
    </row>
    <row r="469">
      <c r="C469" s="43"/>
      <c r="M469" s="43"/>
      <c r="O469" s="44"/>
      <c r="P469" s="45"/>
      <c r="Q469" s="46"/>
      <c r="R469" s="47"/>
      <c r="S469" s="44"/>
      <c r="U469" s="46"/>
      <c r="V469" s="44"/>
      <c r="Y469" s="46"/>
      <c r="Z469" s="44"/>
      <c r="AC469" s="46"/>
      <c r="AD469" s="44"/>
    </row>
    <row r="470">
      <c r="C470" s="43"/>
      <c r="M470" s="43"/>
      <c r="O470" s="44"/>
      <c r="P470" s="45"/>
      <c r="Q470" s="46"/>
      <c r="R470" s="47"/>
      <c r="S470" s="44"/>
      <c r="U470" s="46"/>
      <c r="V470" s="44"/>
      <c r="Y470" s="46"/>
      <c r="Z470" s="44"/>
      <c r="AC470" s="46"/>
      <c r="AD470" s="44"/>
    </row>
    <row r="471">
      <c r="C471" s="43"/>
      <c r="M471" s="43"/>
      <c r="O471" s="44"/>
      <c r="P471" s="45"/>
      <c r="Q471" s="46"/>
      <c r="R471" s="47"/>
      <c r="S471" s="44"/>
      <c r="U471" s="46"/>
      <c r="V471" s="44"/>
      <c r="Y471" s="46"/>
      <c r="Z471" s="44"/>
      <c r="AC471" s="46"/>
      <c r="AD471" s="44"/>
    </row>
    <row r="472">
      <c r="C472" s="43"/>
      <c r="M472" s="43"/>
      <c r="O472" s="44"/>
      <c r="P472" s="45"/>
      <c r="Q472" s="46"/>
      <c r="R472" s="47"/>
      <c r="S472" s="44"/>
      <c r="U472" s="46"/>
      <c r="V472" s="44"/>
      <c r="Y472" s="46"/>
      <c r="Z472" s="44"/>
      <c r="AC472" s="46"/>
      <c r="AD472" s="44"/>
    </row>
    <row r="473">
      <c r="C473" s="43"/>
      <c r="M473" s="43"/>
      <c r="O473" s="44"/>
      <c r="P473" s="45"/>
      <c r="Q473" s="46"/>
      <c r="R473" s="47"/>
      <c r="S473" s="44"/>
      <c r="U473" s="46"/>
      <c r="V473" s="44"/>
      <c r="Y473" s="46"/>
      <c r="Z473" s="44"/>
      <c r="AC473" s="46"/>
      <c r="AD473" s="44"/>
    </row>
    <row r="474">
      <c r="C474" s="43"/>
      <c r="M474" s="43"/>
      <c r="O474" s="44"/>
      <c r="P474" s="45"/>
      <c r="Q474" s="46"/>
      <c r="R474" s="47"/>
      <c r="S474" s="44"/>
      <c r="U474" s="46"/>
      <c r="V474" s="44"/>
      <c r="Y474" s="46"/>
      <c r="Z474" s="44"/>
      <c r="AC474" s="46"/>
      <c r="AD474" s="44"/>
    </row>
    <row r="475">
      <c r="C475" s="43"/>
      <c r="M475" s="43"/>
      <c r="O475" s="44"/>
      <c r="P475" s="45"/>
      <c r="Q475" s="46"/>
      <c r="R475" s="47"/>
      <c r="S475" s="44"/>
      <c r="U475" s="46"/>
      <c r="V475" s="44"/>
      <c r="Y475" s="46"/>
      <c r="Z475" s="44"/>
      <c r="AC475" s="46"/>
      <c r="AD475" s="44"/>
    </row>
    <row r="476">
      <c r="C476" s="43"/>
      <c r="M476" s="43"/>
      <c r="O476" s="44"/>
      <c r="P476" s="45"/>
      <c r="Q476" s="46"/>
      <c r="R476" s="47"/>
      <c r="S476" s="44"/>
      <c r="U476" s="46"/>
      <c r="V476" s="44"/>
      <c r="Y476" s="46"/>
      <c r="Z476" s="44"/>
      <c r="AC476" s="46"/>
      <c r="AD476" s="44"/>
    </row>
    <row r="477">
      <c r="C477" s="43"/>
      <c r="M477" s="43"/>
      <c r="O477" s="44"/>
      <c r="P477" s="45"/>
      <c r="Q477" s="46"/>
      <c r="R477" s="47"/>
      <c r="S477" s="44"/>
      <c r="U477" s="46"/>
      <c r="V477" s="44"/>
      <c r="Y477" s="46"/>
      <c r="Z477" s="44"/>
      <c r="AC477" s="46"/>
      <c r="AD477" s="44"/>
    </row>
    <row r="478">
      <c r="C478" s="43"/>
      <c r="M478" s="43"/>
      <c r="O478" s="44"/>
      <c r="P478" s="45"/>
      <c r="Q478" s="46"/>
      <c r="R478" s="47"/>
      <c r="S478" s="44"/>
      <c r="U478" s="46"/>
      <c r="V478" s="44"/>
      <c r="Y478" s="46"/>
      <c r="Z478" s="44"/>
      <c r="AC478" s="46"/>
      <c r="AD478" s="44"/>
    </row>
    <row r="479">
      <c r="C479" s="43"/>
      <c r="M479" s="43"/>
      <c r="O479" s="44"/>
      <c r="P479" s="45"/>
      <c r="Q479" s="46"/>
      <c r="R479" s="47"/>
      <c r="S479" s="44"/>
      <c r="U479" s="46"/>
      <c r="V479" s="44"/>
      <c r="Y479" s="46"/>
      <c r="Z479" s="44"/>
      <c r="AC479" s="46"/>
      <c r="AD479" s="44"/>
    </row>
    <row r="480">
      <c r="C480" s="43"/>
      <c r="M480" s="43"/>
      <c r="O480" s="44"/>
      <c r="P480" s="45"/>
      <c r="Q480" s="46"/>
      <c r="R480" s="47"/>
      <c r="S480" s="44"/>
      <c r="U480" s="46"/>
      <c r="V480" s="44"/>
      <c r="Y480" s="46"/>
      <c r="Z480" s="44"/>
      <c r="AC480" s="46"/>
      <c r="AD480" s="44"/>
    </row>
    <row r="481">
      <c r="C481" s="43"/>
      <c r="M481" s="43"/>
      <c r="O481" s="44"/>
      <c r="P481" s="45"/>
      <c r="Q481" s="46"/>
      <c r="R481" s="47"/>
      <c r="S481" s="44"/>
      <c r="U481" s="46"/>
      <c r="V481" s="44"/>
      <c r="Y481" s="46"/>
      <c r="Z481" s="44"/>
      <c r="AC481" s="46"/>
      <c r="AD481" s="44"/>
    </row>
    <row r="482">
      <c r="C482" s="43"/>
      <c r="M482" s="43"/>
      <c r="O482" s="44"/>
      <c r="P482" s="45"/>
      <c r="Q482" s="46"/>
      <c r="R482" s="47"/>
      <c r="S482" s="44"/>
      <c r="U482" s="46"/>
      <c r="V482" s="44"/>
      <c r="Y482" s="46"/>
      <c r="Z482" s="44"/>
      <c r="AC482" s="46"/>
      <c r="AD482" s="44"/>
    </row>
    <row r="483">
      <c r="C483" s="43"/>
      <c r="M483" s="43"/>
      <c r="O483" s="44"/>
      <c r="P483" s="45"/>
      <c r="Q483" s="46"/>
      <c r="R483" s="47"/>
      <c r="S483" s="44"/>
      <c r="U483" s="46"/>
      <c r="V483" s="44"/>
      <c r="Y483" s="46"/>
      <c r="Z483" s="44"/>
      <c r="AC483" s="46"/>
      <c r="AD483" s="44"/>
    </row>
    <row r="484">
      <c r="C484" s="43"/>
      <c r="M484" s="43"/>
      <c r="O484" s="44"/>
      <c r="P484" s="45"/>
      <c r="Q484" s="46"/>
      <c r="R484" s="47"/>
      <c r="S484" s="44"/>
      <c r="U484" s="46"/>
      <c r="V484" s="44"/>
      <c r="Y484" s="46"/>
      <c r="Z484" s="44"/>
      <c r="AC484" s="46"/>
      <c r="AD484" s="44"/>
    </row>
    <row r="485">
      <c r="C485" s="43"/>
      <c r="M485" s="43"/>
      <c r="O485" s="44"/>
      <c r="P485" s="45"/>
      <c r="Q485" s="46"/>
      <c r="R485" s="47"/>
      <c r="S485" s="44"/>
      <c r="U485" s="46"/>
      <c r="V485" s="44"/>
      <c r="Y485" s="46"/>
      <c r="Z485" s="44"/>
      <c r="AC485" s="46"/>
      <c r="AD485" s="44"/>
    </row>
    <row r="486">
      <c r="C486" s="43"/>
      <c r="M486" s="43"/>
      <c r="O486" s="44"/>
      <c r="P486" s="45"/>
      <c r="Q486" s="46"/>
      <c r="R486" s="47"/>
      <c r="S486" s="44"/>
      <c r="U486" s="46"/>
      <c r="V486" s="44"/>
      <c r="Y486" s="46"/>
      <c r="Z486" s="44"/>
      <c r="AC486" s="46"/>
      <c r="AD486" s="44"/>
    </row>
    <row r="487">
      <c r="C487" s="43"/>
      <c r="M487" s="43"/>
      <c r="O487" s="44"/>
      <c r="P487" s="45"/>
      <c r="Q487" s="46"/>
      <c r="R487" s="47"/>
      <c r="S487" s="44"/>
      <c r="U487" s="46"/>
      <c r="V487" s="44"/>
      <c r="Y487" s="46"/>
      <c r="Z487" s="44"/>
      <c r="AC487" s="46"/>
      <c r="AD487" s="44"/>
    </row>
    <row r="488">
      <c r="C488" s="43"/>
      <c r="M488" s="43"/>
      <c r="O488" s="44"/>
      <c r="P488" s="45"/>
      <c r="Q488" s="46"/>
      <c r="R488" s="47"/>
      <c r="S488" s="44"/>
      <c r="U488" s="46"/>
      <c r="V488" s="44"/>
      <c r="Y488" s="46"/>
      <c r="Z488" s="44"/>
      <c r="AC488" s="46"/>
      <c r="AD488" s="44"/>
    </row>
    <row r="489">
      <c r="C489" s="43"/>
      <c r="M489" s="43"/>
      <c r="O489" s="44"/>
      <c r="P489" s="45"/>
      <c r="Q489" s="46"/>
      <c r="R489" s="47"/>
      <c r="S489" s="44"/>
      <c r="U489" s="46"/>
      <c r="V489" s="44"/>
      <c r="Y489" s="46"/>
      <c r="Z489" s="44"/>
      <c r="AC489" s="46"/>
      <c r="AD489" s="44"/>
    </row>
    <row r="490">
      <c r="C490" s="43"/>
      <c r="M490" s="43"/>
      <c r="O490" s="44"/>
      <c r="P490" s="45"/>
      <c r="Q490" s="46"/>
      <c r="R490" s="47"/>
      <c r="S490" s="44"/>
      <c r="U490" s="46"/>
      <c r="V490" s="44"/>
      <c r="Y490" s="46"/>
      <c r="Z490" s="44"/>
      <c r="AC490" s="46"/>
      <c r="AD490" s="44"/>
    </row>
    <row r="491">
      <c r="C491" s="43"/>
      <c r="M491" s="43"/>
      <c r="O491" s="44"/>
      <c r="P491" s="45"/>
      <c r="Q491" s="46"/>
      <c r="R491" s="47"/>
      <c r="S491" s="44"/>
      <c r="U491" s="46"/>
      <c r="V491" s="44"/>
      <c r="Y491" s="46"/>
      <c r="Z491" s="44"/>
      <c r="AC491" s="46"/>
      <c r="AD491" s="44"/>
    </row>
    <row r="492">
      <c r="C492" s="43"/>
      <c r="M492" s="43"/>
      <c r="O492" s="44"/>
      <c r="P492" s="45"/>
      <c r="Q492" s="46"/>
      <c r="R492" s="47"/>
      <c r="S492" s="44"/>
      <c r="U492" s="46"/>
      <c r="V492" s="44"/>
      <c r="Y492" s="46"/>
      <c r="Z492" s="44"/>
      <c r="AC492" s="46"/>
      <c r="AD492" s="44"/>
    </row>
    <row r="493">
      <c r="C493" s="43"/>
      <c r="M493" s="43"/>
      <c r="O493" s="44"/>
      <c r="P493" s="45"/>
      <c r="Q493" s="46"/>
      <c r="R493" s="47"/>
      <c r="S493" s="44"/>
      <c r="U493" s="46"/>
      <c r="V493" s="44"/>
      <c r="Y493" s="46"/>
      <c r="Z493" s="44"/>
      <c r="AC493" s="46"/>
      <c r="AD493" s="44"/>
    </row>
    <row r="494">
      <c r="C494" s="43"/>
      <c r="M494" s="43"/>
      <c r="O494" s="44"/>
      <c r="P494" s="45"/>
      <c r="Q494" s="46"/>
      <c r="R494" s="47"/>
      <c r="S494" s="44"/>
      <c r="U494" s="46"/>
      <c r="V494" s="44"/>
      <c r="Y494" s="46"/>
      <c r="Z494" s="44"/>
      <c r="AC494" s="46"/>
      <c r="AD494" s="44"/>
    </row>
    <row r="495">
      <c r="C495" s="43"/>
      <c r="M495" s="43"/>
      <c r="O495" s="44"/>
      <c r="P495" s="45"/>
      <c r="Q495" s="46"/>
      <c r="R495" s="47"/>
      <c r="S495" s="44"/>
      <c r="U495" s="46"/>
      <c r="V495" s="44"/>
      <c r="Y495" s="46"/>
      <c r="Z495" s="44"/>
      <c r="AC495" s="46"/>
      <c r="AD495" s="44"/>
    </row>
    <row r="496">
      <c r="C496" s="43"/>
      <c r="M496" s="43"/>
      <c r="O496" s="44"/>
      <c r="P496" s="45"/>
      <c r="Q496" s="46"/>
      <c r="R496" s="47"/>
      <c r="S496" s="44"/>
      <c r="U496" s="46"/>
      <c r="V496" s="44"/>
      <c r="Y496" s="46"/>
      <c r="Z496" s="44"/>
      <c r="AC496" s="46"/>
      <c r="AD496" s="44"/>
    </row>
    <row r="497">
      <c r="C497" s="43"/>
      <c r="M497" s="43"/>
      <c r="O497" s="44"/>
      <c r="P497" s="45"/>
      <c r="Q497" s="46"/>
      <c r="R497" s="47"/>
      <c r="S497" s="44"/>
      <c r="U497" s="46"/>
      <c r="V497" s="44"/>
      <c r="Y497" s="46"/>
      <c r="Z497" s="44"/>
      <c r="AC497" s="46"/>
      <c r="AD497" s="44"/>
    </row>
    <row r="498">
      <c r="C498" s="43"/>
      <c r="M498" s="43"/>
      <c r="O498" s="44"/>
      <c r="P498" s="45"/>
      <c r="Q498" s="46"/>
      <c r="R498" s="47"/>
      <c r="S498" s="44"/>
      <c r="U498" s="46"/>
      <c r="V498" s="44"/>
      <c r="Y498" s="46"/>
      <c r="Z498" s="44"/>
      <c r="AC498" s="46"/>
      <c r="AD498" s="44"/>
    </row>
    <row r="499">
      <c r="C499" s="43"/>
      <c r="M499" s="43"/>
      <c r="O499" s="44"/>
      <c r="P499" s="45"/>
      <c r="Q499" s="46"/>
      <c r="R499" s="47"/>
      <c r="S499" s="44"/>
      <c r="U499" s="46"/>
      <c r="V499" s="44"/>
      <c r="Y499" s="46"/>
      <c r="Z499" s="44"/>
      <c r="AC499" s="46"/>
      <c r="AD499" s="44"/>
    </row>
    <row r="500">
      <c r="C500" s="43"/>
      <c r="M500" s="43"/>
      <c r="O500" s="44"/>
      <c r="P500" s="45"/>
      <c r="Q500" s="46"/>
      <c r="R500" s="47"/>
      <c r="S500" s="44"/>
      <c r="U500" s="46"/>
      <c r="V500" s="44"/>
      <c r="Y500" s="46"/>
      <c r="Z500" s="44"/>
      <c r="AC500" s="46"/>
      <c r="AD500" s="44"/>
    </row>
    <row r="501">
      <c r="C501" s="43"/>
      <c r="M501" s="43"/>
      <c r="O501" s="44"/>
      <c r="P501" s="45"/>
      <c r="Q501" s="46"/>
      <c r="R501" s="47"/>
      <c r="S501" s="44"/>
      <c r="U501" s="46"/>
      <c r="V501" s="44"/>
      <c r="Y501" s="46"/>
      <c r="Z501" s="44"/>
      <c r="AC501" s="46"/>
      <c r="AD501" s="44"/>
    </row>
    <row r="502">
      <c r="C502" s="43"/>
      <c r="M502" s="43"/>
      <c r="O502" s="44"/>
      <c r="P502" s="45"/>
      <c r="Q502" s="46"/>
      <c r="R502" s="47"/>
      <c r="S502" s="44"/>
      <c r="U502" s="46"/>
      <c r="V502" s="44"/>
      <c r="Y502" s="46"/>
      <c r="Z502" s="44"/>
      <c r="AC502" s="46"/>
      <c r="AD502" s="44"/>
    </row>
    <row r="503">
      <c r="C503" s="43"/>
      <c r="M503" s="43"/>
      <c r="O503" s="44"/>
      <c r="P503" s="45"/>
      <c r="Q503" s="46"/>
      <c r="R503" s="47"/>
      <c r="S503" s="44"/>
      <c r="U503" s="46"/>
      <c r="V503" s="44"/>
      <c r="Y503" s="46"/>
      <c r="Z503" s="44"/>
      <c r="AC503" s="46"/>
      <c r="AD503" s="44"/>
    </row>
    <row r="504">
      <c r="C504" s="43"/>
      <c r="M504" s="43"/>
      <c r="O504" s="44"/>
      <c r="P504" s="45"/>
      <c r="Q504" s="46"/>
      <c r="R504" s="47"/>
      <c r="S504" s="44"/>
      <c r="U504" s="46"/>
      <c r="V504" s="44"/>
      <c r="Y504" s="46"/>
      <c r="Z504" s="44"/>
      <c r="AC504" s="46"/>
      <c r="AD504" s="44"/>
    </row>
    <row r="505">
      <c r="C505" s="43"/>
      <c r="M505" s="43"/>
      <c r="O505" s="44"/>
      <c r="P505" s="45"/>
      <c r="Q505" s="46"/>
      <c r="R505" s="47"/>
      <c r="S505" s="44"/>
      <c r="U505" s="46"/>
      <c r="V505" s="44"/>
      <c r="Y505" s="46"/>
      <c r="Z505" s="44"/>
      <c r="AC505" s="46"/>
      <c r="AD505" s="44"/>
    </row>
    <row r="506">
      <c r="C506" s="43"/>
      <c r="M506" s="43"/>
      <c r="O506" s="44"/>
      <c r="P506" s="45"/>
      <c r="Q506" s="46"/>
      <c r="R506" s="47"/>
      <c r="S506" s="44"/>
      <c r="U506" s="46"/>
      <c r="V506" s="44"/>
      <c r="Y506" s="46"/>
      <c r="Z506" s="44"/>
      <c r="AC506" s="46"/>
      <c r="AD506" s="44"/>
    </row>
    <row r="507">
      <c r="C507" s="43"/>
      <c r="M507" s="43"/>
      <c r="O507" s="44"/>
      <c r="P507" s="45"/>
      <c r="Q507" s="46"/>
      <c r="R507" s="47"/>
      <c r="S507" s="44"/>
      <c r="U507" s="46"/>
      <c r="V507" s="44"/>
      <c r="Y507" s="46"/>
      <c r="Z507" s="44"/>
      <c r="AC507" s="46"/>
      <c r="AD507" s="44"/>
    </row>
    <row r="508">
      <c r="C508" s="43"/>
      <c r="M508" s="43"/>
      <c r="O508" s="44"/>
      <c r="P508" s="45"/>
      <c r="Q508" s="46"/>
      <c r="R508" s="47"/>
      <c r="S508" s="44"/>
      <c r="U508" s="46"/>
      <c r="V508" s="44"/>
      <c r="Y508" s="46"/>
      <c r="Z508" s="44"/>
      <c r="AC508" s="46"/>
      <c r="AD508" s="44"/>
    </row>
    <row r="509">
      <c r="C509" s="43"/>
      <c r="M509" s="43"/>
      <c r="O509" s="44"/>
      <c r="P509" s="45"/>
      <c r="Q509" s="46"/>
      <c r="R509" s="47"/>
      <c r="S509" s="44"/>
      <c r="U509" s="46"/>
      <c r="V509" s="44"/>
      <c r="Y509" s="46"/>
      <c r="Z509" s="44"/>
      <c r="AC509" s="46"/>
      <c r="AD509" s="44"/>
    </row>
    <row r="510">
      <c r="C510" s="43"/>
      <c r="M510" s="43"/>
      <c r="O510" s="44"/>
      <c r="P510" s="45"/>
      <c r="Q510" s="46"/>
      <c r="R510" s="47"/>
      <c r="S510" s="44"/>
      <c r="U510" s="46"/>
      <c r="V510" s="44"/>
      <c r="Y510" s="46"/>
      <c r="Z510" s="44"/>
      <c r="AC510" s="46"/>
      <c r="AD510" s="44"/>
    </row>
    <row r="511">
      <c r="C511" s="43"/>
      <c r="M511" s="43"/>
      <c r="O511" s="44"/>
      <c r="P511" s="45"/>
      <c r="Q511" s="46"/>
      <c r="R511" s="47"/>
      <c r="S511" s="44"/>
      <c r="U511" s="46"/>
      <c r="V511" s="44"/>
      <c r="Y511" s="46"/>
      <c r="Z511" s="44"/>
      <c r="AC511" s="46"/>
      <c r="AD511" s="44"/>
    </row>
    <row r="512">
      <c r="C512" s="43"/>
      <c r="M512" s="43"/>
      <c r="O512" s="44"/>
      <c r="P512" s="45"/>
      <c r="Q512" s="46"/>
      <c r="R512" s="47"/>
      <c r="S512" s="44"/>
      <c r="U512" s="46"/>
      <c r="V512" s="44"/>
      <c r="Y512" s="46"/>
      <c r="Z512" s="44"/>
      <c r="AC512" s="46"/>
      <c r="AD512" s="44"/>
    </row>
    <row r="513">
      <c r="C513" s="43"/>
      <c r="M513" s="43"/>
      <c r="O513" s="44"/>
      <c r="P513" s="45"/>
      <c r="Q513" s="46"/>
      <c r="R513" s="47"/>
      <c r="S513" s="44"/>
      <c r="U513" s="46"/>
      <c r="V513" s="44"/>
      <c r="Y513" s="46"/>
      <c r="Z513" s="44"/>
      <c r="AC513" s="46"/>
      <c r="AD513" s="44"/>
    </row>
    <row r="514">
      <c r="C514" s="43"/>
      <c r="M514" s="43"/>
      <c r="O514" s="44"/>
      <c r="P514" s="45"/>
      <c r="Q514" s="46"/>
      <c r="R514" s="47"/>
      <c r="S514" s="44"/>
      <c r="U514" s="46"/>
      <c r="V514" s="44"/>
      <c r="Y514" s="46"/>
      <c r="Z514" s="44"/>
      <c r="AC514" s="46"/>
      <c r="AD514" s="44"/>
    </row>
    <row r="515">
      <c r="C515" s="43"/>
      <c r="M515" s="43"/>
      <c r="O515" s="44"/>
      <c r="P515" s="45"/>
      <c r="Q515" s="46"/>
      <c r="R515" s="47"/>
      <c r="S515" s="44"/>
      <c r="U515" s="46"/>
      <c r="V515" s="44"/>
      <c r="Y515" s="46"/>
      <c r="Z515" s="44"/>
      <c r="AC515" s="46"/>
      <c r="AD515" s="44"/>
    </row>
    <row r="516">
      <c r="C516" s="43"/>
      <c r="M516" s="43"/>
      <c r="O516" s="44"/>
      <c r="P516" s="45"/>
      <c r="Q516" s="46"/>
      <c r="R516" s="47"/>
      <c r="S516" s="44"/>
      <c r="U516" s="46"/>
      <c r="V516" s="44"/>
      <c r="Y516" s="46"/>
      <c r="Z516" s="44"/>
      <c r="AC516" s="46"/>
      <c r="AD516" s="44"/>
    </row>
    <row r="517">
      <c r="C517" s="43"/>
      <c r="M517" s="43"/>
      <c r="O517" s="44"/>
      <c r="P517" s="45"/>
      <c r="Q517" s="46"/>
      <c r="R517" s="47"/>
      <c r="S517" s="44"/>
      <c r="U517" s="46"/>
      <c r="V517" s="44"/>
      <c r="Y517" s="46"/>
      <c r="Z517" s="44"/>
      <c r="AC517" s="46"/>
      <c r="AD517" s="44"/>
    </row>
    <row r="518">
      <c r="C518" s="43"/>
      <c r="M518" s="43"/>
      <c r="O518" s="44"/>
      <c r="P518" s="45"/>
      <c r="Q518" s="46"/>
      <c r="R518" s="47"/>
      <c r="S518" s="44"/>
      <c r="U518" s="46"/>
      <c r="V518" s="44"/>
      <c r="Y518" s="46"/>
      <c r="Z518" s="44"/>
      <c r="AC518" s="46"/>
      <c r="AD518" s="44"/>
    </row>
    <row r="519">
      <c r="C519" s="43"/>
      <c r="M519" s="43"/>
      <c r="O519" s="44"/>
      <c r="P519" s="45"/>
      <c r="Q519" s="46"/>
      <c r="R519" s="47"/>
      <c r="S519" s="44"/>
      <c r="U519" s="46"/>
      <c r="V519" s="44"/>
      <c r="Y519" s="46"/>
      <c r="Z519" s="44"/>
      <c r="AC519" s="46"/>
      <c r="AD519" s="44"/>
    </row>
    <row r="520">
      <c r="C520" s="43"/>
      <c r="M520" s="43"/>
      <c r="O520" s="44"/>
      <c r="P520" s="45"/>
      <c r="Q520" s="46"/>
      <c r="R520" s="47"/>
      <c r="S520" s="44"/>
      <c r="U520" s="46"/>
      <c r="V520" s="44"/>
      <c r="Y520" s="46"/>
      <c r="Z520" s="44"/>
      <c r="AC520" s="46"/>
      <c r="AD520" s="44"/>
    </row>
    <row r="521">
      <c r="C521" s="43"/>
      <c r="M521" s="43"/>
      <c r="O521" s="44"/>
      <c r="P521" s="45"/>
      <c r="Q521" s="46"/>
      <c r="R521" s="47"/>
      <c r="S521" s="44"/>
      <c r="U521" s="46"/>
      <c r="V521" s="44"/>
      <c r="Y521" s="46"/>
      <c r="Z521" s="44"/>
      <c r="AC521" s="46"/>
      <c r="AD521" s="44"/>
    </row>
    <row r="522">
      <c r="C522" s="43"/>
      <c r="M522" s="43"/>
      <c r="O522" s="44"/>
      <c r="P522" s="45"/>
      <c r="Q522" s="46"/>
      <c r="R522" s="47"/>
      <c r="S522" s="44"/>
      <c r="U522" s="46"/>
      <c r="V522" s="44"/>
      <c r="Y522" s="46"/>
      <c r="Z522" s="44"/>
      <c r="AC522" s="46"/>
      <c r="AD522" s="44"/>
    </row>
    <row r="523">
      <c r="C523" s="43"/>
      <c r="M523" s="43"/>
      <c r="O523" s="44"/>
      <c r="P523" s="45"/>
      <c r="Q523" s="46"/>
      <c r="R523" s="47"/>
      <c r="S523" s="44"/>
      <c r="U523" s="46"/>
      <c r="V523" s="44"/>
      <c r="Y523" s="46"/>
      <c r="Z523" s="44"/>
      <c r="AC523" s="46"/>
      <c r="AD523" s="44"/>
    </row>
    <row r="524">
      <c r="C524" s="43"/>
      <c r="M524" s="43"/>
      <c r="O524" s="44"/>
      <c r="P524" s="45"/>
      <c r="Q524" s="46"/>
      <c r="R524" s="47"/>
      <c r="S524" s="44"/>
      <c r="U524" s="46"/>
      <c r="V524" s="44"/>
      <c r="Y524" s="46"/>
      <c r="Z524" s="44"/>
      <c r="AC524" s="46"/>
      <c r="AD524" s="44"/>
    </row>
    <row r="525">
      <c r="C525" s="43"/>
      <c r="M525" s="43"/>
      <c r="O525" s="44"/>
      <c r="P525" s="45"/>
      <c r="Q525" s="46"/>
      <c r="R525" s="47"/>
      <c r="S525" s="44"/>
      <c r="U525" s="46"/>
      <c r="V525" s="44"/>
      <c r="Y525" s="46"/>
      <c r="Z525" s="44"/>
      <c r="AC525" s="46"/>
      <c r="AD525" s="44"/>
    </row>
    <row r="526">
      <c r="C526" s="43"/>
      <c r="M526" s="43"/>
      <c r="O526" s="44"/>
      <c r="P526" s="45"/>
      <c r="Q526" s="46"/>
      <c r="R526" s="47"/>
      <c r="S526" s="44"/>
      <c r="U526" s="46"/>
      <c r="V526" s="44"/>
      <c r="Y526" s="46"/>
      <c r="Z526" s="44"/>
      <c r="AC526" s="46"/>
      <c r="AD526" s="44"/>
    </row>
    <row r="527">
      <c r="C527" s="43"/>
      <c r="M527" s="43"/>
      <c r="O527" s="44"/>
      <c r="P527" s="45"/>
      <c r="Q527" s="46"/>
      <c r="R527" s="47"/>
      <c r="S527" s="44"/>
      <c r="U527" s="46"/>
      <c r="V527" s="44"/>
      <c r="Y527" s="46"/>
      <c r="Z527" s="44"/>
      <c r="AC527" s="46"/>
      <c r="AD527" s="44"/>
    </row>
    <row r="528">
      <c r="C528" s="43"/>
      <c r="M528" s="43"/>
      <c r="O528" s="44"/>
      <c r="P528" s="45"/>
      <c r="Q528" s="46"/>
      <c r="R528" s="47"/>
      <c r="S528" s="44"/>
      <c r="U528" s="46"/>
      <c r="V528" s="44"/>
      <c r="Y528" s="46"/>
      <c r="Z528" s="44"/>
      <c r="AC528" s="46"/>
      <c r="AD528" s="44"/>
    </row>
    <row r="529">
      <c r="C529" s="43"/>
      <c r="M529" s="43"/>
      <c r="O529" s="44"/>
      <c r="P529" s="45"/>
      <c r="Q529" s="46"/>
      <c r="R529" s="47"/>
      <c r="S529" s="44"/>
      <c r="U529" s="46"/>
      <c r="V529" s="44"/>
      <c r="Y529" s="46"/>
      <c r="Z529" s="44"/>
      <c r="AC529" s="46"/>
      <c r="AD529" s="44"/>
    </row>
    <row r="530">
      <c r="C530" s="43"/>
      <c r="M530" s="43"/>
      <c r="O530" s="44"/>
      <c r="P530" s="45"/>
      <c r="Q530" s="46"/>
      <c r="R530" s="47"/>
      <c r="S530" s="44"/>
      <c r="U530" s="46"/>
      <c r="V530" s="44"/>
      <c r="Y530" s="46"/>
      <c r="Z530" s="44"/>
      <c r="AC530" s="46"/>
      <c r="AD530" s="44"/>
    </row>
    <row r="531">
      <c r="C531" s="43"/>
      <c r="M531" s="43"/>
      <c r="O531" s="44"/>
      <c r="P531" s="45"/>
      <c r="Q531" s="46"/>
      <c r="R531" s="47"/>
      <c r="S531" s="44"/>
      <c r="U531" s="46"/>
      <c r="V531" s="44"/>
      <c r="Y531" s="46"/>
      <c r="Z531" s="44"/>
      <c r="AC531" s="46"/>
      <c r="AD531" s="44"/>
    </row>
    <row r="532">
      <c r="C532" s="43"/>
      <c r="M532" s="43"/>
      <c r="O532" s="44"/>
      <c r="P532" s="45"/>
      <c r="Q532" s="46"/>
      <c r="R532" s="47"/>
      <c r="S532" s="44"/>
      <c r="U532" s="46"/>
      <c r="V532" s="44"/>
      <c r="Y532" s="46"/>
      <c r="Z532" s="44"/>
      <c r="AC532" s="46"/>
      <c r="AD532" s="44"/>
    </row>
    <row r="533">
      <c r="C533" s="43"/>
      <c r="M533" s="43"/>
      <c r="O533" s="44"/>
      <c r="P533" s="45"/>
      <c r="Q533" s="46"/>
      <c r="R533" s="47"/>
      <c r="S533" s="44"/>
      <c r="U533" s="46"/>
      <c r="V533" s="44"/>
      <c r="Y533" s="46"/>
      <c r="Z533" s="44"/>
      <c r="AC533" s="46"/>
      <c r="AD533" s="44"/>
    </row>
    <row r="534">
      <c r="C534" s="43"/>
      <c r="M534" s="43"/>
      <c r="O534" s="44"/>
      <c r="P534" s="45"/>
      <c r="Q534" s="46"/>
      <c r="R534" s="47"/>
      <c r="S534" s="44"/>
      <c r="U534" s="46"/>
      <c r="V534" s="44"/>
      <c r="Y534" s="46"/>
      <c r="Z534" s="44"/>
      <c r="AC534" s="46"/>
      <c r="AD534" s="44"/>
    </row>
    <row r="535">
      <c r="C535" s="43"/>
      <c r="M535" s="43"/>
      <c r="O535" s="44"/>
      <c r="P535" s="45"/>
      <c r="Q535" s="46"/>
      <c r="R535" s="47"/>
      <c r="S535" s="44"/>
      <c r="U535" s="46"/>
      <c r="V535" s="44"/>
      <c r="Y535" s="46"/>
      <c r="Z535" s="44"/>
      <c r="AC535" s="46"/>
      <c r="AD535" s="44"/>
    </row>
    <row r="536">
      <c r="C536" s="43"/>
      <c r="M536" s="43"/>
      <c r="O536" s="44"/>
      <c r="P536" s="45"/>
      <c r="Q536" s="46"/>
      <c r="R536" s="47"/>
      <c r="S536" s="44"/>
      <c r="U536" s="46"/>
      <c r="V536" s="44"/>
      <c r="Y536" s="46"/>
      <c r="Z536" s="44"/>
      <c r="AC536" s="46"/>
      <c r="AD536" s="44"/>
    </row>
    <row r="537">
      <c r="C537" s="43"/>
      <c r="M537" s="43"/>
      <c r="O537" s="44"/>
      <c r="P537" s="45"/>
      <c r="Q537" s="46"/>
      <c r="R537" s="47"/>
      <c r="S537" s="44"/>
      <c r="U537" s="46"/>
      <c r="V537" s="44"/>
      <c r="Y537" s="46"/>
      <c r="Z537" s="44"/>
      <c r="AC537" s="46"/>
      <c r="AD537" s="44"/>
    </row>
    <row r="538">
      <c r="C538" s="43"/>
      <c r="M538" s="43"/>
      <c r="O538" s="44"/>
      <c r="P538" s="45"/>
      <c r="Q538" s="46"/>
      <c r="R538" s="47"/>
      <c r="S538" s="44"/>
      <c r="U538" s="46"/>
      <c r="V538" s="44"/>
      <c r="Y538" s="46"/>
      <c r="Z538" s="44"/>
      <c r="AC538" s="46"/>
      <c r="AD538" s="44"/>
    </row>
    <row r="539">
      <c r="C539" s="43"/>
      <c r="M539" s="43"/>
      <c r="O539" s="44"/>
      <c r="P539" s="45"/>
      <c r="Q539" s="46"/>
      <c r="R539" s="47"/>
      <c r="S539" s="44"/>
      <c r="U539" s="46"/>
      <c r="V539" s="44"/>
      <c r="Y539" s="46"/>
      <c r="Z539" s="44"/>
      <c r="AC539" s="46"/>
      <c r="AD539" s="44"/>
    </row>
    <row r="540">
      <c r="C540" s="43"/>
      <c r="M540" s="43"/>
      <c r="O540" s="44"/>
      <c r="P540" s="45"/>
      <c r="Q540" s="46"/>
      <c r="R540" s="47"/>
      <c r="S540" s="44"/>
      <c r="U540" s="46"/>
      <c r="V540" s="44"/>
      <c r="Y540" s="46"/>
      <c r="Z540" s="44"/>
      <c r="AC540" s="46"/>
      <c r="AD540" s="44"/>
    </row>
    <row r="541">
      <c r="C541" s="43"/>
      <c r="M541" s="43"/>
      <c r="O541" s="44"/>
      <c r="P541" s="45"/>
      <c r="Q541" s="46"/>
      <c r="R541" s="47"/>
      <c r="S541" s="44"/>
      <c r="U541" s="46"/>
      <c r="V541" s="44"/>
      <c r="Y541" s="46"/>
      <c r="Z541" s="44"/>
      <c r="AC541" s="46"/>
      <c r="AD541" s="44"/>
    </row>
    <row r="542">
      <c r="C542" s="43"/>
      <c r="M542" s="43"/>
      <c r="O542" s="44"/>
      <c r="P542" s="45"/>
      <c r="Q542" s="46"/>
      <c r="R542" s="47"/>
      <c r="S542" s="44"/>
      <c r="U542" s="46"/>
      <c r="V542" s="44"/>
      <c r="Y542" s="46"/>
      <c r="Z542" s="44"/>
      <c r="AC542" s="46"/>
      <c r="AD542" s="44"/>
    </row>
    <row r="543">
      <c r="C543" s="43"/>
      <c r="M543" s="43"/>
      <c r="O543" s="44"/>
      <c r="P543" s="45"/>
      <c r="Q543" s="46"/>
      <c r="R543" s="47"/>
      <c r="S543" s="44"/>
      <c r="U543" s="46"/>
      <c r="V543" s="44"/>
      <c r="Y543" s="46"/>
      <c r="Z543" s="44"/>
      <c r="AC543" s="46"/>
      <c r="AD543" s="44"/>
    </row>
    <row r="544">
      <c r="C544" s="43"/>
      <c r="M544" s="43"/>
      <c r="O544" s="44"/>
      <c r="P544" s="45"/>
      <c r="Q544" s="46"/>
      <c r="R544" s="47"/>
      <c r="S544" s="44"/>
      <c r="U544" s="46"/>
      <c r="V544" s="44"/>
      <c r="Y544" s="46"/>
      <c r="Z544" s="44"/>
      <c r="AC544" s="46"/>
      <c r="AD544" s="44"/>
    </row>
    <row r="545">
      <c r="C545" s="43"/>
      <c r="M545" s="43"/>
      <c r="O545" s="44"/>
      <c r="P545" s="45"/>
      <c r="Q545" s="46"/>
      <c r="R545" s="47"/>
      <c r="S545" s="44"/>
      <c r="U545" s="46"/>
      <c r="V545" s="44"/>
      <c r="Y545" s="46"/>
      <c r="Z545" s="44"/>
      <c r="AC545" s="46"/>
      <c r="AD545" s="44"/>
    </row>
    <row r="546">
      <c r="C546" s="43"/>
      <c r="M546" s="43"/>
      <c r="O546" s="44"/>
      <c r="P546" s="45"/>
      <c r="Q546" s="46"/>
      <c r="R546" s="47"/>
      <c r="S546" s="44"/>
      <c r="U546" s="46"/>
      <c r="V546" s="44"/>
      <c r="Y546" s="46"/>
      <c r="Z546" s="44"/>
      <c r="AC546" s="46"/>
      <c r="AD546" s="44"/>
    </row>
    <row r="547">
      <c r="C547" s="43"/>
      <c r="M547" s="43"/>
      <c r="O547" s="44"/>
      <c r="P547" s="45"/>
      <c r="Q547" s="46"/>
      <c r="R547" s="47"/>
      <c r="S547" s="44"/>
      <c r="U547" s="46"/>
      <c r="V547" s="44"/>
      <c r="Y547" s="46"/>
      <c r="Z547" s="44"/>
      <c r="AC547" s="46"/>
      <c r="AD547" s="44"/>
    </row>
    <row r="548">
      <c r="C548" s="43"/>
      <c r="M548" s="43"/>
      <c r="O548" s="44"/>
      <c r="P548" s="45"/>
      <c r="Q548" s="46"/>
      <c r="R548" s="47"/>
      <c r="S548" s="44"/>
      <c r="U548" s="46"/>
      <c r="V548" s="44"/>
      <c r="Y548" s="46"/>
      <c r="Z548" s="44"/>
      <c r="AC548" s="46"/>
      <c r="AD548" s="44"/>
    </row>
    <row r="549">
      <c r="C549" s="43"/>
      <c r="M549" s="43"/>
      <c r="O549" s="44"/>
      <c r="P549" s="45"/>
      <c r="Q549" s="46"/>
      <c r="R549" s="47"/>
      <c r="S549" s="44"/>
      <c r="U549" s="46"/>
      <c r="V549" s="44"/>
      <c r="Y549" s="46"/>
      <c r="Z549" s="44"/>
      <c r="AC549" s="46"/>
      <c r="AD549" s="44"/>
    </row>
    <row r="550">
      <c r="C550" s="43"/>
      <c r="M550" s="43"/>
      <c r="O550" s="44"/>
      <c r="P550" s="45"/>
      <c r="Q550" s="46"/>
      <c r="R550" s="47"/>
      <c r="S550" s="44"/>
      <c r="U550" s="46"/>
      <c r="V550" s="44"/>
      <c r="Y550" s="46"/>
      <c r="Z550" s="44"/>
      <c r="AC550" s="46"/>
      <c r="AD550" s="44"/>
    </row>
    <row r="551">
      <c r="C551" s="43"/>
      <c r="M551" s="43"/>
      <c r="O551" s="44"/>
      <c r="P551" s="45"/>
      <c r="Q551" s="46"/>
      <c r="R551" s="47"/>
      <c r="S551" s="44"/>
      <c r="U551" s="46"/>
      <c r="V551" s="44"/>
      <c r="Y551" s="46"/>
      <c r="Z551" s="44"/>
      <c r="AC551" s="46"/>
      <c r="AD551" s="44"/>
    </row>
    <row r="552">
      <c r="C552" s="43"/>
      <c r="M552" s="43"/>
      <c r="O552" s="44"/>
      <c r="P552" s="45"/>
      <c r="Q552" s="46"/>
      <c r="R552" s="47"/>
      <c r="S552" s="44"/>
      <c r="U552" s="46"/>
      <c r="V552" s="44"/>
      <c r="Y552" s="46"/>
      <c r="Z552" s="44"/>
      <c r="AC552" s="46"/>
      <c r="AD552" s="44"/>
    </row>
    <row r="553">
      <c r="C553" s="43"/>
      <c r="M553" s="43"/>
      <c r="O553" s="44"/>
      <c r="P553" s="45"/>
      <c r="Q553" s="46"/>
      <c r="R553" s="47"/>
      <c r="S553" s="44"/>
      <c r="U553" s="46"/>
      <c r="V553" s="44"/>
      <c r="Y553" s="46"/>
      <c r="Z553" s="44"/>
      <c r="AC553" s="46"/>
      <c r="AD553" s="44"/>
    </row>
    <row r="554">
      <c r="C554" s="43"/>
      <c r="M554" s="43"/>
      <c r="O554" s="44"/>
      <c r="P554" s="45"/>
      <c r="Q554" s="46"/>
      <c r="R554" s="47"/>
      <c r="S554" s="44"/>
      <c r="U554" s="46"/>
      <c r="V554" s="44"/>
      <c r="Y554" s="46"/>
      <c r="Z554" s="44"/>
      <c r="AC554" s="46"/>
      <c r="AD554" s="44"/>
    </row>
    <row r="555">
      <c r="C555" s="43"/>
      <c r="M555" s="43"/>
      <c r="O555" s="44"/>
      <c r="P555" s="45"/>
      <c r="Q555" s="46"/>
      <c r="R555" s="47"/>
      <c r="S555" s="44"/>
      <c r="U555" s="46"/>
      <c r="V555" s="44"/>
      <c r="Y555" s="46"/>
      <c r="Z555" s="44"/>
      <c r="AC555" s="46"/>
      <c r="AD555" s="44"/>
    </row>
    <row r="556">
      <c r="C556" s="43"/>
      <c r="M556" s="43"/>
      <c r="O556" s="44"/>
      <c r="P556" s="45"/>
      <c r="Q556" s="46"/>
      <c r="R556" s="47"/>
      <c r="S556" s="44"/>
      <c r="U556" s="46"/>
      <c r="V556" s="44"/>
      <c r="Y556" s="46"/>
      <c r="Z556" s="44"/>
      <c r="AC556" s="46"/>
      <c r="AD556" s="44"/>
    </row>
    <row r="557">
      <c r="C557" s="43"/>
      <c r="M557" s="43"/>
      <c r="O557" s="44"/>
      <c r="P557" s="45"/>
      <c r="Q557" s="46"/>
      <c r="R557" s="47"/>
      <c r="S557" s="44"/>
      <c r="U557" s="46"/>
      <c r="V557" s="44"/>
      <c r="Y557" s="46"/>
      <c r="Z557" s="44"/>
      <c r="AC557" s="46"/>
      <c r="AD557" s="44"/>
    </row>
    <row r="558">
      <c r="C558" s="43"/>
      <c r="M558" s="43"/>
      <c r="O558" s="44"/>
      <c r="P558" s="45"/>
      <c r="Q558" s="46"/>
      <c r="R558" s="47"/>
      <c r="S558" s="44"/>
      <c r="U558" s="46"/>
      <c r="V558" s="44"/>
      <c r="Y558" s="46"/>
      <c r="Z558" s="44"/>
      <c r="AC558" s="46"/>
      <c r="AD558" s="44"/>
    </row>
    <row r="559">
      <c r="C559" s="43"/>
      <c r="M559" s="43"/>
      <c r="O559" s="44"/>
      <c r="P559" s="45"/>
      <c r="Q559" s="46"/>
      <c r="R559" s="47"/>
      <c r="S559" s="44"/>
      <c r="U559" s="46"/>
      <c r="V559" s="44"/>
      <c r="Y559" s="46"/>
      <c r="Z559" s="44"/>
      <c r="AC559" s="46"/>
      <c r="AD559" s="44"/>
    </row>
    <row r="560">
      <c r="C560" s="43"/>
      <c r="M560" s="43"/>
      <c r="O560" s="44"/>
      <c r="P560" s="45"/>
      <c r="Q560" s="46"/>
      <c r="R560" s="47"/>
      <c r="S560" s="44"/>
      <c r="U560" s="46"/>
      <c r="V560" s="44"/>
      <c r="Y560" s="46"/>
      <c r="Z560" s="44"/>
      <c r="AC560" s="46"/>
      <c r="AD560" s="44"/>
    </row>
    <row r="561">
      <c r="C561" s="43"/>
      <c r="M561" s="43"/>
      <c r="O561" s="44"/>
      <c r="P561" s="45"/>
      <c r="Q561" s="46"/>
      <c r="R561" s="47"/>
      <c r="S561" s="44"/>
      <c r="U561" s="46"/>
      <c r="V561" s="44"/>
      <c r="Y561" s="46"/>
      <c r="Z561" s="44"/>
      <c r="AC561" s="46"/>
      <c r="AD561" s="44"/>
    </row>
    <row r="562">
      <c r="C562" s="43"/>
      <c r="M562" s="43"/>
      <c r="O562" s="44"/>
      <c r="P562" s="45"/>
      <c r="Q562" s="46"/>
      <c r="R562" s="47"/>
      <c r="S562" s="44"/>
      <c r="U562" s="46"/>
      <c r="V562" s="44"/>
      <c r="Y562" s="46"/>
      <c r="Z562" s="44"/>
      <c r="AC562" s="46"/>
      <c r="AD562" s="44"/>
    </row>
    <row r="563">
      <c r="C563" s="43"/>
      <c r="M563" s="43"/>
      <c r="O563" s="44"/>
      <c r="P563" s="45"/>
      <c r="Q563" s="46"/>
      <c r="R563" s="47"/>
      <c r="S563" s="44"/>
      <c r="U563" s="46"/>
      <c r="V563" s="44"/>
      <c r="Y563" s="46"/>
      <c r="Z563" s="44"/>
      <c r="AC563" s="46"/>
      <c r="AD563" s="44"/>
    </row>
    <row r="564">
      <c r="C564" s="43"/>
      <c r="M564" s="43"/>
      <c r="O564" s="44"/>
      <c r="P564" s="45"/>
      <c r="Q564" s="46"/>
      <c r="R564" s="47"/>
      <c r="S564" s="44"/>
      <c r="U564" s="46"/>
      <c r="V564" s="44"/>
      <c r="Y564" s="46"/>
      <c r="Z564" s="44"/>
      <c r="AC564" s="46"/>
      <c r="AD564" s="44"/>
    </row>
    <row r="565">
      <c r="C565" s="43"/>
      <c r="M565" s="43"/>
      <c r="O565" s="44"/>
      <c r="P565" s="45"/>
      <c r="Q565" s="46"/>
      <c r="R565" s="47"/>
      <c r="S565" s="44"/>
      <c r="U565" s="46"/>
      <c r="V565" s="44"/>
      <c r="Y565" s="46"/>
      <c r="Z565" s="44"/>
      <c r="AC565" s="46"/>
      <c r="AD565" s="44"/>
    </row>
    <row r="566">
      <c r="C566" s="43"/>
      <c r="M566" s="43"/>
      <c r="O566" s="44"/>
      <c r="P566" s="45"/>
      <c r="Q566" s="46"/>
      <c r="R566" s="47"/>
      <c r="S566" s="44"/>
      <c r="U566" s="46"/>
      <c r="V566" s="44"/>
      <c r="Y566" s="46"/>
      <c r="Z566" s="44"/>
      <c r="AC566" s="46"/>
      <c r="AD566" s="44"/>
    </row>
    <row r="567">
      <c r="C567" s="43"/>
      <c r="M567" s="43"/>
      <c r="O567" s="44"/>
      <c r="P567" s="45"/>
      <c r="Q567" s="46"/>
      <c r="R567" s="47"/>
      <c r="S567" s="44"/>
      <c r="U567" s="46"/>
      <c r="V567" s="44"/>
      <c r="Y567" s="46"/>
      <c r="Z567" s="44"/>
      <c r="AC567" s="46"/>
      <c r="AD567" s="44"/>
    </row>
    <row r="568">
      <c r="C568" s="43"/>
      <c r="M568" s="43"/>
      <c r="O568" s="44"/>
      <c r="P568" s="45"/>
      <c r="Q568" s="46"/>
      <c r="R568" s="47"/>
      <c r="S568" s="44"/>
      <c r="U568" s="46"/>
      <c r="V568" s="44"/>
      <c r="Y568" s="46"/>
      <c r="Z568" s="44"/>
      <c r="AC568" s="46"/>
      <c r="AD568" s="44"/>
    </row>
    <row r="569">
      <c r="C569" s="43"/>
      <c r="M569" s="43"/>
      <c r="O569" s="44"/>
      <c r="P569" s="45"/>
      <c r="Q569" s="46"/>
      <c r="R569" s="47"/>
      <c r="S569" s="44"/>
      <c r="U569" s="46"/>
      <c r="V569" s="44"/>
      <c r="Y569" s="46"/>
      <c r="Z569" s="44"/>
      <c r="AC569" s="46"/>
      <c r="AD569" s="44"/>
    </row>
    <row r="570">
      <c r="C570" s="43"/>
      <c r="M570" s="43"/>
      <c r="O570" s="44"/>
      <c r="P570" s="45"/>
      <c r="Q570" s="46"/>
      <c r="R570" s="47"/>
      <c r="S570" s="44"/>
      <c r="U570" s="46"/>
      <c r="V570" s="44"/>
      <c r="Y570" s="46"/>
      <c r="Z570" s="44"/>
      <c r="AC570" s="46"/>
      <c r="AD570" s="44"/>
    </row>
    <row r="571">
      <c r="C571" s="43"/>
      <c r="M571" s="43"/>
      <c r="O571" s="44"/>
      <c r="P571" s="45"/>
      <c r="Q571" s="46"/>
      <c r="R571" s="47"/>
      <c r="S571" s="44"/>
      <c r="U571" s="46"/>
      <c r="V571" s="44"/>
      <c r="Y571" s="46"/>
      <c r="Z571" s="44"/>
      <c r="AC571" s="46"/>
      <c r="AD571" s="44"/>
    </row>
    <row r="572">
      <c r="C572" s="43"/>
      <c r="M572" s="43"/>
      <c r="O572" s="44"/>
      <c r="P572" s="45"/>
      <c r="Q572" s="46"/>
      <c r="R572" s="47"/>
      <c r="S572" s="44"/>
      <c r="U572" s="46"/>
      <c r="V572" s="44"/>
      <c r="Y572" s="46"/>
      <c r="Z572" s="44"/>
      <c r="AC572" s="46"/>
      <c r="AD572" s="44"/>
    </row>
    <row r="573">
      <c r="C573" s="43"/>
      <c r="M573" s="43"/>
      <c r="O573" s="44"/>
      <c r="P573" s="45"/>
      <c r="Q573" s="46"/>
      <c r="R573" s="47"/>
      <c r="S573" s="44"/>
      <c r="U573" s="46"/>
      <c r="V573" s="44"/>
      <c r="Y573" s="46"/>
      <c r="Z573" s="44"/>
      <c r="AC573" s="46"/>
      <c r="AD573" s="44"/>
    </row>
    <row r="574">
      <c r="C574" s="43"/>
      <c r="M574" s="43"/>
      <c r="O574" s="44"/>
      <c r="P574" s="45"/>
      <c r="Q574" s="46"/>
      <c r="R574" s="47"/>
      <c r="S574" s="44"/>
      <c r="U574" s="46"/>
      <c r="V574" s="44"/>
      <c r="Y574" s="46"/>
      <c r="Z574" s="44"/>
      <c r="AC574" s="46"/>
      <c r="AD574" s="44"/>
    </row>
    <row r="575">
      <c r="C575" s="43"/>
      <c r="M575" s="43"/>
      <c r="O575" s="44"/>
      <c r="P575" s="45"/>
      <c r="Q575" s="46"/>
      <c r="R575" s="47"/>
      <c r="S575" s="44"/>
      <c r="U575" s="46"/>
      <c r="V575" s="44"/>
      <c r="Y575" s="46"/>
      <c r="Z575" s="44"/>
      <c r="AC575" s="46"/>
      <c r="AD575" s="44"/>
    </row>
    <row r="576">
      <c r="C576" s="43"/>
      <c r="M576" s="43"/>
      <c r="O576" s="44"/>
      <c r="P576" s="45"/>
      <c r="Q576" s="46"/>
      <c r="R576" s="47"/>
      <c r="S576" s="44"/>
      <c r="U576" s="46"/>
      <c r="V576" s="44"/>
      <c r="Y576" s="46"/>
      <c r="Z576" s="44"/>
      <c r="AC576" s="46"/>
      <c r="AD576" s="44"/>
    </row>
    <row r="577">
      <c r="C577" s="43"/>
      <c r="M577" s="43"/>
      <c r="O577" s="44"/>
      <c r="P577" s="45"/>
      <c r="Q577" s="46"/>
      <c r="R577" s="47"/>
      <c r="S577" s="44"/>
      <c r="U577" s="46"/>
      <c r="V577" s="44"/>
      <c r="Y577" s="46"/>
      <c r="Z577" s="44"/>
      <c r="AC577" s="46"/>
      <c r="AD577" s="44"/>
    </row>
    <row r="578">
      <c r="C578" s="43"/>
      <c r="M578" s="43"/>
      <c r="O578" s="44"/>
      <c r="P578" s="45"/>
      <c r="Q578" s="46"/>
      <c r="R578" s="47"/>
      <c r="S578" s="44"/>
      <c r="U578" s="46"/>
      <c r="V578" s="44"/>
      <c r="Y578" s="46"/>
      <c r="Z578" s="44"/>
      <c r="AC578" s="46"/>
      <c r="AD578" s="44"/>
    </row>
    <row r="579">
      <c r="C579" s="43"/>
      <c r="M579" s="43"/>
      <c r="O579" s="44"/>
      <c r="P579" s="45"/>
      <c r="Q579" s="46"/>
      <c r="R579" s="47"/>
      <c r="S579" s="44"/>
      <c r="U579" s="46"/>
      <c r="V579" s="44"/>
      <c r="Y579" s="46"/>
      <c r="Z579" s="44"/>
      <c r="AC579" s="46"/>
      <c r="AD579" s="44"/>
    </row>
    <row r="580">
      <c r="C580" s="43"/>
      <c r="M580" s="43"/>
      <c r="O580" s="44"/>
      <c r="P580" s="45"/>
      <c r="Q580" s="46"/>
      <c r="R580" s="47"/>
      <c r="S580" s="44"/>
      <c r="U580" s="46"/>
      <c r="V580" s="44"/>
      <c r="Y580" s="46"/>
      <c r="Z580" s="44"/>
      <c r="AC580" s="46"/>
      <c r="AD580" s="44"/>
    </row>
    <row r="581">
      <c r="C581" s="43"/>
      <c r="M581" s="43"/>
      <c r="O581" s="44"/>
      <c r="P581" s="45"/>
      <c r="Q581" s="46"/>
      <c r="R581" s="47"/>
      <c r="S581" s="44"/>
      <c r="U581" s="46"/>
      <c r="V581" s="44"/>
      <c r="Y581" s="46"/>
      <c r="Z581" s="44"/>
      <c r="AC581" s="46"/>
      <c r="AD581" s="44"/>
    </row>
    <row r="582">
      <c r="C582" s="43"/>
      <c r="M582" s="43"/>
      <c r="O582" s="44"/>
      <c r="P582" s="45"/>
      <c r="Q582" s="46"/>
      <c r="R582" s="47"/>
      <c r="S582" s="44"/>
      <c r="U582" s="46"/>
      <c r="V582" s="44"/>
      <c r="Y582" s="46"/>
      <c r="Z582" s="44"/>
      <c r="AC582" s="46"/>
      <c r="AD582" s="44"/>
    </row>
    <row r="583">
      <c r="C583" s="43"/>
      <c r="M583" s="43"/>
      <c r="O583" s="44"/>
      <c r="P583" s="45"/>
      <c r="Q583" s="46"/>
      <c r="R583" s="47"/>
      <c r="S583" s="44"/>
      <c r="U583" s="46"/>
      <c r="V583" s="44"/>
      <c r="Y583" s="46"/>
      <c r="Z583" s="44"/>
      <c r="AC583" s="46"/>
      <c r="AD583" s="44"/>
    </row>
    <row r="584">
      <c r="C584" s="43"/>
      <c r="M584" s="43"/>
      <c r="O584" s="44"/>
      <c r="P584" s="45"/>
      <c r="Q584" s="46"/>
      <c r="R584" s="47"/>
      <c r="S584" s="44"/>
      <c r="U584" s="46"/>
      <c r="V584" s="44"/>
      <c r="Y584" s="46"/>
      <c r="Z584" s="44"/>
      <c r="AC584" s="46"/>
      <c r="AD584" s="44"/>
    </row>
    <row r="585">
      <c r="C585" s="43"/>
      <c r="M585" s="43"/>
      <c r="O585" s="44"/>
      <c r="P585" s="45"/>
      <c r="Q585" s="46"/>
      <c r="R585" s="47"/>
      <c r="S585" s="44"/>
      <c r="U585" s="46"/>
      <c r="V585" s="44"/>
      <c r="Y585" s="46"/>
      <c r="Z585" s="44"/>
      <c r="AC585" s="46"/>
      <c r="AD585" s="44"/>
    </row>
    <row r="586">
      <c r="C586" s="43"/>
      <c r="M586" s="43"/>
      <c r="O586" s="44"/>
      <c r="P586" s="45"/>
      <c r="Q586" s="46"/>
      <c r="R586" s="47"/>
      <c r="S586" s="44"/>
      <c r="U586" s="46"/>
      <c r="V586" s="44"/>
      <c r="Y586" s="46"/>
      <c r="Z586" s="44"/>
      <c r="AC586" s="46"/>
      <c r="AD586" s="44"/>
    </row>
    <row r="587">
      <c r="C587" s="43"/>
      <c r="M587" s="43"/>
      <c r="O587" s="44"/>
      <c r="P587" s="45"/>
      <c r="Q587" s="46"/>
      <c r="R587" s="47"/>
      <c r="S587" s="44"/>
      <c r="U587" s="46"/>
      <c r="V587" s="44"/>
      <c r="Y587" s="46"/>
      <c r="Z587" s="44"/>
      <c r="AC587" s="46"/>
      <c r="AD587" s="44"/>
    </row>
    <row r="588">
      <c r="C588" s="43"/>
      <c r="M588" s="43"/>
      <c r="O588" s="44"/>
      <c r="P588" s="45"/>
      <c r="Q588" s="46"/>
      <c r="R588" s="47"/>
      <c r="S588" s="44"/>
      <c r="U588" s="46"/>
      <c r="V588" s="44"/>
      <c r="Y588" s="46"/>
      <c r="Z588" s="44"/>
      <c r="AC588" s="46"/>
      <c r="AD588" s="44"/>
    </row>
    <row r="589">
      <c r="C589" s="43"/>
      <c r="M589" s="43"/>
      <c r="O589" s="44"/>
      <c r="P589" s="45"/>
      <c r="Q589" s="46"/>
      <c r="R589" s="47"/>
      <c r="S589" s="44"/>
      <c r="U589" s="46"/>
      <c r="V589" s="44"/>
      <c r="Y589" s="46"/>
      <c r="Z589" s="44"/>
      <c r="AC589" s="46"/>
      <c r="AD589" s="44"/>
    </row>
    <row r="590">
      <c r="C590" s="43"/>
      <c r="M590" s="43"/>
      <c r="O590" s="44"/>
      <c r="P590" s="45"/>
      <c r="Q590" s="46"/>
      <c r="R590" s="47"/>
      <c r="S590" s="44"/>
      <c r="U590" s="46"/>
      <c r="V590" s="44"/>
      <c r="Y590" s="46"/>
      <c r="Z590" s="44"/>
      <c r="AC590" s="46"/>
      <c r="AD590" s="44"/>
    </row>
    <row r="591">
      <c r="C591" s="43"/>
      <c r="M591" s="43"/>
      <c r="O591" s="44"/>
      <c r="P591" s="45"/>
      <c r="Q591" s="46"/>
      <c r="R591" s="47"/>
      <c r="S591" s="44"/>
      <c r="U591" s="46"/>
      <c r="V591" s="44"/>
      <c r="Y591" s="46"/>
      <c r="Z591" s="44"/>
      <c r="AC591" s="46"/>
      <c r="AD591" s="44"/>
    </row>
    <row r="592">
      <c r="C592" s="43"/>
      <c r="M592" s="43"/>
      <c r="O592" s="44"/>
      <c r="P592" s="45"/>
      <c r="Q592" s="46"/>
      <c r="R592" s="47"/>
      <c r="S592" s="44"/>
      <c r="U592" s="46"/>
      <c r="V592" s="44"/>
      <c r="Y592" s="46"/>
      <c r="Z592" s="44"/>
      <c r="AC592" s="46"/>
      <c r="AD592" s="44"/>
    </row>
    <row r="593">
      <c r="C593" s="43"/>
      <c r="M593" s="43"/>
      <c r="O593" s="44"/>
      <c r="P593" s="45"/>
      <c r="Q593" s="46"/>
      <c r="R593" s="47"/>
      <c r="S593" s="44"/>
      <c r="U593" s="46"/>
      <c r="V593" s="44"/>
      <c r="Y593" s="46"/>
      <c r="Z593" s="44"/>
      <c r="AC593" s="46"/>
      <c r="AD593" s="44"/>
    </row>
    <row r="594">
      <c r="C594" s="43"/>
      <c r="M594" s="43"/>
      <c r="O594" s="44"/>
      <c r="P594" s="45"/>
      <c r="Q594" s="46"/>
      <c r="R594" s="47"/>
      <c r="S594" s="44"/>
      <c r="U594" s="46"/>
      <c r="V594" s="44"/>
      <c r="Y594" s="46"/>
      <c r="Z594" s="44"/>
      <c r="AC594" s="46"/>
      <c r="AD594" s="44"/>
    </row>
    <row r="595">
      <c r="C595" s="43"/>
      <c r="M595" s="43"/>
      <c r="O595" s="44"/>
      <c r="P595" s="45"/>
      <c r="Q595" s="46"/>
      <c r="R595" s="47"/>
      <c r="S595" s="44"/>
      <c r="U595" s="46"/>
      <c r="V595" s="44"/>
      <c r="Y595" s="46"/>
      <c r="Z595" s="44"/>
      <c r="AC595" s="46"/>
      <c r="AD595" s="44"/>
    </row>
    <row r="596">
      <c r="C596" s="43"/>
      <c r="M596" s="43"/>
      <c r="O596" s="44"/>
      <c r="P596" s="45"/>
      <c r="Q596" s="46"/>
      <c r="R596" s="47"/>
      <c r="S596" s="44"/>
      <c r="U596" s="46"/>
      <c r="V596" s="44"/>
      <c r="Y596" s="46"/>
      <c r="Z596" s="44"/>
      <c r="AC596" s="46"/>
      <c r="AD596" s="44"/>
    </row>
    <row r="597">
      <c r="C597" s="43"/>
      <c r="M597" s="43"/>
      <c r="O597" s="44"/>
      <c r="P597" s="45"/>
      <c r="Q597" s="46"/>
      <c r="R597" s="47"/>
      <c r="S597" s="44"/>
      <c r="U597" s="46"/>
      <c r="V597" s="44"/>
      <c r="Y597" s="46"/>
      <c r="Z597" s="44"/>
      <c r="AC597" s="46"/>
      <c r="AD597" s="44"/>
    </row>
    <row r="598">
      <c r="C598" s="43"/>
      <c r="M598" s="43"/>
      <c r="O598" s="44"/>
      <c r="P598" s="45"/>
      <c r="Q598" s="46"/>
      <c r="R598" s="47"/>
      <c r="S598" s="44"/>
      <c r="U598" s="46"/>
      <c r="V598" s="44"/>
      <c r="Y598" s="46"/>
      <c r="Z598" s="44"/>
      <c r="AC598" s="46"/>
      <c r="AD598" s="44"/>
    </row>
    <row r="599">
      <c r="C599" s="43"/>
      <c r="M599" s="43"/>
      <c r="O599" s="44"/>
      <c r="P599" s="45"/>
      <c r="Q599" s="46"/>
      <c r="R599" s="47"/>
      <c r="S599" s="44"/>
      <c r="U599" s="46"/>
      <c r="V599" s="44"/>
      <c r="Y599" s="46"/>
      <c r="Z599" s="44"/>
      <c r="AC599" s="46"/>
      <c r="AD599" s="44"/>
    </row>
    <row r="600">
      <c r="C600" s="43"/>
      <c r="M600" s="43"/>
      <c r="O600" s="44"/>
      <c r="P600" s="45"/>
      <c r="Q600" s="46"/>
      <c r="R600" s="47"/>
      <c r="S600" s="44"/>
      <c r="U600" s="46"/>
      <c r="V600" s="44"/>
      <c r="Y600" s="46"/>
      <c r="Z600" s="44"/>
      <c r="AC600" s="46"/>
      <c r="AD600" s="44"/>
    </row>
    <row r="601">
      <c r="C601" s="43"/>
      <c r="M601" s="43"/>
      <c r="O601" s="44"/>
      <c r="P601" s="45"/>
      <c r="Q601" s="46"/>
      <c r="R601" s="47"/>
      <c r="S601" s="44"/>
      <c r="U601" s="46"/>
      <c r="V601" s="44"/>
      <c r="Y601" s="46"/>
      <c r="Z601" s="44"/>
      <c r="AC601" s="46"/>
      <c r="AD601" s="44"/>
    </row>
    <row r="602">
      <c r="C602" s="43"/>
      <c r="M602" s="43"/>
      <c r="O602" s="44"/>
      <c r="P602" s="45"/>
      <c r="Q602" s="46"/>
      <c r="R602" s="47"/>
      <c r="S602" s="44"/>
      <c r="U602" s="46"/>
      <c r="V602" s="44"/>
      <c r="Y602" s="46"/>
      <c r="Z602" s="44"/>
      <c r="AC602" s="46"/>
      <c r="AD602" s="44"/>
    </row>
    <row r="603">
      <c r="C603" s="43"/>
      <c r="M603" s="43"/>
      <c r="O603" s="44"/>
      <c r="P603" s="45"/>
      <c r="Q603" s="46"/>
      <c r="R603" s="47"/>
      <c r="S603" s="44"/>
      <c r="U603" s="46"/>
      <c r="V603" s="44"/>
      <c r="Y603" s="46"/>
      <c r="Z603" s="44"/>
      <c r="AC603" s="46"/>
      <c r="AD603" s="44"/>
    </row>
    <row r="604">
      <c r="C604" s="43"/>
      <c r="M604" s="43"/>
      <c r="O604" s="44"/>
      <c r="P604" s="45"/>
      <c r="Q604" s="46"/>
      <c r="R604" s="47"/>
      <c r="S604" s="44"/>
      <c r="U604" s="46"/>
      <c r="V604" s="44"/>
      <c r="Y604" s="46"/>
      <c r="Z604" s="44"/>
      <c r="AC604" s="46"/>
      <c r="AD604" s="44"/>
    </row>
    <row r="605">
      <c r="C605" s="43"/>
      <c r="M605" s="43"/>
      <c r="O605" s="44"/>
      <c r="P605" s="45"/>
      <c r="Q605" s="46"/>
      <c r="R605" s="47"/>
      <c r="S605" s="44"/>
      <c r="U605" s="46"/>
      <c r="V605" s="44"/>
      <c r="Y605" s="46"/>
      <c r="Z605" s="44"/>
      <c r="AC605" s="46"/>
      <c r="AD605" s="44"/>
    </row>
    <row r="606">
      <c r="C606" s="43"/>
      <c r="M606" s="43"/>
      <c r="O606" s="44"/>
      <c r="P606" s="45"/>
      <c r="Q606" s="46"/>
      <c r="R606" s="47"/>
      <c r="S606" s="44"/>
      <c r="U606" s="46"/>
      <c r="V606" s="44"/>
      <c r="Y606" s="46"/>
      <c r="Z606" s="44"/>
      <c r="AC606" s="46"/>
      <c r="AD606" s="44"/>
    </row>
    <row r="607">
      <c r="C607" s="43"/>
      <c r="M607" s="43"/>
      <c r="O607" s="44"/>
      <c r="P607" s="45"/>
      <c r="Q607" s="46"/>
      <c r="R607" s="47"/>
      <c r="S607" s="44"/>
      <c r="U607" s="46"/>
      <c r="V607" s="44"/>
      <c r="Y607" s="46"/>
      <c r="Z607" s="44"/>
      <c r="AC607" s="46"/>
      <c r="AD607" s="44"/>
    </row>
    <row r="608">
      <c r="C608" s="43"/>
      <c r="M608" s="43"/>
      <c r="O608" s="44"/>
      <c r="P608" s="45"/>
      <c r="Q608" s="46"/>
      <c r="R608" s="47"/>
      <c r="S608" s="44"/>
      <c r="U608" s="46"/>
      <c r="V608" s="44"/>
      <c r="Y608" s="46"/>
      <c r="Z608" s="44"/>
      <c r="AC608" s="46"/>
      <c r="AD608" s="44"/>
    </row>
    <row r="609">
      <c r="C609" s="43"/>
      <c r="M609" s="43"/>
      <c r="O609" s="44"/>
      <c r="P609" s="45"/>
      <c r="Q609" s="46"/>
      <c r="R609" s="47"/>
      <c r="S609" s="44"/>
      <c r="U609" s="46"/>
      <c r="V609" s="44"/>
      <c r="Y609" s="46"/>
      <c r="Z609" s="44"/>
      <c r="AC609" s="46"/>
      <c r="AD609" s="44"/>
    </row>
    <row r="610">
      <c r="C610" s="43"/>
      <c r="M610" s="43"/>
      <c r="O610" s="44"/>
      <c r="P610" s="45"/>
      <c r="Q610" s="46"/>
      <c r="R610" s="47"/>
      <c r="S610" s="44"/>
      <c r="U610" s="46"/>
      <c r="V610" s="44"/>
      <c r="Y610" s="46"/>
      <c r="Z610" s="44"/>
      <c r="AC610" s="46"/>
      <c r="AD610" s="44"/>
    </row>
    <row r="611">
      <c r="C611" s="43"/>
      <c r="M611" s="43"/>
      <c r="O611" s="44"/>
      <c r="P611" s="45"/>
      <c r="Q611" s="46"/>
      <c r="R611" s="47"/>
      <c r="S611" s="44"/>
      <c r="U611" s="46"/>
      <c r="V611" s="44"/>
      <c r="Y611" s="46"/>
      <c r="Z611" s="44"/>
      <c r="AC611" s="46"/>
      <c r="AD611" s="44"/>
    </row>
    <row r="612">
      <c r="C612" s="43"/>
      <c r="M612" s="43"/>
      <c r="O612" s="44"/>
      <c r="P612" s="45"/>
      <c r="Q612" s="46"/>
      <c r="R612" s="47"/>
      <c r="S612" s="44"/>
      <c r="U612" s="46"/>
      <c r="V612" s="44"/>
      <c r="Y612" s="46"/>
      <c r="Z612" s="44"/>
      <c r="AC612" s="46"/>
      <c r="AD612" s="44"/>
    </row>
    <row r="613">
      <c r="C613" s="43"/>
      <c r="M613" s="43"/>
      <c r="O613" s="44"/>
      <c r="P613" s="45"/>
      <c r="Q613" s="46"/>
      <c r="R613" s="47"/>
      <c r="S613" s="44"/>
      <c r="U613" s="46"/>
      <c r="V613" s="44"/>
      <c r="Y613" s="46"/>
      <c r="Z613" s="44"/>
      <c r="AC613" s="46"/>
      <c r="AD613" s="44"/>
    </row>
    <row r="614">
      <c r="C614" s="43"/>
      <c r="M614" s="43"/>
      <c r="O614" s="44"/>
      <c r="P614" s="45"/>
      <c r="Q614" s="46"/>
      <c r="R614" s="47"/>
      <c r="S614" s="44"/>
      <c r="U614" s="46"/>
      <c r="V614" s="44"/>
      <c r="Y614" s="46"/>
      <c r="Z614" s="44"/>
      <c r="AC614" s="46"/>
      <c r="AD614" s="44"/>
    </row>
    <row r="615">
      <c r="C615" s="43"/>
      <c r="M615" s="43"/>
      <c r="O615" s="44"/>
      <c r="P615" s="45"/>
      <c r="Q615" s="46"/>
      <c r="R615" s="47"/>
      <c r="S615" s="44"/>
      <c r="U615" s="46"/>
      <c r="V615" s="44"/>
      <c r="Y615" s="46"/>
      <c r="Z615" s="44"/>
      <c r="AC615" s="46"/>
      <c r="AD615" s="44"/>
    </row>
    <row r="616">
      <c r="C616" s="43"/>
      <c r="M616" s="43"/>
      <c r="O616" s="44"/>
      <c r="P616" s="45"/>
      <c r="Q616" s="46"/>
      <c r="R616" s="47"/>
      <c r="S616" s="44"/>
      <c r="U616" s="46"/>
      <c r="V616" s="44"/>
      <c r="Y616" s="46"/>
      <c r="Z616" s="44"/>
      <c r="AC616" s="46"/>
      <c r="AD616" s="44"/>
    </row>
    <row r="617">
      <c r="C617" s="43"/>
      <c r="M617" s="43"/>
      <c r="O617" s="44"/>
      <c r="P617" s="45"/>
      <c r="Q617" s="46"/>
      <c r="R617" s="47"/>
      <c r="S617" s="44"/>
      <c r="U617" s="46"/>
      <c r="V617" s="44"/>
      <c r="Y617" s="46"/>
      <c r="Z617" s="44"/>
      <c r="AC617" s="46"/>
      <c r="AD617" s="44"/>
    </row>
    <row r="618">
      <c r="C618" s="43"/>
      <c r="M618" s="43"/>
      <c r="O618" s="44"/>
      <c r="P618" s="45"/>
      <c r="Q618" s="46"/>
      <c r="R618" s="47"/>
      <c r="S618" s="44"/>
      <c r="U618" s="46"/>
      <c r="V618" s="44"/>
      <c r="Y618" s="46"/>
      <c r="Z618" s="44"/>
      <c r="AC618" s="46"/>
      <c r="AD618" s="44"/>
    </row>
    <row r="619">
      <c r="C619" s="43"/>
      <c r="M619" s="43"/>
      <c r="O619" s="44"/>
      <c r="P619" s="45"/>
      <c r="Q619" s="46"/>
      <c r="R619" s="47"/>
      <c r="S619" s="44"/>
      <c r="U619" s="46"/>
      <c r="V619" s="44"/>
      <c r="Y619" s="46"/>
      <c r="Z619" s="44"/>
      <c r="AC619" s="46"/>
      <c r="AD619" s="44"/>
    </row>
    <row r="620">
      <c r="C620" s="43"/>
      <c r="M620" s="43"/>
      <c r="O620" s="44"/>
      <c r="P620" s="45"/>
      <c r="Q620" s="46"/>
      <c r="R620" s="47"/>
      <c r="S620" s="44"/>
      <c r="U620" s="46"/>
      <c r="V620" s="44"/>
      <c r="Y620" s="46"/>
      <c r="Z620" s="44"/>
      <c r="AC620" s="46"/>
      <c r="AD620" s="44"/>
    </row>
    <row r="621">
      <c r="C621" s="43"/>
      <c r="M621" s="43"/>
      <c r="O621" s="44"/>
      <c r="P621" s="45"/>
      <c r="Q621" s="46"/>
      <c r="R621" s="47"/>
      <c r="S621" s="44"/>
      <c r="U621" s="46"/>
      <c r="V621" s="44"/>
      <c r="Y621" s="46"/>
      <c r="Z621" s="44"/>
      <c r="AC621" s="46"/>
      <c r="AD621" s="44"/>
    </row>
    <row r="622">
      <c r="C622" s="43"/>
      <c r="M622" s="43"/>
      <c r="O622" s="44"/>
      <c r="P622" s="45"/>
      <c r="Q622" s="46"/>
      <c r="R622" s="47"/>
      <c r="S622" s="44"/>
      <c r="U622" s="46"/>
      <c r="V622" s="44"/>
      <c r="Y622" s="46"/>
      <c r="Z622" s="44"/>
      <c r="AC622" s="46"/>
      <c r="AD622" s="44"/>
    </row>
    <row r="623">
      <c r="C623" s="43"/>
      <c r="M623" s="43"/>
      <c r="O623" s="44"/>
      <c r="P623" s="45"/>
      <c r="Q623" s="46"/>
      <c r="R623" s="47"/>
      <c r="S623" s="44"/>
      <c r="U623" s="46"/>
      <c r="V623" s="44"/>
      <c r="Y623" s="46"/>
      <c r="Z623" s="44"/>
      <c r="AC623" s="46"/>
      <c r="AD623" s="44"/>
    </row>
    <row r="624">
      <c r="C624" s="43"/>
      <c r="M624" s="43"/>
      <c r="O624" s="44"/>
      <c r="P624" s="45"/>
      <c r="Q624" s="46"/>
      <c r="R624" s="47"/>
      <c r="S624" s="44"/>
      <c r="U624" s="46"/>
      <c r="V624" s="44"/>
      <c r="Y624" s="46"/>
      <c r="Z624" s="44"/>
      <c r="AC624" s="46"/>
      <c r="AD624" s="44"/>
    </row>
    <row r="625">
      <c r="C625" s="43"/>
      <c r="M625" s="43"/>
      <c r="O625" s="44"/>
      <c r="P625" s="45"/>
      <c r="Q625" s="46"/>
      <c r="R625" s="47"/>
      <c r="S625" s="44"/>
      <c r="U625" s="46"/>
      <c r="V625" s="44"/>
      <c r="Y625" s="46"/>
      <c r="Z625" s="44"/>
      <c r="AC625" s="46"/>
      <c r="AD625" s="44"/>
    </row>
    <row r="626">
      <c r="C626" s="43"/>
      <c r="M626" s="43"/>
      <c r="O626" s="44"/>
      <c r="P626" s="45"/>
      <c r="Q626" s="46"/>
      <c r="R626" s="47"/>
      <c r="S626" s="44"/>
      <c r="U626" s="46"/>
      <c r="V626" s="44"/>
      <c r="Y626" s="46"/>
      <c r="Z626" s="44"/>
      <c r="AC626" s="46"/>
      <c r="AD626" s="44"/>
    </row>
    <row r="627">
      <c r="C627" s="43"/>
      <c r="M627" s="43"/>
      <c r="O627" s="44"/>
      <c r="P627" s="45"/>
      <c r="Q627" s="46"/>
      <c r="R627" s="47"/>
      <c r="S627" s="44"/>
      <c r="U627" s="46"/>
      <c r="V627" s="44"/>
      <c r="Y627" s="46"/>
      <c r="Z627" s="44"/>
      <c r="AC627" s="46"/>
      <c r="AD627" s="44"/>
    </row>
    <row r="628">
      <c r="C628" s="43"/>
      <c r="M628" s="43"/>
      <c r="O628" s="44"/>
      <c r="P628" s="45"/>
      <c r="Q628" s="46"/>
      <c r="R628" s="47"/>
      <c r="S628" s="44"/>
      <c r="U628" s="46"/>
      <c r="V628" s="44"/>
      <c r="Y628" s="46"/>
      <c r="Z628" s="44"/>
      <c r="AC628" s="46"/>
      <c r="AD628" s="44"/>
    </row>
    <row r="629">
      <c r="C629" s="43"/>
      <c r="M629" s="43"/>
      <c r="O629" s="44"/>
      <c r="P629" s="45"/>
      <c r="Q629" s="46"/>
      <c r="R629" s="47"/>
      <c r="S629" s="44"/>
      <c r="U629" s="46"/>
      <c r="V629" s="44"/>
      <c r="Y629" s="46"/>
      <c r="Z629" s="44"/>
      <c r="AC629" s="46"/>
      <c r="AD629" s="44"/>
    </row>
    <row r="630">
      <c r="C630" s="43"/>
      <c r="M630" s="43"/>
      <c r="O630" s="44"/>
      <c r="P630" s="45"/>
      <c r="Q630" s="46"/>
      <c r="R630" s="47"/>
      <c r="S630" s="44"/>
      <c r="U630" s="46"/>
      <c r="V630" s="44"/>
      <c r="Y630" s="46"/>
      <c r="Z630" s="44"/>
      <c r="AC630" s="46"/>
      <c r="AD630" s="44"/>
    </row>
    <row r="631">
      <c r="C631" s="43"/>
      <c r="M631" s="43"/>
      <c r="O631" s="44"/>
      <c r="P631" s="45"/>
      <c r="Q631" s="46"/>
      <c r="R631" s="47"/>
      <c r="S631" s="44"/>
      <c r="U631" s="46"/>
      <c r="V631" s="44"/>
      <c r="Y631" s="46"/>
      <c r="Z631" s="44"/>
      <c r="AC631" s="46"/>
      <c r="AD631" s="44"/>
    </row>
    <row r="632">
      <c r="C632" s="43"/>
      <c r="M632" s="43"/>
      <c r="O632" s="44"/>
      <c r="P632" s="45"/>
      <c r="Q632" s="46"/>
      <c r="R632" s="47"/>
      <c r="S632" s="44"/>
      <c r="U632" s="46"/>
      <c r="V632" s="44"/>
      <c r="Y632" s="46"/>
      <c r="Z632" s="44"/>
      <c r="AC632" s="46"/>
      <c r="AD632" s="44"/>
    </row>
    <row r="633">
      <c r="C633" s="43"/>
      <c r="M633" s="43"/>
      <c r="O633" s="44"/>
      <c r="P633" s="45"/>
      <c r="Q633" s="46"/>
      <c r="R633" s="47"/>
      <c r="S633" s="44"/>
      <c r="U633" s="46"/>
      <c r="V633" s="44"/>
      <c r="Y633" s="46"/>
      <c r="Z633" s="44"/>
      <c r="AC633" s="46"/>
      <c r="AD633" s="44"/>
    </row>
    <row r="634">
      <c r="C634" s="43"/>
      <c r="M634" s="43"/>
      <c r="O634" s="44"/>
      <c r="P634" s="45"/>
      <c r="Q634" s="46"/>
      <c r="R634" s="47"/>
      <c r="S634" s="44"/>
      <c r="U634" s="46"/>
      <c r="V634" s="44"/>
      <c r="Y634" s="46"/>
      <c r="Z634" s="44"/>
      <c r="AC634" s="46"/>
      <c r="AD634" s="44"/>
    </row>
    <row r="635">
      <c r="C635" s="43"/>
      <c r="M635" s="43"/>
      <c r="O635" s="44"/>
      <c r="P635" s="45"/>
      <c r="Q635" s="46"/>
      <c r="R635" s="47"/>
      <c r="S635" s="44"/>
      <c r="U635" s="46"/>
      <c r="V635" s="44"/>
      <c r="Y635" s="46"/>
      <c r="Z635" s="44"/>
      <c r="AC635" s="46"/>
      <c r="AD635" s="44"/>
    </row>
    <row r="636">
      <c r="C636" s="43"/>
      <c r="M636" s="43"/>
      <c r="O636" s="44"/>
      <c r="P636" s="45"/>
      <c r="Q636" s="46"/>
      <c r="R636" s="47"/>
      <c r="S636" s="44"/>
      <c r="U636" s="46"/>
      <c r="V636" s="44"/>
      <c r="Y636" s="46"/>
      <c r="Z636" s="44"/>
      <c r="AC636" s="46"/>
      <c r="AD636" s="44"/>
    </row>
    <row r="637">
      <c r="C637" s="43"/>
      <c r="M637" s="43"/>
      <c r="O637" s="44"/>
      <c r="P637" s="45"/>
      <c r="Q637" s="46"/>
      <c r="R637" s="47"/>
      <c r="S637" s="44"/>
      <c r="U637" s="46"/>
      <c r="V637" s="44"/>
      <c r="Y637" s="46"/>
      <c r="Z637" s="44"/>
      <c r="AC637" s="46"/>
      <c r="AD637" s="44"/>
    </row>
    <row r="638">
      <c r="C638" s="43"/>
      <c r="M638" s="43"/>
      <c r="O638" s="44"/>
      <c r="P638" s="45"/>
      <c r="Q638" s="46"/>
      <c r="R638" s="47"/>
      <c r="S638" s="44"/>
      <c r="U638" s="46"/>
      <c r="V638" s="44"/>
      <c r="Y638" s="46"/>
      <c r="Z638" s="44"/>
      <c r="AC638" s="46"/>
      <c r="AD638" s="44"/>
    </row>
    <row r="639">
      <c r="C639" s="43"/>
      <c r="M639" s="43"/>
      <c r="O639" s="44"/>
      <c r="P639" s="45"/>
      <c r="Q639" s="46"/>
      <c r="R639" s="47"/>
      <c r="S639" s="44"/>
      <c r="U639" s="46"/>
      <c r="V639" s="44"/>
      <c r="Y639" s="46"/>
      <c r="Z639" s="44"/>
      <c r="AC639" s="46"/>
      <c r="AD639" s="44"/>
    </row>
    <row r="640">
      <c r="C640" s="43"/>
      <c r="M640" s="43"/>
      <c r="O640" s="44"/>
      <c r="P640" s="45"/>
      <c r="Q640" s="46"/>
      <c r="R640" s="47"/>
      <c r="S640" s="44"/>
      <c r="U640" s="46"/>
      <c r="V640" s="44"/>
      <c r="Y640" s="46"/>
      <c r="Z640" s="44"/>
      <c r="AC640" s="46"/>
      <c r="AD640" s="44"/>
    </row>
    <row r="641">
      <c r="C641" s="43"/>
      <c r="M641" s="43"/>
      <c r="O641" s="44"/>
      <c r="P641" s="45"/>
      <c r="Q641" s="46"/>
      <c r="R641" s="47"/>
      <c r="S641" s="44"/>
      <c r="U641" s="46"/>
      <c r="V641" s="44"/>
      <c r="Y641" s="46"/>
      <c r="Z641" s="44"/>
      <c r="AC641" s="46"/>
      <c r="AD641" s="44"/>
    </row>
    <row r="642">
      <c r="C642" s="43"/>
      <c r="M642" s="43"/>
      <c r="O642" s="44"/>
      <c r="P642" s="45"/>
      <c r="Q642" s="46"/>
      <c r="R642" s="47"/>
      <c r="S642" s="44"/>
      <c r="U642" s="46"/>
      <c r="V642" s="44"/>
      <c r="Y642" s="46"/>
      <c r="Z642" s="44"/>
      <c r="AC642" s="46"/>
      <c r="AD642" s="44"/>
    </row>
    <row r="643">
      <c r="C643" s="43"/>
      <c r="M643" s="43"/>
      <c r="O643" s="44"/>
      <c r="P643" s="45"/>
      <c r="Q643" s="46"/>
      <c r="R643" s="47"/>
      <c r="S643" s="44"/>
      <c r="U643" s="46"/>
      <c r="V643" s="44"/>
      <c r="Y643" s="46"/>
      <c r="Z643" s="44"/>
      <c r="AC643" s="46"/>
      <c r="AD643" s="44"/>
    </row>
    <row r="644">
      <c r="C644" s="43"/>
      <c r="M644" s="43"/>
      <c r="O644" s="44"/>
      <c r="P644" s="45"/>
      <c r="Q644" s="46"/>
      <c r="R644" s="47"/>
      <c r="S644" s="44"/>
      <c r="U644" s="46"/>
      <c r="V644" s="44"/>
      <c r="Y644" s="46"/>
      <c r="Z644" s="44"/>
      <c r="AC644" s="46"/>
      <c r="AD644" s="44"/>
    </row>
    <row r="645">
      <c r="C645" s="43"/>
      <c r="M645" s="43"/>
      <c r="O645" s="44"/>
      <c r="P645" s="45"/>
      <c r="Q645" s="46"/>
      <c r="R645" s="47"/>
      <c r="S645" s="44"/>
      <c r="U645" s="46"/>
      <c r="V645" s="44"/>
      <c r="Y645" s="46"/>
      <c r="Z645" s="44"/>
      <c r="AC645" s="46"/>
      <c r="AD645" s="44"/>
    </row>
    <row r="646">
      <c r="C646" s="43"/>
      <c r="M646" s="43"/>
      <c r="O646" s="44"/>
      <c r="P646" s="45"/>
      <c r="Q646" s="46"/>
      <c r="R646" s="47"/>
      <c r="S646" s="44"/>
      <c r="U646" s="46"/>
      <c r="V646" s="44"/>
      <c r="Y646" s="46"/>
      <c r="Z646" s="44"/>
      <c r="AC646" s="46"/>
      <c r="AD646" s="44"/>
    </row>
    <row r="647">
      <c r="C647" s="43"/>
      <c r="M647" s="43"/>
      <c r="O647" s="44"/>
      <c r="P647" s="45"/>
      <c r="Q647" s="46"/>
      <c r="R647" s="47"/>
      <c r="S647" s="44"/>
      <c r="U647" s="46"/>
      <c r="V647" s="44"/>
      <c r="Y647" s="46"/>
      <c r="Z647" s="44"/>
      <c r="AC647" s="46"/>
      <c r="AD647" s="44"/>
    </row>
    <row r="648">
      <c r="C648" s="43"/>
      <c r="M648" s="43"/>
      <c r="O648" s="44"/>
      <c r="P648" s="45"/>
      <c r="Q648" s="46"/>
      <c r="R648" s="47"/>
      <c r="S648" s="44"/>
      <c r="U648" s="46"/>
      <c r="V648" s="44"/>
      <c r="Y648" s="46"/>
      <c r="Z648" s="44"/>
      <c r="AC648" s="46"/>
      <c r="AD648" s="44"/>
    </row>
    <row r="649">
      <c r="C649" s="43"/>
      <c r="M649" s="43"/>
      <c r="O649" s="44"/>
      <c r="P649" s="45"/>
      <c r="Q649" s="46"/>
      <c r="R649" s="47"/>
      <c r="S649" s="44"/>
      <c r="U649" s="46"/>
      <c r="V649" s="44"/>
      <c r="Y649" s="46"/>
      <c r="Z649" s="44"/>
      <c r="AC649" s="46"/>
      <c r="AD649" s="44"/>
    </row>
    <row r="650">
      <c r="C650" s="43"/>
      <c r="M650" s="43"/>
      <c r="O650" s="44"/>
      <c r="P650" s="45"/>
      <c r="Q650" s="46"/>
      <c r="R650" s="47"/>
      <c r="S650" s="44"/>
      <c r="U650" s="46"/>
      <c r="V650" s="44"/>
      <c r="Y650" s="46"/>
      <c r="Z650" s="44"/>
      <c r="AC650" s="46"/>
      <c r="AD650" s="44"/>
    </row>
    <row r="651">
      <c r="C651" s="43"/>
      <c r="M651" s="43"/>
      <c r="O651" s="44"/>
      <c r="P651" s="45"/>
      <c r="Q651" s="46"/>
      <c r="R651" s="47"/>
      <c r="S651" s="44"/>
      <c r="U651" s="46"/>
      <c r="V651" s="44"/>
      <c r="Y651" s="46"/>
      <c r="Z651" s="44"/>
      <c r="AC651" s="46"/>
      <c r="AD651" s="44"/>
    </row>
    <row r="652">
      <c r="C652" s="43"/>
      <c r="M652" s="43"/>
      <c r="O652" s="44"/>
      <c r="P652" s="45"/>
      <c r="Q652" s="46"/>
      <c r="R652" s="47"/>
      <c r="S652" s="44"/>
      <c r="U652" s="46"/>
      <c r="V652" s="44"/>
      <c r="Y652" s="46"/>
      <c r="Z652" s="44"/>
      <c r="AC652" s="46"/>
      <c r="AD652" s="44"/>
    </row>
    <row r="653">
      <c r="C653" s="43"/>
      <c r="M653" s="43"/>
      <c r="O653" s="44"/>
      <c r="P653" s="45"/>
      <c r="Q653" s="46"/>
      <c r="R653" s="47"/>
      <c r="S653" s="44"/>
      <c r="U653" s="46"/>
      <c r="V653" s="44"/>
      <c r="Y653" s="46"/>
      <c r="Z653" s="44"/>
      <c r="AC653" s="46"/>
      <c r="AD653" s="44"/>
    </row>
    <row r="654">
      <c r="C654" s="43"/>
      <c r="M654" s="43"/>
      <c r="O654" s="44"/>
      <c r="P654" s="45"/>
      <c r="Q654" s="46"/>
      <c r="R654" s="47"/>
      <c r="S654" s="44"/>
      <c r="U654" s="46"/>
      <c r="V654" s="44"/>
      <c r="Y654" s="46"/>
      <c r="Z654" s="44"/>
      <c r="AC654" s="46"/>
      <c r="AD654" s="44"/>
    </row>
    <row r="655">
      <c r="C655" s="43"/>
      <c r="M655" s="43"/>
      <c r="O655" s="44"/>
      <c r="P655" s="45"/>
      <c r="Q655" s="46"/>
      <c r="R655" s="47"/>
      <c r="S655" s="44"/>
      <c r="U655" s="46"/>
      <c r="V655" s="44"/>
      <c r="Y655" s="46"/>
      <c r="Z655" s="44"/>
      <c r="AC655" s="46"/>
      <c r="AD655" s="44"/>
    </row>
    <row r="656">
      <c r="C656" s="43"/>
      <c r="M656" s="43"/>
      <c r="O656" s="44"/>
      <c r="P656" s="45"/>
      <c r="Q656" s="46"/>
      <c r="R656" s="47"/>
      <c r="S656" s="44"/>
      <c r="U656" s="46"/>
      <c r="V656" s="44"/>
      <c r="Y656" s="46"/>
      <c r="Z656" s="44"/>
      <c r="AC656" s="46"/>
      <c r="AD656" s="44"/>
    </row>
    <row r="657">
      <c r="C657" s="43"/>
      <c r="M657" s="43"/>
      <c r="O657" s="44"/>
      <c r="P657" s="45"/>
      <c r="Q657" s="46"/>
      <c r="R657" s="47"/>
      <c r="S657" s="44"/>
      <c r="U657" s="46"/>
      <c r="V657" s="44"/>
      <c r="Y657" s="46"/>
      <c r="Z657" s="44"/>
      <c r="AC657" s="46"/>
      <c r="AD657" s="44"/>
    </row>
    <row r="658">
      <c r="C658" s="43"/>
      <c r="M658" s="43"/>
      <c r="O658" s="44"/>
      <c r="P658" s="45"/>
      <c r="Q658" s="46"/>
      <c r="R658" s="47"/>
      <c r="S658" s="44"/>
      <c r="U658" s="46"/>
      <c r="V658" s="44"/>
      <c r="Y658" s="46"/>
      <c r="Z658" s="44"/>
      <c r="AC658" s="46"/>
      <c r="AD658" s="44"/>
    </row>
    <row r="659">
      <c r="C659" s="43"/>
      <c r="M659" s="43"/>
      <c r="O659" s="44"/>
      <c r="P659" s="45"/>
      <c r="Q659" s="46"/>
      <c r="R659" s="47"/>
      <c r="S659" s="44"/>
      <c r="U659" s="46"/>
      <c r="V659" s="44"/>
      <c r="Y659" s="46"/>
      <c r="Z659" s="44"/>
      <c r="AC659" s="46"/>
      <c r="AD659" s="44"/>
    </row>
    <row r="660">
      <c r="C660" s="43"/>
      <c r="M660" s="43"/>
      <c r="O660" s="44"/>
      <c r="P660" s="45"/>
      <c r="Q660" s="46"/>
      <c r="R660" s="47"/>
      <c r="S660" s="44"/>
      <c r="U660" s="46"/>
      <c r="V660" s="44"/>
      <c r="Y660" s="46"/>
      <c r="Z660" s="44"/>
      <c r="AC660" s="46"/>
      <c r="AD660" s="44"/>
    </row>
    <row r="661">
      <c r="C661" s="43"/>
      <c r="M661" s="43"/>
      <c r="O661" s="44"/>
      <c r="P661" s="45"/>
      <c r="Q661" s="46"/>
      <c r="R661" s="47"/>
      <c r="S661" s="44"/>
      <c r="U661" s="46"/>
      <c r="V661" s="44"/>
      <c r="Y661" s="46"/>
      <c r="Z661" s="44"/>
      <c r="AC661" s="46"/>
      <c r="AD661" s="44"/>
    </row>
    <row r="662">
      <c r="C662" s="43"/>
      <c r="M662" s="43"/>
      <c r="O662" s="44"/>
      <c r="P662" s="45"/>
      <c r="Q662" s="46"/>
      <c r="R662" s="47"/>
      <c r="S662" s="44"/>
      <c r="U662" s="46"/>
      <c r="V662" s="44"/>
      <c r="Y662" s="46"/>
      <c r="Z662" s="44"/>
      <c r="AC662" s="46"/>
      <c r="AD662" s="44"/>
    </row>
    <row r="663">
      <c r="C663" s="43"/>
      <c r="M663" s="43"/>
      <c r="O663" s="44"/>
      <c r="P663" s="45"/>
      <c r="Q663" s="46"/>
      <c r="R663" s="47"/>
      <c r="S663" s="44"/>
      <c r="U663" s="46"/>
      <c r="V663" s="44"/>
      <c r="Y663" s="46"/>
      <c r="Z663" s="44"/>
      <c r="AC663" s="46"/>
      <c r="AD663" s="44"/>
    </row>
    <row r="664">
      <c r="C664" s="43"/>
      <c r="M664" s="43"/>
      <c r="O664" s="44"/>
      <c r="P664" s="45"/>
      <c r="Q664" s="46"/>
      <c r="R664" s="47"/>
      <c r="S664" s="44"/>
      <c r="U664" s="46"/>
      <c r="V664" s="44"/>
      <c r="Y664" s="46"/>
      <c r="Z664" s="44"/>
      <c r="AC664" s="46"/>
      <c r="AD664" s="44"/>
    </row>
    <row r="665">
      <c r="C665" s="43"/>
      <c r="M665" s="43"/>
      <c r="O665" s="44"/>
      <c r="P665" s="45"/>
      <c r="Q665" s="46"/>
      <c r="R665" s="47"/>
      <c r="S665" s="44"/>
      <c r="U665" s="46"/>
      <c r="V665" s="44"/>
      <c r="Y665" s="46"/>
      <c r="Z665" s="44"/>
      <c r="AC665" s="46"/>
      <c r="AD665" s="44"/>
    </row>
    <row r="666">
      <c r="C666" s="43"/>
      <c r="M666" s="43"/>
      <c r="O666" s="44"/>
      <c r="P666" s="45"/>
      <c r="Q666" s="46"/>
      <c r="R666" s="47"/>
      <c r="S666" s="44"/>
      <c r="U666" s="46"/>
      <c r="V666" s="44"/>
      <c r="Y666" s="46"/>
      <c r="Z666" s="44"/>
      <c r="AC666" s="46"/>
      <c r="AD666" s="44"/>
    </row>
    <row r="667">
      <c r="C667" s="43"/>
      <c r="M667" s="43"/>
      <c r="O667" s="44"/>
      <c r="P667" s="45"/>
      <c r="Q667" s="46"/>
      <c r="R667" s="47"/>
      <c r="S667" s="44"/>
      <c r="U667" s="46"/>
      <c r="V667" s="44"/>
      <c r="Y667" s="46"/>
      <c r="Z667" s="44"/>
      <c r="AC667" s="46"/>
      <c r="AD667" s="44"/>
    </row>
    <row r="668">
      <c r="C668" s="43"/>
      <c r="M668" s="43"/>
      <c r="O668" s="44"/>
      <c r="P668" s="45"/>
      <c r="Q668" s="46"/>
      <c r="R668" s="47"/>
      <c r="S668" s="44"/>
      <c r="U668" s="46"/>
      <c r="V668" s="44"/>
      <c r="Y668" s="46"/>
      <c r="Z668" s="44"/>
      <c r="AC668" s="46"/>
      <c r="AD668" s="44"/>
    </row>
    <row r="669">
      <c r="C669" s="43"/>
      <c r="M669" s="43"/>
      <c r="O669" s="44"/>
      <c r="P669" s="45"/>
      <c r="Q669" s="46"/>
      <c r="R669" s="47"/>
      <c r="S669" s="44"/>
      <c r="U669" s="46"/>
      <c r="V669" s="44"/>
      <c r="Y669" s="46"/>
      <c r="Z669" s="44"/>
      <c r="AC669" s="46"/>
      <c r="AD669" s="44"/>
    </row>
    <row r="670">
      <c r="C670" s="43"/>
      <c r="M670" s="43"/>
      <c r="O670" s="44"/>
      <c r="P670" s="45"/>
      <c r="Q670" s="46"/>
      <c r="R670" s="47"/>
      <c r="S670" s="44"/>
      <c r="U670" s="46"/>
      <c r="V670" s="44"/>
      <c r="Y670" s="46"/>
      <c r="Z670" s="44"/>
      <c r="AC670" s="46"/>
      <c r="AD670" s="44"/>
    </row>
    <row r="671">
      <c r="C671" s="43"/>
      <c r="M671" s="43"/>
      <c r="O671" s="44"/>
      <c r="P671" s="45"/>
      <c r="Q671" s="46"/>
      <c r="R671" s="47"/>
      <c r="S671" s="44"/>
      <c r="U671" s="46"/>
      <c r="V671" s="44"/>
      <c r="Y671" s="46"/>
      <c r="Z671" s="44"/>
      <c r="AC671" s="46"/>
      <c r="AD671" s="44"/>
    </row>
    <row r="672">
      <c r="C672" s="43"/>
      <c r="M672" s="43"/>
      <c r="O672" s="44"/>
      <c r="P672" s="45"/>
      <c r="Q672" s="46"/>
      <c r="R672" s="47"/>
      <c r="S672" s="44"/>
      <c r="U672" s="46"/>
      <c r="V672" s="44"/>
      <c r="Y672" s="46"/>
      <c r="Z672" s="44"/>
      <c r="AC672" s="46"/>
      <c r="AD672" s="44"/>
    </row>
    <row r="673">
      <c r="C673" s="43"/>
      <c r="M673" s="43"/>
      <c r="O673" s="44"/>
      <c r="P673" s="45"/>
      <c r="Q673" s="46"/>
      <c r="R673" s="47"/>
      <c r="S673" s="44"/>
      <c r="U673" s="46"/>
      <c r="V673" s="44"/>
      <c r="Y673" s="46"/>
      <c r="Z673" s="44"/>
      <c r="AC673" s="46"/>
      <c r="AD673" s="44"/>
    </row>
    <row r="674">
      <c r="C674" s="43"/>
      <c r="M674" s="43"/>
      <c r="O674" s="44"/>
      <c r="P674" s="45"/>
      <c r="Q674" s="46"/>
      <c r="R674" s="47"/>
      <c r="S674" s="44"/>
      <c r="U674" s="46"/>
      <c r="V674" s="44"/>
      <c r="Y674" s="46"/>
      <c r="Z674" s="44"/>
      <c r="AC674" s="46"/>
      <c r="AD674" s="44"/>
    </row>
    <row r="675">
      <c r="C675" s="43"/>
      <c r="M675" s="43"/>
      <c r="O675" s="44"/>
      <c r="P675" s="45"/>
      <c r="Q675" s="46"/>
      <c r="R675" s="47"/>
      <c r="S675" s="44"/>
      <c r="U675" s="46"/>
      <c r="V675" s="44"/>
      <c r="Y675" s="46"/>
      <c r="Z675" s="44"/>
      <c r="AC675" s="46"/>
      <c r="AD675" s="44"/>
    </row>
    <row r="676">
      <c r="C676" s="43"/>
      <c r="M676" s="43"/>
      <c r="O676" s="44"/>
      <c r="P676" s="45"/>
      <c r="Q676" s="46"/>
      <c r="R676" s="47"/>
      <c r="S676" s="44"/>
      <c r="U676" s="46"/>
      <c r="V676" s="44"/>
      <c r="Y676" s="46"/>
      <c r="Z676" s="44"/>
      <c r="AC676" s="46"/>
      <c r="AD676" s="44"/>
    </row>
    <row r="677">
      <c r="C677" s="43"/>
      <c r="M677" s="43"/>
      <c r="O677" s="44"/>
      <c r="P677" s="45"/>
      <c r="Q677" s="46"/>
      <c r="R677" s="47"/>
      <c r="S677" s="44"/>
      <c r="U677" s="46"/>
      <c r="V677" s="44"/>
      <c r="Y677" s="46"/>
      <c r="Z677" s="44"/>
      <c r="AC677" s="46"/>
      <c r="AD677" s="44"/>
    </row>
    <row r="678">
      <c r="C678" s="43"/>
      <c r="M678" s="43"/>
      <c r="O678" s="44"/>
      <c r="P678" s="45"/>
      <c r="Q678" s="46"/>
      <c r="R678" s="47"/>
      <c r="S678" s="44"/>
      <c r="U678" s="46"/>
      <c r="V678" s="44"/>
      <c r="Y678" s="46"/>
      <c r="Z678" s="44"/>
      <c r="AC678" s="46"/>
      <c r="AD678" s="44"/>
    </row>
    <row r="679">
      <c r="C679" s="43"/>
      <c r="M679" s="43"/>
      <c r="O679" s="44"/>
      <c r="P679" s="45"/>
      <c r="Q679" s="46"/>
      <c r="R679" s="47"/>
      <c r="S679" s="44"/>
      <c r="U679" s="46"/>
      <c r="V679" s="44"/>
      <c r="Y679" s="46"/>
      <c r="Z679" s="44"/>
      <c r="AC679" s="46"/>
      <c r="AD679" s="44"/>
    </row>
    <row r="680">
      <c r="C680" s="43"/>
      <c r="M680" s="43"/>
      <c r="O680" s="44"/>
      <c r="P680" s="45"/>
      <c r="Q680" s="46"/>
      <c r="R680" s="47"/>
      <c r="S680" s="44"/>
      <c r="U680" s="46"/>
      <c r="V680" s="44"/>
      <c r="Y680" s="46"/>
      <c r="Z680" s="44"/>
      <c r="AC680" s="46"/>
      <c r="AD680" s="44"/>
    </row>
    <row r="681">
      <c r="C681" s="43"/>
      <c r="M681" s="43"/>
      <c r="O681" s="44"/>
      <c r="P681" s="45"/>
      <c r="Q681" s="46"/>
      <c r="R681" s="47"/>
      <c r="S681" s="44"/>
      <c r="U681" s="46"/>
      <c r="V681" s="44"/>
      <c r="Y681" s="46"/>
      <c r="Z681" s="44"/>
      <c r="AC681" s="46"/>
      <c r="AD681" s="44"/>
    </row>
    <row r="682">
      <c r="C682" s="43"/>
      <c r="M682" s="43"/>
      <c r="O682" s="44"/>
      <c r="P682" s="45"/>
      <c r="Q682" s="46"/>
      <c r="R682" s="47"/>
      <c r="S682" s="44"/>
      <c r="U682" s="46"/>
      <c r="V682" s="44"/>
      <c r="Y682" s="46"/>
      <c r="Z682" s="44"/>
      <c r="AC682" s="46"/>
      <c r="AD682" s="44"/>
    </row>
    <row r="683">
      <c r="C683" s="43"/>
      <c r="M683" s="43"/>
      <c r="O683" s="44"/>
      <c r="P683" s="45"/>
      <c r="Q683" s="46"/>
      <c r="R683" s="47"/>
      <c r="S683" s="44"/>
      <c r="U683" s="46"/>
      <c r="V683" s="44"/>
      <c r="Y683" s="46"/>
      <c r="Z683" s="44"/>
      <c r="AC683" s="46"/>
      <c r="AD683" s="44"/>
    </row>
    <row r="684">
      <c r="C684" s="43"/>
      <c r="M684" s="43"/>
      <c r="O684" s="44"/>
      <c r="P684" s="45"/>
      <c r="Q684" s="46"/>
      <c r="R684" s="47"/>
      <c r="S684" s="44"/>
      <c r="U684" s="46"/>
      <c r="V684" s="44"/>
      <c r="Y684" s="46"/>
      <c r="Z684" s="44"/>
      <c r="AC684" s="46"/>
      <c r="AD684" s="44"/>
    </row>
    <row r="685">
      <c r="C685" s="43"/>
      <c r="M685" s="43"/>
      <c r="O685" s="44"/>
      <c r="P685" s="45"/>
      <c r="Q685" s="46"/>
      <c r="R685" s="47"/>
      <c r="S685" s="44"/>
      <c r="U685" s="46"/>
      <c r="V685" s="44"/>
      <c r="Y685" s="46"/>
      <c r="Z685" s="44"/>
      <c r="AC685" s="46"/>
      <c r="AD685" s="44"/>
    </row>
    <row r="686">
      <c r="C686" s="43"/>
      <c r="M686" s="43"/>
      <c r="O686" s="44"/>
      <c r="P686" s="45"/>
      <c r="Q686" s="46"/>
      <c r="R686" s="47"/>
      <c r="S686" s="44"/>
      <c r="U686" s="46"/>
      <c r="V686" s="44"/>
      <c r="Y686" s="46"/>
      <c r="Z686" s="44"/>
      <c r="AC686" s="46"/>
      <c r="AD686" s="44"/>
    </row>
    <row r="687">
      <c r="C687" s="43"/>
      <c r="M687" s="43"/>
      <c r="O687" s="44"/>
      <c r="P687" s="45"/>
      <c r="Q687" s="46"/>
      <c r="R687" s="47"/>
      <c r="S687" s="44"/>
      <c r="U687" s="46"/>
      <c r="V687" s="44"/>
      <c r="Y687" s="46"/>
      <c r="Z687" s="44"/>
      <c r="AC687" s="46"/>
      <c r="AD687" s="44"/>
    </row>
    <row r="688">
      <c r="C688" s="43"/>
      <c r="M688" s="43"/>
      <c r="O688" s="44"/>
      <c r="P688" s="45"/>
      <c r="Q688" s="46"/>
      <c r="R688" s="47"/>
      <c r="S688" s="44"/>
      <c r="U688" s="46"/>
      <c r="V688" s="44"/>
      <c r="Y688" s="46"/>
      <c r="Z688" s="44"/>
      <c r="AC688" s="46"/>
      <c r="AD688" s="44"/>
    </row>
    <row r="689">
      <c r="C689" s="43"/>
      <c r="M689" s="43"/>
      <c r="O689" s="44"/>
      <c r="P689" s="45"/>
      <c r="Q689" s="46"/>
      <c r="R689" s="47"/>
      <c r="S689" s="44"/>
      <c r="U689" s="46"/>
      <c r="V689" s="44"/>
      <c r="Y689" s="46"/>
      <c r="Z689" s="44"/>
      <c r="AC689" s="46"/>
      <c r="AD689" s="44"/>
    </row>
    <row r="690">
      <c r="C690" s="43"/>
      <c r="M690" s="43"/>
      <c r="O690" s="44"/>
      <c r="P690" s="45"/>
      <c r="Q690" s="46"/>
      <c r="R690" s="47"/>
      <c r="S690" s="44"/>
      <c r="U690" s="46"/>
      <c r="V690" s="44"/>
      <c r="Y690" s="46"/>
      <c r="Z690" s="44"/>
      <c r="AC690" s="46"/>
      <c r="AD690" s="44"/>
    </row>
    <row r="691">
      <c r="C691" s="43"/>
      <c r="M691" s="43"/>
      <c r="O691" s="44"/>
      <c r="P691" s="45"/>
      <c r="Q691" s="46"/>
      <c r="R691" s="47"/>
      <c r="S691" s="44"/>
      <c r="U691" s="46"/>
      <c r="V691" s="44"/>
      <c r="Y691" s="46"/>
      <c r="Z691" s="44"/>
      <c r="AC691" s="46"/>
      <c r="AD691" s="44"/>
    </row>
    <row r="692">
      <c r="C692" s="43"/>
      <c r="M692" s="43"/>
      <c r="O692" s="44"/>
      <c r="P692" s="45"/>
      <c r="Q692" s="46"/>
      <c r="R692" s="47"/>
      <c r="S692" s="44"/>
      <c r="U692" s="46"/>
      <c r="V692" s="44"/>
      <c r="Y692" s="46"/>
      <c r="Z692" s="44"/>
      <c r="AC692" s="46"/>
      <c r="AD692" s="44"/>
    </row>
    <row r="693">
      <c r="C693" s="43"/>
      <c r="M693" s="43"/>
      <c r="O693" s="44"/>
      <c r="P693" s="45"/>
      <c r="Q693" s="46"/>
      <c r="R693" s="47"/>
      <c r="S693" s="44"/>
      <c r="U693" s="46"/>
      <c r="V693" s="44"/>
      <c r="Y693" s="46"/>
      <c r="Z693" s="44"/>
      <c r="AC693" s="46"/>
      <c r="AD693" s="44"/>
    </row>
    <row r="694">
      <c r="C694" s="43"/>
      <c r="M694" s="43"/>
      <c r="O694" s="44"/>
      <c r="P694" s="45"/>
      <c r="Q694" s="46"/>
      <c r="R694" s="47"/>
      <c r="S694" s="44"/>
      <c r="U694" s="46"/>
      <c r="V694" s="44"/>
      <c r="Y694" s="46"/>
      <c r="Z694" s="44"/>
      <c r="AC694" s="46"/>
      <c r="AD694" s="44"/>
    </row>
    <row r="695">
      <c r="C695" s="43"/>
      <c r="M695" s="43"/>
      <c r="O695" s="44"/>
      <c r="P695" s="45"/>
      <c r="Q695" s="46"/>
      <c r="R695" s="47"/>
      <c r="S695" s="44"/>
      <c r="U695" s="46"/>
      <c r="V695" s="44"/>
      <c r="Y695" s="46"/>
      <c r="Z695" s="44"/>
      <c r="AC695" s="46"/>
      <c r="AD695" s="44"/>
    </row>
    <row r="696">
      <c r="C696" s="43"/>
      <c r="M696" s="43"/>
      <c r="O696" s="44"/>
      <c r="P696" s="45"/>
      <c r="Q696" s="46"/>
      <c r="R696" s="47"/>
      <c r="S696" s="44"/>
      <c r="U696" s="46"/>
      <c r="V696" s="44"/>
      <c r="Y696" s="46"/>
      <c r="Z696" s="44"/>
      <c r="AC696" s="46"/>
      <c r="AD696" s="44"/>
    </row>
    <row r="697">
      <c r="C697" s="43"/>
      <c r="M697" s="43"/>
      <c r="O697" s="44"/>
      <c r="P697" s="45"/>
      <c r="Q697" s="46"/>
      <c r="R697" s="47"/>
      <c r="S697" s="44"/>
      <c r="U697" s="46"/>
      <c r="V697" s="44"/>
      <c r="Y697" s="46"/>
      <c r="Z697" s="44"/>
      <c r="AC697" s="46"/>
      <c r="AD697" s="44"/>
    </row>
    <row r="698">
      <c r="C698" s="43"/>
      <c r="M698" s="43"/>
      <c r="O698" s="44"/>
      <c r="P698" s="45"/>
      <c r="Q698" s="46"/>
      <c r="R698" s="47"/>
      <c r="S698" s="44"/>
      <c r="U698" s="46"/>
      <c r="V698" s="44"/>
      <c r="Y698" s="46"/>
      <c r="Z698" s="44"/>
      <c r="AC698" s="46"/>
      <c r="AD698" s="44"/>
    </row>
    <row r="699">
      <c r="C699" s="43"/>
      <c r="M699" s="43"/>
      <c r="O699" s="44"/>
      <c r="P699" s="45"/>
      <c r="Q699" s="46"/>
      <c r="R699" s="47"/>
      <c r="S699" s="44"/>
      <c r="U699" s="46"/>
      <c r="V699" s="44"/>
      <c r="Y699" s="46"/>
      <c r="Z699" s="44"/>
      <c r="AC699" s="46"/>
      <c r="AD699" s="44"/>
    </row>
    <row r="700">
      <c r="C700" s="43"/>
      <c r="M700" s="43"/>
      <c r="O700" s="44"/>
      <c r="P700" s="45"/>
      <c r="Q700" s="46"/>
      <c r="R700" s="47"/>
      <c r="S700" s="44"/>
      <c r="U700" s="46"/>
      <c r="V700" s="44"/>
      <c r="Y700" s="46"/>
      <c r="Z700" s="44"/>
      <c r="AC700" s="46"/>
      <c r="AD700" s="44"/>
    </row>
    <row r="701">
      <c r="C701" s="43"/>
      <c r="M701" s="43"/>
      <c r="O701" s="44"/>
      <c r="P701" s="45"/>
      <c r="Q701" s="46"/>
      <c r="R701" s="47"/>
      <c r="S701" s="44"/>
      <c r="U701" s="46"/>
      <c r="V701" s="44"/>
      <c r="Y701" s="46"/>
      <c r="Z701" s="44"/>
      <c r="AC701" s="46"/>
      <c r="AD701" s="44"/>
    </row>
    <row r="702">
      <c r="C702" s="43"/>
      <c r="M702" s="43"/>
      <c r="O702" s="44"/>
      <c r="P702" s="45"/>
      <c r="Q702" s="46"/>
      <c r="R702" s="47"/>
      <c r="S702" s="44"/>
      <c r="U702" s="46"/>
      <c r="V702" s="44"/>
      <c r="Y702" s="46"/>
      <c r="Z702" s="44"/>
      <c r="AC702" s="46"/>
      <c r="AD702" s="44"/>
    </row>
    <row r="703">
      <c r="C703" s="43"/>
      <c r="M703" s="43"/>
      <c r="O703" s="44"/>
      <c r="P703" s="45"/>
      <c r="Q703" s="46"/>
      <c r="R703" s="47"/>
      <c r="S703" s="44"/>
      <c r="U703" s="46"/>
      <c r="V703" s="44"/>
      <c r="Y703" s="46"/>
      <c r="Z703" s="44"/>
      <c r="AC703" s="46"/>
      <c r="AD703" s="44"/>
    </row>
    <row r="704">
      <c r="C704" s="43"/>
      <c r="M704" s="43"/>
      <c r="O704" s="44"/>
      <c r="P704" s="45"/>
      <c r="Q704" s="46"/>
      <c r="R704" s="47"/>
      <c r="S704" s="44"/>
      <c r="U704" s="46"/>
      <c r="V704" s="44"/>
      <c r="Y704" s="46"/>
      <c r="Z704" s="44"/>
      <c r="AC704" s="46"/>
      <c r="AD704" s="44"/>
    </row>
    <row r="705">
      <c r="C705" s="43"/>
      <c r="M705" s="43"/>
      <c r="O705" s="44"/>
      <c r="P705" s="45"/>
      <c r="Q705" s="46"/>
      <c r="R705" s="47"/>
      <c r="S705" s="44"/>
      <c r="U705" s="46"/>
      <c r="V705" s="44"/>
      <c r="Y705" s="46"/>
      <c r="Z705" s="44"/>
      <c r="AC705" s="46"/>
      <c r="AD705" s="44"/>
    </row>
    <row r="706">
      <c r="C706" s="43"/>
      <c r="M706" s="43"/>
      <c r="O706" s="44"/>
      <c r="P706" s="45"/>
      <c r="Q706" s="46"/>
      <c r="R706" s="47"/>
      <c r="S706" s="44"/>
      <c r="U706" s="46"/>
      <c r="V706" s="44"/>
      <c r="Y706" s="46"/>
      <c r="Z706" s="44"/>
      <c r="AC706" s="46"/>
      <c r="AD706" s="44"/>
    </row>
    <row r="707">
      <c r="C707" s="43"/>
      <c r="M707" s="43"/>
      <c r="O707" s="44"/>
      <c r="P707" s="45"/>
      <c r="Q707" s="46"/>
      <c r="R707" s="47"/>
      <c r="S707" s="44"/>
      <c r="U707" s="46"/>
      <c r="V707" s="44"/>
      <c r="Y707" s="46"/>
      <c r="Z707" s="44"/>
      <c r="AC707" s="46"/>
      <c r="AD707" s="44"/>
    </row>
    <row r="708">
      <c r="C708" s="43"/>
      <c r="M708" s="43"/>
      <c r="O708" s="44"/>
      <c r="P708" s="45"/>
      <c r="Q708" s="46"/>
      <c r="R708" s="47"/>
      <c r="S708" s="44"/>
      <c r="U708" s="46"/>
      <c r="V708" s="44"/>
      <c r="Y708" s="46"/>
      <c r="Z708" s="44"/>
      <c r="AC708" s="46"/>
      <c r="AD708" s="44"/>
    </row>
    <row r="709">
      <c r="C709" s="43"/>
      <c r="M709" s="43"/>
      <c r="O709" s="44"/>
      <c r="P709" s="45"/>
      <c r="Q709" s="46"/>
      <c r="R709" s="47"/>
      <c r="S709" s="44"/>
      <c r="U709" s="46"/>
      <c r="V709" s="44"/>
      <c r="Y709" s="46"/>
      <c r="Z709" s="44"/>
      <c r="AC709" s="46"/>
      <c r="AD709" s="44"/>
    </row>
    <row r="710">
      <c r="C710" s="43"/>
      <c r="M710" s="43"/>
      <c r="O710" s="44"/>
      <c r="P710" s="45"/>
      <c r="Q710" s="46"/>
      <c r="R710" s="47"/>
      <c r="S710" s="44"/>
      <c r="U710" s="46"/>
      <c r="V710" s="44"/>
      <c r="Y710" s="46"/>
      <c r="Z710" s="44"/>
      <c r="AC710" s="46"/>
      <c r="AD710" s="44"/>
    </row>
    <row r="711">
      <c r="C711" s="43"/>
      <c r="M711" s="43"/>
      <c r="O711" s="44"/>
      <c r="P711" s="45"/>
      <c r="Q711" s="46"/>
      <c r="R711" s="47"/>
      <c r="S711" s="44"/>
      <c r="U711" s="46"/>
      <c r="V711" s="44"/>
      <c r="Y711" s="46"/>
      <c r="Z711" s="44"/>
      <c r="AC711" s="46"/>
      <c r="AD711" s="44"/>
    </row>
    <row r="712">
      <c r="C712" s="43"/>
      <c r="M712" s="43"/>
      <c r="O712" s="44"/>
      <c r="P712" s="45"/>
      <c r="Q712" s="46"/>
      <c r="R712" s="47"/>
      <c r="S712" s="44"/>
      <c r="U712" s="46"/>
      <c r="V712" s="44"/>
      <c r="Y712" s="46"/>
      <c r="Z712" s="44"/>
      <c r="AC712" s="46"/>
      <c r="AD712" s="44"/>
    </row>
    <row r="713">
      <c r="C713" s="43"/>
      <c r="M713" s="43"/>
      <c r="O713" s="44"/>
      <c r="P713" s="45"/>
      <c r="Q713" s="46"/>
      <c r="R713" s="47"/>
      <c r="S713" s="44"/>
      <c r="U713" s="46"/>
      <c r="V713" s="44"/>
      <c r="Y713" s="46"/>
      <c r="Z713" s="44"/>
      <c r="AC713" s="46"/>
      <c r="AD713" s="44"/>
    </row>
    <row r="714">
      <c r="C714" s="43"/>
      <c r="M714" s="43"/>
      <c r="O714" s="44"/>
      <c r="P714" s="45"/>
      <c r="Q714" s="46"/>
      <c r="R714" s="47"/>
      <c r="S714" s="44"/>
      <c r="U714" s="46"/>
      <c r="V714" s="44"/>
      <c r="Y714" s="46"/>
      <c r="Z714" s="44"/>
      <c r="AC714" s="46"/>
      <c r="AD714" s="44"/>
    </row>
    <row r="715">
      <c r="C715" s="43"/>
      <c r="M715" s="43"/>
      <c r="O715" s="44"/>
      <c r="P715" s="45"/>
      <c r="Q715" s="46"/>
      <c r="R715" s="47"/>
      <c r="S715" s="44"/>
      <c r="U715" s="46"/>
      <c r="V715" s="44"/>
      <c r="Y715" s="46"/>
      <c r="Z715" s="44"/>
      <c r="AC715" s="46"/>
      <c r="AD715" s="44"/>
    </row>
    <row r="716">
      <c r="C716" s="43"/>
      <c r="M716" s="43"/>
      <c r="O716" s="44"/>
      <c r="P716" s="45"/>
      <c r="Q716" s="46"/>
      <c r="R716" s="47"/>
      <c r="S716" s="44"/>
      <c r="U716" s="46"/>
      <c r="V716" s="44"/>
      <c r="Y716" s="46"/>
      <c r="Z716" s="44"/>
      <c r="AC716" s="46"/>
      <c r="AD716" s="44"/>
    </row>
    <row r="717">
      <c r="C717" s="43"/>
      <c r="M717" s="43"/>
      <c r="O717" s="44"/>
      <c r="P717" s="45"/>
      <c r="Q717" s="46"/>
      <c r="R717" s="47"/>
      <c r="S717" s="44"/>
      <c r="U717" s="46"/>
      <c r="V717" s="44"/>
      <c r="Y717" s="46"/>
      <c r="Z717" s="44"/>
      <c r="AC717" s="46"/>
      <c r="AD717" s="44"/>
    </row>
    <row r="718">
      <c r="C718" s="43"/>
      <c r="M718" s="43"/>
      <c r="O718" s="44"/>
      <c r="P718" s="45"/>
      <c r="Q718" s="46"/>
      <c r="R718" s="47"/>
      <c r="S718" s="44"/>
      <c r="U718" s="46"/>
      <c r="V718" s="44"/>
      <c r="Y718" s="46"/>
      <c r="Z718" s="44"/>
      <c r="AC718" s="46"/>
      <c r="AD718" s="44"/>
    </row>
    <row r="719">
      <c r="C719" s="43"/>
      <c r="M719" s="43"/>
      <c r="O719" s="44"/>
      <c r="P719" s="45"/>
      <c r="Q719" s="46"/>
      <c r="R719" s="47"/>
      <c r="S719" s="44"/>
      <c r="U719" s="46"/>
      <c r="V719" s="44"/>
      <c r="Y719" s="46"/>
      <c r="Z719" s="44"/>
      <c r="AC719" s="46"/>
      <c r="AD719" s="44"/>
    </row>
    <row r="720">
      <c r="C720" s="43"/>
      <c r="M720" s="43"/>
      <c r="O720" s="44"/>
      <c r="P720" s="45"/>
      <c r="Q720" s="46"/>
      <c r="R720" s="47"/>
      <c r="S720" s="44"/>
      <c r="U720" s="46"/>
      <c r="V720" s="44"/>
      <c r="Y720" s="46"/>
      <c r="Z720" s="44"/>
      <c r="AC720" s="46"/>
      <c r="AD720" s="44"/>
    </row>
    <row r="721">
      <c r="C721" s="43"/>
      <c r="M721" s="43"/>
      <c r="O721" s="44"/>
      <c r="P721" s="45"/>
      <c r="Q721" s="46"/>
      <c r="R721" s="47"/>
      <c r="S721" s="44"/>
      <c r="U721" s="46"/>
      <c r="V721" s="44"/>
      <c r="Y721" s="46"/>
      <c r="Z721" s="44"/>
      <c r="AC721" s="46"/>
      <c r="AD721" s="44"/>
    </row>
    <row r="722">
      <c r="C722" s="43"/>
      <c r="M722" s="43"/>
      <c r="O722" s="44"/>
      <c r="P722" s="45"/>
      <c r="Q722" s="46"/>
      <c r="R722" s="47"/>
      <c r="S722" s="44"/>
      <c r="U722" s="46"/>
      <c r="V722" s="44"/>
      <c r="Y722" s="46"/>
      <c r="Z722" s="44"/>
      <c r="AC722" s="46"/>
      <c r="AD722" s="44"/>
    </row>
    <row r="723">
      <c r="C723" s="43"/>
      <c r="M723" s="43"/>
      <c r="O723" s="44"/>
      <c r="P723" s="45"/>
      <c r="Q723" s="46"/>
      <c r="R723" s="47"/>
      <c r="S723" s="44"/>
      <c r="U723" s="46"/>
      <c r="V723" s="44"/>
      <c r="Y723" s="46"/>
      <c r="Z723" s="44"/>
      <c r="AC723" s="46"/>
      <c r="AD723" s="44"/>
    </row>
    <row r="724">
      <c r="C724" s="43"/>
      <c r="M724" s="43"/>
      <c r="O724" s="44"/>
      <c r="P724" s="45"/>
      <c r="Q724" s="46"/>
      <c r="R724" s="47"/>
      <c r="S724" s="44"/>
      <c r="U724" s="46"/>
      <c r="V724" s="44"/>
      <c r="Y724" s="46"/>
      <c r="Z724" s="44"/>
      <c r="AC724" s="46"/>
      <c r="AD724" s="44"/>
    </row>
    <row r="725">
      <c r="C725" s="43"/>
      <c r="M725" s="43"/>
      <c r="O725" s="44"/>
      <c r="P725" s="45"/>
      <c r="Q725" s="46"/>
      <c r="R725" s="47"/>
      <c r="S725" s="44"/>
      <c r="U725" s="46"/>
      <c r="V725" s="44"/>
      <c r="Y725" s="46"/>
      <c r="Z725" s="44"/>
      <c r="AC725" s="46"/>
      <c r="AD725" s="44"/>
    </row>
    <row r="726">
      <c r="C726" s="43"/>
      <c r="M726" s="43"/>
      <c r="O726" s="44"/>
      <c r="P726" s="45"/>
      <c r="Q726" s="46"/>
      <c r="R726" s="47"/>
      <c r="S726" s="44"/>
      <c r="U726" s="46"/>
      <c r="V726" s="44"/>
      <c r="Y726" s="46"/>
      <c r="Z726" s="44"/>
      <c r="AC726" s="46"/>
      <c r="AD726" s="44"/>
    </row>
    <row r="727">
      <c r="C727" s="43"/>
      <c r="M727" s="43"/>
      <c r="O727" s="44"/>
      <c r="P727" s="45"/>
      <c r="Q727" s="46"/>
      <c r="R727" s="47"/>
      <c r="S727" s="44"/>
      <c r="U727" s="46"/>
      <c r="V727" s="44"/>
      <c r="Y727" s="46"/>
      <c r="Z727" s="44"/>
      <c r="AC727" s="46"/>
      <c r="AD727" s="44"/>
    </row>
    <row r="728">
      <c r="C728" s="43"/>
      <c r="M728" s="43"/>
      <c r="O728" s="44"/>
      <c r="P728" s="45"/>
      <c r="Q728" s="46"/>
      <c r="R728" s="47"/>
      <c r="S728" s="44"/>
      <c r="U728" s="46"/>
      <c r="V728" s="44"/>
      <c r="Y728" s="46"/>
      <c r="Z728" s="44"/>
      <c r="AC728" s="46"/>
      <c r="AD728" s="44"/>
    </row>
    <row r="729">
      <c r="C729" s="43"/>
      <c r="M729" s="43"/>
      <c r="O729" s="44"/>
      <c r="P729" s="45"/>
      <c r="Q729" s="46"/>
      <c r="R729" s="47"/>
      <c r="S729" s="44"/>
      <c r="U729" s="46"/>
      <c r="V729" s="44"/>
      <c r="Y729" s="46"/>
      <c r="Z729" s="44"/>
      <c r="AC729" s="46"/>
      <c r="AD729" s="44"/>
    </row>
    <row r="730">
      <c r="C730" s="43"/>
      <c r="M730" s="43"/>
      <c r="O730" s="44"/>
      <c r="P730" s="45"/>
      <c r="Q730" s="46"/>
      <c r="R730" s="47"/>
      <c r="S730" s="44"/>
      <c r="U730" s="46"/>
      <c r="V730" s="44"/>
      <c r="Y730" s="46"/>
      <c r="Z730" s="44"/>
      <c r="AC730" s="46"/>
      <c r="AD730" s="44"/>
    </row>
    <row r="731">
      <c r="C731" s="43"/>
      <c r="M731" s="43"/>
      <c r="O731" s="44"/>
      <c r="P731" s="45"/>
      <c r="Q731" s="46"/>
      <c r="R731" s="47"/>
      <c r="S731" s="44"/>
      <c r="U731" s="46"/>
      <c r="V731" s="44"/>
      <c r="Y731" s="46"/>
      <c r="Z731" s="44"/>
      <c r="AC731" s="46"/>
      <c r="AD731" s="44"/>
    </row>
    <row r="732">
      <c r="C732" s="43"/>
      <c r="M732" s="43"/>
      <c r="O732" s="44"/>
      <c r="P732" s="45"/>
      <c r="Q732" s="46"/>
      <c r="R732" s="47"/>
      <c r="S732" s="44"/>
      <c r="U732" s="46"/>
      <c r="V732" s="44"/>
      <c r="Y732" s="46"/>
      <c r="Z732" s="44"/>
      <c r="AC732" s="46"/>
      <c r="AD732" s="44"/>
    </row>
    <row r="733">
      <c r="C733" s="43"/>
      <c r="M733" s="43"/>
      <c r="O733" s="44"/>
      <c r="P733" s="45"/>
      <c r="Q733" s="46"/>
      <c r="R733" s="47"/>
      <c r="S733" s="44"/>
      <c r="U733" s="46"/>
      <c r="V733" s="44"/>
      <c r="Y733" s="46"/>
      <c r="Z733" s="44"/>
      <c r="AC733" s="46"/>
      <c r="AD733" s="44"/>
    </row>
    <row r="734">
      <c r="C734" s="43"/>
      <c r="M734" s="43"/>
      <c r="O734" s="44"/>
      <c r="P734" s="45"/>
      <c r="Q734" s="46"/>
      <c r="R734" s="47"/>
      <c r="S734" s="44"/>
      <c r="U734" s="46"/>
      <c r="V734" s="44"/>
      <c r="Y734" s="46"/>
      <c r="Z734" s="44"/>
      <c r="AC734" s="46"/>
      <c r="AD734" s="44"/>
    </row>
    <row r="735">
      <c r="C735" s="43"/>
      <c r="M735" s="43"/>
      <c r="O735" s="44"/>
      <c r="P735" s="45"/>
      <c r="Q735" s="46"/>
      <c r="R735" s="47"/>
      <c r="S735" s="44"/>
      <c r="U735" s="46"/>
      <c r="V735" s="44"/>
      <c r="Y735" s="46"/>
      <c r="Z735" s="44"/>
      <c r="AC735" s="46"/>
      <c r="AD735" s="44"/>
    </row>
    <row r="736">
      <c r="C736" s="43"/>
      <c r="M736" s="43"/>
      <c r="O736" s="44"/>
      <c r="P736" s="45"/>
      <c r="Q736" s="46"/>
      <c r="R736" s="47"/>
      <c r="S736" s="44"/>
      <c r="U736" s="46"/>
      <c r="V736" s="44"/>
      <c r="Y736" s="46"/>
      <c r="Z736" s="44"/>
      <c r="AC736" s="46"/>
      <c r="AD736" s="44"/>
    </row>
    <row r="737">
      <c r="C737" s="43"/>
      <c r="M737" s="43"/>
      <c r="O737" s="44"/>
      <c r="P737" s="45"/>
      <c r="Q737" s="46"/>
      <c r="R737" s="47"/>
      <c r="S737" s="44"/>
      <c r="U737" s="46"/>
      <c r="V737" s="44"/>
      <c r="Y737" s="46"/>
      <c r="Z737" s="44"/>
      <c r="AC737" s="46"/>
      <c r="AD737" s="44"/>
    </row>
    <row r="738">
      <c r="C738" s="43"/>
      <c r="M738" s="43"/>
      <c r="O738" s="44"/>
      <c r="P738" s="45"/>
      <c r="Q738" s="46"/>
      <c r="R738" s="47"/>
      <c r="S738" s="44"/>
      <c r="U738" s="46"/>
      <c r="V738" s="44"/>
      <c r="Y738" s="46"/>
      <c r="Z738" s="44"/>
      <c r="AC738" s="46"/>
      <c r="AD738" s="44"/>
    </row>
    <row r="739">
      <c r="C739" s="43"/>
      <c r="M739" s="43"/>
      <c r="O739" s="44"/>
      <c r="P739" s="45"/>
      <c r="Q739" s="46"/>
      <c r="R739" s="47"/>
      <c r="S739" s="44"/>
      <c r="U739" s="46"/>
      <c r="V739" s="44"/>
      <c r="Y739" s="46"/>
      <c r="Z739" s="44"/>
      <c r="AC739" s="46"/>
      <c r="AD739" s="44"/>
    </row>
    <row r="740">
      <c r="C740" s="43"/>
      <c r="M740" s="43"/>
      <c r="O740" s="44"/>
      <c r="P740" s="45"/>
      <c r="Q740" s="46"/>
      <c r="R740" s="47"/>
      <c r="S740" s="44"/>
      <c r="U740" s="46"/>
      <c r="V740" s="44"/>
      <c r="Y740" s="46"/>
      <c r="Z740" s="44"/>
      <c r="AC740" s="46"/>
      <c r="AD740" s="44"/>
    </row>
    <row r="741">
      <c r="C741" s="43"/>
      <c r="M741" s="43"/>
      <c r="O741" s="44"/>
      <c r="P741" s="45"/>
      <c r="Q741" s="46"/>
      <c r="R741" s="47"/>
      <c r="S741" s="44"/>
      <c r="U741" s="46"/>
      <c r="V741" s="44"/>
      <c r="Y741" s="46"/>
      <c r="Z741" s="44"/>
      <c r="AC741" s="46"/>
      <c r="AD741" s="44"/>
    </row>
    <row r="742">
      <c r="C742" s="43"/>
      <c r="M742" s="43"/>
      <c r="O742" s="44"/>
      <c r="P742" s="45"/>
      <c r="Q742" s="46"/>
      <c r="R742" s="47"/>
      <c r="S742" s="44"/>
      <c r="U742" s="46"/>
      <c r="V742" s="44"/>
      <c r="Y742" s="46"/>
      <c r="Z742" s="44"/>
      <c r="AC742" s="46"/>
      <c r="AD742" s="44"/>
    </row>
    <row r="743">
      <c r="C743" s="43"/>
      <c r="M743" s="43"/>
      <c r="O743" s="44"/>
      <c r="P743" s="45"/>
      <c r="Q743" s="46"/>
      <c r="R743" s="47"/>
      <c r="S743" s="44"/>
      <c r="U743" s="46"/>
      <c r="V743" s="44"/>
      <c r="Y743" s="46"/>
      <c r="Z743" s="44"/>
      <c r="AC743" s="46"/>
      <c r="AD743" s="44"/>
    </row>
    <row r="744">
      <c r="C744" s="43"/>
      <c r="M744" s="43"/>
      <c r="O744" s="44"/>
      <c r="P744" s="45"/>
      <c r="Q744" s="46"/>
      <c r="R744" s="47"/>
      <c r="S744" s="44"/>
      <c r="U744" s="46"/>
      <c r="V744" s="44"/>
      <c r="Y744" s="46"/>
      <c r="Z744" s="44"/>
      <c r="AC744" s="46"/>
      <c r="AD744" s="44"/>
    </row>
    <row r="745">
      <c r="C745" s="43"/>
      <c r="M745" s="43"/>
      <c r="O745" s="44"/>
      <c r="P745" s="45"/>
      <c r="Q745" s="46"/>
      <c r="R745" s="47"/>
      <c r="S745" s="44"/>
      <c r="U745" s="46"/>
      <c r="V745" s="44"/>
      <c r="Y745" s="46"/>
      <c r="Z745" s="44"/>
      <c r="AC745" s="46"/>
      <c r="AD745" s="44"/>
    </row>
    <row r="746">
      <c r="C746" s="43"/>
      <c r="M746" s="43"/>
      <c r="O746" s="44"/>
      <c r="P746" s="45"/>
      <c r="Q746" s="46"/>
      <c r="R746" s="47"/>
      <c r="S746" s="44"/>
      <c r="U746" s="46"/>
      <c r="V746" s="44"/>
      <c r="Y746" s="46"/>
      <c r="Z746" s="44"/>
      <c r="AC746" s="46"/>
      <c r="AD746" s="44"/>
    </row>
    <row r="747">
      <c r="C747" s="43"/>
      <c r="M747" s="43"/>
      <c r="O747" s="44"/>
      <c r="P747" s="45"/>
      <c r="Q747" s="46"/>
      <c r="R747" s="47"/>
      <c r="S747" s="44"/>
      <c r="U747" s="46"/>
      <c r="V747" s="44"/>
      <c r="Y747" s="46"/>
      <c r="Z747" s="44"/>
      <c r="AC747" s="46"/>
      <c r="AD747" s="44"/>
    </row>
    <row r="748">
      <c r="C748" s="43"/>
      <c r="M748" s="43"/>
      <c r="O748" s="44"/>
      <c r="P748" s="45"/>
      <c r="Q748" s="46"/>
      <c r="R748" s="47"/>
      <c r="S748" s="44"/>
      <c r="U748" s="46"/>
      <c r="V748" s="44"/>
      <c r="Y748" s="46"/>
      <c r="Z748" s="44"/>
      <c r="AC748" s="46"/>
      <c r="AD748" s="44"/>
    </row>
    <row r="749">
      <c r="C749" s="43"/>
      <c r="M749" s="43"/>
      <c r="O749" s="44"/>
      <c r="P749" s="45"/>
      <c r="Q749" s="46"/>
      <c r="R749" s="47"/>
      <c r="S749" s="44"/>
      <c r="U749" s="46"/>
      <c r="V749" s="44"/>
      <c r="Y749" s="46"/>
      <c r="Z749" s="44"/>
      <c r="AC749" s="46"/>
      <c r="AD749" s="44"/>
    </row>
    <row r="750">
      <c r="C750" s="43"/>
      <c r="M750" s="43"/>
      <c r="O750" s="44"/>
      <c r="P750" s="45"/>
      <c r="Q750" s="46"/>
      <c r="R750" s="47"/>
      <c r="S750" s="44"/>
      <c r="U750" s="46"/>
      <c r="V750" s="44"/>
      <c r="Y750" s="46"/>
      <c r="Z750" s="44"/>
      <c r="AC750" s="46"/>
      <c r="AD750" s="44"/>
    </row>
    <row r="751">
      <c r="C751" s="43"/>
      <c r="M751" s="43"/>
      <c r="O751" s="44"/>
      <c r="P751" s="45"/>
      <c r="Q751" s="46"/>
      <c r="R751" s="47"/>
      <c r="S751" s="44"/>
      <c r="U751" s="46"/>
      <c r="V751" s="44"/>
      <c r="Y751" s="46"/>
      <c r="Z751" s="44"/>
      <c r="AC751" s="46"/>
      <c r="AD751" s="44"/>
    </row>
    <row r="752">
      <c r="C752" s="43"/>
      <c r="M752" s="43"/>
      <c r="O752" s="44"/>
      <c r="P752" s="45"/>
      <c r="Q752" s="46"/>
      <c r="R752" s="47"/>
      <c r="S752" s="44"/>
      <c r="U752" s="46"/>
      <c r="V752" s="44"/>
      <c r="Y752" s="46"/>
      <c r="Z752" s="44"/>
      <c r="AC752" s="46"/>
      <c r="AD752" s="44"/>
    </row>
    <row r="753">
      <c r="C753" s="43"/>
      <c r="M753" s="43"/>
      <c r="O753" s="44"/>
      <c r="P753" s="45"/>
      <c r="Q753" s="46"/>
      <c r="R753" s="47"/>
      <c r="S753" s="44"/>
      <c r="U753" s="46"/>
      <c r="V753" s="44"/>
      <c r="Y753" s="46"/>
      <c r="Z753" s="44"/>
      <c r="AC753" s="46"/>
      <c r="AD753" s="44"/>
    </row>
    <row r="754">
      <c r="C754" s="43"/>
      <c r="M754" s="43"/>
      <c r="O754" s="44"/>
      <c r="P754" s="45"/>
      <c r="Q754" s="46"/>
      <c r="R754" s="47"/>
      <c r="S754" s="44"/>
      <c r="U754" s="46"/>
      <c r="V754" s="44"/>
      <c r="Y754" s="46"/>
      <c r="Z754" s="44"/>
      <c r="AC754" s="46"/>
      <c r="AD754" s="44"/>
    </row>
    <row r="755">
      <c r="C755" s="43"/>
      <c r="M755" s="43"/>
      <c r="O755" s="44"/>
      <c r="P755" s="45"/>
      <c r="Q755" s="46"/>
      <c r="R755" s="47"/>
      <c r="S755" s="44"/>
      <c r="U755" s="46"/>
      <c r="V755" s="44"/>
      <c r="Y755" s="46"/>
      <c r="Z755" s="44"/>
      <c r="AC755" s="46"/>
      <c r="AD755" s="44"/>
    </row>
    <row r="756">
      <c r="C756" s="43"/>
      <c r="M756" s="43"/>
      <c r="O756" s="44"/>
      <c r="P756" s="45"/>
      <c r="Q756" s="46"/>
      <c r="R756" s="47"/>
      <c r="S756" s="44"/>
      <c r="U756" s="46"/>
      <c r="V756" s="44"/>
      <c r="Y756" s="46"/>
      <c r="Z756" s="44"/>
      <c r="AC756" s="46"/>
      <c r="AD756" s="44"/>
    </row>
    <row r="757">
      <c r="C757" s="43"/>
      <c r="M757" s="43"/>
      <c r="O757" s="44"/>
      <c r="P757" s="45"/>
      <c r="Q757" s="46"/>
      <c r="R757" s="47"/>
      <c r="S757" s="44"/>
      <c r="U757" s="46"/>
      <c r="V757" s="44"/>
      <c r="Y757" s="46"/>
      <c r="Z757" s="44"/>
      <c r="AC757" s="46"/>
      <c r="AD757" s="44"/>
    </row>
    <row r="758">
      <c r="C758" s="43"/>
      <c r="M758" s="43"/>
      <c r="O758" s="44"/>
      <c r="P758" s="45"/>
      <c r="Q758" s="46"/>
      <c r="R758" s="47"/>
      <c r="S758" s="44"/>
      <c r="U758" s="46"/>
      <c r="V758" s="44"/>
      <c r="Y758" s="46"/>
      <c r="Z758" s="44"/>
      <c r="AC758" s="46"/>
      <c r="AD758" s="44"/>
    </row>
    <row r="759">
      <c r="C759" s="43"/>
      <c r="M759" s="43"/>
      <c r="O759" s="44"/>
      <c r="P759" s="45"/>
      <c r="Q759" s="46"/>
      <c r="R759" s="47"/>
      <c r="S759" s="44"/>
      <c r="U759" s="46"/>
      <c r="V759" s="44"/>
      <c r="Y759" s="46"/>
      <c r="Z759" s="44"/>
      <c r="AC759" s="46"/>
      <c r="AD759" s="44"/>
    </row>
    <row r="760">
      <c r="C760" s="43"/>
      <c r="M760" s="43"/>
      <c r="O760" s="44"/>
      <c r="P760" s="45"/>
      <c r="Q760" s="46"/>
      <c r="R760" s="47"/>
      <c r="S760" s="44"/>
      <c r="U760" s="46"/>
      <c r="V760" s="44"/>
      <c r="Y760" s="46"/>
      <c r="Z760" s="44"/>
      <c r="AC760" s="46"/>
      <c r="AD760" s="44"/>
    </row>
    <row r="761">
      <c r="C761" s="43"/>
      <c r="M761" s="43"/>
      <c r="O761" s="44"/>
      <c r="P761" s="45"/>
      <c r="Q761" s="46"/>
      <c r="R761" s="47"/>
      <c r="S761" s="44"/>
      <c r="U761" s="46"/>
      <c r="V761" s="44"/>
      <c r="Y761" s="46"/>
      <c r="Z761" s="44"/>
      <c r="AC761" s="46"/>
      <c r="AD761" s="44"/>
    </row>
    <row r="762">
      <c r="C762" s="43"/>
      <c r="M762" s="43"/>
      <c r="O762" s="44"/>
      <c r="P762" s="45"/>
      <c r="Q762" s="46"/>
      <c r="R762" s="47"/>
      <c r="S762" s="44"/>
      <c r="U762" s="46"/>
      <c r="V762" s="44"/>
      <c r="Y762" s="46"/>
      <c r="Z762" s="44"/>
      <c r="AC762" s="46"/>
      <c r="AD762" s="44"/>
    </row>
    <row r="763">
      <c r="C763" s="43"/>
      <c r="M763" s="43"/>
      <c r="O763" s="44"/>
      <c r="P763" s="45"/>
      <c r="Q763" s="46"/>
      <c r="R763" s="47"/>
      <c r="S763" s="44"/>
      <c r="U763" s="46"/>
      <c r="V763" s="44"/>
      <c r="Y763" s="46"/>
      <c r="Z763" s="44"/>
      <c r="AC763" s="46"/>
      <c r="AD763" s="44"/>
    </row>
    <row r="764">
      <c r="C764" s="43"/>
      <c r="M764" s="43"/>
      <c r="O764" s="44"/>
      <c r="P764" s="45"/>
      <c r="Q764" s="46"/>
      <c r="R764" s="47"/>
      <c r="S764" s="44"/>
      <c r="U764" s="46"/>
      <c r="V764" s="44"/>
      <c r="Y764" s="46"/>
      <c r="Z764" s="44"/>
      <c r="AC764" s="46"/>
      <c r="AD764" s="44"/>
    </row>
    <row r="765">
      <c r="C765" s="43"/>
      <c r="M765" s="43"/>
      <c r="O765" s="44"/>
      <c r="P765" s="45"/>
      <c r="Q765" s="46"/>
      <c r="R765" s="47"/>
      <c r="S765" s="44"/>
      <c r="U765" s="46"/>
      <c r="V765" s="44"/>
      <c r="Y765" s="46"/>
      <c r="Z765" s="44"/>
      <c r="AC765" s="46"/>
      <c r="AD765" s="44"/>
    </row>
    <row r="766">
      <c r="C766" s="43"/>
      <c r="M766" s="43"/>
      <c r="O766" s="44"/>
      <c r="P766" s="45"/>
      <c r="Q766" s="46"/>
      <c r="R766" s="47"/>
      <c r="S766" s="44"/>
      <c r="U766" s="46"/>
      <c r="V766" s="44"/>
      <c r="Y766" s="46"/>
      <c r="Z766" s="44"/>
      <c r="AC766" s="46"/>
      <c r="AD766" s="44"/>
    </row>
    <row r="767">
      <c r="C767" s="43"/>
      <c r="M767" s="43"/>
      <c r="O767" s="44"/>
      <c r="P767" s="45"/>
      <c r="Q767" s="46"/>
      <c r="R767" s="47"/>
      <c r="S767" s="44"/>
      <c r="U767" s="46"/>
      <c r="V767" s="44"/>
      <c r="Y767" s="46"/>
      <c r="Z767" s="44"/>
      <c r="AC767" s="46"/>
      <c r="AD767" s="44"/>
    </row>
    <row r="768">
      <c r="C768" s="43"/>
      <c r="M768" s="43"/>
      <c r="O768" s="44"/>
      <c r="P768" s="45"/>
      <c r="Q768" s="46"/>
      <c r="R768" s="47"/>
      <c r="S768" s="44"/>
      <c r="U768" s="46"/>
      <c r="V768" s="44"/>
      <c r="Y768" s="46"/>
      <c r="Z768" s="44"/>
      <c r="AC768" s="46"/>
      <c r="AD768" s="44"/>
    </row>
    <row r="769">
      <c r="C769" s="43"/>
      <c r="M769" s="43"/>
      <c r="O769" s="44"/>
      <c r="P769" s="45"/>
      <c r="Q769" s="46"/>
      <c r="R769" s="47"/>
      <c r="S769" s="44"/>
      <c r="U769" s="46"/>
      <c r="V769" s="44"/>
      <c r="Y769" s="46"/>
      <c r="Z769" s="44"/>
      <c r="AC769" s="46"/>
      <c r="AD769" s="44"/>
    </row>
    <row r="770">
      <c r="C770" s="43"/>
      <c r="M770" s="43"/>
      <c r="O770" s="44"/>
      <c r="P770" s="45"/>
      <c r="Q770" s="46"/>
      <c r="R770" s="47"/>
      <c r="S770" s="44"/>
      <c r="U770" s="46"/>
      <c r="V770" s="44"/>
      <c r="Y770" s="46"/>
      <c r="Z770" s="44"/>
      <c r="AC770" s="46"/>
      <c r="AD770" s="44"/>
    </row>
    <row r="771">
      <c r="C771" s="43"/>
      <c r="M771" s="43"/>
      <c r="O771" s="44"/>
      <c r="P771" s="45"/>
      <c r="Q771" s="46"/>
      <c r="R771" s="47"/>
      <c r="S771" s="44"/>
      <c r="U771" s="46"/>
      <c r="V771" s="44"/>
      <c r="Y771" s="46"/>
      <c r="Z771" s="44"/>
      <c r="AC771" s="46"/>
      <c r="AD771" s="44"/>
    </row>
    <row r="772">
      <c r="C772" s="43"/>
      <c r="M772" s="43"/>
      <c r="O772" s="44"/>
      <c r="P772" s="45"/>
      <c r="Q772" s="46"/>
      <c r="R772" s="47"/>
      <c r="S772" s="44"/>
      <c r="U772" s="46"/>
      <c r="V772" s="44"/>
      <c r="Y772" s="46"/>
      <c r="Z772" s="44"/>
      <c r="AC772" s="46"/>
      <c r="AD772" s="44"/>
    </row>
    <row r="773">
      <c r="C773" s="43"/>
      <c r="M773" s="43"/>
      <c r="O773" s="44"/>
      <c r="P773" s="45"/>
      <c r="Q773" s="46"/>
      <c r="R773" s="47"/>
      <c r="S773" s="44"/>
      <c r="U773" s="46"/>
      <c r="V773" s="44"/>
      <c r="Y773" s="46"/>
      <c r="Z773" s="44"/>
      <c r="AC773" s="46"/>
      <c r="AD773" s="44"/>
    </row>
    <row r="774">
      <c r="C774" s="43"/>
      <c r="M774" s="43"/>
      <c r="O774" s="44"/>
      <c r="P774" s="45"/>
      <c r="Q774" s="46"/>
      <c r="R774" s="47"/>
      <c r="S774" s="44"/>
      <c r="U774" s="46"/>
      <c r="V774" s="44"/>
      <c r="Y774" s="46"/>
      <c r="Z774" s="44"/>
      <c r="AC774" s="46"/>
      <c r="AD774" s="44"/>
    </row>
    <row r="775">
      <c r="C775" s="43"/>
      <c r="M775" s="43"/>
      <c r="O775" s="44"/>
      <c r="P775" s="45"/>
      <c r="Q775" s="46"/>
      <c r="R775" s="47"/>
      <c r="S775" s="44"/>
      <c r="U775" s="46"/>
      <c r="V775" s="44"/>
      <c r="Y775" s="46"/>
      <c r="Z775" s="44"/>
      <c r="AC775" s="46"/>
      <c r="AD775" s="44"/>
    </row>
    <row r="776">
      <c r="C776" s="43"/>
      <c r="M776" s="43"/>
      <c r="O776" s="44"/>
      <c r="P776" s="45"/>
      <c r="Q776" s="46"/>
      <c r="R776" s="47"/>
      <c r="S776" s="44"/>
      <c r="U776" s="46"/>
      <c r="V776" s="44"/>
      <c r="Y776" s="46"/>
      <c r="Z776" s="44"/>
      <c r="AC776" s="46"/>
      <c r="AD776" s="44"/>
    </row>
    <row r="777">
      <c r="C777" s="43"/>
      <c r="M777" s="43"/>
      <c r="O777" s="44"/>
      <c r="P777" s="45"/>
      <c r="Q777" s="46"/>
      <c r="R777" s="47"/>
      <c r="S777" s="44"/>
      <c r="U777" s="46"/>
      <c r="V777" s="44"/>
      <c r="Y777" s="46"/>
      <c r="Z777" s="44"/>
      <c r="AC777" s="46"/>
      <c r="AD777" s="44"/>
    </row>
    <row r="778">
      <c r="C778" s="43"/>
      <c r="M778" s="43"/>
      <c r="O778" s="44"/>
      <c r="P778" s="45"/>
      <c r="Q778" s="46"/>
      <c r="R778" s="47"/>
      <c r="S778" s="44"/>
      <c r="U778" s="46"/>
      <c r="V778" s="44"/>
      <c r="Y778" s="46"/>
      <c r="Z778" s="44"/>
      <c r="AC778" s="46"/>
      <c r="AD778" s="44"/>
    </row>
    <row r="779">
      <c r="C779" s="43"/>
      <c r="M779" s="43"/>
      <c r="O779" s="44"/>
      <c r="P779" s="45"/>
      <c r="Q779" s="46"/>
      <c r="R779" s="47"/>
      <c r="S779" s="44"/>
      <c r="U779" s="46"/>
      <c r="V779" s="44"/>
      <c r="Y779" s="46"/>
      <c r="Z779" s="44"/>
      <c r="AC779" s="46"/>
      <c r="AD779" s="44"/>
    </row>
    <row r="780">
      <c r="C780" s="43"/>
      <c r="M780" s="43"/>
      <c r="O780" s="44"/>
      <c r="P780" s="45"/>
      <c r="Q780" s="46"/>
      <c r="R780" s="47"/>
      <c r="S780" s="44"/>
      <c r="U780" s="46"/>
      <c r="V780" s="44"/>
      <c r="Y780" s="46"/>
      <c r="Z780" s="44"/>
      <c r="AC780" s="46"/>
      <c r="AD780" s="44"/>
    </row>
    <row r="781">
      <c r="C781" s="43"/>
      <c r="M781" s="43"/>
      <c r="O781" s="44"/>
      <c r="P781" s="45"/>
      <c r="Q781" s="46"/>
      <c r="R781" s="47"/>
      <c r="S781" s="44"/>
      <c r="U781" s="46"/>
      <c r="V781" s="44"/>
      <c r="Y781" s="46"/>
      <c r="Z781" s="44"/>
      <c r="AC781" s="46"/>
      <c r="AD781" s="44"/>
    </row>
    <row r="782">
      <c r="C782" s="43"/>
      <c r="M782" s="43"/>
      <c r="O782" s="44"/>
      <c r="P782" s="45"/>
      <c r="Q782" s="46"/>
      <c r="R782" s="47"/>
      <c r="S782" s="44"/>
      <c r="U782" s="46"/>
      <c r="V782" s="44"/>
      <c r="Y782" s="46"/>
      <c r="Z782" s="44"/>
      <c r="AC782" s="46"/>
      <c r="AD782" s="44"/>
    </row>
    <row r="783">
      <c r="C783" s="43"/>
      <c r="M783" s="43"/>
      <c r="O783" s="44"/>
      <c r="P783" s="45"/>
      <c r="Q783" s="46"/>
      <c r="R783" s="47"/>
      <c r="S783" s="44"/>
      <c r="U783" s="46"/>
      <c r="V783" s="44"/>
      <c r="Y783" s="46"/>
      <c r="Z783" s="44"/>
      <c r="AC783" s="46"/>
      <c r="AD783" s="44"/>
    </row>
    <row r="784">
      <c r="C784" s="43"/>
      <c r="M784" s="43"/>
      <c r="O784" s="44"/>
      <c r="P784" s="45"/>
      <c r="Q784" s="46"/>
      <c r="R784" s="47"/>
      <c r="S784" s="44"/>
      <c r="U784" s="46"/>
      <c r="V784" s="44"/>
      <c r="Y784" s="46"/>
      <c r="Z784" s="44"/>
      <c r="AC784" s="46"/>
      <c r="AD784" s="44"/>
    </row>
    <row r="785">
      <c r="C785" s="43"/>
      <c r="M785" s="43"/>
      <c r="O785" s="44"/>
      <c r="P785" s="45"/>
      <c r="Q785" s="46"/>
      <c r="R785" s="47"/>
      <c r="S785" s="44"/>
      <c r="U785" s="46"/>
      <c r="V785" s="44"/>
      <c r="Y785" s="46"/>
      <c r="Z785" s="44"/>
      <c r="AC785" s="46"/>
      <c r="AD785" s="44"/>
    </row>
    <row r="786">
      <c r="C786" s="43"/>
      <c r="M786" s="43"/>
      <c r="O786" s="44"/>
      <c r="P786" s="45"/>
      <c r="Q786" s="46"/>
      <c r="R786" s="47"/>
      <c r="S786" s="44"/>
      <c r="U786" s="46"/>
      <c r="V786" s="44"/>
      <c r="Y786" s="46"/>
      <c r="Z786" s="44"/>
      <c r="AC786" s="46"/>
      <c r="AD786" s="44"/>
    </row>
    <row r="787">
      <c r="C787" s="43"/>
      <c r="M787" s="43"/>
      <c r="O787" s="44"/>
      <c r="P787" s="45"/>
      <c r="Q787" s="46"/>
      <c r="R787" s="47"/>
      <c r="S787" s="44"/>
      <c r="U787" s="46"/>
      <c r="V787" s="44"/>
      <c r="Y787" s="46"/>
      <c r="Z787" s="44"/>
      <c r="AC787" s="46"/>
      <c r="AD787" s="44"/>
    </row>
    <row r="788">
      <c r="C788" s="43"/>
      <c r="M788" s="43"/>
      <c r="O788" s="44"/>
      <c r="P788" s="45"/>
      <c r="Q788" s="46"/>
      <c r="R788" s="47"/>
      <c r="S788" s="44"/>
      <c r="U788" s="46"/>
      <c r="V788" s="44"/>
      <c r="Y788" s="46"/>
      <c r="Z788" s="44"/>
      <c r="AC788" s="46"/>
      <c r="AD788" s="44"/>
    </row>
    <row r="789">
      <c r="C789" s="43"/>
      <c r="M789" s="43"/>
      <c r="O789" s="44"/>
      <c r="P789" s="45"/>
      <c r="Q789" s="46"/>
      <c r="R789" s="47"/>
      <c r="S789" s="44"/>
      <c r="U789" s="46"/>
      <c r="V789" s="44"/>
      <c r="Y789" s="46"/>
      <c r="Z789" s="44"/>
      <c r="AC789" s="46"/>
      <c r="AD789" s="44"/>
    </row>
    <row r="790">
      <c r="C790" s="43"/>
      <c r="M790" s="43"/>
      <c r="O790" s="44"/>
      <c r="P790" s="45"/>
      <c r="Q790" s="46"/>
      <c r="R790" s="47"/>
      <c r="S790" s="44"/>
      <c r="U790" s="46"/>
      <c r="V790" s="44"/>
      <c r="Y790" s="46"/>
      <c r="Z790" s="44"/>
      <c r="AC790" s="46"/>
      <c r="AD790" s="44"/>
    </row>
    <row r="791">
      <c r="C791" s="43"/>
      <c r="M791" s="43"/>
      <c r="O791" s="44"/>
      <c r="P791" s="45"/>
      <c r="Q791" s="46"/>
      <c r="R791" s="47"/>
      <c r="S791" s="44"/>
      <c r="U791" s="46"/>
      <c r="V791" s="44"/>
      <c r="Y791" s="46"/>
      <c r="Z791" s="44"/>
      <c r="AC791" s="46"/>
      <c r="AD791" s="44"/>
    </row>
    <row r="792">
      <c r="C792" s="43"/>
      <c r="M792" s="43"/>
      <c r="O792" s="44"/>
      <c r="P792" s="45"/>
      <c r="Q792" s="46"/>
      <c r="R792" s="47"/>
      <c r="S792" s="44"/>
      <c r="U792" s="46"/>
      <c r="V792" s="44"/>
      <c r="Y792" s="46"/>
      <c r="Z792" s="44"/>
      <c r="AC792" s="46"/>
      <c r="AD792" s="44"/>
    </row>
    <row r="793">
      <c r="C793" s="43"/>
      <c r="M793" s="43"/>
      <c r="O793" s="44"/>
      <c r="P793" s="45"/>
      <c r="Q793" s="46"/>
      <c r="R793" s="47"/>
      <c r="S793" s="44"/>
      <c r="U793" s="46"/>
      <c r="V793" s="44"/>
      <c r="Y793" s="46"/>
      <c r="Z793" s="44"/>
      <c r="AC793" s="46"/>
      <c r="AD793" s="44"/>
    </row>
    <row r="794">
      <c r="C794" s="43"/>
      <c r="M794" s="43"/>
      <c r="O794" s="44"/>
      <c r="P794" s="45"/>
      <c r="Q794" s="46"/>
      <c r="R794" s="47"/>
      <c r="S794" s="44"/>
      <c r="U794" s="46"/>
      <c r="V794" s="44"/>
      <c r="Y794" s="46"/>
      <c r="Z794" s="44"/>
      <c r="AC794" s="46"/>
      <c r="AD794" s="44"/>
    </row>
    <row r="795">
      <c r="C795" s="43"/>
      <c r="M795" s="43"/>
      <c r="O795" s="44"/>
      <c r="P795" s="45"/>
      <c r="Q795" s="46"/>
      <c r="R795" s="47"/>
      <c r="S795" s="44"/>
      <c r="U795" s="46"/>
      <c r="V795" s="44"/>
      <c r="Y795" s="46"/>
      <c r="Z795" s="44"/>
      <c r="AC795" s="46"/>
      <c r="AD795" s="44"/>
    </row>
    <row r="796">
      <c r="C796" s="43"/>
      <c r="M796" s="43"/>
      <c r="O796" s="44"/>
      <c r="P796" s="45"/>
      <c r="Q796" s="46"/>
      <c r="R796" s="47"/>
      <c r="S796" s="44"/>
      <c r="U796" s="46"/>
      <c r="V796" s="44"/>
      <c r="Y796" s="46"/>
      <c r="Z796" s="44"/>
      <c r="AC796" s="46"/>
      <c r="AD796" s="44"/>
    </row>
    <row r="797">
      <c r="C797" s="43"/>
      <c r="M797" s="43"/>
      <c r="O797" s="44"/>
      <c r="P797" s="45"/>
      <c r="Q797" s="46"/>
      <c r="R797" s="47"/>
      <c r="S797" s="44"/>
      <c r="U797" s="46"/>
      <c r="V797" s="44"/>
      <c r="Y797" s="46"/>
      <c r="Z797" s="44"/>
      <c r="AC797" s="46"/>
      <c r="AD797" s="44"/>
    </row>
    <row r="798">
      <c r="C798" s="43"/>
      <c r="M798" s="43"/>
      <c r="O798" s="44"/>
      <c r="P798" s="45"/>
      <c r="Q798" s="46"/>
      <c r="R798" s="47"/>
      <c r="S798" s="44"/>
      <c r="U798" s="46"/>
      <c r="V798" s="44"/>
      <c r="Y798" s="46"/>
      <c r="Z798" s="44"/>
      <c r="AC798" s="46"/>
      <c r="AD798" s="44"/>
    </row>
    <row r="799">
      <c r="C799" s="43"/>
      <c r="M799" s="43"/>
      <c r="O799" s="44"/>
      <c r="P799" s="45"/>
      <c r="Q799" s="46"/>
      <c r="R799" s="47"/>
      <c r="S799" s="44"/>
      <c r="U799" s="46"/>
      <c r="V799" s="44"/>
      <c r="Y799" s="46"/>
      <c r="Z799" s="44"/>
      <c r="AC799" s="46"/>
      <c r="AD799" s="44"/>
    </row>
    <row r="800">
      <c r="C800" s="43"/>
      <c r="M800" s="43"/>
      <c r="O800" s="44"/>
      <c r="P800" s="45"/>
      <c r="Q800" s="46"/>
      <c r="R800" s="47"/>
      <c r="S800" s="44"/>
      <c r="U800" s="46"/>
      <c r="V800" s="44"/>
      <c r="Y800" s="46"/>
      <c r="Z800" s="44"/>
      <c r="AC800" s="46"/>
      <c r="AD800" s="44"/>
    </row>
    <row r="801">
      <c r="C801" s="43"/>
      <c r="M801" s="43"/>
      <c r="O801" s="44"/>
      <c r="P801" s="45"/>
      <c r="Q801" s="46"/>
      <c r="R801" s="47"/>
      <c r="S801" s="44"/>
      <c r="U801" s="46"/>
      <c r="V801" s="44"/>
      <c r="Y801" s="46"/>
      <c r="Z801" s="44"/>
      <c r="AC801" s="46"/>
      <c r="AD801" s="44"/>
    </row>
    <row r="802">
      <c r="C802" s="43"/>
      <c r="M802" s="43"/>
      <c r="O802" s="44"/>
      <c r="P802" s="45"/>
      <c r="Q802" s="46"/>
      <c r="R802" s="47"/>
      <c r="S802" s="44"/>
      <c r="U802" s="46"/>
      <c r="V802" s="44"/>
      <c r="Y802" s="46"/>
      <c r="Z802" s="44"/>
      <c r="AC802" s="46"/>
      <c r="AD802" s="44"/>
    </row>
    <row r="803">
      <c r="C803" s="43"/>
      <c r="M803" s="43"/>
      <c r="O803" s="44"/>
      <c r="P803" s="45"/>
      <c r="Q803" s="46"/>
      <c r="R803" s="47"/>
      <c r="S803" s="44"/>
      <c r="U803" s="46"/>
      <c r="V803" s="44"/>
      <c r="Y803" s="46"/>
      <c r="Z803" s="44"/>
      <c r="AC803" s="46"/>
      <c r="AD803" s="44"/>
    </row>
    <row r="804">
      <c r="C804" s="43"/>
      <c r="M804" s="43"/>
      <c r="O804" s="44"/>
      <c r="P804" s="45"/>
      <c r="Q804" s="46"/>
      <c r="R804" s="47"/>
      <c r="S804" s="44"/>
      <c r="U804" s="46"/>
      <c r="V804" s="44"/>
      <c r="Y804" s="46"/>
      <c r="Z804" s="44"/>
      <c r="AC804" s="46"/>
      <c r="AD804" s="44"/>
    </row>
    <row r="805">
      <c r="C805" s="43"/>
      <c r="M805" s="43"/>
      <c r="O805" s="44"/>
      <c r="P805" s="45"/>
      <c r="Q805" s="46"/>
      <c r="R805" s="47"/>
      <c r="S805" s="44"/>
      <c r="U805" s="46"/>
      <c r="V805" s="44"/>
      <c r="Y805" s="46"/>
      <c r="Z805" s="44"/>
      <c r="AC805" s="46"/>
      <c r="AD805" s="44"/>
    </row>
    <row r="806">
      <c r="C806" s="43"/>
      <c r="M806" s="43"/>
      <c r="O806" s="44"/>
      <c r="P806" s="45"/>
      <c r="Q806" s="46"/>
      <c r="R806" s="47"/>
      <c r="S806" s="44"/>
      <c r="U806" s="46"/>
      <c r="V806" s="44"/>
      <c r="Y806" s="46"/>
      <c r="Z806" s="44"/>
      <c r="AC806" s="46"/>
      <c r="AD806" s="44"/>
    </row>
    <row r="807">
      <c r="C807" s="43"/>
      <c r="M807" s="43"/>
      <c r="O807" s="44"/>
      <c r="P807" s="45"/>
      <c r="Q807" s="46"/>
      <c r="R807" s="47"/>
      <c r="S807" s="44"/>
      <c r="U807" s="46"/>
      <c r="V807" s="44"/>
      <c r="Y807" s="46"/>
      <c r="Z807" s="44"/>
      <c r="AC807" s="46"/>
      <c r="AD807" s="44"/>
    </row>
    <row r="808">
      <c r="C808" s="43"/>
      <c r="M808" s="43"/>
      <c r="O808" s="44"/>
      <c r="P808" s="45"/>
      <c r="Q808" s="46"/>
      <c r="R808" s="47"/>
      <c r="S808" s="44"/>
      <c r="U808" s="46"/>
      <c r="V808" s="44"/>
      <c r="Y808" s="46"/>
      <c r="Z808" s="44"/>
      <c r="AC808" s="46"/>
      <c r="AD808" s="44"/>
    </row>
    <row r="809">
      <c r="C809" s="43"/>
      <c r="M809" s="43"/>
      <c r="O809" s="44"/>
      <c r="P809" s="45"/>
      <c r="Q809" s="46"/>
      <c r="R809" s="47"/>
      <c r="S809" s="44"/>
      <c r="U809" s="46"/>
      <c r="V809" s="44"/>
      <c r="Y809" s="46"/>
      <c r="Z809" s="44"/>
      <c r="AC809" s="46"/>
      <c r="AD809" s="44"/>
    </row>
    <row r="810">
      <c r="C810" s="43"/>
      <c r="M810" s="43"/>
      <c r="O810" s="44"/>
      <c r="P810" s="45"/>
      <c r="Q810" s="46"/>
      <c r="R810" s="47"/>
      <c r="S810" s="44"/>
      <c r="U810" s="46"/>
      <c r="V810" s="44"/>
      <c r="Y810" s="46"/>
      <c r="Z810" s="44"/>
      <c r="AC810" s="46"/>
      <c r="AD810" s="44"/>
    </row>
    <row r="811">
      <c r="C811" s="43"/>
      <c r="M811" s="43"/>
      <c r="O811" s="44"/>
      <c r="P811" s="45"/>
      <c r="Q811" s="46"/>
      <c r="R811" s="47"/>
      <c r="S811" s="44"/>
      <c r="U811" s="46"/>
      <c r="V811" s="44"/>
      <c r="Y811" s="46"/>
      <c r="Z811" s="44"/>
      <c r="AC811" s="46"/>
      <c r="AD811" s="44"/>
    </row>
    <row r="812">
      <c r="C812" s="43"/>
      <c r="M812" s="43"/>
      <c r="O812" s="44"/>
      <c r="P812" s="45"/>
      <c r="Q812" s="46"/>
      <c r="R812" s="47"/>
      <c r="S812" s="44"/>
      <c r="U812" s="46"/>
      <c r="V812" s="44"/>
      <c r="Y812" s="46"/>
      <c r="Z812" s="44"/>
      <c r="AC812" s="46"/>
      <c r="AD812" s="44"/>
    </row>
    <row r="813">
      <c r="C813" s="43"/>
      <c r="M813" s="43"/>
      <c r="O813" s="44"/>
      <c r="P813" s="45"/>
      <c r="Q813" s="46"/>
      <c r="R813" s="47"/>
      <c r="S813" s="44"/>
      <c r="U813" s="46"/>
      <c r="V813" s="44"/>
      <c r="Y813" s="46"/>
      <c r="Z813" s="44"/>
      <c r="AC813" s="46"/>
      <c r="AD813" s="44"/>
    </row>
    <row r="814">
      <c r="C814" s="43"/>
      <c r="M814" s="43"/>
      <c r="O814" s="44"/>
      <c r="P814" s="45"/>
      <c r="Q814" s="46"/>
      <c r="R814" s="47"/>
      <c r="S814" s="44"/>
      <c r="U814" s="46"/>
      <c r="V814" s="44"/>
      <c r="Y814" s="46"/>
      <c r="Z814" s="44"/>
      <c r="AC814" s="46"/>
      <c r="AD814" s="44"/>
    </row>
    <row r="815">
      <c r="C815" s="43"/>
      <c r="M815" s="43"/>
      <c r="O815" s="44"/>
      <c r="P815" s="45"/>
      <c r="Q815" s="46"/>
      <c r="R815" s="47"/>
      <c r="S815" s="44"/>
      <c r="U815" s="46"/>
      <c r="V815" s="44"/>
      <c r="Y815" s="46"/>
      <c r="Z815" s="44"/>
      <c r="AC815" s="46"/>
      <c r="AD815" s="44"/>
    </row>
    <row r="816">
      <c r="C816" s="43"/>
      <c r="M816" s="43"/>
      <c r="O816" s="44"/>
      <c r="P816" s="45"/>
      <c r="Q816" s="46"/>
      <c r="R816" s="47"/>
      <c r="S816" s="44"/>
      <c r="U816" s="46"/>
      <c r="V816" s="44"/>
      <c r="Y816" s="46"/>
      <c r="Z816" s="44"/>
      <c r="AC816" s="46"/>
      <c r="AD816" s="44"/>
    </row>
    <row r="817">
      <c r="C817" s="43"/>
      <c r="M817" s="43"/>
      <c r="O817" s="44"/>
      <c r="P817" s="45"/>
      <c r="Q817" s="46"/>
      <c r="R817" s="47"/>
      <c r="S817" s="44"/>
      <c r="U817" s="46"/>
      <c r="V817" s="44"/>
      <c r="Y817" s="46"/>
      <c r="Z817" s="44"/>
      <c r="AC817" s="46"/>
      <c r="AD817" s="44"/>
    </row>
    <row r="818">
      <c r="C818" s="43"/>
      <c r="M818" s="43"/>
      <c r="O818" s="44"/>
      <c r="P818" s="45"/>
      <c r="Q818" s="46"/>
      <c r="R818" s="47"/>
      <c r="S818" s="44"/>
      <c r="U818" s="46"/>
      <c r="V818" s="44"/>
      <c r="Y818" s="46"/>
      <c r="Z818" s="44"/>
      <c r="AC818" s="46"/>
      <c r="AD818" s="44"/>
    </row>
    <row r="819">
      <c r="C819" s="43"/>
      <c r="M819" s="43"/>
      <c r="O819" s="44"/>
      <c r="P819" s="45"/>
      <c r="Q819" s="46"/>
      <c r="R819" s="47"/>
      <c r="S819" s="44"/>
      <c r="U819" s="46"/>
      <c r="V819" s="44"/>
      <c r="Y819" s="46"/>
      <c r="Z819" s="44"/>
      <c r="AC819" s="46"/>
      <c r="AD819" s="44"/>
    </row>
    <row r="820">
      <c r="C820" s="43"/>
      <c r="M820" s="43"/>
      <c r="O820" s="44"/>
      <c r="P820" s="45"/>
      <c r="Q820" s="46"/>
      <c r="R820" s="47"/>
      <c r="S820" s="44"/>
      <c r="U820" s="46"/>
      <c r="V820" s="44"/>
      <c r="Y820" s="46"/>
      <c r="Z820" s="44"/>
      <c r="AC820" s="46"/>
      <c r="AD820" s="44"/>
    </row>
    <row r="821">
      <c r="C821" s="43"/>
      <c r="M821" s="43"/>
      <c r="O821" s="44"/>
      <c r="P821" s="45"/>
      <c r="Q821" s="46"/>
      <c r="R821" s="47"/>
      <c r="S821" s="44"/>
      <c r="U821" s="46"/>
      <c r="V821" s="44"/>
      <c r="Y821" s="46"/>
      <c r="Z821" s="44"/>
      <c r="AC821" s="46"/>
      <c r="AD821" s="44"/>
    </row>
    <row r="822">
      <c r="C822" s="43"/>
      <c r="M822" s="43"/>
      <c r="O822" s="44"/>
      <c r="P822" s="45"/>
      <c r="Q822" s="46"/>
      <c r="R822" s="47"/>
      <c r="S822" s="44"/>
      <c r="U822" s="46"/>
      <c r="V822" s="44"/>
      <c r="Y822" s="46"/>
      <c r="Z822" s="44"/>
      <c r="AC822" s="46"/>
      <c r="AD822" s="44"/>
    </row>
    <row r="823">
      <c r="C823" s="43"/>
      <c r="M823" s="43"/>
      <c r="O823" s="44"/>
      <c r="P823" s="45"/>
      <c r="Q823" s="46"/>
      <c r="R823" s="47"/>
      <c r="S823" s="44"/>
      <c r="U823" s="46"/>
      <c r="V823" s="44"/>
      <c r="Y823" s="46"/>
      <c r="Z823" s="44"/>
      <c r="AC823" s="46"/>
      <c r="AD823" s="44"/>
    </row>
    <row r="824">
      <c r="C824" s="43"/>
      <c r="M824" s="43"/>
      <c r="O824" s="44"/>
      <c r="P824" s="45"/>
      <c r="Q824" s="46"/>
      <c r="R824" s="47"/>
      <c r="S824" s="44"/>
      <c r="U824" s="46"/>
      <c r="V824" s="44"/>
      <c r="Y824" s="46"/>
      <c r="Z824" s="44"/>
      <c r="AC824" s="46"/>
      <c r="AD824" s="44"/>
    </row>
    <row r="825">
      <c r="C825" s="43"/>
      <c r="M825" s="43"/>
      <c r="O825" s="44"/>
      <c r="P825" s="45"/>
      <c r="Q825" s="46"/>
      <c r="R825" s="47"/>
      <c r="S825" s="44"/>
      <c r="U825" s="46"/>
      <c r="V825" s="44"/>
      <c r="Y825" s="46"/>
      <c r="Z825" s="44"/>
      <c r="AC825" s="46"/>
      <c r="AD825" s="44"/>
    </row>
    <row r="826">
      <c r="C826" s="43"/>
      <c r="M826" s="43"/>
      <c r="O826" s="44"/>
      <c r="P826" s="45"/>
      <c r="Q826" s="46"/>
      <c r="R826" s="47"/>
      <c r="S826" s="44"/>
      <c r="U826" s="46"/>
      <c r="V826" s="44"/>
      <c r="Y826" s="46"/>
      <c r="Z826" s="44"/>
      <c r="AC826" s="46"/>
      <c r="AD826" s="44"/>
    </row>
    <row r="827">
      <c r="C827" s="43"/>
      <c r="M827" s="43"/>
      <c r="O827" s="44"/>
      <c r="P827" s="45"/>
      <c r="Q827" s="46"/>
      <c r="R827" s="47"/>
      <c r="S827" s="44"/>
      <c r="U827" s="46"/>
      <c r="V827" s="44"/>
      <c r="Y827" s="46"/>
      <c r="Z827" s="44"/>
      <c r="AC827" s="46"/>
      <c r="AD827" s="44"/>
    </row>
    <row r="828">
      <c r="C828" s="43"/>
      <c r="M828" s="43"/>
      <c r="O828" s="44"/>
      <c r="P828" s="45"/>
      <c r="Q828" s="46"/>
      <c r="R828" s="47"/>
      <c r="S828" s="44"/>
      <c r="U828" s="46"/>
      <c r="V828" s="44"/>
      <c r="Y828" s="46"/>
      <c r="Z828" s="44"/>
      <c r="AC828" s="46"/>
      <c r="AD828" s="44"/>
    </row>
    <row r="829">
      <c r="C829" s="43"/>
      <c r="M829" s="43"/>
      <c r="O829" s="44"/>
      <c r="P829" s="45"/>
      <c r="Q829" s="46"/>
      <c r="R829" s="47"/>
      <c r="S829" s="44"/>
      <c r="U829" s="46"/>
      <c r="V829" s="44"/>
      <c r="Y829" s="46"/>
      <c r="Z829" s="44"/>
      <c r="AC829" s="46"/>
      <c r="AD829" s="44"/>
    </row>
    <row r="830">
      <c r="C830" s="43"/>
      <c r="M830" s="43"/>
      <c r="O830" s="44"/>
      <c r="P830" s="45"/>
      <c r="Q830" s="46"/>
      <c r="R830" s="47"/>
      <c r="S830" s="44"/>
      <c r="U830" s="46"/>
      <c r="V830" s="44"/>
      <c r="Y830" s="46"/>
      <c r="Z830" s="44"/>
      <c r="AC830" s="46"/>
      <c r="AD830" s="44"/>
    </row>
    <row r="831">
      <c r="C831" s="43"/>
      <c r="M831" s="43"/>
      <c r="O831" s="44"/>
      <c r="P831" s="45"/>
      <c r="Q831" s="46"/>
      <c r="R831" s="47"/>
      <c r="S831" s="44"/>
      <c r="U831" s="46"/>
      <c r="V831" s="44"/>
      <c r="Y831" s="46"/>
      <c r="Z831" s="44"/>
      <c r="AC831" s="46"/>
      <c r="AD831" s="44"/>
    </row>
    <row r="832">
      <c r="C832" s="43"/>
      <c r="M832" s="43"/>
      <c r="O832" s="44"/>
      <c r="P832" s="45"/>
      <c r="Q832" s="46"/>
      <c r="R832" s="47"/>
      <c r="S832" s="44"/>
      <c r="U832" s="46"/>
      <c r="V832" s="44"/>
      <c r="Y832" s="46"/>
      <c r="Z832" s="44"/>
      <c r="AC832" s="46"/>
      <c r="AD832" s="44"/>
    </row>
    <row r="833">
      <c r="C833" s="43"/>
      <c r="M833" s="43"/>
      <c r="O833" s="44"/>
      <c r="P833" s="45"/>
      <c r="Q833" s="46"/>
      <c r="R833" s="47"/>
      <c r="S833" s="44"/>
      <c r="U833" s="46"/>
      <c r="V833" s="44"/>
      <c r="Y833" s="46"/>
      <c r="Z833" s="44"/>
      <c r="AC833" s="46"/>
      <c r="AD833" s="44"/>
    </row>
    <row r="834">
      <c r="C834" s="43"/>
      <c r="M834" s="43"/>
      <c r="O834" s="44"/>
      <c r="P834" s="45"/>
      <c r="Q834" s="46"/>
      <c r="R834" s="47"/>
      <c r="S834" s="44"/>
      <c r="U834" s="46"/>
      <c r="V834" s="44"/>
      <c r="Y834" s="46"/>
      <c r="Z834" s="44"/>
      <c r="AC834" s="46"/>
      <c r="AD834" s="44"/>
    </row>
    <row r="835">
      <c r="C835" s="43"/>
      <c r="M835" s="43"/>
      <c r="O835" s="44"/>
      <c r="P835" s="45"/>
      <c r="Q835" s="46"/>
      <c r="R835" s="47"/>
      <c r="S835" s="44"/>
      <c r="U835" s="46"/>
      <c r="V835" s="44"/>
      <c r="Y835" s="46"/>
      <c r="Z835" s="44"/>
      <c r="AC835" s="46"/>
      <c r="AD835" s="44"/>
    </row>
    <row r="836">
      <c r="C836" s="43"/>
      <c r="M836" s="43"/>
      <c r="O836" s="44"/>
      <c r="P836" s="45"/>
      <c r="Q836" s="46"/>
      <c r="R836" s="47"/>
      <c r="S836" s="44"/>
      <c r="U836" s="46"/>
      <c r="V836" s="44"/>
      <c r="Y836" s="46"/>
      <c r="Z836" s="44"/>
      <c r="AC836" s="46"/>
      <c r="AD836" s="44"/>
    </row>
    <row r="837">
      <c r="C837" s="43"/>
      <c r="M837" s="43"/>
      <c r="O837" s="44"/>
      <c r="P837" s="45"/>
      <c r="Q837" s="46"/>
      <c r="R837" s="47"/>
      <c r="S837" s="44"/>
      <c r="U837" s="46"/>
      <c r="V837" s="44"/>
      <c r="Y837" s="46"/>
      <c r="Z837" s="44"/>
      <c r="AC837" s="46"/>
      <c r="AD837" s="44"/>
    </row>
    <row r="838">
      <c r="C838" s="43"/>
      <c r="M838" s="43"/>
      <c r="O838" s="44"/>
      <c r="P838" s="45"/>
      <c r="Q838" s="46"/>
      <c r="R838" s="47"/>
      <c r="S838" s="44"/>
      <c r="U838" s="46"/>
      <c r="V838" s="44"/>
      <c r="Y838" s="46"/>
      <c r="Z838" s="44"/>
      <c r="AC838" s="46"/>
      <c r="AD838" s="44"/>
    </row>
    <row r="839">
      <c r="C839" s="43"/>
      <c r="M839" s="43"/>
      <c r="O839" s="44"/>
      <c r="P839" s="45"/>
      <c r="Q839" s="46"/>
      <c r="R839" s="47"/>
      <c r="S839" s="44"/>
      <c r="U839" s="46"/>
      <c r="V839" s="44"/>
      <c r="Y839" s="46"/>
      <c r="Z839" s="44"/>
      <c r="AC839" s="46"/>
      <c r="AD839" s="44"/>
    </row>
    <row r="840">
      <c r="C840" s="43"/>
      <c r="M840" s="43"/>
      <c r="O840" s="44"/>
      <c r="P840" s="45"/>
      <c r="Q840" s="46"/>
      <c r="R840" s="47"/>
      <c r="S840" s="44"/>
      <c r="U840" s="46"/>
      <c r="V840" s="44"/>
      <c r="Y840" s="46"/>
      <c r="Z840" s="44"/>
      <c r="AC840" s="46"/>
      <c r="AD840" s="44"/>
    </row>
    <row r="841">
      <c r="C841" s="43"/>
      <c r="M841" s="43"/>
      <c r="O841" s="44"/>
      <c r="P841" s="45"/>
      <c r="Q841" s="46"/>
      <c r="R841" s="47"/>
      <c r="S841" s="44"/>
      <c r="U841" s="46"/>
      <c r="V841" s="44"/>
      <c r="Y841" s="46"/>
      <c r="Z841" s="44"/>
      <c r="AC841" s="46"/>
      <c r="AD841" s="44"/>
    </row>
    <row r="842">
      <c r="C842" s="43"/>
      <c r="M842" s="43"/>
      <c r="O842" s="44"/>
      <c r="P842" s="45"/>
      <c r="Q842" s="46"/>
      <c r="R842" s="47"/>
      <c r="S842" s="44"/>
      <c r="U842" s="46"/>
      <c r="V842" s="44"/>
      <c r="Y842" s="46"/>
      <c r="Z842" s="44"/>
      <c r="AC842" s="46"/>
      <c r="AD842" s="44"/>
    </row>
    <row r="843">
      <c r="C843" s="43"/>
      <c r="M843" s="43"/>
      <c r="O843" s="44"/>
      <c r="P843" s="45"/>
      <c r="Q843" s="46"/>
      <c r="R843" s="47"/>
      <c r="S843" s="44"/>
      <c r="U843" s="46"/>
      <c r="V843" s="44"/>
      <c r="Y843" s="46"/>
      <c r="Z843" s="44"/>
      <c r="AC843" s="46"/>
      <c r="AD843" s="44"/>
    </row>
    <row r="844">
      <c r="C844" s="43"/>
      <c r="M844" s="43"/>
      <c r="O844" s="44"/>
      <c r="P844" s="45"/>
      <c r="Q844" s="46"/>
      <c r="R844" s="47"/>
      <c r="S844" s="44"/>
      <c r="U844" s="46"/>
      <c r="V844" s="44"/>
      <c r="Y844" s="46"/>
      <c r="Z844" s="44"/>
      <c r="AC844" s="46"/>
      <c r="AD844" s="44"/>
    </row>
    <row r="845">
      <c r="C845" s="43"/>
      <c r="M845" s="43"/>
      <c r="O845" s="44"/>
      <c r="P845" s="45"/>
      <c r="Q845" s="46"/>
      <c r="R845" s="47"/>
      <c r="S845" s="44"/>
      <c r="U845" s="46"/>
      <c r="V845" s="44"/>
      <c r="Y845" s="46"/>
      <c r="Z845" s="44"/>
      <c r="AC845" s="46"/>
      <c r="AD845" s="44"/>
    </row>
    <row r="846">
      <c r="C846" s="43"/>
      <c r="M846" s="43"/>
      <c r="O846" s="44"/>
      <c r="P846" s="45"/>
      <c r="Q846" s="46"/>
      <c r="R846" s="47"/>
      <c r="S846" s="44"/>
      <c r="U846" s="46"/>
      <c r="V846" s="44"/>
      <c r="Y846" s="46"/>
      <c r="Z846" s="44"/>
      <c r="AC846" s="46"/>
      <c r="AD846" s="44"/>
    </row>
    <row r="847">
      <c r="C847" s="43"/>
      <c r="M847" s="43"/>
      <c r="O847" s="44"/>
      <c r="P847" s="45"/>
      <c r="Q847" s="46"/>
      <c r="R847" s="47"/>
      <c r="S847" s="44"/>
      <c r="U847" s="46"/>
      <c r="V847" s="44"/>
      <c r="Y847" s="46"/>
      <c r="Z847" s="44"/>
      <c r="AC847" s="46"/>
      <c r="AD847" s="44"/>
    </row>
    <row r="848">
      <c r="C848" s="43"/>
      <c r="M848" s="43"/>
      <c r="O848" s="44"/>
      <c r="P848" s="45"/>
      <c r="Q848" s="46"/>
      <c r="R848" s="47"/>
      <c r="S848" s="44"/>
      <c r="U848" s="46"/>
      <c r="V848" s="44"/>
      <c r="Y848" s="46"/>
      <c r="Z848" s="44"/>
      <c r="AC848" s="46"/>
      <c r="AD848" s="44"/>
    </row>
    <row r="849">
      <c r="C849" s="43"/>
      <c r="M849" s="43"/>
      <c r="O849" s="44"/>
      <c r="P849" s="45"/>
      <c r="Q849" s="46"/>
      <c r="R849" s="47"/>
      <c r="S849" s="44"/>
      <c r="U849" s="46"/>
      <c r="V849" s="44"/>
      <c r="Y849" s="46"/>
      <c r="Z849" s="44"/>
      <c r="AC849" s="46"/>
      <c r="AD849" s="44"/>
    </row>
    <row r="850">
      <c r="C850" s="43"/>
      <c r="M850" s="43"/>
      <c r="O850" s="44"/>
      <c r="P850" s="45"/>
      <c r="Q850" s="46"/>
      <c r="R850" s="47"/>
      <c r="S850" s="44"/>
      <c r="U850" s="46"/>
      <c r="V850" s="44"/>
      <c r="Y850" s="46"/>
      <c r="Z850" s="44"/>
      <c r="AC850" s="46"/>
      <c r="AD850" s="44"/>
    </row>
    <row r="851">
      <c r="C851" s="43"/>
      <c r="M851" s="43"/>
      <c r="O851" s="44"/>
      <c r="P851" s="45"/>
      <c r="Q851" s="46"/>
      <c r="R851" s="47"/>
      <c r="S851" s="44"/>
      <c r="U851" s="46"/>
      <c r="V851" s="44"/>
      <c r="Y851" s="46"/>
      <c r="Z851" s="44"/>
      <c r="AC851" s="46"/>
      <c r="AD851" s="44"/>
    </row>
    <row r="852">
      <c r="C852" s="43"/>
      <c r="M852" s="43"/>
      <c r="O852" s="44"/>
      <c r="P852" s="45"/>
      <c r="Q852" s="46"/>
      <c r="R852" s="47"/>
      <c r="S852" s="44"/>
      <c r="U852" s="46"/>
      <c r="V852" s="44"/>
      <c r="Y852" s="46"/>
      <c r="Z852" s="44"/>
      <c r="AC852" s="46"/>
      <c r="AD852" s="44"/>
    </row>
    <row r="853">
      <c r="C853" s="43"/>
      <c r="M853" s="43"/>
      <c r="O853" s="44"/>
      <c r="P853" s="45"/>
      <c r="Q853" s="46"/>
      <c r="R853" s="47"/>
      <c r="S853" s="44"/>
      <c r="U853" s="46"/>
      <c r="V853" s="44"/>
      <c r="Y853" s="46"/>
      <c r="Z853" s="44"/>
      <c r="AC853" s="46"/>
      <c r="AD853" s="44"/>
    </row>
    <row r="854">
      <c r="C854" s="43"/>
      <c r="M854" s="43"/>
      <c r="O854" s="44"/>
      <c r="P854" s="45"/>
      <c r="Q854" s="46"/>
      <c r="R854" s="47"/>
      <c r="S854" s="44"/>
      <c r="U854" s="46"/>
      <c r="V854" s="44"/>
      <c r="Y854" s="46"/>
      <c r="Z854" s="44"/>
      <c r="AC854" s="46"/>
      <c r="AD854" s="44"/>
    </row>
    <row r="855">
      <c r="C855" s="43"/>
      <c r="M855" s="43"/>
      <c r="O855" s="44"/>
      <c r="P855" s="45"/>
      <c r="Q855" s="46"/>
      <c r="R855" s="47"/>
      <c r="S855" s="44"/>
      <c r="U855" s="46"/>
      <c r="V855" s="44"/>
      <c r="Y855" s="46"/>
      <c r="Z855" s="44"/>
      <c r="AC855" s="46"/>
      <c r="AD855" s="44"/>
    </row>
    <row r="856">
      <c r="C856" s="43"/>
      <c r="M856" s="43"/>
      <c r="O856" s="44"/>
      <c r="P856" s="45"/>
      <c r="Q856" s="46"/>
      <c r="R856" s="47"/>
      <c r="S856" s="44"/>
      <c r="U856" s="46"/>
      <c r="V856" s="44"/>
      <c r="Y856" s="46"/>
      <c r="Z856" s="44"/>
      <c r="AC856" s="46"/>
      <c r="AD856" s="44"/>
    </row>
    <row r="857">
      <c r="C857" s="43"/>
      <c r="M857" s="43"/>
      <c r="O857" s="44"/>
      <c r="P857" s="45"/>
      <c r="Q857" s="46"/>
      <c r="R857" s="47"/>
      <c r="S857" s="44"/>
      <c r="U857" s="46"/>
      <c r="V857" s="44"/>
      <c r="Y857" s="46"/>
      <c r="Z857" s="44"/>
      <c r="AC857" s="46"/>
      <c r="AD857" s="44"/>
    </row>
    <row r="858">
      <c r="C858" s="43"/>
      <c r="M858" s="43"/>
      <c r="O858" s="44"/>
      <c r="P858" s="45"/>
      <c r="Q858" s="46"/>
      <c r="R858" s="47"/>
      <c r="S858" s="44"/>
      <c r="U858" s="46"/>
      <c r="V858" s="44"/>
      <c r="Y858" s="46"/>
      <c r="Z858" s="44"/>
      <c r="AC858" s="46"/>
      <c r="AD858" s="44"/>
    </row>
    <row r="859">
      <c r="C859" s="43"/>
      <c r="M859" s="43"/>
      <c r="O859" s="44"/>
      <c r="P859" s="45"/>
      <c r="Q859" s="46"/>
      <c r="R859" s="47"/>
      <c r="S859" s="44"/>
      <c r="U859" s="46"/>
      <c r="V859" s="44"/>
      <c r="Y859" s="46"/>
      <c r="Z859" s="44"/>
      <c r="AC859" s="46"/>
      <c r="AD859" s="44"/>
    </row>
    <row r="860">
      <c r="C860" s="43"/>
      <c r="M860" s="43"/>
      <c r="O860" s="44"/>
      <c r="P860" s="45"/>
      <c r="Q860" s="46"/>
      <c r="R860" s="47"/>
      <c r="S860" s="44"/>
      <c r="U860" s="46"/>
      <c r="V860" s="44"/>
      <c r="Y860" s="46"/>
      <c r="Z860" s="44"/>
      <c r="AC860" s="46"/>
      <c r="AD860" s="44"/>
    </row>
    <row r="861">
      <c r="C861" s="43"/>
      <c r="M861" s="43"/>
      <c r="O861" s="44"/>
      <c r="P861" s="45"/>
      <c r="Q861" s="46"/>
      <c r="R861" s="47"/>
      <c r="S861" s="44"/>
      <c r="U861" s="46"/>
      <c r="V861" s="44"/>
      <c r="Y861" s="46"/>
      <c r="Z861" s="44"/>
      <c r="AC861" s="46"/>
      <c r="AD861" s="44"/>
    </row>
    <row r="862">
      <c r="C862" s="43"/>
      <c r="M862" s="43"/>
      <c r="O862" s="44"/>
      <c r="P862" s="45"/>
      <c r="Q862" s="46"/>
      <c r="R862" s="47"/>
      <c r="S862" s="44"/>
      <c r="U862" s="46"/>
      <c r="V862" s="44"/>
      <c r="Y862" s="46"/>
      <c r="Z862" s="44"/>
      <c r="AC862" s="46"/>
      <c r="AD862" s="44"/>
    </row>
    <row r="863">
      <c r="C863" s="43"/>
      <c r="M863" s="43"/>
      <c r="O863" s="44"/>
      <c r="P863" s="45"/>
      <c r="Q863" s="46"/>
      <c r="R863" s="47"/>
      <c r="S863" s="44"/>
      <c r="U863" s="46"/>
      <c r="V863" s="44"/>
      <c r="Y863" s="46"/>
      <c r="Z863" s="44"/>
      <c r="AC863" s="46"/>
      <c r="AD863" s="44"/>
    </row>
    <row r="864">
      <c r="C864" s="43"/>
      <c r="M864" s="43"/>
      <c r="O864" s="44"/>
      <c r="P864" s="45"/>
      <c r="Q864" s="46"/>
      <c r="R864" s="47"/>
      <c r="S864" s="44"/>
      <c r="U864" s="46"/>
      <c r="V864" s="44"/>
      <c r="Y864" s="46"/>
      <c r="Z864" s="44"/>
      <c r="AC864" s="46"/>
      <c r="AD864" s="44"/>
    </row>
    <row r="865">
      <c r="C865" s="43"/>
      <c r="M865" s="43"/>
      <c r="O865" s="44"/>
      <c r="P865" s="45"/>
      <c r="Q865" s="46"/>
      <c r="R865" s="47"/>
      <c r="S865" s="44"/>
      <c r="U865" s="46"/>
      <c r="V865" s="44"/>
      <c r="Y865" s="46"/>
      <c r="Z865" s="44"/>
      <c r="AC865" s="46"/>
      <c r="AD865" s="44"/>
    </row>
    <row r="866">
      <c r="C866" s="43"/>
      <c r="M866" s="43"/>
      <c r="O866" s="44"/>
      <c r="P866" s="45"/>
      <c r="Q866" s="46"/>
      <c r="R866" s="47"/>
      <c r="S866" s="44"/>
      <c r="U866" s="46"/>
      <c r="V866" s="44"/>
      <c r="Y866" s="46"/>
      <c r="Z866" s="44"/>
      <c r="AC866" s="46"/>
      <c r="AD866" s="44"/>
    </row>
    <row r="867">
      <c r="C867" s="43"/>
      <c r="M867" s="43"/>
      <c r="O867" s="44"/>
      <c r="P867" s="45"/>
      <c r="Q867" s="46"/>
      <c r="R867" s="47"/>
      <c r="S867" s="44"/>
      <c r="U867" s="46"/>
      <c r="V867" s="44"/>
      <c r="Y867" s="46"/>
      <c r="Z867" s="44"/>
      <c r="AC867" s="46"/>
      <c r="AD867" s="44"/>
    </row>
    <row r="868">
      <c r="C868" s="43"/>
      <c r="M868" s="43"/>
      <c r="O868" s="44"/>
      <c r="P868" s="45"/>
      <c r="Q868" s="46"/>
      <c r="R868" s="47"/>
      <c r="S868" s="44"/>
      <c r="U868" s="46"/>
      <c r="V868" s="44"/>
      <c r="Y868" s="46"/>
      <c r="Z868" s="44"/>
      <c r="AC868" s="46"/>
      <c r="AD868" s="44"/>
    </row>
    <row r="869">
      <c r="C869" s="43"/>
      <c r="M869" s="43"/>
      <c r="O869" s="44"/>
      <c r="P869" s="45"/>
      <c r="Q869" s="46"/>
      <c r="R869" s="47"/>
      <c r="S869" s="44"/>
      <c r="U869" s="46"/>
      <c r="V869" s="44"/>
      <c r="Y869" s="46"/>
      <c r="Z869" s="44"/>
      <c r="AC869" s="46"/>
      <c r="AD869" s="44"/>
    </row>
    <row r="870">
      <c r="C870" s="43"/>
      <c r="M870" s="43"/>
      <c r="O870" s="44"/>
      <c r="P870" s="45"/>
      <c r="Q870" s="46"/>
      <c r="R870" s="47"/>
      <c r="S870" s="44"/>
      <c r="U870" s="46"/>
      <c r="V870" s="44"/>
      <c r="Y870" s="46"/>
      <c r="Z870" s="44"/>
      <c r="AC870" s="46"/>
      <c r="AD870" s="44"/>
    </row>
    <row r="871">
      <c r="C871" s="43"/>
      <c r="M871" s="43"/>
      <c r="O871" s="44"/>
      <c r="P871" s="45"/>
      <c r="Q871" s="46"/>
      <c r="R871" s="47"/>
      <c r="S871" s="44"/>
      <c r="U871" s="46"/>
      <c r="V871" s="44"/>
      <c r="Y871" s="46"/>
      <c r="Z871" s="44"/>
      <c r="AC871" s="46"/>
      <c r="AD871" s="44"/>
    </row>
    <row r="872">
      <c r="C872" s="43"/>
      <c r="M872" s="43"/>
      <c r="O872" s="44"/>
      <c r="P872" s="45"/>
      <c r="Q872" s="46"/>
      <c r="R872" s="47"/>
      <c r="S872" s="44"/>
      <c r="U872" s="46"/>
      <c r="V872" s="44"/>
      <c r="Y872" s="46"/>
      <c r="Z872" s="44"/>
      <c r="AC872" s="46"/>
      <c r="AD872" s="44"/>
    </row>
    <row r="873">
      <c r="C873" s="43"/>
      <c r="M873" s="43"/>
      <c r="O873" s="44"/>
      <c r="P873" s="45"/>
      <c r="Q873" s="46"/>
      <c r="R873" s="47"/>
      <c r="S873" s="44"/>
      <c r="U873" s="46"/>
      <c r="V873" s="44"/>
      <c r="Y873" s="46"/>
      <c r="Z873" s="44"/>
      <c r="AC873" s="46"/>
      <c r="AD873" s="44"/>
    </row>
    <row r="874">
      <c r="C874" s="43"/>
      <c r="M874" s="43"/>
      <c r="O874" s="44"/>
      <c r="P874" s="45"/>
      <c r="Q874" s="46"/>
      <c r="R874" s="47"/>
      <c r="S874" s="44"/>
      <c r="U874" s="46"/>
      <c r="V874" s="44"/>
      <c r="Y874" s="46"/>
      <c r="Z874" s="44"/>
      <c r="AC874" s="46"/>
      <c r="AD874" s="44"/>
    </row>
    <row r="875">
      <c r="C875" s="43"/>
      <c r="M875" s="43"/>
      <c r="O875" s="44"/>
      <c r="P875" s="45"/>
      <c r="Q875" s="46"/>
      <c r="R875" s="47"/>
      <c r="S875" s="44"/>
      <c r="U875" s="46"/>
      <c r="V875" s="44"/>
      <c r="Y875" s="46"/>
      <c r="Z875" s="44"/>
      <c r="AC875" s="46"/>
      <c r="AD875" s="44"/>
    </row>
    <row r="876">
      <c r="C876" s="43"/>
      <c r="M876" s="43"/>
      <c r="O876" s="44"/>
      <c r="P876" s="45"/>
      <c r="Q876" s="46"/>
      <c r="R876" s="47"/>
      <c r="S876" s="44"/>
      <c r="U876" s="46"/>
      <c r="V876" s="44"/>
      <c r="Y876" s="46"/>
      <c r="Z876" s="44"/>
      <c r="AC876" s="46"/>
      <c r="AD876" s="44"/>
    </row>
    <row r="877">
      <c r="C877" s="43"/>
      <c r="M877" s="43"/>
      <c r="O877" s="44"/>
      <c r="P877" s="45"/>
      <c r="Q877" s="46"/>
      <c r="R877" s="47"/>
      <c r="S877" s="44"/>
      <c r="U877" s="46"/>
      <c r="V877" s="44"/>
      <c r="Y877" s="46"/>
      <c r="Z877" s="44"/>
      <c r="AC877" s="46"/>
      <c r="AD877" s="44"/>
    </row>
    <row r="878">
      <c r="C878" s="43"/>
      <c r="M878" s="43"/>
      <c r="O878" s="44"/>
      <c r="P878" s="45"/>
      <c r="Q878" s="46"/>
      <c r="R878" s="47"/>
      <c r="S878" s="44"/>
      <c r="U878" s="46"/>
      <c r="V878" s="44"/>
      <c r="Y878" s="46"/>
      <c r="Z878" s="44"/>
      <c r="AC878" s="46"/>
      <c r="AD878" s="44"/>
    </row>
    <row r="879">
      <c r="C879" s="43"/>
      <c r="M879" s="43"/>
      <c r="O879" s="44"/>
      <c r="P879" s="45"/>
      <c r="Q879" s="46"/>
      <c r="R879" s="47"/>
      <c r="S879" s="44"/>
      <c r="U879" s="46"/>
      <c r="V879" s="44"/>
      <c r="Y879" s="46"/>
      <c r="Z879" s="44"/>
      <c r="AC879" s="46"/>
      <c r="AD879" s="44"/>
    </row>
    <row r="880">
      <c r="C880" s="43"/>
      <c r="M880" s="43"/>
      <c r="O880" s="44"/>
      <c r="P880" s="45"/>
      <c r="Q880" s="46"/>
      <c r="R880" s="47"/>
      <c r="S880" s="44"/>
      <c r="U880" s="46"/>
      <c r="V880" s="44"/>
      <c r="Y880" s="46"/>
      <c r="Z880" s="44"/>
      <c r="AC880" s="46"/>
      <c r="AD880" s="44"/>
    </row>
    <row r="881">
      <c r="C881" s="43"/>
      <c r="M881" s="43"/>
      <c r="O881" s="44"/>
      <c r="P881" s="45"/>
      <c r="Q881" s="46"/>
      <c r="R881" s="47"/>
      <c r="S881" s="44"/>
      <c r="U881" s="46"/>
      <c r="V881" s="44"/>
      <c r="Y881" s="46"/>
      <c r="Z881" s="44"/>
      <c r="AC881" s="46"/>
      <c r="AD881" s="44"/>
    </row>
    <row r="882">
      <c r="C882" s="43"/>
      <c r="M882" s="43"/>
      <c r="O882" s="44"/>
      <c r="P882" s="45"/>
      <c r="Q882" s="46"/>
      <c r="R882" s="47"/>
      <c r="S882" s="44"/>
      <c r="U882" s="46"/>
      <c r="V882" s="44"/>
      <c r="Y882" s="46"/>
      <c r="Z882" s="44"/>
      <c r="AC882" s="46"/>
      <c r="AD882" s="44"/>
    </row>
    <row r="883">
      <c r="C883" s="43"/>
      <c r="M883" s="43"/>
      <c r="O883" s="44"/>
      <c r="P883" s="45"/>
      <c r="Q883" s="46"/>
      <c r="R883" s="47"/>
      <c r="S883" s="44"/>
      <c r="U883" s="46"/>
      <c r="V883" s="44"/>
      <c r="Y883" s="46"/>
      <c r="Z883" s="44"/>
      <c r="AC883" s="46"/>
      <c r="AD883" s="44"/>
    </row>
    <row r="884">
      <c r="C884" s="43"/>
      <c r="M884" s="43"/>
      <c r="O884" s="44"/>
      <c r="P884" s="45"/>
      <c r="Q884" s="46"/>
      <c r="R884" s="47"/>
      <c r="S884" s="44"/>
      <c r="U884" s="46"/>
      <c r="V884" s="44"/>
      <c r="Y884" s="46"/>
      <c r="Z884" s="44"/>
      <c r="AC884" s="46"/>
      <c r="AD884" s="44"/>
    </row>
    <row r="885">
      <c r="C885" s="43"/>
      <c r="M885" s="43"/>
      <c r="O885" s="44"/>
      <c r="P885" s="45"/>
      <c r="Q885" s="46"/>
      <c r="R885" s="47"/>
      <c r="S885" s="44"/>
      <c r="U885" s="46"/>
      <c r="V885" s="44"/>
      <c r="Y885" s="46"/>
      <c r="Z885" s="44"/>
      <c r="AC885" s="46"/>
      <c r="AD885" s="44"/>
    </row>
    <row r="886">
      <c r="C886" s="43"/>
      <c r="M886" s="43"/>
      <c r="O886" s="44"/>
      <c r="P886" s="45"/>
      <c r="Q886" s="46"/>
      <c r="R886" s="47"/>
      <c r="S886" s="44"/>
      <c r="U886" s="46"/>
      <c r="V886" s="44"/>
      <c r="Y886" s="46"/>
      <c r="Z886" s="44"/>
      <c r="AC886" s="46"/>
      <c r="AD886" s="44"/>
    </row>
    <row r="887">
      <c r="C887" s="43"/>
      <c r="M887" s="43"/>
      <c r="O887" s="44"/>
      <c r="P887" s="45"/>
      <c r="Q887" s="46"/>
      <c r="R887" s="47"/>
      <c r="S887" s="44"/>
      <c r="U887" s="46"/>
      <c r="V887" s="44"/>
      <c r="Y887" s="46"/>
      <c r="Z887" s="44"/>
      <c r="AC887" s="46"/>
      <c r="AD887" s="44"/>
    </row>
    <row r="888">
      <c r="C888" s="43"/>
      <c r="M888" s="43"/>
      <c r="O888" s="44"/>
      <c r="P888" s="45"/>
      <c r="Q888" s="46"/>
      <c r="R888" s="47"/>
      <c r="S888" s="44"/>
      <c r="U888" s="46"/>
      <c r="V888" s="44"/>
      <c r="Y888" s="46"/>
      <c r="Z888" s="44"/>
      <c r="AC888" s="46"/>
      <c r="AD888" s="44"/>
    </row>
    <row r="889">
      <c r="C889" s="43"/>
      <c r="M889" s="43"/>
      <c r="O889" s="44"/>
      <c r="P889" s="45"/>
      <c r="Q889" s="46"/>
      <c r="R889" s="47"/>
      <c r="S889" s="44"/>
      <c r="U889" s="46"/>
      <c r="V889" s="44"/>
      <c r="Y889" s="46"/>
      <c r="Z889" s="44"/>
      <c r="AC889" s="46"/>
      <c r="AD889" s="44"/>
    </row>
    <row r="890">
      <c r="C890" s="43"/>
      <c r="M890" s="43"/>
      <c r="O890" s="44"/>
      <c r="P890" s="45"/>
      <c r="Q890" s="46"/>
      <c r="R890" s="47"/>
      <c r="S890" s="44"/>
      <c r="U890" s="46"/>
      <c r="V890" s="44"/>
      <c r="Y890" s="46"/>
      <c r="Z890" s="44"/>
      <c r="AC890" s="46"/>
      <c r="AD890" s="44"/>
    </row>
    <row r="891">
      <c r="C891" s="43"/>
      <c r="M891" s="43"/>
      <c r="O891" s="44"/>
      <c r="P891" s="45"/>
      <c r="Q891" s="46"/>
      <c r="R891" s="47"/>
      <c r="S891" s="44"/>
      <c r="U891" s="46"/>
      <c r="V891" s="44"/>
      <c r="Y891" s="46"/>
      <c r="Z891" s="44"/>
      <c r="AC891" s="46"/>
      <c r="AD891" s="44"/>
    </row>
    <row r="892">
      <c r="C892" s="43"/>
      <c r="M892" s="43"/>
      <c r="O892" s="44"/>
      <c r="P892" s="45"/>
      <c r="Q892" s="46"/>
      <c r="R892" s="47"/>
      <c r="S892" s="44"/>
      <c r="U892" s="46"/>
      <c r="V892" s="44"/>
      <c r="Y892" s="46"/>
      <c r="Z892" s="44"/>
      <c r="AC892" s="46"/>
      <c r="AD892" s="44"/>
    </row>
    <row r="893">
      <c r="C893" s="43"/>
      <c r="M893" s="43"/>
      <c r="O893" s="44"/>
      <c r="P893" s="45"/>
      <c r="Q893" s="46"/>
      <c r="R893" s="47"/>
      <c r="S893" s="44"/>
      <c r="U893" s="46"/>
      <c r="V893" s="44"/>
      <c r="Y893" s="46"/>
      <c r="Z893" s="44"/>
      <c r="AC893" s="46"/>
      <c r="AD893" s="44"/>
    </row>
    <row r="894">
      <c r="C894" s="43"/>
      <c r="M894" s="43"/>
      <c r="O894" s="44"/>
      <c r="P894" s="45"/>
      <c r="Q894" s="46"/>
      <c r="R894" s="47"/>
      <c r="S894" s="44"/>
      <c r="U894" s="46"/>
      <c r="V894" s="44"/>
      <c r="Y894" s="46"/>
      <c r="Z894" s="44"/>
      <c r="AC894" s="46"/>
      <c r="AD894" s="44"/>
    </row>
    <row r="895">
      <c r="C895" s="43"/>
      <c r="M895" s="43"/>
      <c r="O895" s="44"/>
      <c r="P895" s="45"/>
      <c r="Q895" s="46"/>
      <c r="R895" s="47"/>
      <c r="S895" s="44"/>
      <c r="U895" s="46"/>
      <c r="V895" s="44"/>
      <c r="Y895" s="46"/>
      <c r="Z895" s="44"/>
      <c r="AC895" s="46"/>
      <c r="AD895" s="44"/>
    </row>
    <row r="896">
      <c r="C896" s="43"/>
      <c r="M896" s="43"/>
      <c r="O896" s="44"/>
      <c r="P896" s="45"/>
      <c r="Q896" s="46"/>
      <c r="R896" s="47"/>
      <c r="S896" s="44"/>
      <c r="U896" s="46"/>
      <c r="V896" s="44"/>
      <c r="Y896" s="46"/>
      <c r="Z896" s="44"/>
      <c r="AC896" s="46"/>
      <c r="AD896" s="44"/>
    </row>
    <row r="897">
      <c r="C897" s="43"/>
      <c r="M897" s="43"/>
      <c r="O897" s="44"/>
      <c r="P897" s="45"/>
      <c r="Q897" s="46"/>
      <c r="R897" s="47"/>
      <c r="S897" s="44"/>
      <c r="U897" s="46"/>
      <c r="V897" s="44"/>
      <c r="Y897" s="46"/>
      <c r="Z897" s="44"/>
      <c r="AC897" s="46"/>
      <c r="AD897" s="44"/>
    </row>
    <row r="898">
      <c r="C898" s="43"/>
      <c r="M898" s="43"/>
      <c r="O898" s="44"/>
      <c r="P898" s="45"/>
      <c r="Q898" s="46"/>
      <c r="R898" s="47"/>
      <c r="S898" s="44"/>
      <c r="U898" s="46"/>
      <c r="V898" s="44"/>
      <c r="Y898" s="46"/>
      <c r="Z898" s="44"/>
      <c r="AC898" s="46"/>
      <c r="AD898" s="44"/>
    </row>
    <row r="899">
      <c r="C899" s="43"/>
      <c r="M899" s="43"/>
      <c r="O899" s="44"/>
      <c r="P899" s="45"/>
      <c r="Q899" s="46"/>
      <c r="R899" s="47"/>
      <c r="S899" s="44"/>
      <c r="U899" s="46"/>
      <c r="V899" s="44"/>
      <c r="Y899" s="46"/>
      <c r="Z899" s="44"/>
      <c r="AC899" s="46"/>
      <c r="AD899" s="44"/>
    </row>
    <row r="900">
      <c r="C900" s="43"/>
      <c r="M900" s="43"/>
      <c r="O900" s="44"/>
      <c r="P900" s="45"/>
      <c r="Q900" s="46"/>
      <c r="R900" s="47"/>
      <c r="S900" s="44"/>
      <c r="U900" s="46"/>
      <c r="V900" s="44"/>
      <c r="Y900" s="46"/>
      <c r="Z900" s="44"/>
      <c r="AC900" s="46"/>
      <c r="AD900" s="44"/>
    </row>
    <row r="901">
      <c r="C901" s="43"/>
      <c r="M901" s="43"/>
      <c r="O901" s="44"/>
      <c r="P901" s="45"/>
      <c r="Q901" s="46"/>
      <c r="R901" s="47"/>
      <c r="S901" s="44"/>
      <c r="U901" s="46"/>
      <c r="V901" s="44"/>
      <c r="Y901" s="46"/>
      <c r="Z901" s="44"/>
      <c r="AC901" s="46"/>
      <c r="AD901" s="44"/>
    </row>
    <row r="902">
      <c r="C902" s="43"/>
      <c r="M902" s="43"/>
      <c r="O902" s="44"/>
      <c r="P902" s="45"/>
      <c r="Q902" s="46"/>
      <c r="R902" s="47"/>
      <c r="S902" s="44"/>
      <c r="U902" s="46"/>
      <c r="V902" s="44"/>
      <c r="Y902" s="46"/>
      <c r="Z902" s="44"/>
      <c r="AC902" s="46"/>
      <c r="AD902" s="44"/>
    </row>
    <row r="903">
      <c r="C903" s="43"/>
      <c r="M903" s="43"/>
      <c r="O903" s="44"/>
      <c r="P903" s="45"/>
      <c r="Q903" s="46"/>
      <c r="R903" s="47"/>
      <c r="S903" s="44"/>
      <c r="U903" s="46"/>
      <c r="V903" s="44"/>
      <c r="Y903" s="46"/>
      <c r="Z903" s="44"/>
      <c r="AC903" s="46"/>
      <c r="AD903" s="44"/>
    </row>
    <row r="904">
      <c r="C904" s="43"/>
      <c r="M904" s="43"/>
      <c r="O904" s="44"/>
      <c r="P904" s="45"/>
      <c r="Q904" s="46"/>
      <c r="R904" s="47"/>
      <c r="S904" s="44"/>
      <c r="U904" s="46"/>
      <c r="V904" s="44"/>
      <c r="Y904" s="46"/>
      <c r="Z904" s="44"/>
      <c r="AC904" s="46"/>
      <c r="AD904" s="44"/>
    </row>
    <row r="905">
      <c r="C905" s="43"/>
      <c r="M905" s="43"/>
      <c r="O905" s="44"/>
      <c r="P905" s="45"/>
      <c r="Q905" s="46"/>
      <c r="R905" s="47"/>
      <c r="S905" s="44"/>
      <c r="U905" s="46"/>
      <c r="V905" s="44"/>
      <c r="Y905" s="46"/>
      <c r="Z905" s="44"/>
      <c r="AC905" s="46"/>
      <c r="AD905" s="44"/>
    </row>
    <row r="906">
      <c r="C906" s="43"/>
      <c r="M906" s="43"/>
      <c r="O906" s="44"/>
      <c r="P906" s="45"/>
      <c r="Q906" s="46"/>
      <c r="R906" s="47"/>
      <c r="S906" s="44"/>
      <c r="U906" s="46"/>
      <c r="V906" s="44"/>
      <c r="Y906" s="46"/>
      <c r="Z906" s="44"/>
      <c r="AC906" s="46"/>
      <c r="AD906" s="44"/>
    </row>
    <row r="907">
      <c r="C907" s="43"/>
      <c r="M907" s="43"/>
      <c r="O907" s="44"/>
      <c r="P907" s="45"/>
      <c r="Q907" s="46"/>
      <c r="R907" s="47"/>
      <c r="S907" s="44"/>
      <c r="U907" s="46"/>
      <c r="V907" s="44"/>
      <c r="Y907" s="46"/>
      <c r="Z907" s="44"/>
      <c r="AC907" s="46"/>
      <c r="AD907" s="44"/>
    </row>
    <row r="908">
      <c r="C908" s="43"/>
      <c r="M908" s="43"/>
      <c r="O908" s="44"/>
      <c r="P908" s="45"/>
      <c r="Q908" s="46"/>
      <c r="R908" s="47"/>
      <c r="S908" s="44"/>
      <c r="U908" s="46"/>
      <c r="V908" s="44"/>
      <c r="Y908" s="46"/>
      <c r="Z908" s="44"/>
      <c r="AC908" s="46"/>
      <c r="AD908" s="44"/>
    </row>
    <row r="909">
      <c r="C909" s="43"/>
      <c r="M909" s="43"/>
      <c r="O909" s="44"/>
      <c r="P909" s="45"/>
      <c r="Q909" s="46"/>
      <c r="R909" s="47"/>
      <c r="S909" s="44"/>
      <c r="U909" s="46"/>
      <c r="V909" s="44"/>
      <c r="Y909" s="46"/>
      <c r="Z909" s="44"/>
      <c r="AC909" s="46"/>
      <c r="AD909" s="44"/>
    </row>
    <row r="910">
      <c r="C910" s="43"/>
      <c r="M910" s="43"/>
      <c r="O910" s="44"/>
      <c r="P910" s="45"/>
      <c r="Q910" s="46"/>
      <c r="R910" s="47"/>
      <c r="S910" s="44"/>
      <c r="U910" s="46"/>
      <c r="V910" s="44"/>
      <c r="Y910" s="46"/>
      <c r="Z910" s="44"/>
      <c r="AC910" s="46"/>
      <c r="AD910" s="44"/>
    </row>
    <row r="911">
      <c r="C911" s="43"/>
      <c r="M911" s="43"/>
      <c r="O911" s="44"/>
      <c r="P911" s="45"/>
      <c r="Q911" s="46"/>
      <c r="R911" s="47"/>
      <c r="S911" s="44"/>
      <c r="U911" s="46"/>
      <c r="V911" s="44"/>
      <c r="Y911" s="46"/>
      <c r="Z911" s="44"/>
      <c r="AC911" s="46"/>
      <c r="AD911" s="44"/>
    </row>
    <row r="912">
      <c r="C912" s="43"/>
      <c r="M912" s="43"/>
      <c r="O912" s="44"/>
      <c r="P912" s="45"/>
      <c r="Q912" s="46"/>
      <c r="R912" s="47"/>
      <c r="S912" s="44"/>
      <c r="U912" s="46"/>
      <c r="V912" s="44"/>
      <c r="Y912" s="46"/>
      <c r="Z912" s="44"/>
      <c r="AC912" s="46"/>
      <c r="AD912" s="44"/>
    </row>
    <row r="913">
      <c r="C913" s="43"/>
      <c r="M913" s="43"/>
      <c r="O913" s="44"/>
      <c r="P913" s="45"/>
      <c r="Q913" s="46"/>
      <c r="R913" s="47"/>
      <c r="S913" s="44"/>
      <c r="U913" s="46"/>
      <c r="V913" s="44"/>
      <c r="Y913" s="46"/>
      <c r="Z913" s="44"/>
      <c r="AC913" s="46"/>
      <c r="AD913" s="44"/>
    </row>
    <row r="914">
      <c r="C914" s="43"/>
      <c r="M914" s="43"/>
      <c r="O914" s="44"/>
      <c r="P914" s="45"/>
      <c r="Q914" s="46"/>
      <c r="R914" s="47"/>
      <c r="S914" s="44"/>
      <c r="U914" s="46"/>
      <c r="V914" s="44"/>
      <c r="Y914" s="46"/>
      <c r="Z914" s="44"/>
      <c r="AC914" s="46"/>
      <c r="AD914" s="44"/>
    </row>
    <row r="915">
      <c r="C915" s="43"/>
      <c r="M915" s="43"/>
      <c r="O915" s="44"/>
      <c r="P915" s="45"/>
      <c r="Q915" s="46"/>
      <c r="R915" s="47"/>
      <c r="S915" s="44"/>
      <c r="U915" s="46"/>
      <c r="V915" s="44"/>
      <c r="Y915" s="46"/>
      <c r="Z915" s="44"/>
      <c r="AC915" s="46"/>
      <c r="AD915" s="44"/>
    </row>
    <row r="916">
      <c r="C916" s="43"/>
      <c r="M916" s="43"/>
      <c r="O916" s="44"/>
      <c r="P916" s="45"/>
      <c r="Q916" s="46"/>
      <c r="R916" s="47"/>
      <c r="S916" s="44"/>
      <c r="U916" s="46"/>
      <c r="V916" s="44"/>
      <c r="Y916" s="46"/>
      <c r="Z916" s="44"/>
      <c r="AC916" s="46"/>
      <c r="AD916" s="44"/>
    </row>
    <row r="917">
      <c r="C917" s="43"/>
      <c r="M917" s="43"/>
      <c r="O917" s="44"/>
      <c r="P917" s="45"/>
      <c r="Q917" s="46"/>
      <c r="R917" s="47"/>
      <c r="S917" s="44"/>
      <c r="U917" s="46"/>
      <c r="V917" s="44"/>
      <c r="Y917" s="46"/>
      <c r="Z917" s="44"/>
      <c r="AC917" s="46"/>
      <c r="AD917" s="44"/>
    </row>
    <row r="918">
      <c r="C918" s="43"/>
      <c r="M918" s="43"/>
      <c r="O918" s="44"/>
      <c r="P918" s="45"/>
      <c r="Q918" s="46"/>
      <c r="R918" s="47"/>
      <c r="S918" s="44"/>
      <c r="U918" s="46"/>
      <c r="V918" s="44"/>
      <c r="Y918" s="46"/>
      <c r="Z918" s="44"/>
      <c r="AC918" s="46"/>
      <c r="AD918" s="44"/>
    </row>
    <row r="919">
      <c r="C919" s="43"/>
      <c r="M919" s="43"/>
      <c r="O919" s="44"/>
      <c r="P919" s="45"/>
      <c r="Q919" s="46"/>
      <c r="R919" s="47"/>
      <c r="S919" s="44"/>
      <c r="U919" s="46"/>
      <c r="V919" s="44"/>
      <c r="Y919" s="46"/>
      <c r="Z919" s="44"/>
      <c r="AC919" s="46"/>
      <c r="AD919" s="44"/>
    </row>
    <row r="920">
      <c r="C920" s="43"/>
      <c r="M920" s="43"/>
      <c r="O920" s="44"/>
      <c r="P920" s="45"/>
      <c r="Q920" s="46"/>
      <c r="R920" s="47"/>
      <c r="S920" s="44"/>
      <c r="U920" s="46"/>
      <c r="V920" s="44"/>
      <c r="Y920" s="46"/>
      <c r="Z920" s="44"/>
      <c r="AC920" s="46"/>
      <c r="AD920" s="44"/>
    </row>
    <row r="921">
      <c r="C921" s="43"/>
      <c r="M921" s="43"/>
      <c r="O921" s="44"/>
      <c r="P921" s="45"/>
      <c r="Q921" s="46"/>
      <c r="R921" s="47"/>
      <c r="S921" s="44"/>
      <c r="U921" s="46"/>
      <c r="V921" s="44"/>
      <c r="Y921" s="46"/>
      <c r="Z921" s="44"/>
      <c r="AC921" s="46"/>
      <c r="AD921" s="44"/>
    </row>
    <row r="922">
      <c r="C922" s="43"/>
      <c r="M922" s="43"/>
      <c r="O922" s="44"/>
      <c r="P922" s="45"/>
      <c r="Q922" s="46"/>
      <c r="R922" s="47"/>
      <c r="S922" s="44"/>
      <c r="U922" s="46"/>
      <c r="V922" s="44"/>
      <c r="Y922" s="46"/>
      <c r="Z922" s="44"/>
      <c r="AC922" s="46"/>
      <c r="AD922" s="44"/>
    </row>
    <row r="923">
      <c r="C923" s="43"/>
      <c r="M923" s="43"/>
      <c r="O923" s="44"/>
      <c r="P923" s="45"/>
      <c r="Q923" s="46"/>
      <c r="R923" s="47"/>
      <c r="S923" s="44"/>
      <c r="U923" s="46"/>
      <c r="V923" s="44"/>
      <c r="Y923" s="46"/>
      <c r="Z923" s="44"/>
      <c r="AC923" s="46"/>
      <c r="AD923" s="44"/>
    </row>
    <row r="924">
      <c r="C924" s="43"/>
      <c r="M924" s="43"/>
      <c r="O924" s="44"/>
      <c r="P924" s="45"/>
      <c r="Q924" s="46"/>
      <c r="R924" s="47"/>
      <c r="S924" s="44"/>
      <c r="U924" s="46"/>
      <c r="V924" s="44"/>
      <c r="Y924" s="46"/>
      <c r="Z924" s="44"/>
      <c r="AC924" s="46"/>
      <c r="AD924" s="44"/>
    </row>
    <row r="925">
      <c r="C925" s="43"/>
      <c r="M925" s="43"/>
      <c r="O925" s="44"/>
      <c r="P925" s="45"/>
      <c r="Q925" s="46"/>
      <c r="R925" s="47"/>
      <c r="S925" s="44"/>
      <c r="U925" s="46"/>
      <c r="V925" s="44"/>
      <c r="Y925" s="46"/>
      <c r="Z925" s="44"/>
      <c r="AC925" s="46"/>
      <c r="AD925" s="44"/>
    </row>
    <row r="926">
      <c r="C926" s="43"/>
      <c r="M926" s="43"/>
      <c r="O926" s="44"/>
      <c r="P926" s="45"/>
      <c r="Q926" s="46"/>
      <c r="R926" s="47"/>
      <c r="S926" s="44"/>
      <c r="U926" s="46"/>
      <c r="V926" s="44"/>
      <c r="Y926" s="46"/>
      <c r="Z926" s="44"/>
      <c r="AC926" s="46"/>
      <c r="AD926" s="44"/>
    </row>
    <row r="927">
      <c r="C927" s="43"/>
      <c r="M927" s="43"/>
      <c r="O927" s="44"/>
      <c r="P927" s="45"/>
      <c r="Q927" s="46"/>
      <c r="R927" s="47"/>
      <c r="S927" s="44"/>
      <c r="U927" s="46"/>
      <c r="V927" s="44"/>
      <c r="Y927" s="46"/>
      <c r="Z927" s="44"/>
      <c r="AC927" s="46"/>
      <c r="AD927" s="44"/>
    </row>
    <row r="928">
      <c r="C928" s="43"/>
      <c r="M928" s="43"/>
      <c r="O928" s="44"/>
      <c r="P928" s="45"/>
      <c r="Q928" s="46"/>
      <c r="R928" s="47"/>
      <c r="S928" s="44"/>
      <c r="U928" s="46"/>
      <c r="V928" s="44"/>
      <c r="Y928" s="46"/>
      <c r="Z928" s="44"/>
      <c r="AC928" s="46"/>
      <c r="AD928" s="44"/>
    </row>
    <row r="929">
      <c r="C929" s="43"/>
      <c r="M929" s="43"/>
      <c r="O929" s="44"/>
      <c r="P929" s="45"/>
      <c r="Q929" s="46"/>
      <c r="R929" s="47"/>
      <c r="S929" s="44"/>
      <c r="U929" s="46"/>
      <c r="V929" s="44"/>
      <c r="Y929" s="46"/>
      <c r="Z929" s="44"/>
      <c r="AC929" s="46"/>
      <c r="AD929" s="44"/>
    </row>
    <row r="930">
      <c r="C930" s="43"/>
      <c r="M930" s="43"/>
      <c r="O930" s="44"/>
      <c r="P930" s="45"/>
      <c r="Q930" s="46"/>
      <c r="R930" s="47"/>
      <c r="S930" s="44"/>
      <c r="U930" s="46"/>
      <c r="V930" s="44"/>
      <c r="Y930" s="46"/>
      <c r="Z930" s="44"/>
      <c r="AC930" s="46"/>
      <c r="AD930" s="44"/>
    </row>
    <row r="931">
      <c r="C931" s="43"/>
      <c r="M931" s="43"/>
      <c r="O931" s="44"/>
      <c r="P931" s="45"/>
      <c r="Q931" s="46"/>
      <c r="R931" s="47"/>
      <c r="S931" s="44"/>
      <c r="U931" s="46"/>
      <c r="V931" s="44"/>
      <c r="Y931" s="46"/>
      <c r="Z931" s="44"/>
      <c r="AC931" s="46"/>
      <c r="AD931" s="44"/>
    </row>
    <row r="932">
      <c r="C932" s="43"/>
      <c r="M932" s="43"/>
      <c r="O932" s="44"/>
      <c r="P932" s="45"/>
      <c r="Q932" s="46"/>
      <c r="R932" s="47"/>
      <c r="S932" s="44"/>
      <c r="U932" s="46"/>
      <c r="V932" s="44"/>
      <c r="Y932" s="46"/>
      <c r="Z932" s="44"/>
      <c r="AC932" s="46"/>
      <c r="AD932" s="44"/>
    </row>
    <row r="933">
      <c r="C933" s="43"/>
      <c r="M933" s="43"/>
      <c r="O933" s="44"/>
      <c r="P933" s="45"/>
      <c r="Q933" s="46"/>
      <c r="R933" s="47"/>
      <c r="S933" s="44"/>
      <c r="U933" s="46"/>
      <c r="V933" s="44"/>
      <c r="Y933" s="46"/>
      <c r="Z933" s="44"/>
      <c r="AC933" s="46"/>
      <c r="AD933" s="44"/>
    </row>
    <row r="934">
      <c r="C934" s="43"/>
      <c r="M934" s="43"/>
      <c r="O934" s="44"/>
      <c r="P934" s="45"/>
      <c r="Q934" s="46"/>
      <c r="R934" s="47"/>
      <c r="S934" s="44"/>
      <c r="U934" s="46"/>
      <c r="V934" s="44"/>
      <c r="Y934" s="46"/>
      <c r="Z934" s="44"/>
      <c r="AC934" s="46"/>
      <c r="AD934" s="44"/>
    </row>
    <row r="935">
      <c r="C935" s="43"/>
      <c r="M935" s="43"/>
      <c r="O935" s="44"/>
      <c r="P935" s="45"/>
      <c r="Q935" s="46"/>
      <c r="R935" s="47"/>
      <c r="S935" s="44"/>
      <c r="U935" s="46"/>
      <c r="V935" s="44"/>
      <c r="Y935" s="46"/>
      <c r="Z935" s="44"/>
      <c r="AC935" s="46"/>
      <c r="AD935" s="44"/>
    </row>
    <row r="936">
      <c r="C936" s="43"/>
      <c r="M936" s="43"/>
      <c r="O936" s="44"/>
      <c r="P936" s="45"/>
      <c r="Q936" s="46"/>
      <c r="R936" s="47"/>
      <c r="S936" s="44"/>
      <c r="U936" s="46"/>
      <c r="V936" s="44"/>
      <c r="Y936" s="46"/>
      <c r="Z936" s="44"/>
      <c r="AC936" s="46"/>
      <c r="AD936" s="44"/>
    </row>
    <row r="937">
      <c r="C937" s="43"/>
      <c r="M937" s="43"/>
      <c r="O937" s="44"/>
      <c r="P937" s="45"/>
      <c r="Q937" s="46"/>
      <c r="R937" s="47"/>
      <c r="S937" s="44"/>
      <c r="U937" s="46"/>
      <c r="V937" s="44"/>
      <c r="Y937" s="46"/>
      <c r="Z937" s="44"/>
      <c r="AC937" s="46"/>
      <c r="AD937" s="44"/>
    </row>
    <row r="938">
      <c r="C938" s="43"/>
      <c r="M938" s="43"/>
      <c r="O938" s="44"/>
      <c r="P938" s="45"/>
      <c r="Q938" s="46"/>
      <c r="R938" s="47"/>
      <c r="S938" s="44"/>
      <c r="U938" s="46"/>
      <c r="V938" s="44"/>
      <c r="Y938" s="46"/>
      <c r="Z938" s="44"/>
      <c r="AC938" s="46"/>
      <c r="AD938" s="44"/>
    </row>
    <row r="939">
      <c r="C939" s="43"/>
      <c r="M939" s="43"/>
      <c r="O939" s="44"/>
      <c r="P939" s="45"/>
      <c r="Q939" s="46"/>
      <c r="R939" s="47"/>
      <c r="S939" s="44"/>
      <c r="U939" s="46"/>
      <c r="V939" s="44"/>
      <c r="Y939" s="46"/>
      <c r="Z939" s="44"/>
      <c r="AC939" s="46"/>
      <c r="AD939" s="44"/>
    </row>
    <row r="940">
      <c r="C940" s="43"/>
      <c r="M940" s="43"/>
      <c r="O940" s="44"/>
      <c r="P940" s="45"/>
      <c r="Q940" s="46"/>
      <c r="R940" s="47"/>
      <c r="S940" s="44"/>
      <c r="U940" s="46"/>
      <c r="V940" s="44"/>
      <c r="Y940" s="46"/>
      <c r="Z940" s="44"/>
      <c r="AC940" s="46"/>
      <c r="AD940" s="44"/>
    </row>
    <row r="941">
      <c r="C941" s="43"/>
      <c r="M941" s="43"/>
      <c r="O941" s="44"/>
      <c r="P941" s="45"/>
      <c r="Q941" s="46"/>
      <c r="R941" s="47"/>
      <c r="S941" s="44"/>
      <c r="U941" s="46"/>
      <c r="V941" s="44"/>
      <c r="Y941" s="46"/>
      <c r="Z941" s="44"/>
      <c r="AC941" s="46"/>
      <c r="AD941" s="44"/>
    </row>
    <row r="942">
      <c r="C942" s="43"/>
      <c r="M942" s="43"/>
      <c r="O942" s="44"/>
      <c r="P942" s="45"/>
      <c r="Q942" s="46"/>
      <c r="R942" s="47"/>
      <c r="S942" s="44"/>
      <c r="U942" s="46"/>
      <c r="V942" s="44"/>
      <c r="Y942" s="46"/>
      <c r="Z942" s="44"/>
      <c r="AC942" s="46"/>
      <c r="AD942" s="44"/>
    </row>
    <row r="943">
      <c r="C943" s="43"/>
      <c r="M943" s="43"/>
      <c r="O943" s="44"/>
      <c r="P943" s="45"/>
      <c r="Q943" s="46"/>
      <c r="R943" s="47"/>
      <c r="S943" s="44"/>
      <c r="U943" s="46"/>
      <c r="V943" s="44"/>
      <c r="Y943" s="46"/>
      <c r="Z943" s="44"/>
      <c r="AC943" s="46"/>
      <c r="AD943" s="44"/>
    </row>
    <row r="944">
      <c r="C944" s="43"/>
      <c r="M944" s="43"/>
      <c r="O944" s="44"/>
      <c r="P944" s="45"/>
      <c r="Q944" s="46"/>
      <c r="R944" s="47"/>
      <c r="S944" s="44"/>
      <c r="U944" s="46"/>
      <c r="V944" s="44"/>
      <c r="Y944" s="46"/>
      <c r="Z944" s="44"/>
      <c r="AC944" s="46"/>
      <c r="AD944" s="44"/>
    </row>
    <row r="945">
      <c r="C945" s="43"/>
      <c r="M945" s="43"/>
      <c r="O945" s="44"/>
      <c r="P945" s="45"/>
      <c r="Q945" s="46"/>
      <c r="R945" s="47"/>
      <c r="S945" s="44"/>
      <c r="U945" s="46"/>
      <c r="V945" s="44"/>
      <c r="Y945" s="46"/>
      <c r="Z945" s="44"/>
      <c r="AC945" s="46"/>
      <c r="AD945" s="44"/>
    </row>
    <row r="946">
      <c r="C946" s="43"/>
      <c r="M946" s="43"/>
      <c r="O946" s="44"/>
      <c r="P946" s="45"/>
      <c r="Q946" s="46"/>
      <c r="R946" s="47"/>
      <c r="S946" s="44"/>
      <c r="U946" s="46"/>
      <c r="V946" s="44"/>
      <c r="Y946" s="46"/>
      <c r="Z946" s="44"/>
      <c r="AC946" s="46"/>
      <c r="AD946" s="44"/>
    </row>
    <row r="947">
      <c r="C947" s="43"/>
      <c r="M947" s="43"/>
      <c r="O947" s="44"/>
      <c r="P947" s="45"/>
      <c r="Q947" s="46"/>
      <c r="R947" s="47"/>
      <c r="S947" s="44"/>
      <c r="U947" s="46"/>
      <c r="V947" s="44"/>
      <c r="Y947" s="46"/>
      <c r="Z947" s="44"/>
      <c r="AC947" s="46"/>
      <c r="AD947" s="44"/>
    </row>
    <row r="948">
      <c r="C948" s="43"/>
      <c r="M948" s="43"/>
      <c r="O948" s="44"/>
      <c r="P948" s="45"/>
      <c r="Q948" s="46"/>
      <c r="R948" s="47"/>
      <c r="S948" s="44"/>
      <c r="U948" s="46"/>
      <c r="V948" s="44"/>
      <c r="Y948" s="46"/>
      <c r="Z948" s="44"/>
      <c r="AC948" s="46"/>
      <c r="AD948" s="44"/>
    </row>
    <row r="949">
      <c r="C949" s="43"/>
      <c r="M949" s="43"/>
      <c r="O949" s="44"/>
      <c r="P949" s="45"/>
      <c r="Q949" s="46"/>
      <c r="R949" s="47"/>
      <c r="S949" s="44"/>
      <c r="U949" s="46"/>
      <c r="V949" s="44"/>
      <c r="Y949" s="46"/>
      <c r="Z949" s="44"/>
      <c r="AC949" s="46"/>
      <c r="AD949" s="44"/>
    </row>
    <row r="950">
      <c r="C950" s="43"/>
      <c r="M950" s="43"/>
      <c r="O950" s="44"/>
      <c r="P950" s="45"/>
      <c r="Q950" s="46"/>
      <c r="R950" s="47"/>
      <c r="S950" s="44"/>
      <c r="U950" s="46"/>
      <c r="V950" s="44"/>
      <c r="Y950" s="46"/>
      <c r="Z950" s="44"/>
      <c r="AC950" s="46"/>
      <c r="AD950" s="44"/>
    </row>
    <row r="951">
      <c r="C951" s="43"/>
      <c r="M951" s="43"/>
      <c r="O951" s="44"/>
      <c r="P951" s="45"/>
      <c r="Q951" s="46"/>
      <c r="R951" s="47"/>
      <c r="S951" s="44"/>
      <c r="U951" s="46"/>
      <c r="V951" s="44"/>
      <c r="Y951" s="46"/>
      <c r="Z951" s="44"/>
      <c r="AC951" s="46"/>
      <c r="AD951" s="44"/>
    </row>
    <row r="952">
      <c r="C952" s="43"/>
      <c r="M952" s="43"/>
      <c r="O952" s="44"/>
      <c r="P952" s="45"/>
      <c r="Q952" s="46"/>
      <c r="R952" s="47"/>
      <c r="S952" s="44"/>
      <c r="U952" s="46"/>
      <c r="V952" s="44"/>
      <c r="Y952" s="46"/>
      <c r="Z952" s="44"/>
      <c r="AC952" s="46"/>
      <c r="AD952" s="44"/>
    </row>
    <row r="953">
      <c r="C953" s="43"/>
      <c r="M953" s="43"/>
      <c r="O953" s="44"/>
      <c r="P953" s="45"/>
      <c r="Q953" s="46"/>
      <c r="R953" s="47"/>
      <c r="S953" s="44"/>
      <c r="U953" s="46"/>
      <c r="V953" s="44"/>
      <c r="Y953" s="46"/>
      <c r="Z953" s="44"/>
      <c r="AC953" s="46"/>
      <c r="AD953" s="44"/>
    </row>
    <row r="954">
      <c r="C954" s="43"/>
      <c r="M954" s="43"/>
      <c r="O954" s="44"/>
      <c r="P954" s="45"/>
      <c r="Q954" s="46"/>
      <c r="R954" s="47"/>
      <c r="S954" s="44"/>
      <c r="U954" s="46"/>
      <c r="V954" s="44"/>
      <c r="Y954" s="46"/>
      <c r="Z954" s="44"/>
      <c r="AC954" s="46"/>
      <c r="AD954" s="44"/>
    </row>
    <row r="955">
      <c r="C955" s="43"/>
      <c r="M955" s="43"/>
      <c r="O955" s="44"/>
      <c r="P955" s="45"/>
      <c r="Q955" s="46"/>
      <c r="R955" s="47"/>
      <c r="S955" s="44"/>
      <c r="U955" s="46"/>
      <c r="V955" s="44"/>
      <c r="Y955" s="46"/>
      <c r="Z955" s="44"/>
      <c r="AC955" s="46"/>
      <c r="AD955" s="44"/>
    </row>
    <row r="956">
      <c r="C956" s="43"/>
      <c r="M956" s="43"/>
      <c r="O956" s="44"/>
      <c r="P956" s="45"/>
      <c r="Q956" s="46"/>
      <c r="R956" s="47"/>
      <c r="S956" s="44"/>
      <c r="U956" s="46"/>
      <c r="V956" s="44"/>
      <c r="Y956" s="46"/>
      <c r="Z956" s="44"/>
      <c r="AC956" s="46"/>
      <c r="AD956" s="44"/>
    </row>
    <row r="957">
      <c r="C957" s="43"/>
      <c r="M957" s="43"/>
      <c r="O957" s="44"/>
      <c r="P957" s="45"/>
      <c r="Q957" s="46"/>
      <c r="R957" s="47"/>
      <c r="S957" s="44"/>
      <c r="U957" s="46"/>
      <c r="V957" s="44"/>
      <c r="Y957" s="46"/>
      <c r="Z957" s="44"/>
      <c r="AC957" s="46"/>
      <c r="AD957" s="44"/>
    </row>
    <row r="958">
      <c r="C958" s="43"/>
      <c r="M958" s="43"/>
      <c r="O958" s="44"/>
      <c r="P958" s="45"/>
      <c r="Q958" s="46"/>
      <c r="R958" s="47"/>
      <c r="S958" s="44"/>
      <c r="U958" s="46"/>
      <c r="V958" s="44"/>
      <c r="Y958" s="46"/>
      <c r="Z958" s="44"/>
      <c r="AC958" s="46"/>
      <c r="AD958" s="44"/>
    </row>
    <row r="959">
      <c r="C959" s="43"/>
      <c r="M959" s="43"/>
      <c r="O959" s="44"/>
      <c r="P959" s="45"/>
      <c r="Q959" s="46"/>
      <c r="R959" s="47"/>
      <c r="S959" s="44"/>
      <c r="U959" s="46"/>
      <c r="V959" s="44"/>
      <c r="Y959" s="46"/>
      <c r="Z959" s="44"/>
      <c r="AC959" s="46"/>
      <c r="AD959" s="44"/>
    </row>
    <row r="960">
      <c r="C960" s="43"/>
      <c r="M960" s="43"/>
      <c r="O960" s="44"/>
      <c r="P960" s="45"/>
      <c r="Q960" s="46"/>
      <c r="R960" s="47"/>
      <c r="S960" s="44"/>
      <c r="U960" s="46"/>
      <c r="V960" s="44"/>
      <c r="Y960" s="46"/>
      <c r="Z960" s="44"/>
      <c r="AC960" s="46"/>
      <c r="AD960" s="44"/>
    </row>
    <row r="961">
      <c r="C961" s="43"/>
      <c r="M961" s="43"/>
      <c r="O961" s="44"/>
      <c r="P961" s="45"/>
      <c r="Q961" s="46"/>
      <c r="R961" s="47"/>
      <c r="S961" s="44"/>
      <c r="U961" s="46"/>
      <c r="V961" s="44"/>
      <c r="Y961" s="46"/>
      <c r="Z961" s="44"/>
      <c r="AC961" s="46"/>
      <c r="AD961" s="44"/>
    </row>
    <row r="962">
      <c r="C962" s="43"/>
      <c r="M962" s="43"/>
      <c r="O962" s="44"/>
      <c r="P962" s="45"/>
      <c r="Q962" s="46"/>
      <c r="R962" s="47"/>
      <c r="S962" s="44"/>
      <c r="U962" s="46"/>
      <c r="V962" s="44"/>
      <c r="Y962" s="46"/>
      <c r="Z962" s="44"/>
      <c r="AC962" s="46"/>
      <c r="AD962" s="44"/>
    </row>
    <row r="963">
      <c r="C963" s="43"/>
      <c r="M963" s="43"/>
      <c r="O963" s="44"/>
      <c r="P963" s="45"/>
      <c r="Q963" s="46"/>
      <c r="R963" s="47"/>
      <c r="S963" s="44"/>
      <c r="U963" s="46"/>
      <c r="V963" s="44"/>
      <c r="Y963" s="46"/>
      <c r="Z963" s="44"/>
      <c r="AC963" s="46"/>
      <c r="AD963" s="44"/>
    </row>
    <row r="964">
      <c r="C964" s="43"/>
      <c r="M964" s="43"/>
      <c r="O964" s="44"/>
      <c r="P964" s="45"/>
      <c r="Q964" s="46"/>
      <c r="R964" s="47"/>
      <c r="S964" s="44"/>
      <c r="U964" s="46"/>
      <c r="V964" s="44"/>
      <c r="Y964" s="46"/>
      <c r="Z964" s="44"/>
      <c r="AC964" s="46"/>
      <c r="AD964" s="44"/>
    </row>
    <row r="965">
      <c r="C965" s="43"/>
      <c r="M965" s="43"/>
      <c r="O965" s="44"/>
      <c r="P965" s="45"/>
      <c r="Q965" s="46"/>
      <c r="R965" s="47"/>
      <c r="S965" s="44"/>
      <c r="U965" s="46"/>
      <c r="V965" s="44"/>
      <c r="Y965" s="46"/>
      <c r="Z965" s="44"/>
      <c r="AC965" s="46"/>
      <c r="AD965" s="44"/>
    </row>
    <row r="966">
      <c r="C966" s="43"/>
      <c r="M966" s="43"/>
      <c r="O966" s="44"/>
      <c r="P966" s="45"/>
      <c r="Q966" s="46"/>
      <c r="R966" s="47"/>
      <c r="S966" s="44"/>
      <c r="U966" s="46"/>
      <c r="V966" s="44"/>
      <c r="Y966" s="46"/>
      <c r="Z966" s="44"/>
      <c r="AC966" s="46"/>
      <c r="AD966" s="44"/>
    </row>
    <row r="967">
      <c r="C967" s="43"/>
      <c r="M967" s="43"/>
      <c r="O967" s="44"/>
      <c r="P967" s="45"/>
      <c r="Q967" s="46"/>
      <c r="R967" s="47"/>
      <c r="S967" s="44"/>
      <c r="U967" s="46"/>
      <c r="V967" s="44"/>
      <c r="Y967" s="46"/>
      <c r="Z967" s="44"/>
      <c r="AC967" s="46"/>
      <c r="AD967" s="44"/>
    </row>
    <row r="968">
      <c r="C968" s="43"/>
      <c r="M968" s="43"/>
      <c r="O968" s="44"/>
      <c r="P968" s="45"/>
      <c r="Q968" s="46"/>
      <c r="R968" s="47"/>
      <c r="S968" s="44"/>
      <c r="U968" s="46"/>
      <c r="V968" s="44"/>
      <c r="Y968" s="46"/>
      <c r="Z968" s="44"/>
      <c r="AC968" s="46"/>
      <c r="AD968" s="44"/>
    </row>
    <row r="969">
      <c r="C969" s="43"/>
      <c r="M969" s="43"/>
      <c r="O969" s="44"/>
      <c r="P969" s="45"/>
      <c r="Q969" s="46"/>
      <c r="R969" s="47"/>
      <c r="S969" s="44"/>
      <c r="U969" s="46"/>
      <c r="V969" s="44"/>
      <c r="Y969" s="46"/>
      <c r="Z969" s="44"/>
      <c r="AC969" s="46"/>
      <c r="AD969" s="44"/>
    </row>
    <row r="970">
      <c r="C970" s="43"/>
      <c r="M970" s="43"/>
      <c r="O970" s="44"/>
      <c r="P970" s="45"/>
      <c r="Q970" s="46"/>
      <c r="R970" s="47"/>
      <c r="S970" s="44"/>
      <c r="U970" s="46"/>
      <c r="V970" s="44"/>
      <c r="Y970" s="46"/>
      <c r="Z970" s="44"/>
      <c r="AC970" s="46"/>
      <c r="AD970" s="44"/>
    </row>
    <row r="971">
      <c r="C971" s="43"/>
      <c r="M971" s="43"/>
      <c r="O971" s="44"/>
      <c r="P971" s="45"/>
      <c r="Q971" s="46"/>
      <c r="R971" s="47"/>
      <c r="S971" s="44"/>
      <c r="U971" s="46"/>
      <c r="V971" s="44"/>
      <c r="Y971" s="46"/>
      <c r="Z971" s="44"/>
      <c r="AC971" s="46"/>
      <c r="AD971" s="44"/>
    </row>
    <row r="972">
      <c r="C972" s="43"/>
      <c r="M972" s="43"/>
      <c r="O972" s="44"/>
      <c r="P972" s="45"/>
      <c r="Q972" s="46"/>
      <c r="R972" s="47"/>
      <c r="S972" s="44"/>
      <c r="U972" s="46"/>
      <c r="V972" s="44"/>
      <c r="Y972" s="46"/>
      <c r="Z972" s="44"/>
      <c r="AC972" s="46"/>
      <c r="AD972" s="44"/>
    </row>
    <row r="973">
      <c r="C973" s="43"/>
      <c r="M973" s="43"/>
      <c r="O973" s="44"/>
      <c r="P973" s="45"/>
      <c r="Q973" s="46"/>
      <c r="R973" s="47"/>
      <c r="S973" s="44"/>
      <c r="U973" s="46"/>
      <c r="V973" s="44"/>
      <c r="Y973" s="46"/>
      <c r="Z973" s="44"/>
      <c r="AC973" s="46"/>
      <c r="AD973" s="44"/>
    </row>
    <row r="974">
      <c r="C974" s="43"/>
      <c r="M974" s="43"/>
      <c r="O974" s="44"/>
      <c r="P974" s="45"/>
      <c r="Q974" s="46"/>
      <c r="R974" s="47"/>
      <c r="S974" s="44"/>
      <c r="U974" s="46"/>
      <c r="V974" s="44"/>
      <c r="Y974" s="46"/>
      <c r="Z974" s="44"/>
      <c r="AC974" s="46"/>
      <c r="AD974" s="44"/>
    </row>
    <row r="975">
      <c r="C975" s="43"/>
      <c r="M975" s="43"/>
      <c r="O975" s="44"/>
      <c r="P975" s="45"/>
      <c r="Q975" s="46"/>
      <c r="R975" s="47"/>
      <c r="S975" s="44"/>
      <c r="U975" s="46"/>
      <c r="V975" s="44"/>
      <c r="Y975" s="46"/>
      <c r="Z975" s="44"/>
      <c r="AC975" s="46"/>
      <c r="AD975" s="44"/>
    </row>
    <row r="976">
      <c r="C976" s="43"/>
      <c r="M976" s="43"/>
      <c r="O976" s="44"/>
      <c r="P976" s="45"/>
      <c r="Q976" s="46"/>
      <c r="R976" s="47"/>
      <c r="S976" s="44"/>
      <c r="U976" s="46"/>
      <c r="V976" s="44"/>
      <c r="Y976" s="46"/>
      <c r="Z976" s="44"/>
      <c r="AC976" s="46"/>
      <c r="AD976" s="44"/>
    </row>
    <row r="977">
      <c r="C977" s="43"/>
      <c r="M977" s="43"/>
      <c r="O977" s="44"/>
      <c r="P977" s="45"/>
      <c r="Q977" s="46"/>
      <c r="R977" s="47"/>
      <c r="S977" s="44"/>
      <c r="U977" s="46"/>
      <c r="V977" s="44"/>
      <c r="Y977" s="46"/>
      <c r="Z977" s="44"/>
      <c r="AC977" s="46"/>
      <c r="AD977" s="44"/>
    </row>
    <row r="978">
      <c r="C978" s="43"/>
      <c r="M978" s="43"/>
      <c r="O978" s="44"/>
      <c r="P978" s="45"/>
      <c r="Q978" s="46"/>
      <c r="R978" s="47"/>
      <c r="S978" s="44"/>
      <c r="U978" s="46"/>
      <c r="V978" s="44"/>
      <c r="Y978" s="46"/>
      <c r="Z978" s="44"/>
      <c r="AC978" s="46"/>
      <c r="AD978" s="44"/>
    </row>
    <row r="979">
      <c r="C979" s="43"/>
      <c r="M979" s="43"/>
      <c r="O979" s="44"/>
      <c r="P979" s="45"/>
      <c r="Q979" s="46"/>
      <c r="R979" s="47"/>
      <c r="S979" s="44"/>
      <c r="U979" s="46"/>
      <c r="V979" s="44"/>
      <c r="Y979" s="46"/>
      <c r="Z979" s="44"/>
      <c r="AC979" s="46"/>
      <c r="AD979" s="44"/>
    </row>
    <row r="980">
      <c r="C980" s="43"/>
      <c r="M980" s="43"/>
      <c r="O980" s="44"/>
      <c r="P980" s="45"/>
      <c r="Q980" s="46"/>
      <c r="R980" s="47"/>
      <c r="S980" s="44"/>
      <c r="U980" s="46"/>
      <c r="V980" s="44"/>
      <c r="Y980" s="46"/>
      <c r="Z980" s="44"/>
      <c r="AC980" s="46"/>
      <c r="AD980" s="44"/>
    </row>
    <row r="981">
      <c r="C981" s="43"/>
      <c r="M981" s="43"/>
      <c r="O981" s="44"/>
      <c r="P981" s="45"/>
      <c r="Q981" s="46"/>
      <c r="R981" s="47"/>
      <c r="S981" s="44"/>
      <c r="U981" s="46"/>
      <c r="V981" s="44"/>
      <c r="Y981" s="46"/>
      <c r="Z981" s="44"/>
      <c r="AC981" s="46"/>
      <c r="AD981" s="44"/>
    </row>
    <row r="982">
      <c r="C982" s="43"/>
      <c r="M982" s="43"/>
      <c r="O982" s="44"/>
      <c r="P982" s="45"/>
      <c r="Q982" s="46"/>
      <c r="R982" s="47"/>
      <c r="S982" s="44"/>
      <c r="U982" s="46"/>
      <c r="V982" s="44"/>
      <c r="Y982" s="46"/>
      <c r="Z982" s="44"/>
      <c r="AC982" s="46"/>
      <c r="AD982" s="44"/>
    </row>
    <row r="983">
      <c r="C983" s="43"/>
      <c r="M983" s="43"/>
      <c r="O983" s="44"/>
      <c r="P983" s="45"/>
      <c r="Q983" s="46"/>
      <c r="R983" s="47"/>
      <c r="S983" s="44"/>
      <c r="U983" s="46"/>
      <c r="V983" s="44"/>
      <c r="Y983" s="46"/>
      <c r="Z983" s="44"/>
      <c r="AC983" s="46"/>
      <c r="AD983" s="44"/>
    </row>
    <row r="984">
      <c r="C984" s="43"/>
      <c r="M984" s="43"/>
      <c r="O984" s="44"/>
      <c r="P984" s="45"/>
      <c r="Q984" s="46"/>
      <c r="R984" s="47"/>
      <c r="S984" s="44"/>
      <c r="U984" s="46"/>
      <c r="V984" s="44"/>
      <c r="Y984" s="46"/>
      <c r="Z984" s="44"/>
      <c r="AC984" s="46"/>
      <c r="AD984" s="44"/>
    </row>
    <row r="985">
      <c r="C985" s="43"/>
      <c r="M985" s="43"/>
      <c r="O985" s="44"/>
      <c r="P985" s="45"/>
      <c r="Q985" s="46"/>
      <c r="R985" s="47"/>
      <c r="S985" s="44"/>
      <c r="U985" s="46"/>
      <c r="V985" s="44"/>
      <c r="Y985" s="46"/>
      <c r="Z985" s="44"/>
      <c r="AC985" s="46"/>
      <c r="AD985" s="44"/>
    </row>
    <row r="986">
      <c r="C986" s="43"/>
      <c r="M986" s="43"/>
      <c r="O986" s="44"/>
      <c r="P986" s="45"/>
      <c r="Q986" s="46"/>
      <c r="R986" s="47"/>
      <c r="S986" s="44"/>
      <c r="U986" s="46"/>
      <c r="V986" s="44"/>
      <c r="Y986" s="46"/>
      <c r="Z986" s="44"/>
      <c r="AC986" s="46"/>
      <c r="AD986" s="44"/>
    </row>
    <row r="987">
      <c r="C987" s="43"/>
      <c r="M987" s="43"/>
      <c r="O987" s="44"/>
      <c r="P987" s="45"/>
      <c r="Q987" s="46"/>
      <c r="R987" s="47"/>
      <c r="S987" s="44"/>
      <c r="U987" s="46"/>
      <c r="V987" s="44"/>
      <c r="Y987" s="46"/>
      <c r="Z987" s="44"/>
      <c r="AC987" s="46"/>
      <c r="AD987" s="44"/>
    </row>
    <row r="988">
      <c r="C988" s="43"/>
      <c r="M988" s="43"/>
      <c r="O988" s="44"/>
      <c r="P988" s="45"/>
      <c r="Q988" s="46"/>
      <c r="R988" s="47"/>
      <c r="S988" s="44"/>
      <c r="U988" s="46"/>
      <c r="V988" s="44"/>
      <c r="Y988" s="46"/>
      <c r="Z988" s="44"/>
      <c r="AC988" s="46"/>
      <c r="AD988" s="44"/>
    </row>
    <row r="989">
      <c r="C989" s="43"/>
      <c r="M989" s="43"/>
      <c r="O989" s="44"/>
      <c r="P989" s="45"/>
      <c r="Q989" s="46"/>
      <c r="R989" s="47"/>
      <c r="S989" s="44"/>
      <c r="U989" s="46"/>
      <c r="V989" s="44"/>
      <c r="Y989" s="46"/>
      <c r="Z989" s="44"/>
      <c r="AC989" s="46"/>
      <c r="AD989" s="44"/>
    </row>
    <row r="990">
      <c r="C990" s="43"/>
      <c r="M990" s="43"/>
      <c r="O990" s="44"/>
      <c r="P990" s="45"/>
      <c r="Q990" s="46"/>
      <c r="R990" s="47"/>
      <c r="S990" s="44"/>
      <c r="U990" s="46"/>
      <c r="V990" s="44"/>
      <c r="Y990" s="46"/>
      <c r="Z990" s="44"/>
      <c r="AC990" s="46"/>
      <c r="AD990" s="44"/>
    </row>
    <row r="991">
      <c r="C991" s="43"/>
      <c r="M991" s="43"/>
      <c r="O991" s="44"/>
      <c r="P991" s="45"/>
      <c r="Q991" s="46"/>
      <c r="R991" s="47"/>
      <c r="S991" s="44"/>
      <c r="U991" s="46"/>
      <c r="V991" s="44"/>
      <c r="Y991" s="46"/>
      <c r="Z991" s="44"/>
      <c r="AC991" s="46"/>
      <c r="AD991" s="44"/>
    </row>
    <row r="992">
      <c r="C992" s="43"/>
      <c r="M992" s="43"/>
      <c r="O992" s="44"/>
      <c r="P992" s="45"/>
      <c r="Q992" s="46"/>
      <c r="R992" s="47"/>
      <c r="S992" s="44"/>
      <c r="U992" s="46"/>
      <c r="V992" s="44"/>
      <c r="Y992" s="46"/>
      <c r="Z992" s="44"/>
      <c r="AC992" s="46"/>
      <c r="AD992" s="44"/>
    </row>
    <row r="993">
      <c r="C993" s="43"/>
      <c r="M993" s="43"/>
      <c r="O993" s="44"/>
      <c r="P993" s="45"/>
      <c r="Q993" s="46"/>
      <c r="R993" s="47"/>
      <c r="S993" s="44"/>
      <c r="U993" s="46"/>
      <c r="V993" s="44"/>
      <c r="Y993" s="46"/>
      <c r="Z993" s="44"/>
      <c r="AC993" s="46"/>
      <c r="AD993" s="44"/>
    </row>
    <row r="994">
      <c r="C994" s="43"/>
      <c r="M994" s="43"/>
      <c r="O994" s="44"/>
      <c r="P994" s="45"/>
      <c r="Q994" s="46"/>
      <c r="R994" s="47"/>
      <c r="S994" s="44"/>
      <c r="U994" s="46"/>
      <c r="V994" s="44"/>
      <c r="Y994" s="46"/>
      <c r="Z994" s="44"/>
      <c r="AC994" s="46"/>
      <c r="AD994" s="44"/>
    </row>
    <row r="995">
      <c r="C995" s="43"/>
      <c r="M995" s="43"/>
      <c r="O995" s="44"/>
      <c r="P995" s="45"/>
      <c r="Q995" s="46"/>
      <c r="R995" s="47"/>
      <c r="S995" s="44"/>
      <c r="U995" s="46"/>
      <c r="V995" s="44"/>
      <c r="Y995" s="46"/>
      <c r="Z995" s="44"/>
      <c r="AC995" s="46"/>
      <c r="AD995" s="44"/>
    </row>
    <row r="996">
      <c r="C996" s="43"/>
      <c r="M996" s="43"/>
      <c r="O996" s="44"/>
      <c r="P996" s="45"/>
      <c r="Q996" s="46"/>
      <c r="R996" s="47"/>
      <c r="S996" s="44"/>
      <c r="U996" s="46"/>
      <c r="V996" s="44"/>
      <c r="Y996" s="46"/>
      <c r="Z996" s="44"/>
      <c r="AC996" s="46"/>
      <c r="AD996" s="44"/>
    </row>
    <row r="997">
      <c r="C997" s="43"/>
      <c r="M997" s="43"/>
      <c r="O997" s="44"/>
      <c r="P997" s="45"/>
      <c r="Q997" s="46"/>
      <c r="R997" s="47"/>
      <c r="S997" s="44"/>
      <c r="U997" s="46"/>
      <c r="V997" s="44"/>
      <c r="Y997" s="46"/>
      <c r="Z997" s="44"/>
      <c r="AC997" s="46"/>
      <c r="AD997" s="44"/>
    </row>
    <row r="998">
      <c r="C998" s="43"/>
      <c r="M998" s="43"/>
      <c r="O998" s="44"/>
      <c r="P998" s="45"/>
      <c r="Q998" s="46"/>
      <c r="R998" s="47"/>
      <c r="S998" s="44"/>
      <c r="U998" s="46"/>
      <c r="V998" s="44"/>
      <c r="Y998" s="46"/>
      <c r="Z998" s="44"/>
      <c r="AC998" s="46"/>
      <c r="AD998" s="44"/>
    </row>
    <row r="999">
      <c r="C999" s="43"/>
      <c r="M999" s="43"/>
      <c r="O999" s="44"/>
      <c r="P999" s="45"/>
      <c r="Q999" s="46"/>
      <c r="R999" s="47"/>
      <c r="S999" s="44"/>
      <c r="U999" s="46"/>
      <c r="V999" s="44"/>
      <c r="Y999" s="46"/>
      <c r="Z999" s="44"/>
      <c r="AC999" s="46"/>
      <c r="AD999" s="44"/>
    </row>
    <row r="1000">
      <c r="C1000" s="43"/>
      <c r="M1000" s="43"/>
      <c r="O1000" s="44"/>
      <c r="P1000" s="45"/>
      <c r="Q1000" s="46"/>
      <c r="R1000" s="47"/>
      <c r="S1000" s="44"/>
      <c r="U1000" s="46"/>
      <c r="V1000" s="44"/>
      <c r="Y1000" s="46"/>
      <c r="Z1000" s="44"/>
      <c r="AC1000" s="46"/>
      <c r="AD1000" s="44"/>
    </row>
  </sheetData>
  <conditionalFormatting sqref="AJ2">
    <cfRule type="colorScale" priority="1">
      <colorScale>
        <cfvo type="min"/>
        <cfvo type="max"/>
        <color rgb="FF57BB8A"/>
        <color rgb="FFFFFFFF"/>
      </colorScale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17.5"/>
    <col customWidth="1" min="3" max="3" width="23.63"/>
  </cols>
  <sheetData>
    <row r="1">
      <c r="A1" s="48" t="s">
        <v>189</v>
      </c>
      <c r="B1" s="44">
        <f>MAX(PRINCIPAL!O:O)</f>
        <v>4762926995</v>
      </c>
      <c r="C1" s="49" t="str">
        <f>VLOOKUP(B1,PRINCIPAL!O:AG,19,0)</f>
        <v>Vale</v>
      </c>
    </row>
    <row r="2">
      <c r="A2" s="48" t="s">
        <v>190</v>
      </c>
      <c r="B2" s="44">
        <f>MIN(PRINCIPAL!O:O)</f>
        <v>-1807432634</v>
      </c>
      <c r="C2" s="49" t="str">
        <f>VLOOKUP(B2,PRINCIPAL!O:AG,19,0)</f>
        <v>Localiza</v>
      </c>
    </row>
    <row r="3">
      <c r="A3" s="48" t="s">
        <v>191</v>
      </c>
      <c r="B3" s="44">
        <f>AVERAGE(PRINCIPAL!O:O)</f>
        <v>165190210.5</v>
      </c>
      <c r="C3" s="49"/>
    </row>
    <row r="4">
      <c r="A4" s="48" t="s">
        <v>192</v>
      </c>
      <c r="B4" s="44">
        <f>AVERAGEIF(PRINCIPAL!P:P,"Subiu",PRINCIPAL!O:O)</f>
        <v>448164250.2</v>
      </c>
      <c r="C4" s="49"/>
    </row>
    <row r="5">
      <c r="A5" s="48" t="s">
        <v>193</v>
      </c>
      <c r="B5" s="44">
        <f>AVERAGEIF(PRINCIPAL!P:P,"Desceu",PRINCIPAL!O:O)</f>
        <v>-181109141.8</v>
      </c>
      <c r="C5" s="49"/>
    </row>
    <row r="9">
      <c r="A9" s="48" t="s">
        <v>194</v>
      </c>
      <c r="B9" s="48" t="s">
        <v>195</v>
      </c>
      <c r="C9" s="48" t="s">
        <v>196</v>
      </c>
    </row>
    <row r="10">
      <c r="A10" s="50" t="str">
        <f>IFERROR(__xludf.DUMMYFUNCTION("UNIQUE(PRINCIPAL!AH2:AH82)"),"Siderurgia")</f>
        <v>Siderurgia</v>
      </c>
      <c r="B10" s="44">
        <f>SUMIF(PRINCIPAL!AH:AH,A10,PRINCIPAL!O:O)</f>
        <v>489935930.9</v>
      </c>
      <c r="C10" s="44">
        <f>SUMIFS(PRINCIPAL!O:O,PRINCIPAL!AH:AH,A10,PRINCIPAL!P:P,"Subiu")</f>
        <v>489935930.9</v>
      </c>
    </row>
    <row r="11">
      <c r="A11" s="50" t="str">
        <f>IFERROR(__xludf.DUMMYFUNCTION("""COMPUTED_VALUE"""),"Mineração")</f>
        <v>Mineração</v>
      </c>
      <c r="B11" s="44">
        <f>SUMIF(PRINCIPAL!AH:AH,A11,PRINCIPAL!O:O)</f>
        <v>4940442966</v>
      </c>
      <c r="C11" s="44">
        <f>SUMIFS(PRINCIPAL!O:O,PRINCIPAL!AH:AH,A11,PRINCIPAL!P:P,"Subiu")</f>
        <v>4940442966</v>
      </c>
    </row>
    <row r="12">
      <c r="A12" s="50" t="str">
        <f>IFERROR(__xludf.DUMMYFUNCTION("""COMPUTED_VALUE"""),"Petróleo")</f>
        <v>Petróleo</v>
      </c>
      <c r="B12" s="44">
        <f>SUMIF(PRINCIPAL!AH:AH,A12,PRINCIPAL!O:O)</f>
        <v>6093288832</v>
      </c>
      <c r="C12" s="44">
        <f>SUMIFS(PRINCIPAL!O:O,PRINCIPAL!AH:AH,A12,PRINCIPAL!P:P,"Subiu")</f>
        <v>6093288832</v>
      </c>
    </row>
    <row r="13">
      <c r="A13" s="50" t="str">
        <f>IFERROR(__xludf.DUMMYFUNCTION("""COMPUTED_VALUE"""),"Papel e Celulose")</f>
        <v>Papel e Celulose</v>
      </c>
      <c r="B13" s="44">
        <f>SUMIF(PRINCIPAL!AH:AH,A13,PRINCIPAL!O:O)</f>
        <v>722946282.7</v>
      </c>
      <c r="C13" s="44">
        <f>SUMIFS(PRINCIPAL!O:O,PRINCIPAL!AH:AH,A13,PRINCIPAL!P:P,"Subiu")</f>
        <v>722946282.7</v>
      </c>
    </row>
    <row r="14">
      <c r="A14" s="50" t="str">
        <f>IFERROR(__xludf.DUMMYFUNCTION("""COMPUTED_VALUE"""),"Energia")</f>
        <v>Energia</v>
      </c>
      <c r="B14" s="44">
        <f>SUMIF(PRINCIPAL!AH:AH,A14,PRINCIPAL!O:O)</f>
        <v>368265294.4</v>
      </c>
      <c r="C14" s="44">
        <f>SUMIFS(PRINCIPAL!O:O,PRINCIPAL!AH:AH,A14,PRINCIPAL!P:P,"Subiu")</f>
        <v>1209821624</v>
      </c>
    </row>
    <row r="15">
      <c r="A15" s="50" t="str">
        <f>IFERROR(__xludf.DUMMYFUNCTION("""COMPUTED_VALUE"""),"Shopping Centers")</f>
        <v>Shopping Centers</v>
      </c>
      <c r="B15" s="44">
        <f>SUMIF(PRINCIPAL!AH:AH,A15,PRINCIPAL!O:O)</f>
        <v>117732680.1</v>
      </c>
      <c r="C15" s="44">
        <f>SUMIFS(PRINCIPAL!O:O,PRINCIPAL!AH:AH,A15,PRINCIPAL!P:P,"Subiu")</f>
        <v>117732680.1</v>
      </c>
    </row>
    <row r="16">
      <c r="A16" s="50" t="str">
        <f>IFERROR(__xludf.DUMMYFUNCTION("""COMPUTED_VALUE"""),"Banco")</f>
        <v>Banco</v>
      </c>
      <c r="B16" s="44">
        <f>SUMIF(PRINCIPAL!AH:AH,A16,PRINCIPAL!O:O)</f>
        <v>3740512019</v>
      </c>
      <c r="C16" s="44">
        <f>SUMIFS(PRINCIPAL!O:O,PRINCIPAL!AH:AH,A16,PRINCIPAL!P:P,"Subiu")</f>
        <v>3740512019</v>
      </c>
    </row>
    <row r="17">
      <c r="A17" s="50" t="str">
        <f>IFERROR(__xludf.DUMMYFUNCTION("""COMPUTED_VALUE"""),"Saúde")</f>
        <v>Saúde</v>
      </c>
      <c r="B17" s="44">
        <f>SUMIF(PRINCIPAL!AH:AH,A17,PRINCIPAL!O:O)</f>
        <v>60321469.88</v>
      </c>
      <c r="C17" s="44">
        <f>SUMIFS(PRINCIPAL!O:O,PRINCIPAL!AH:AH,A17,PRINCIPAL!P:P,"Subiu")</f>
        <v>453917907</v>
      </c>
    </row>
    <row r="18">
      <c r="A18" s="50" t="str">
        <f>IFERROR(__xludf.DUMMYFUNCTION("""COMPUTED_VALUE"""),"Química")</f>
        <v>Química</v>
      </c>
      <c r="B18" s="44">
        <f>SUMIF(PRINCIPAL!AH:AH,A18,PRINCIPAL!O:O)</f>
        <v>69054317.64</v>
      </c>
      <c r="C18" s="44">
        <f>SUMIFS(PRINCIPAL!O:O,PRINCIPAL!AH:AH,A18,PRINCIPAL!P:P,"Subiu")</f>
        <v>69054317.64</v>
      </c>
    </row>
    <row r="19">
      <c r="A19" s="50" t="str">
        <f>IFERROR(__xludf.DUMMYFUNCTION("""COMPUTED_VALUE"""),"Aviação")</f>
        <v>Aviação</v>
      </c>
      <c r="B19" s="44">
        <f>SUMIF(PRINCIPAL!AH:AH,A19,PRINCIPAL!O:O)</f>
        <v>-37540997.06</v>
      </c>
      <c r="C19" s="44">
        <f>SUMIFS(PRINCIPAL!O:O,PRINCIPAL!AH:AH,A19,PRINCIPAL!P:P,"Subiu")</f>
        <v>65452205.55</v>
      </c>
    </row>
    <row r="20">
      <c r="A20" s="50" t="str">
        <f>IFERROR(__xludf.DUMMYFUNCTION("""COMPUTED_VALUE"""),"Educação")</f>
        <v>Educação</v>
      </c>
      <c r="B20" s="44">
        <f>SUMIF(PRINCIPAL!AH:AH,A20,PRINCIPAL!O:O)</f>
        <v>54641872.47</v>
      </c>
      <c r="C20" s="44">
        <f>SUMIFS(PRINCIPAL!O:O,PRINCIPAL!AH:AH,A20,PRINCIPAL!P:P,"Subiu")</f>
        <v>72295838.99</v>
      </c>
    </row>
    <row r="21">
      <c r="A21" s="50" t="str">
        <f>IFERROR(__xludf.DUMMYFUNCTION("""COMPUTED_VALUE"""),"Construção")</f>
        <v>Construção</v>
      </c>
      <c r="B21" s="44">
        <f>SUMIF(PRINCIPAL!AH:AH,A21,PRINCIPAL!O:O)</f>
        <v>-47419559.27</v>
      </c>
      <c r="C21" s="44">
        <f>SUMIFS(PRINCIPAL!O:O,PRINCIPAL!AH:AH,A21,PRINCIPAL!P:P,"Subiu")</f>
        <v>37525872.38</v>
      </c>
    </row>
    <row r="22">
      <c r="A22" s="50" t="str">
        <f>IFERROR(__xludf.DUMMYFUNCTION("""COMPUTED_VALUE"""),"Moda")</f>
        <v>Moda</v>
      </c>
      <c r="B22" s="44">
        <f>SUMIF(PRINCIPAL!AH:AH,A22,PRINCIPAL!O:O)</f>
        <v>-24449852.2</v>
      </c>
      <c r="C22" s="44">
        <f>SUMIFS(PRINCIPAL!O:O,PRINCIPAL!AH:AH,A22,PRINCIPAL!P:P,"Subiu")</f>
        <v>41021792.09</v>
      </c>
    </row>
    <row r="23">
      <c r="A23" s="50" t="str">
        <f>IFERROR(__xludf.DUMMYFUNCTION("""COMPUTED_VALUE"""),"Alimentos")</f>
        <v>Alimentos</v>
      </c>
      <c r="B23" s="44">
        <f>SUMIF(PRINCIPAL!AH:AH,A23,PRINCIPAL!O:O)</f>
        <v>407833683.1</v>
      </c>
      <c r="C23" s="44">
        <f>SUMIFS(PRINCIPAL!O:O,PRINCIPAL!AH:AH,A23,PRINCIPAL!P:P,"Subiu")</f>
        <v>407833683.1</v>
      </c>
    </row>
    <row r="24">
      <c r="A24" s="50" t="str">
        <f>IFERROR(__xludf.DUMMYFUNCTION("""COMPUTED_VALUE"""),"Varejo")</f>
        <v>Varejo</v>
      </c>
      <c r="B24" s="44">
        <f>SUMIF(PRINCIPAL!AH:AH,A24,PRINCIPAL!O:O)</f>
        <v>-556533527.6</v>
      </c>
      <c r="C24" s="44">
        <f>SUMIFS(PRINCIPAL!O:O,PRINCIPAL!AH:AH,A24,PRINCIPAL!P:P,"Subiu")</f>
        <v>237187009.2</v>
      </c>
    </row>
    <row r="25">
      <c r="A25" s="50" t="str">
        <f>IFERROR(__xludf.DUMMYFUNCTION("""COMPUTED_VALUE"""),"Telecomunicações")</f>
        <v>Telecomunicações</v>
      </c>
      <c r="B25" s="44">
        <f>SUMIF(PRINCIPAL!AH:AH,A25,PRINCIPAL!O:O)</f>
        <v>256118562.1</v>
      </c>
      <c r="C25" s="44">
        <f>SUMIFS(PRINCIPAL!O:O,PRINCIPAL!AH:AH,A25,PRINCIPAL!P:P,"Subiu")</f>
        <v>292938114.4</v>
      </c>
    </row>
    <row r="26">
      <c r="A26" s="50" t="str">
        <f>IFERROR(__xludf.DUMMYFUNCTION("""COMPUTED_VALUE"""),"Logística")</f>
        <v>Logística</v>
      </c>
      <c r="B26" s="44">
        <f>SUMIF(PRINCIPAL!AH:AH,A26,PRINCIPAL!O:O)</f>
        <v>233902674.8</v>
      </c>
      <c r="C26" s="44">
        <f>SUMIFS(PRINCIPAL!O:O,PRINCIPAL!AH:AH,A26,PRINCIPAL!P:P,"Subiu")</f>
        <v>233902674.8</v>
      </c>
    </row>
    <row r="27">
      <c r="A27" s="50" t="str">
        <f>IFERROR(__xludf.DUMMYFUNCTION("""COMPUTED_VALUE"""),"Meios de Pagamento")</f>
        <v>Meios de Pagamento</v>
      </c>
      <c r="B27" s="44">
        <f>SUMIF(PRINCIPAL!AH:AH,A27,PRINCIPAL!O:O)</f>
        <v>43657683.38</v>
      </c>
      <c r="C27" s="44">
        <f>SUMIFS(PRINCIPAL!O:O,PRINCIPAL!AH:AH,A27,PRINCIPAL!P:P,"Subiu")</f>
        <v>43657683.38</v>
      </c>
    </row>
    <row r="28">
      <c r="A28" s="50" t="str">
        <f>IFERROR(__xludf.DUMMYFUNCTION("""COMPUTED_VALUE"""),"Imobiliário")</f>
        <v>Imobiliário</v>
      </c>
      <c r="B28" s="44">
        <f>SUMIF(PRINCIPAL!AH:AH,A28,PRINCIPAL!O:O)</f>
        <v>4400604.27</v>
      </c>
      <c r="C28" s="44">
        <f>SUMIFS(PRINCIPAL!O:O,PRINCIPAL!AH:AH,A28,PRINCIPAL!P:P,"Subiu")</f>
        <v>18068446.61</v>
      </c>
    </row>
    <row r="29">
      <c r="A29" s="50" t="str">
        <f>IFERROR(__xludf.DUMMYFUNCTION("""COMPUTED_VALUE"""),"Holding")</f>
        <v>Holding</v>
      </c>
      <c r="B29" s="44">
        <f>SUMIF(PRINCIPAL!AH:AH,A29,PRINCIPAL!O:O)</f>
        <v>416092244.4</v>
      </c>
      <c r="C29" s="44">
        <f>SUMIFS(PRINCIPAL!O:O,PRINCIPAL!AH:AH,A29,PRINCIPAL!P:P,"Subiu")</f>
        <v>416092244.4</v>
      </c>
    </row>
    <row r="30">
      <c r="A30" s="50" t="str">
        <f>IFERROR(__xludf.DUMMYFUNCTION("""COMPUTED_VALUE"""),"Tecnologia")</f>
        <v>Tecnologia</v>
      </c>
      <c r="B30" s="44">
        <f>SUMIF(PRINCIPAL!AH:AH,A30,PRINCIPAL!O:O)</f>
        <v>6067508.905</v>
      </c>
      <c r="C30" s="44">
        <f>SUMIFS(PRINCIPAL!O:O,PRINCIPAL!AH:AH,A30,PRINCIPAL!P:P,"Subiu")</f>
        <v>15598886.65</v>
      </c>
    </row>
    <row r="31">
      <c r="A31" s="50" t="str">
        <f>IFERROR(__xludf.DUMMYFUNCTION("""COMPUTED_VALUE"""),"Bebidas")</f>
        <v>Bebidas</v>
      </c>
      <c r="B31" s="44">
        <f>SUMIF(PRINCIPAL!AH:AH,A31,PRINCIPAL!O:O)</f>
        <v>0</v>
      </c>
      <c r="C31" s="44">
        <f>SUMIFS(PRINCIPAL!O:O,PRINCIPAL!AH:AH,A31,PRINCIPAL!P:P,"Subiu")</f>
        <v>0</v>
      </c>
    </row>
    <row r="32">
      <c r="A32" s="50" t="str">
        <f>IFERROR(__xludf.DUMMYFUNCTION("""COMPUTED_VALUE"""),"Seguros")</f>
        <v>Seguros</v>
      </c>
      <c r="B32" s="44">
        <f>SUMIF(PRINCIPAL!AH:AH,A32,PRINCIPAL!O:O)</f>
        <v>-26297880.21</v>
      </c>
      <c r="C32" s="44">
        <f>SUMIFS(PRINCIPAL!O:O,PRINCIPAL!AH:AH,A32,PRINCIPAL!P:P,"Subiu")</f>
        <v>0</v>
      </c>
    </row>
    <row r="33">
      <c r="A33" s="50" t="str">
        <f>IFERROR(__xludf.DUMMYFUNCTION("""COMPUTED_VALUE"""),"Saneamento")</f>
        <v>Saneamento</v>
      </c>
      <c r="B33" s="44">
        <f>SUMIF(PRINCIPAL!AH:AH,A33,PRINCIPAL!O:O)</f>
        <v>-15725678.56</v>
      </c>
      <c r="C33" s="44">
        <f>SUMIFS(PRINCIPAL!O:O,PRINCIPAL!AH:AH,A33,PRINCIPAL!P:P,"Subiu")</f>
        <v>0</v>
      </c>
    </row>
    <row r="34">
      <c r="A34" s="50" t="str">
        <f>IFERROR(__xludf.DUMMYFUNCTION("""COMPUTED_VALUE"""),"Automação")</f>
        <v>Automação</v>
      </c>
      <c r="B34" s="44">
        <f>SUMIF(PRINCIPAL!AH:AH,A34,PRINCIPAL!O:O)</f>
        <v>-118230410.4</v>
      </c>
      <c r="C34" s="44">
        <f>SUMIFS(PRINCIPAL!O:O,PRINCIPAL!AH:AH,A34,PRINCIPAL!P:P,"Subiu")</f>
        <v>0</v>
      </c>
    </row>
    <row r="35">
      <c r="A35" s="50" t="str">
        <f>IFERROR(__xludf.DUMMYFUNCTION("""COMPUTED_VALUE"""),"Agronegócio")</f>
        <v>Agronegócio</v>
      </c>
      <c r="B35" s="44">
        <f>SUMIF(PRINCIPAL!AH:AH,A35,PRINCIPAL!O:O)</f>
        <v>-9468663.682</v>
      </c>
      <c r="C35" s="44">
        <f>SUMIFS(PRINCIPAL!O:O,PRINCIPAL!AH:AH,A35,PRINCIPAL!P:P,"Subiu")</f>
        <v>0</v>
      </c>
    </row>
    <row r="36">
      <c r="A36" s="50" t="str">
        <f>IFERROR(__xludf.DUMMYFUNCTION("""COMPUTED_VALUE"""),"Infraestrutura")</f>
        <v>Infraestrutura</v>
      </c>
      <c r="B36" s="44">
        <f>SUMIF(PRINCIPAL!AH:AH,A36,PRINCIPAL!O:O)</f>
        <v>-39743554.31</v>
      </c>
      <c r="C36" s="44">
        <f>SUMIFS(PRINCIPAL!O:O,PRINCIPAL!AH:AH,A36,PRINCIPAL!P:P,"Subiu")</f>
        <v>0</v>
      </c>
    </row>
    <row r="37">
      <c r="A37" s="50" t="str">
        <f>IFERROR(__xludf.DUMMYFUNCTION("""COMPUTED_VALUE"""),"Aeronáutica")</f>
        <v>Aeronáutica</v>
      </c>
      <c r="B37" s="44">
        <f>SUMIF(PRINCIPAL!AH:AH,A37,PRINCIPAL!O:O)</f>
        <v>-233651943.5</v>
      </c>
      <c r="C37" s="44">
        <f>SUMIFS(PRINCIPAL!O:O,PRINCIPAL!AH:AH,A37,PRINCIPAL!P:P,"Subiu")</f>
        <v>0</v>
      </c>
    </row>
    <row r="38">
      <c r="A38" s="50" t="str">
        <f>IFERROR(__xludf.DUMMYFUNCTION("""COMPUTED_VALUE"""),"Cosméticos")</f>
        <v>Cosméticos</v>
      </c>
      <c r="B38" s="44">
        <f>SUMIF(PRINCIPAL!AH:AH,A38,PRINCIPAL!O:O)</f>
        <v>-193280001.2</v>
      </c>
      <c r="C38" s="44">
        <f>SUMIFS(PRINCIPAL!O:O,PRINCIPAL!AH:AH,A38,PRINCIPAL!P:P,"Subiu")</f>
        <v>0</v>
      </c>
    </row>
    <row r="39">
      <c r="A39" s="50" t="str">
        <f>IFERROR(__xludf.DUMMYFUNCTION("""COMPUTED_VALUE"""),"Bolsa de Valores")</f>
        <v>Bolsa de Valores</v>
      </c>
      <c r="B39" s="44">
        <f>SUMIF(PRINCIPAL!AH:AH,A39,PRINCIPAL!O:O)</f>
        <v>-1173785666</v>
      </c>
      <c r="C39" s="44">
        <f>SUMIFS(PRINCIPAL!O:O,PRINCIPAL!AH:AH,A39,PRINCIPAL!P:P,"Subiu")</f>
        <v>0</v>
      </c>
    </row>
    <row r="40">
      <c r="A40" s="50" t="str">
        <f>IFERROR(__xludf.DUMMYFUNCTION("""COMPUTED_VALUE"""),"Farmacêutica")</f>
        <v>Farmacêutica</v>
      </c>
      <c r="B40" s="44">
        <f>SUMIF(PRINCIPAL!AH:AH,A40,PRINCIPAL!O:O)</f>
        <v>-208257014.2</v>
      </c>
      <c r="C40" s="44">
        <f>SUMIFS(PRINCIPAL!O:O,PRINCIPAL!AH:AH,A40,PRINCIPAL!P:P,"Subiu")</f>
        <v>0</v>
      </c>
    </row>
    <row r="41">
      <c r="A41" s="50" t="str">
        <f>IFERROR(__xludf.DUMMYFUNCTION("""COMPUTED_VALUE"""),"Açúcar e Álcool")</f>
        <v>Açúcar e Álcool</v>
      </c>
      <c r="B41" s="44">
        <f>SUMIF(PRINCIPAL!AH:AH,A41,PRINCIPAL!O:O)</f>
        <v>-79432785.74</v>
      </c>
      <c r="C41" s="44">
        <f>SUMIFS(PRINCIPAL!O:O,PRINCIPAL!AH:AH,A41,PRINCIPAL!P:P,"Subiu")</f>
        <v>0</v>
      </c>
    </row>
    <row r="42">
      <c r="A42" s="50" t="str">
        <f>IFERROR(__xludf.DUMMYFUNCTION("""COMPUTED_VALUE"""),"Aluguel de Carros")</f>
        <v>Aluguel de Carros</v>
      </c>
      <c r="B42" s="44">
        <f>SUMIF(PRINCIPAL!AH:AH,A42,PRINCIPAL!O:O)</f>
        <v>-1807432634</v>
      </c>
      <c r="C42" s="44">
        <f>SUMIFS(PRINCIPAL!O:O,PRINCIPAL!AH:AH,A42,PRINCIPAL!P:P,"Subiu")</f>
        <v>0</v>
      </c>
    </row>
    <row r="43">
      <c r="A43" s="50" t="str">
        <f>IFERROR(__xludf.DUMMYFUNCTION("""COMPUTED_VALUE"""),"Turismo")</f>
        <v>Turismo</v>
      </c>
      <c r="B43" s="44">
        <f>SUMIF(PRINCIPAL!AH:AH,A43,PRINCIPAL!O:O)</f>
        <v>-73557408.06</v>
      </c>
      <c r="C43" s="44">
        <f>SUMIFS(PRINCIPAL!O:O,PRINCIPAL!AH:AH,A43,PRINCIPAL!P:P,"Subiu")</f>
        <v>0</v>
      </c>
    </row>
    <row r="46">
      <c r="A46" s="51" t="str">
        <f>IFERROR(__xludf.DUMMYFUNCTION("UNIQUE(PRINCIPAL!P:P)"),"Resultado")</f>
        <v>Resultado</v>
      </c>
      <c r="B46" s="48" t="s">
        <v>197</v>
      </c>
    </row>
    <row r="47">
      <c r="A47" s="50" t="str">
        <f>IFERROR(__xludf.DUMMYFUNCTION("""COMPUTED_VALUE"""),"Subiu")</f>
        <v>Subiu</v>
      </c>
      <c r="B47" s="44">
        <f>SUMIF(PRINCIPAL!P:P,A47,PRINCIPAL!O:O)</f>
        <v>19719227010</v>
      </c>
    </row>
    <row r="48">
      <c r="A48" s="50" t="str">
        <f>IFERROR(__xludf.DUMMYFUNCTION("""COMPUTED_VALUE"""),"Estável")</f>
        <v>Estável</v>
      </c>
      <c r="B48" s="44">
        <f>SUMIF(PRINCIPAL!P:P,A48,PRINCIPAL!O:O)</f>
        <v>0</v>
      </c>
    </row>
    <row r="49">
      <c r="A49" s="50" t="str">
        <f>IFERROR(__xludf.DUMMYFUNCTION("""COMPUTED_VALUE"""),"Desceu")</f>
        <v>Desceu</v>
      </c>
      <c r="B49" s="44">
        <f>SUMIF(PRINCIPAL!P:P,A49,PRINCIPAL!O:O)</f>
        <v>-6338819961</v>
      </c>
    </row>
    <row r="50">
      <c r="A50" s="50"/>
    </row>
    <row r="51">
      <c r="A51" s="48" t="s">
        <v>198</v>
      </c>
      <c r="B51" s="48" t="s">
        <v>197</v>
      </c>
      <c r="C51" s="48" t="s">
        <v>199</v>
      </c>
    </row>
    <row r="52">
      <c r="A52" s="50" t="str">
        <f>IFERROR(__xludf.DUMMYFUNCTION("UNIQUE(PRINCIPAL!AJ2:AJ82)"),"Entre 50 e 100 anos")</f>
        <v>Entre 50 e 100 anos</v>
      </c>
      <c r="B52" s="44">
        <f>SUMIF(PRINCIPAL!AJ:AJ,A52,PRINCIPAL!O:O)</f>
        <v>11203676198</v>
      </c>
      <c r="C52" s="50">
        <f>COUNTIF(PRINCIPAL!AJ:AJ,A52)</f>
        <v>34</v>
      </c>
    </row>
    <row r="53">
      <c r="A53" s="50" t="str">
        <f>IFERROR(__xludf.DUMMYFUNCTION("""COMPUTED_VALUE"""),"-50 anos")</f>
        <v>-50 anos</v>
      </c>
      <c r="B53" s="44">
        <f>SUMIF(PRINCIPAL!AJ:AJ,A53,PRINCIPAL!O:O)</f>
        <v>2379139160</v>
      </c>
      <c r="C53" s="50">
        <f>COUNTIF(PRINCIPAL!AJ:AJ,A53)</f>
        <v>40</v>
      </c>
    </row>
    <row r="54">
      <c r="A54" s="50" t="str">
        <f>IFERROR(__xludf.DUMMYFUNCTION("""COMPUTED_VALUE"""),"+100 anos")</f>
        <v>+100 anos</v>
      </c>
      <c r="B54" s="44">
        <f>SUMIF(PRINCIPAL!AJ:AJ,A54,PRINCIPAL!O:O)</f>
        <v>-202408309.9</v>
      </c>
      <c r="C54" s="50">
        <f>COUNTIF(PRINCIPAL!AJ:AJ,A54)</f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200</v>
      </c>
      <c r="B1" s="52" t="s">
        <v>201</v>
      </c>
    </row>
    <row r="2">
      <c r="A2" s="53" t="s">
        <v>54</v>
      </c>
      <c r="B2" s="54">
        <v>2.35665566E8</v>
      </c>
    </row>
    <row r="3">
      <c r="A3" s="53" t="s">
        <v>136</v>
      </c>
      <c r="B3" s="54">
        <v>5.32616595E8</v>
      </c>
    </row>
    <row r="4">
      <c r="A4" s="53" t="s">
        <v>159</v>
      </c>
      <c r="B4" s="54">
        <v>1.76733968E8</v>
      </c>
    </row>
    <row r="5">
      <c r="A5" s="55" t="s">
        <v>118</v>
      </c>
      <c r="B5" s="56">
        <v>4.394245879E9</v>
      </c>
    </row>
    <row r="6">
      <c r="A6" s="57" t="s">
        <v>66</v>
      </c>
      <c r="B6" s="56">
        <v>6.2305891E7</v>
      </c>
    </row>
    <row r="7">
      <c r="A7" s="57" t="s">
        <v>167</v>
      </c>
      <c r="B7" s="56">
        <v>1.349217892E9</v>
      </c>
    </row>
    <row r="8">
      <c r="A8" s="57" t="s">
        <v>52</v>
      </c>
      <c r="B8" s="56">
        <v>3.27593725E8</v>
      </c>
    </row>
    <row r="9">
      <c r="A9" s="57" t="s">
        <v>169</v>
      </c>
      <c r="B9" s="56">
        <v>5.60279011E9</v>
      </c>
    </row>
    <row r="10">
      <c r="A10" s="57" t="s">
        <v>120</v>
      </c>
      <c r="B10" s="56">
        <v>6.71750768E8</v>
      </c>
    </row>
    <row r="11">
      <c r="A11" s="57" t="s">
        <v>106</v>
      </c>
      <c r="B11" s="56">
        <v>1.500728902E9</v>
      </c>
    </row>
    <row r="12">
      <c r="A12" s="57" t="s">
        <v>68</v>
      </c>
      <c r="B12" s="56">
        <v>5.146576868E9</v>
      </c>
    </row>
    <row r="13">
      <c r="A13" s="57" t="s">
        <v>86</v>
      </c>
      <c r="B13" s="56">
        <v>2.51003438E8</v>
      </c>
    </row>
    <row r="14">
      <c r="A14" s="57" t="s">
        <v>94</v>
      </c>
      <c r="B14" s="56">
        <v>1.420949112E9</v>
      </c>
    </row>
    <row r="15">
      <c r="A15" s="57" t="s">
        <v>50</v>
      </c>
      <c r="B15" s="56">
        <v>2.65877867E8</v>
      </c>
    </row>
    <row r="16">
      <c r="A16" s="57" t="s">
        <v>74</v>
      </c>
      <c r="B16" s="56">
        <v>1.677525446E9</v>
      </c>
    </row>
    <row r="17">
      <c r="A17" s="57" t="s">
        <v>202</v>
      </c>
      <c r="B17" s="56">
        <v>1.150645866E9</v>
      </c>
    </row>
    <row r="18">
      <c r="A18" s="57" t="s">
        <v>179</v>
      </c>
      <c r="B18" s="56">
        <v>5.33990587E8</v>
      </c>
    </row>
    <row r="19">
      <c r="A19" s="57" t="s">
        <v>181</v>
      </c>
      <c r="B19" s="56">
        <v>9.4843047E7</v>
      </c>
    </row>
    <row r="20">
      <c r="A20" s="57" t="s">
        <v>138</v>
      </c>
      <c r="B20" s="56">
        <v>9.95335937E8</v>
      </c>
    </row>
    <row r="21">
      <c r="A21" s="57" t="s">
        <v>126</v>
      </c>
      <c r="B21" s="56">
        <v>1.437415777E9</v>
      </c>
    </row>
    <row r="22">
      <c r="A22" s="57" t="s">
        <v>80</v>
      </c>
      <c r="B22" s="56">
        <v>1.095462329E9</v>
      </c>
    </row>
    <row r="23">
      <c r="A23" s="57" t="s">
        <v>140</v>
      </c>
      <c r="B23" s="56">
        <v>1.81492098E9</v>
      </c>
    </row>
    <row r="24">
      <c r="A24" s="57" t="s">
        <v>112</v>
      </c>
      <c r="B24" s="56">
        <v>1.67933529E9</v>
      </c>
    </row>
    <row r="25">
      <c r="A25" s="57" t="s">
        <v>100</v>
      </c>
      <c r="B25" s="56">
        <v>1.168097881E9</v>
      </c>
    </row>
    <row r="26">
      <c r="A26" s="57" t="s">
        <v>36</v>
      </c>
      <c r="B26" s="56">
        <v>1.87732538E8</v>
      </c>
    </row>
    <row r="27">
      <c r="A27" s="57" t="s">
        <v>30</v>
      </c>
      <c r="B27" s="56">
        <v>1.110559345E9</v>
      </c>
    </row>
    <row r="28">
      <c r="A28" s="57" t="s">
        <v>185</v>
      </c>
      <c r="B28" s="56">
        <v>5.25582771E8</v>
      </c>
    </row>
    <row r="29">
      <c r="A29" s="57" t="s">
        <v>161</v>
      </c>
      <c r="B29" s="56">
        <v>2.65784616E8</v>
      </c>
    </row>
    <row r="30">
      <c r="A30" s="57" t="s">
        <v>82</v>
      </c>
      <c r="B30" s="56">
        <v>3.0276824E8</v>
      </c>
    </row>
    <row r="31">
      <c r="A31" s="57" t="s">
        <v>150</v>
      </c>
      <c r="B31" s="56">
        <v>1.980568384E9</v>
      </c>
    </row>
    <row r="32">
      <c r="A32" s="57" t="s">
        <v>128</v>
      </c>
      <c r="B32" s="56">
        <v>2.68544014E8</v>
      </c>
    </row>
    <row r="33">
      <c r="A33" s="57" t="s">
        <v>163</v>
      </c>
      <c r="B33" s="56">
        <v>7.34632705E8</v>
      </c>
    </row>
    <row r="34">
      <c r="A34" s="57" t="s">
        <v>203</v>
      </c>
      <c r="B34" s="56">
        <v>2.90386402E8</v>
      </c>
    </row>
    <row r="35">
      <c r="A35" s="57" t="s">
        <v>130</v>
      </c>
      <c r="B35" s="56">
        <v>1.579130168E9</v>
      </c>
    </row>
    <row r="36">
      <c r="A36" s="57" t="s">
        <v>144</v>
      </c>
      <c r="B36" s="56">
        <v>2.55236961E8</v>
      </c>
    </row>
    <row r="37">
      <c r="A37" s="57" t="s">
        <v>56</v>
      </c>
      <c r="B37" s="56">
        <v>1.095587251E9</v>
      </c>
    </row>
    <row r="38">
      <c r="A38" s="57" t="s">
        <v>154</v>
      </c>
      <c r="B38" s="56">
        <v>9.1514307E7</v>
      </c>
    </row>
    <row r="39">
      <c r="A39" s="57" t="s">
        <v>156</v>
      </c>
      <c r="B39" s="56">
        <v>2.40822651E8</v>
      </c>
    </row>
    <row r="40">
      <c r="A40" s="57" t="s">
        <v>108</v>
      </c>
      <c r="B40" s="56">
        <v>1.118525506E9</v>
      </c>
    </row>
    <row r="41">
      <c r="A41" s="57" t="s">
        <v>98</v>
      </c>
      <c r="B41" s="56">
        <v>6.60411219E8</v>
      </c>
    </row>
    <row r="42">
      <c r="A42" s="57" t="s">
        <v>187</v>
      </c>
      <c r="B42" s="56">
        <v>1.98184909E8</v>
      </c>
    </row>
    <row r="43">
      <c r="A43" s="57" t="s">
        <v>165</v>
      </c>
      <c r="B43" s="56">
        <v>8.46244302E8</v>
      </c>
    </row>
    <row r="44">
      <c r="A44" s="57" t="s">
        <v>157</v>
      </c>
      <c r="B44" s="56">
        <v>4.96029967E8</v>
      </c>
    </row>
    <row r="45">
      <c r="A45" s="57" t="s">
        <v>175</v>
      </c>
      <c r="B45" s="56">
        <v>4.394332306E9</v>
      </c>
    </row>
    <row r="46">
      <c r="A46" s="57" t="s">
        <v>171</v>
      </c>
      <c r="B46" s="56">
        <v>4.09490388E8</v>
      </c>
    </row>
    <row r="47">
      <c r="A47" s="57" t="s">
        <v>204</v>
      </c>
      <c r="B47" s="56">
        <v>2.17622138E8</v>
      </c>
    </row>
    <row r="48">
      <c r="A48" s="57" t="s">
        <v>148</v>
      </c>
      <c r="B48" s="56">
        <v>8.1838843E7</v>
      </c>
    </row>
    <row r="49">
      <c r="A49" s="57" t="s">
        <v>92</v>
      </c>
      <c r="B49" s="56">
        <v>5.372783971E9</v>
      </c>
    </row>
    <row r="50">
      <c r="A50" s="57" t="s">
        <v>46</v>
      </c>
      <c r="B50" s="56">
        <v>4.801593832E9</v>
      </c>
    </row>
    <row r="51">
      <c r="A51" s="57" t="s">
        <v>102</v>
      </c>
      <c r="B51" s="56">
        <v>1.134986472E9</v>
      </c>
    </row>
    <row r="52">
      <c r="A52" s="57" t="s">
        <v>205</v>
      </c>
      <c r="B52" s="56">
        <v>7.06747385E8</v>
      </c>
    </row>
    <row r="53">
      <c r="A53" s="57" t="s">
        <v>183</v>
      </c>
      <c r="B53" s="56">
        <v>8.53202347E8</v>
      </c>
    </row>
    <row r="54">
      <c r="A54" s="57" t="s">
        <v>177</v>
      </c>
      <c r="B54" s="56">
        <v>9.5132977E8</v>
      </c>
    </row>
    <row r="55">
      <c r="A55" s="57" t="s">
        <v>88</v>
      </c>
      <c r="B55" s="56">
        <v>3.93173139E8</v>
      </c>
    </row>
    <row r="56">
      <c r="A56" s="57" t="s">
        <v>104</v>
      </c>
      <c r="B56" s="56">
        <v>2.867627068E9</v>
      </c>
    </row>
    <row r="57">
      <c r="A57" s="57" t="s">
        <v>116</v>
      </c>
      <c r="B57" s="56">
        <v>3.31799687E8</v>
      </c>
    </row>
    <row r="58">
      <c r="A58" s="57" t="s">
        <v>70</v>
      </c>
      <c r="B58" s="56">
        <v>2.61036182E8</v>
      </c>
    </row>
    <row r="59">
      <c r="A59" s="57" t="s">
        <v>64</v>
      </c>
      <c r="B59" s="56">
        <v>3.76187582E8</v>
      </c>
    </row>
    <row r="60">
      <c r="A60" s="57" t="s">
        <v>44</v>
      </c>
      <c r="B60" s="56">
        <v>2.68505432E8</v>
      </c>
    </row>
    <row r="61">
      <c r="A61" s="57" t="s">
        <v>72</v>
      </c>
      <c r="B61" s="56">
        <v>1.59430826E8</v>
      </c>
    </row>
    <row r="62">
      <c r="A62" s="57" t="s">
        <v>32</v>
      </c>
      <c r="B62" s="56">
        <v>2.379877655E9</v>
      </c>
    </row>
    <row r="63">
      <c r="A63" s="57" t="s">
        <v>40</v>
      </c>
      <c r="B63" s="56">
        <v>4.566445852E9</v>
      </c>
    </row>
    <row r="64">
      <c r="A64" s="57" t="s">
        <v>90</v>
      </c>
      <c r="B64" s="56">
        <v>2.75005663E8</v>
      </c>
    </row>
    <row r="65">
      <c r="A65" s="57" t="s">
        <v>38</v>
      </c>
      <c r="B65" s="56">
        <v>8.00010734E8</v>
      </c>
    </row>
    <row r="66">
      <c r="A66" s="57" t="s">
        <v>152</v>
      </c>
      <c r="B66" s="56">
        <v>3.09729428E8</v>
      </c>
    </row>
    <row r="67">
      <c r="A67" s="57" t="s">
        <v>96</v>
      </c>
      <c r="B67" s="56">
        <v>1.275798515E9</v>
      </c>
    </row>
    <row r="68">
      <c r="A68" s="57" t="s">
        <v>110</v>
      </c>
      <c r="B68" s="56">
        <v>1.193047233E9</v>
      </c>
    </row>
    <row r="69">
      <c r="A69" s="57" t="s">
        <v>48</v>
      </c>
      <c r="B69" s="56">
        <v>1.168230366E9</v>
      </c>
    </row>
    <row r="70">
      <c r="A70" s="57" t="s">
        <v>78</v>
      </c>
      <c r="B70" s="56">
        <v>1.218352541E9</v>
      </c>
    </row>
    <row r="71">
      <c r="A71" s="57" t="s">
        <v>122</v>
      </c>
      <c r="B71" s="56">
        <v>3.40001799E8</v>
      </c>
    </row>
    <row r="72">
      <c r="A72" s="57" t="s">
        <v>206</v>
      </c>
      <c r="B72" s="56">
        <v>3.42918449E8</v>
      </c>
    </row>
    <row r="73">
      <c r="A73" s="57" t="s">
        <v>173</v>
      </c>
      <c r="B73" s="56">
        <v>1.4237733E8</v>
      </c>
    </row>
    <row r="74">
      <c r="A74" s="57" t="s">
        <v>58</v>
      </c>
      <c r="B74" s="56">
        <v>6.00865451E8</v>
      </c>
    </row>
    <row r="75">
      <c r="A75" s="57" t="s">
        <v>134</v>
      </c>
      <c r="B75" s="56">
        <v>1.9575113E8</v>
      </c>
    </row>
    <row r="76">
      <c r="A76" s="57" t="s">
        <v>34</v>
      </c>
      <c r="B76" s="56">
        <v>6.83452836E8</v>
      </c>
    </row>
    <row r="77">
      <c r="A77" s="57" t="s">
        <v>207</v>
      </c>
      <c r="B77" s="56">
        <v>2.18568234E8</v>
      </c>
    </row>
    <row r="78">
      <c r="A78" s="57" t="s">
        <v>76</v>
      </c>
      <c r="B78" s="56">
        <v>4.23091712E8</v>
      </c>
    </row>
    <row r="79">
      <c r="A79" s="57" t="s">
        <v>84</v>
      </c>
      <c r="B79" s="56">
        <v>8.07896814E8</v>
      </c>
    </row>
    <row r="80">
      <c r="A80" s="57" t="s">
        <v>124</v>
      </c>
      <c r="B80" s="56">
        <v>5.14122351E8</v>
      </c>
    </row>
    <row r="81">
      <c r="A81" s="57" t="s">
        <v>142</v>
      </c>
      <c r="B81" s="56">
        <v>3.95801044E8</v>
      </c>
    </row>
    <row r="82">
      <c r="A82" s="57" t="s">
        <v>62</v>
      </c>
      <c r="B82" s="56">
        <v>1.086411192E9</v>
      </c>
    </row>
    <row r="83">
      <c r="A83" s="57" t="s">
        <v>27</v>
      </c>
      <c r="B83" s="56">
        <v>5.15117391E8</v>
      </c>
    </row>
    <row r="84">
      <c r="A84" s="57" t="s">
        <v>42</v>
      </c>
      <c r="B84" s="56">
        <v>4.196924316E9</v>
      </c>
    </row>
    <row r="85">
      <c r="A85" s="57" t="s">
        <v>114</v>
      </c>
      <c r="B85" s="56">
        <v>4.2138333E8</v>
      </c>
    </row>
    <row r="86">
      <c r="A86" s="57" t="s">
        <v>146</v>
      </c>
      <c r="B86" s="56">
        <v>1.114412532E9</v>
      </c>
    </row>
    <row r="87">
      <c r="A87" s="57" t="s">
        <v>132</v>
      </c>
      <c r="B87" s="56">
        <v>1.481593024E9</v>
      </c>
    </row>
    <row r="88">
      <c r="A88" s="57" t="s">
        <v>60</v>
      </c>
      <c r="B88" s="56">
        <v>2.89347914E8</v>
      </c>
    </row>
    <row r="89">
      <c r="A89" s="57" t="s">
        <v>208</v>
      </c>
      <c r="B89" s="56">
        <v>9.6372098181E10</v>
      </c>
    </row>
    <row r="90">
      <c r="A90" s="57" t="s">
        <v>209</v>
      </c>
      <c r="B90" s="58">
        <v>1.70478507866643E7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1">
      <c r="A1" s="59" t="s">
        <v>210</v>
      </c>
      <c r="B1" s="59" t="s">
        <v>211</v>
      </c>
    </row>
    <row r="2">
      <c r="A2" s="60" t="s">
        <v>104</v>
      </c>
      <c r="B2" s="60" t="s">
        <v>212</v>
      </c>
    </row>
    <row r="3">
      <c r="A3" s="61" t="s">
        <v>175</v>
      </c>
      <c r="B3" s="61" t="s">
        <v>213</v>
      </c>
    </row>
    <row r="4">
      <c r="A4" s="60" t="s">
        <v>40</v>
      </c>
      <c r="B4" s="60" t="s">
        <v>214</v>
      </c>
    </row>
    <row r="5">
      <c r="A5" s="61" t="s">
        <v>169</v>
      </c>
      <c r="B5" s="61" t="s">
        <v>215</v>
      </c>
    </row>
    <row r="6">
      <c r="A6" s="60" t="s">
        <v>27</v>
      </c>
      <c r="B6" s="60" t="s">
        <v>216</v>
      </c>
    </row>
    <row r="7">
      <c r="A7" s="62" t="s">
        <v>185</v>
      </c>
      <c r="B7" s="62" t="s">
        <v>217</v>
      </c>
    </row>
    <row r="8">
      <c r="A8" s="63" t="s">
        <v>80</v>
      </c>
      <c r="B8" s="63" t="s">
        <v>218</v>
      </c>
    </row>
    <row r="9">
      <c r="A9" s="62" t="s">
        <v>42</v>
      </c>
      <c r="B9" s="62" t="s">
        <v>219</v>
      </c>
    </row>
    <row r="10">
      <c r="A10" s="63" t="s">
        <v>187</v>
      </c>
      <c r="B10" s="63" t="s">
        <v>220</v>
      </c>
    </row>
    <row r="11">
      <c r="A11" s="62" t="s">
        <v>68</v>
      </c>
      <c r="B11" s="62" t="s">
        <v>221</v>
      </c>
    </row>
    <row r="12">
      <c r="A12" s="63" t="s">
        <v>52</v>
      </c>
      <c r="B12" s="63" t="s">
        <v>222</v>
      </c>
    </row>
    <row r="13">
      <c r="A13" s="62" t="s">
        <v>140</v>
      </c>
      <c r="B13" s="62" t="s">
        <v>223</v>
      </c>
    </row>
    <row r="14">
      <c r="A14" s="63" t="s">
        <v>92</v>
      </c>
      <c r="B14" s="63" t="s">
        <v>224</v>
      </c>
    </row>
    <row r="15">
      <c r="A15" s="62" t="s">
        <v>46</v>
      </c>
      <c r="B15" s="62" t="s">
        <v>225</v>
      </c>
    </row>
    <row r="16">
      <c r="A16" s="63" t="s">
        <v>152</v>
      </c>
      <c r="B16" s="63" t="s">
        <v>226</v>
      </c>
    </row>
    <row r="17">
      <c r="A17" s="62" t="s">
        <v>64</v>
      </c>
      <c r="B17" s="62" t="s">
        <v>227</v>
      </c>
    </row>
    <row r="18">
      <c r="A18" s="63" t="s">
        <v>165</v>
      </c>
      <c r="B18" s="63" t="s">
        <v>228</v>
      </c>
    </row>
    <row r="19">
      <c r="A19" s="62" t="s">
        <v>177</v>
      </c>
      <c r="B19" s="62" t="s">
        <v>229</v>
      </c>
    </row>
    <row r="20">
      <c r="A20" s="63" t="s">
        <v>56</v>
      </c>
      <c r="B20" s="63" t="s">
        <v>230</v>
      </c>
    </row>
    <row r="21">
      <c r="A21" s="62" t="s">
        <v>183</v>
      </c>
      <c r="B21" s="62" t="s">
        <v>231</v>
      </c>
    </row>
    <row r="22">
      <c r="A22" s="63" t="s">
        <v>232</v>
      </c>
      <c r="B22" s="63" t="s">
        <v>233</v>
      </c>
    </row>
    <row r="23">
      <c r="A23" s="62" t="s">
        <v>234</v>
      </c>
      <c r="B23" s="62" t="s">
        <v>235</v>
      </c>
    </row>
    <row r="24">
      <c r="A24" s="63" t="s">
        <v>32</v>
      </c>
      <c r="B24" s="63" t="s">
        <v>214</v>
      </c>
    </row>
    <row r="25">
      <c r="A25" s="62" t="s">
        <v>88</v>
      </c>
      <c r="B25" s="62" t="s">
        <v>236</v>
      </c>
    </row>
    <row r="26">
      <c r="A26" s="63" t="s">
        <v>112</v>
      </c>
      <c r="B26" s="63" t="s">
        <v>237</v>
      </c>
    </row>
    <row r="27">
      <c r="A27" s="62" t="s">
        <v>238</v>
      </c>
      <c r="B27" s="62" t="s">
        <v>239</v>
      </c>
    </row>
    <row r="28">
      <c r="A28" s="63" t="s">
        <v>157</v>
      </c>
      <c r="B28" s="63" t="s">
        <v>240</v>
      </c>
    </row>
    <row r="29">
      <c r="A29" s="62" t="s">
        <v>94</v>
      </c>
      <c r="B29" s="62" t="s">
        <v>241</v>
      </c>
    </row>
    <row r="30">
      <c r="A30" s="63" t="s">
        <v>242</v>
      </c>
      <c r="B30" s="63" t="s">
        <v>243</v>
      </c>
    </row>
    <row r="31">
      <c r="A31" s="62" t="s">
        <v>78</v>
      </c>
      <c r="B31" s="62" t="s">
        <v>244</v>
      </c>
    </row>
    <row r="32">
      <c r="A32" s="63" t="s">
        <v>38</v>
      </c>
      <c r="B32" s="63" t="s">
        <v>245</v>
      </c>
    </row>
    <row r="33">
      <c r="A33" s="62" t="s">
        <v>246</v>
      </c>
      <c r="B33" s="62" t="s">
        <v>237</v>
      </c>
    </row>
    <row r="34">
      <c r="A34" s="63" t="s">
        <v>74</v>
      </c>
      <c r="B34" s="63" t="s">
        <v>247</v>
      </c>
    </row>
    <row r="35">
      <c r="A35" s="62" t="s">
        <v>118</v>
      </c>
      <c r="B35" s="62" t="s">
        <v>248</v>
      </c>
    </row>
    <row r="36">
      <c r="A36" s="63" t="s">
        <v>249</v>
      </c>
      <c r="B36" s="63" t="s">
        <v>250</v>
      </c>
    </row>
    <row r="37">
      <c r="A37" s="62" t="s">
        <v>251</v>
      </c>
      <c r="B37" s="62" t="s">
        <v>252</v>
      </c>
    </row>
    <row r="38">
      <c r="A38" s="63" t="s">
        <v>253</v>
      </c>
      <c r="B38" s="63" t="s">
        <v>254</v>
      </c>
    </row>
    <row r="39">
      <c r="A39" s="62" t="s">
        <v>58</v>
      </c>
      <c r="B39" s="62" t="s">
        <v>255</v>
      </c>
    </row>
    <row r="40">
      <c r="A40" s="63" t="s">
        <v>70</v>
      </c>
      <c r="B40" s="63" t="s">
        <v>256</v>
      </c>
    </row>
    <row r="41">
      <c r="A41" s="62" t="s">
        <v>167</v>
      </c>
      <c r="B41" s="62" t="s">
        <v>257</v>
      </c>
    </row>
    <row r="42">
      <c r="A42" s="63" t="s">
        <v>126</v>
      </c>
      <c r="B42" s="63" t="s">
        <v>258</v>
      </c>
    </row>
    <row r="43">
      <c r="A43" s="62" t="s">
        <v>259</v>
      </c>
      <c r="B43" s="62" t="s">
        <v>260</v>
      </c>
    </row>
    <row r="44">
      <c r="A44" s="63" t="s">
        <v>110</v>
      </c>
      <c r="B44" s="63" t="s">
        <v>261</v>
      </c>
    </row>
    <row r="45">
      <c r="A45" s="62" t="s">
        <v>72</v>
      </c>
      <c r="B45" s="62" t="s">
        <v>262</v>
      </c>
    </row>
    <row r="46">
      <c r="A46" s="63" t="s">
        <v>114</v>
      </c>
      <c r="B46" s="63" t="s">
        <v>263</v>
      </c>
    </row>
    <row r="47">
      <c r="A47" s="62" t="s">
        <v>108</v>
      </c>
      <c r="B47" s="62" t="s">
        <v>264</v>
      </c>
    </row>
    <row r="48">
      <c r="A48" s="63" t="s">
        <v>265</v>
      </c>
      <c r="B48" s="63" t="s">
        <v>266</v>
      </c>
    </row>
    <row r="49">
      <c r="A49" s="62" t="s">
        <v>30</v>
      </c>
      <c r="B49" s="62" t="s">
        <v>267</v>
      </c>
    </row>
    <row r="50">
      <c r="A50" s="63" t="s">
        <v>268</v>
      </c>
      <c r="B50" s="63" t="s">
        <v>269</v>
      </c>
    </row>
    <row r="51">
      <c r="A51" s="62" t="s">
        <v>270</v>
      </c>
      <c r="B51" s="62" t="s">
        <v>271</v>
      </c>
    </row>
    <row r="52">
      <c r="A52" s="63" t="s">
        <v>161</v>
      </c>
      <c r="B52" s="63" t="s">
        <v>272</v>
      </c>
    </row>
    <row r="53">
      <c r="A53" s="62" t="s">
        <v>273</v>
      </c>
      <c r="B53" s="62" t="s">
        <v>274</v>
      </c>
    </row>
    <row r="54">
      <c r="A54" s="63" t="s">
        <v>275</v>
      </c>
      <c r="B54" s="63" t="s">
        <v>252</v>
      </c>
    </row>
    <row r="55">
      <c r="A55" s="62" t="s">
        <v>116</v>
      </c>
      <c r="B55" s="62" t="s">
        <v>276</v>
      </c>
    </row>
    <row r="56">
      <c r="A56" s="63" t="s">
        <v>277</v>
      </c>
      <c r="B56" s="63" t="s">
        <v>278</v>
      </c>
    </row>
    <row r="57">
      <c r="A57" s="62" t="s">
        <v>96</v>
      </c>
      <c r="B57" s="62" t="s">
        <v>279</v>
      </c>
    </row>
    <row r="58">
      <c r="A58" s="63" t="s">
        <v>132</v>
      </c>
      <c r="B58" s="63" t="s">
        <v>280</v>
      </c>
    </row>
    <row r="59">
      <c r="A59" s="62" t="s">
        <v>62</v>
      </c>
      <c r="B59" s="62" t="s">
        <v>281</v>
      </c>
    </row>
    <row r="60">
      <c r="A60" s="63" t="s">
        <v>44</v>
      </c>
      <c r="B60" s="63" t="s">
        <v>282</v>
      </c>
    </row>
    <row r="61">
      <c r="A61" s="62" t="s">
        <v>98</v>
      </c>
      <c r="B61" s="62" t="s">
        <v>283</v>
      </c>
    </row>
    <row r="62">
      <c r="A62" s="63" t="s">
        <v>84</v>
      </c>
      <c r="B62" s="63" t="s">
        <v>284</v>
      </c>
    </row>
    <row r="63">
      <c r="A63" s="62" t="s">
        <v>285</v>
      </c>
      <c r="B63" s="62" t="s">
        <v>286</v>
      </c>
    </row>
    <row r="64">
      <c r="A64" s="63" t="s">
        <v>179</v>
      </c>
      <c r="B64" s="63" t="s">
        <v>287</v>
      </c>
    </row>
    <row r="65">
      <c r="A65" s="62" t="s">
        <v>66</v>
      </c>
      <c r="B65" s="62" t="s">
        <v>288</v>
      </c>
    </row>
    <row r="66">
      <c r="A66" s="63" t="s">
        <v>289</v>
      </c>
      <c r="B66" s="63" t="s">
        <v>290</v>
      </c>
    </row>
    <row r="67">
      <c r="A67" s="62" t="s">
        <v>171</v>
      </c>
      <c r="B67" s="62" t="s">
        <v>291</v>
      </c>
    </row>
    <row r="68">
      <c r="A68" s="63" t="s">
        <v>292</v>
      </c>
      <c r="B68" s="63" t="s">
        <v>293</v>
      </c>
    </row>
    <row r="69">
      <c r="A69" s="62" t="s">
        <v>106</v>
      </c>
      <c r="B69" s="62" t="s">
        <v>221</v>
      </c>
    </row>
    <row r="70">
      <c r="A70" s="63" t="s">
        <v>60</v>
      </c>
      <c r="B70" s="63" t="s">
        <v>294</v>
      </c>
    </row>
    <row r="71">
      <c r="A71" s="62" t="s">
        <v>295</v>
      </c>
      <c r="B71" s="62" t="s">
        <v>296</v>
      </c>
    </row>
    <row r="72">
      <c r="A72" s="63" t="s">
        <v>181</v>
      </c>
      <c r="B72" s="63" t="s">
        <v>297</v>
      </c>
    </row>
    <row r="73">
      <c r="A73" s="62" t="s">
        <v>34</v>
      </c>
      <c r="B73" s="62" t="s">
        <v>298</v>
      </c>
    </row>
    <row r="74">
      <c r="A74" s="63" t="s">
        <v>299</v>
      </c>
      <c r="B74" s="63" t="s">
        <v>300</v>
      </c>
    </row>
    <row r="75">
      <c r="A75" s="62" t="s">
        <v>86</v>
      </c>
      <c r="B75" s="62" t="s">
        <v>301</v>
      </c>
    </row>
    <row r="76">
      <c r="A76" s="63" t="s">
        <v>302</v>
      </c>
      <c r="B76" s="63" t="s">
        <v>303</v>
      </c>
    </row>
    <row r="77">
      <c r="A77" s="62" t="s">
        <v>120</v>
      </c>
      <c r="B77" s="62" t="s">
        <v>304</v>
      </c>
    </row>
    <row r="78">
      <c r="A78" s="63" t="s">
        <v>305</v>
      </c>
      <c r="B78" s="63" t="s">
        <v>306</v>
      </c>
    </row>
    <row r="79">
      <c r="A79" s="62" t="s">
        <v>307</v>
      </c>
      <c r="B79" s="62" t="s">
        <v>308</v>
      </c>
    </row>
    <row r="80">
      <c r="A80" s="63" t="s">
        <v>309</v>
      </c>
      <c r="B80" s="64" t="s">
        <v>310</v>
      </c>
    </row>
    <row r="81">
      <c r="A81" s="62" t="s">
        <v>311</v>
      </c>
      <c r="B81" s="62" t="s">
        <v>312</v>
      </c>
    </row>
    <row r="82">
      <c r="A82" s="63" t="s">
        <v>82</v>
      </c>
      <c r="B82" s="63" t="s">
        <v>313</v>
      </c>
    </row>
    <row r="83">
      <c r="A83" s="62" t="s">
        <v>54</v>
      </c>
      <c r="B83" s="62" t="s">
        <v>314</v>
      </c>
    </row>
    <row r="84">
      <c r="A84" s="63" t="s">
        <v>163</v>
      </c>
      <c r="B84" s="63" t="s">
        <v>315</v>
      </c>
    </row>
    <row r="85">
      <c r="A85" s="62" t="s">
        <v>150</v>
      </c>
      <c r="B85" s="62" t="s">
        <v>316</v>
      </c>
    </row>
    <row r="86">
      <c r="A86" s="63" t="s">
        <v>48</v>
      </c>
      <c r="B86" s="63" t="s">
        <v>317</v>
      </c>
    </row>
    <row r="87">
      <c r="A87" s="62" t="s">
        <v>173</v>
      </c>
      <c r="B87" s="62" t="s">
        <v>318</v>
      </c>
    </row>
    <row r="88">
      <c r="A88" s="63" t="s">
        <v>319</v>
      </c>
      <c r="B88" s="63" t="s">
        <v>320</v>
      </c>
    </row>
    <row r="89">
      <c r="A89" s="62" t="s">
        <v>321</v>
      </c>
      <c r="B89" s="62" t="s">
        <v>322</v>
      </c>
    </row>
    <row r="90">
      <c r="A90" s="63" t="s">
        <v>146</v>
      </c>
      <c r="B90" s="63" t="s">
        <v>323</v>
      </c>
    </row>
    <row r="91">
      <c r="A91" s="62" t="s">
        <v>324</v>
      </c>
      <c r="B91" s="62" t="s">
        <v>325</v>
      </c>
    </row>
    <row r="92">
      <c r="A92" s="63" t="s">
        <v>130</v>
      </c>
      <c r="B92" s="63" t="s">
        <v>326</v>
      </c>
    </row>
    <row r="93">
      <c r="A93" s="62" t="s">
        <v>90</v>
      </c>
      <c r="B93" s="62" t="s">
        <v>327</v>
      </c>
    </row>
    <row r="94">
      <c r="A94" s="63" t="s">
        <v>328</v>
      </c>
      <c r="B94" s="63" t="s">
        <v>329</v>
      </c>
    </row>
    <row r="95">
      <c r="A95" s="62" t="s">
        <v>138</v>
      </c>
      <c r="B95" s="62" t="s">
        <v>330</v>
      </c>
    </row>
    <row r="96">
      <c r="A96" s="63" t="s">
        <v>100</v>
      </c>
      <c r="B96" s="63" t="s">
        <v>331</v>
      </c>
    </row>
    <row r="97">
      <c r="A97" s="62" t="s">
        <v>50</v>
      </c>
      <c r="B97" s="62" t="s">
        <v>332</v>
      </c>
    </row>
    <row r="98">
      <c r="A98" s="63" t="s">
        <v>333</v>
      </c>
      <c r="B98" s="63" t="s">
        <v>334</v>
      </c>
    </row>
    <row r="99">
      <c r="A99" s="62" t="s">
        <v>156</v>
      </c>
      <c r="B99" s="62" t="s">
        <v>335</v>
      </c>
    </row>
    <row r="100">
      <c r="A100" s="63" t="s">
        <v>336</v>
      </c>
      <c r="B100" s="63" t="s">
        <v>337</v>
      </c>
    </row>
    <row r="101">
      <c r="A101" s="62" t="s">
        <v>338</v>
      </c>
      <c r="B101" s="62" t="s">
        <v>339</v>
      </c>
    </row>
    <row r="102">
      <c r="A102" s="63" t="s">
        <v>36</v>
      </c>
      <c r="B102" s="63" t="s">
        <v>340</v>
      </c>
    </row>
    <row r="103">
      <c r="A103" s="62" t="s">
        <v>341</v>
      </c>
      <c r="B103" s="62" t="s">
        <v>342</v>
      </c>
    </row>
    <row r="104">
      <c r="A104" s="63" t="s">
        <v>343</v>
      </c>
      <c r="B104" s="63" t="s">
        <v>216</v>
      </c>
    </row>
    <row r="105">
      <c r="A105" s="62" t="s">
        <v>148</v>
      </c>
      <c r="B105" s="62" t="s">
        <v>344</v>
      </c>
    </row>
    <row r="106">
      <c r="A106" s="63" t="s">
        <v>345</v>
      </c>
      <c r="B106" s="63" t="s">
        <v>346</v>
      </c>
    </row>
    <row r="107">
      <c r="A107" s="62" t="s">
        <v>347</v>
      </c>
      <c r="B107" s="62" t="s">
        <v>348</v>
      </c>
    </row>
    <row r="108">
      <c r="A108" s="63" t="s">
        <v>102</v>
      </c>
      <c r="B108" s="63" t="s">
        <v>349</v>
      </c>
    </row>
    <row r="109">
      <c r="A109" s="62" t="s">
        <v>122</v>
      </c>
      <c r="B109" s="62" t="s">
        <v>350</v>
      </c>
    </row>
    <row r="110">
      <c r="A110" s="63" t="s">
        <v>351</v>
      </c>
      <c r="B110" s="63" t="s">
        <v>352</v>
      </c>
    </row>
    <row r="111">
      <c r="A111" s="62" t="s">
        <v>159</v>
      </c>
      <c r="B111" s="62" t="s">
        <v>353</v>
      </c>
    </row>
    <row r="112">
      <c r="A112" s="63" t="s">
        <v>134</v>
      </c>
      <c r="B112" s="63" t="s">
        <v>354</v>
      </c>
    </row>
    <row r="113">
      <c r="A113" s="62" t="s">
        <v>355</v>
      </c>
      <c r="B113" s="62" t="s">
        <v>356</v>
      </c>
    </row>
    <row r="114">
      <c r="A114" s="63" t="s">
        <v>357</v>
      </c>
      <c r="B114" s="63" t="s">
        <v>358</v>
      </c>
    </row>
    <row r="115">
      <c r="A115" s="62" t="s">
        <v>136</v>
      </c>
      <c r="B115" s="62" t="s">
        <v>136</v>
      </c>
    </row>
    <row r="116">
      <c r="A116" s="63" t="s">
        <v>154</v>
      </c>
      <c r="B116" s="63" t="s">
        <v>359</v>
      </c>
    </row>
    <row r="117">
      <c r="A117" s="62" t="s">
        <v>124</v>
      </c>
      <c r="B117" s="62" t="s">
        <v>360</v>
      </c>
    </row>
    <row r="118">
      <c r="A118" s="63" t="s">
        <v>361</v>
      </c>
      <c r="B118" s="63" t="s">
        <v>362</v>
      </c>
    </row>
    <row r="119">
      <c r="A119" s="62" t="s">
        <v>363</v>
      </c>
      <c r="B119" s="62" t="s">
        <v>364</v>
      </c>
    </row>
    <row r="120">
      <c r="A120" s="63" t="s">
        <v>365</v>
      </c>
      <c r="B120" s="63" t="s">
        <v>366</v>
      </c>
    </row>
    <row r="121">
      <c r="A121" s="62" t="s">
        <v>76</v>
      </c>
      <c r="B121" s="62" t="s">
        <v>367</v>
      </c>
    </row>
    <row r="122">
      <c r="A122" s="63" t="s">
        <v>368</v>
      </c>
      <c r="B122" s="63" t="s">
        <v>369</v>
      </c>
    </row>
    <row r="123">
      <c r="A123" s="62" t="s">
        <v>370</v>
      </c>
      <c r="B123" s="62" t="s">
        <v>371</v>
      </c>
    </row>
    <row r="124">
      <c r="A124" s="63" t="s">
        <v>372</v>
      </c>
      <c r="B124" s="63" t="s">
        <v>373</v>
      </c>
    </row>
    <row r="125">
      <c r="A125" s="62" t="s">
        <v>374</v>
      </c>
      <c r="B125" s="62" t="s">
        <v>375</v>
      </c>
    </row>
    <row r="126">
      <c r="A126" s="63" t="s">
        <v>376</v>
      </c>
      <c r="B126" s="63" t="s">
        <v>377</v>
      </c>
    </row>
    <row r="127">
      <c r="A127" s="62" t="s">
        <v>378</v>
      </c>
      <c r="B127" s="62" t="s">
        <v>379</v>
      </c>
    </row>
    <row r="128">
      <c r="A128" s="63" t="s">
        <v>380</v>
      </c>
      <c r="B128" s="63" t="s">
        <v>381</v>
      </c>
    </row>
    <row r="129">
      <c r="A129" s="62" t="s">
        <v>382</v>
      </c>
      <c r="B129" s="62" t="s">
        <v>383</v>
      </c>
    </row>
    <row r="130">
      <c r="A130" s="63" t="s">
        <v>142</v>
      </c>
      <c r="B130" s="63" t="s">
        <v>384</v>
      </c>
    </row>
    <row r="131">
      <c r="A131" s="62" t="s">
        <v>144</v>
      </c>
      <c r="B131" s="62" t="s">
        <v>385</v>
      </c>
    </row>
    <row r="132">
      <c r="A132" s="63" t="s">
        <v>386</v>
      </c>
      <c r="B132" s="63" t="s">
        <v>387</v>
      </c>
    </row>
    <row r="133">
      <c r="A133" s="62" t="s">
        <v>388</v>
      </c>
      <c r="B133" s="62" t="s">
        <v>389</v>
      </c>
    </row>
    <row r="134">
      <c r="A134" s="63" t="s">
        <v>390</v>
      </c>
      <c r="B134" s="63" t="s">
        <v>391</v>
      </c>
    </row>
    <row r="135">
      <c r="A135" s="62" t="s">
        <v>392</v>
      </c>
      <c r="B135" s="62" t="s">
        <v>393</v>
      </c>
    </row>
    <row r="136">
      <c r="A136" s="63" t="s">
        <v>394</v>
      </c>
      <c r="B136" s="63" t="s">
        <v>395</v>
      </c>
    </row>
    <row r="137">
      <c r="A137" s="62" t="s">
        <v>396</v>
      </c>
      <c r="B137" s="62" t="s">
        <v>397</v>
      </c>
    </row>
    <row r="138">
      <c r="A138" s="63" t="s">
        <v>398</v>
      </c>
      <c r="B138" s="63" t="s">
        <v>399</v>
      </c>
    </row>
    <row r="139">
      <c r="A139" s="62" t="s">
        <v>400</v>
      </c>
      <c r="B139" s="62" t="s">
        <v>401</v>
      </c>
    </row>
    <row r="140">
      <c r="A140" s="63" t="s">
        <v>402</v>
      </c>
      <c r="B140" s="63" t="s">
        <v>403</v>
      </c>
    </row>
    <row r="141">
      <c r="A141" s="62" t="s">
        <v>404</v>
      </c>
      <c r="B141" s="62" t="s">
        <v>405</v>
      </c>
    </row>
    <row r="142">
      <c r="A142" s="63" t="s">
        <v>406</v>
      </c>
      <c r="B142" s="63" t="s">
        <v>407</v>
      </c>
    </row>
    <row r="143">
      <c r="A143" s="62" t="s">
        <v>408</v>
      </c>
      <c r="B143" s="62" t="s">
        <v>409</v>
      </c>
    </row>
    <row r="144">
      <c r="A144" s="63" t="s">
        <v>410</v>
      </c>
      <c r="B144" s="63" t="s">
        <v>411</v>
      </c>
    </row>
    <row r="145">
      <c r="A145" s="62" t="s">
        <v>412</v>
      </c>
      <c r="B145" s="62" t="s">
        <v>412</v>
      </c>
    </row>
    <row r="146">
      <c r="A146" s="63" t="s">
        <v>413</v>
      </c>
      <c r="B146" s="63" t="s">
        <v>414</v>
      </c>
    </row>
    <row r="147">
      <c r="A147" s="62" t="s">
        <v>415</v>
      </c>
      <c r="B147" s="62" t="s">
        <v>416</v>
      </c>
    </row>
    <row r="148">
      <c r="A148" s="63" t="s">
        <v>417</v>
      </c>
      <c r="B148" s="63" t="s">
        <v>418</v>
      </c>
    </row>
    <row r="149">
      <c r="A149" s="62" t="s">
        <v>419</v>
      </c>
      <c r="B149" s="62" t="s">
        <v>225</v>
      </c>
    </row>
    <row r="150">
      <c r="A150" s="63" t="s">
        <v>420</v>
      </c>
      <c r="B150" s="63" t="s">
        <v>421</v>
      </c>
    </row>
    <row r="151">
      <c r="A151" s="62" t="s">
        <v>422</v>
      </c>
      <c r="B151" s="62" t="s">
        <v>423</v>
      </c>
    </row>
    <row r="152">
      <c r="A152" s="63" t="s">
        <v>424</v>
      </c>
      <c r="B152" s="63" t="s">
        <v>425</v>
      </c>
    </row>
    <row r="153">
      <c r="A153" s="62" t="s">
        <v>426</v>
      </c>
      <c r="B153" s="62" t="s">
        <v>427</v>
      </c>
    </row>
    <row r="154">
      <c r="A154" s="63" t="s">
        <v>428</v>
      </c>
      <c r="B154" s="63" t="s">
        <v>429</v>
      </c>
    </row>
    <row r="155">
      <c r="A155" s="62" t="s">
        <v>430</v>
      </c>
      <c r="B155" s="62" t="s">
        <v>431</v>
      </c>
    </row>
    <row r="156">
      <c r="A156" s="63" t="s">
        <v>432</v>
      </c>
      <c r="B156" s="63" t="s">
        <v>433</v>
      </c>
    </row>
    <row r="157">
      <c r="A157" s="62" t="s">
        <v>434</v>
      </c>
      <c r="B157" s="62" t="s">
        <v>435</v>
      </c>
    </row>
    <row r="158">
      <c r="A158" s="63" t="s">
        <v>436</v>
      </c>
      <c r="B158" s="63" t="s">
        <v>437</v>
      </c>
    </row>
    <row r="159">
      <c r="A159" s="62" t="s">
        <v>438</v>
      </c>
      <c r="B159" s="62" t="s">
        <v>439</v>
      </c>
    </row>
    <row r="160">
      <c r="A160" s="63" t="s">
        <v>440</v>
      </c>
      <c r="B160" s="63" t="s">
        <v>441</v>
      </c>
    </row>
    <row r="161">
      <c r="A161" s="62" t="s">
        <v>442</v>
      </c>
      <c r="B161" s="62" t="s">
        <v>443</v>
      </c>
    </row>
    <row r="162">
      <c r="A162" s="63" t="s">
        <v>444</v>
      </c>
      <c r="B162" s="63" t="s">
        <v>445</v>
      </c>
    </row>
    <row r="163">
      <c r="A163" s="62" t="s">
        <v>446</v>
      </c>
      <c r="B163" s="62" t="s">
        <v>447</v>
      </c>
    </row>
    <row r="164">
      <c r="A164" s="63" t="s">
        <v>448</v>
      </c>
      <c r="B164" s="63" t="s">
        <v>449</v>
      </c>
    </row>
    <row r="165">
      <c r="A165" s="62" t="s">
        <v>450</v>
      </c>
      <c r="B165" s="62" t="s">
        <v>451</v>
      </c>
    </row>
    <row r="166">
      <c r="A166" s="63" t="s">
        <v>452</v>
      </c>
      <c r="B166" s="63" t="s">
        <v>453</v>
      </c>
    </row>
    <row r="167">
      <c r="A167" s="62" t="s">
        <v>454</v>
      </c>
      <c r="B167" s="62" t="s">
        <v>455</v>
      </c>
    </row>
    <row r="168">
      <c r="A168" s="63" t="s">
        <v>456</v>
      </c>
      <c r="B168" s="63" t="s">
        <v>457</v>
      </c>
    </row>
    <row r="169">
      <c r="A169" s="62" t="s">
        <v>458</v>
      </c>
      <c r="B169" s="62" t="s">
        <v>459</v>
      </c>
    </row>
    <row r="170">
      <c r="A170" s="63" t="s">
        <v>460</v>
      </c>
      <c r="B170" s="63" t="s">
        <v>461</v>
      </c>
    </row>
    <row r="171">
      <c r="A171" s="62" t="s">
        <v>462</v>
      </c>
      <c r="B171" s="62" t="s">
        <v>463</v>
      </c>
    </row>
    <row r="172">
      <c r="A172" s="63" t="s">
        <v>464</v>
      </c>
      <c r="B172" s="63" t="s">
        <v>258</v>
      </c>
    </row>
    <row r="173">
      <c r="A173" s="62" t="s">
        <v>128</v>
      </c>
      <c r="B173" s="62" t="s">
        <v>316</v>
      </c>
    </row>
    <row r="174">
      <c r="A174" s="63" t="s">
        <v>465</v>
      </c>
      <c r="B174" s="63" t="s">
        <v>466</v>
      </c>
    </row>
    <row r="175">
      <c r="A175" s="62" t="s">
        <v>467</v>
      </c>
      <c r="B175" s="62" t="s">
        <v>468</v>
      </c>
    </row>
    <row r="176">
      <c r="A176" s="63" t="s">
        <v>469</v>
      </c>
      <c r="B176" s="63" t="s">
        <v>470</v>
      </c>
    </row>
    <row r="177">
      <c r="A177" s="62" t="s">
        <v>471</v>
      </c>
      <c r="B177" s="62" t="s">
        <v>472</v>
      </c>
    </row>
    <row r="178">
      <c r="A178" s="63" t="s">
        <v>473</v>
      </c>
      <c r="B178" s="63" t="s">
        <v>474</v>
      </c>
    </row>
    <row r="179">
      <c r="A179" s="62" t="s">
        <v>475</v>
      </c>
      <c r="B179" s="62" t="s">
        <v>476</v>
      </c>
    </row>
    <row r="180">
      <c r="A180" s="63" t="s">
        <v>477</v>
      </c>
      <c r="B180" s="63" t="s">
        <v>352</v>
      </c>
    </row>
    <row r="181">
      <c r="A181" s="62" t="s">
        <v>478</v>
      </c>
      <c r="B181" s="62" t="s">
        <v>479</v>
      </c>
    </row>
    <row r="182">
      <c r="A182" s="63" t="s">
        <v>480</v>
      </c>
      <c r="B182" s="63" t="s">
        <v>481</v>
      </c>
    </row>
    <row r="183">
      <c r="A183" s="62" t="s">
        <v>482</v>
      </c>
      <c r="B183" s="62" t="s">
        <v>483</v>
      </c>
    </row>
    <row r="184">
      <c r="A184" s="63" t="s">
        <v>484</v>
      </c>
      <c r="B184" s="63" t="s">
        <v>485</v>
      </c>
    </row>
    <row r="185">
      <c r="A185" s="62" t="s">
        <v>486</v>
      </c>
      <c r="B185" s="62" t="s">
        <v>487</v>
      </c>
    </row>
    <row r="186">
      <c r="A186" s="63" t="s">
        <v>488</v>
      </c>
      <c r="B186" s="63" t="s">
        <v>489</v>
      </c>
    </row>
    <row r="187">
      <c r="A187" s="62" t="s">
        <v>490</v>
      </c>
      <c r="B187" s="62" t="s">
        <v>491</v>
      </c>
    </row>
    <row r="188">
      <c r="A188" s="63" t="s">
        <v>492</v>
      </c>
      <c r="B188" s="63" t="s">
        <v>493</v>
      </c>
    </row>
    <row r="189">
      <c r="A189" s="62" t="s">
        <v>494</v>
      </c>
      <c r="B189" s="62" t="s">
        <v>495</v>
      </c>
    </row>
    <row r="190">
      <c r="A190" s="63" t="s">
        <v>496</v>
      </c>
      <c r="B190" s="63" t="s">
        <v>497</v>
      </c>
    </row>
    <row r="191">
      <c r="A191" s="62" t="s">
        <v>498</v>
      </c>
      <c r="B191" s="62" t="s">
        <v>375</v>
      </c>
    </row>
    <row r="192">
      <c r="A192" s="63" t="s">
        <v>499</v>
      </c>
      <c r="B192" s="63" t="s">
        <v>409</v>
      </c>
    </row>
    <row r="193">
      <c r="A193" s="62" t="s">
        <v>500</v>
      </c>
      <c r="B193" s="62" t="s">
        <v>501</v>
      </c>
    </row>
    <row r="194">
      <c r="A194" s="63" t="s">
        <v>502</v>
      </c>
      <c r="B194" s="63" t="s">
        <v>503</v>
      </c>
    </row>
    <row r="195">
      <c r="A195" s="62" t="s">
        <v>504</v>
      </c>
      <c r="B195" s="62" t="s">
        <v>505</v>
      </c>
    </row>
    <row r="196">
      <c r="A196" s="63" t="s">
        <v>506</v>
      </c>
      <c r="B196" s="63" t="s">
        <v>507</v>
      </c>
    </row>
    <row r="197">
      <c r="A197" s="62" t="s">
        <v>508</v>
      </c>
      <c r="B197" s="62" t="s">
        <v>509</v>
      </c>
    </row>
    <row r="198">
      <c r="A198" s="63" t="s">
        <v>510</v>
      </c>
      <c r="B198" s="63" t="s">
        <v>511</v>
      </c>
    </row>
    <row r="199">
      <c r="A199" s="62" t="s">
        <v>512</v>
      </c>
      <c r="B199" s="62" t="s">
        <v>513</v>
      </c>
    </row>
    <row r="200">
      <c r="A200" s="63" t="s">
        <v>514</v>
      </c>
      <c r="B200" s="63" t="s">
        <v>515</v>
      </c>
    </row>
    <row r="201">
      <c r="A201" s="62" t="s">
        <v>516</v>
      </c>
      <c r="B201" s="62" t="s">
        <v>517</v>
      </c>
    </row>
    <row r="202">
      <c r="A202" s="63" t="s">
        <v>518</v>
      </c>
      <c r="B202" s="63" t="s">
        <v>519</v>
      </c>
    </row>
    <row r="203">
      <c r="A203" s="62" t="s">
        <v>520</v>
      </c>
      <c r="B203" s="62" t="s">
        <v>521</v>
      </c>
    </row>
    <row r="204">
      <c r="A204" s="63" t="s">
        <v>522</v>
      </c>
      <c r="B204" s="63" t="s">
        <v>523</v>
      </c>
    </row>
    <row r="205">
      <c r="A205" s="62" t="s">
        <v>524</v>
      </c>
      <c r="B205" s="62" t="s">
        <v>525</v>
      </c>
    </row>
    <row r="206">
      <c r="A206" s="63" t="s">
        <v>526</v>
      </c>
      <c r="B206" s="63" t="s">
        <v>527</v>
      </c>
    </row>
    <row r="207">
      <c r="A207" s="62" t="s">
        <v>528</v>
      </c>
      <c r="B207" s="62" t="s">
        <v>529</v>
      </c>
    </row>
    <row r="208">
      <c r="A208" s="63" t="s">
        <v>530</v>
      </c>
      <c r="B208" s="63" t="s">
        <v>233</v>
      </c>
    </row>
    <row r="209">
      <c r="A209" s="62" t="s">
        <v>531</v>
      </c>
      <c r="B209" s="62" t="s">
        <v>532</v>
      </c>
    </row>
    <row r="210">
      <c r="A210" s="63" t="s">
        <v>533</v>
      </c>
      <c r="B210" s="63" t="s">
        <v>534</v>
      </c>
    </row>
    <row r="211">
      <c r="A211" s="62" t="s">
        <v>535</v>
      </c>
      <c r="B211" s="62" t="s">
        <v>536</v>
      </c>
    </row>
    <row r="212">
      <c r="A212" s="63" t="s">
        <v>537</v>
      </c>
      <c r="B212" s="63" t="s">
        <v>538</v>
      </c>
    </row>
    <row r="213">
      <c r="A213" s="62" t="s">
        <v>539</v>
      </c>
      <c r="B213" s="62" t="s">
        <v>540</v>
      </c>
    </row>
    <row r="214">
      <c r="A214" s="63" t="s">
        <v>541</v>
      </c>
      <c r="B214" s="63" t="s">
        <v>542</v>
      </c>
    </row>
    <row r="215">
      <c r="A215" s="62" t="s">
        <v>543</v>
      </c>
      <c r="B215" s="62" t="s">
        <v>266</v>
      </c>
    </row>
    <row r="216">
      <c r="A216" s="63" t="s">
        <v>544</v>
      </c>
      <c r="B216" s="63" t="s">
        <v>545</v>
      </c>
    </row>
    <row r="217">
      <c r="A217" s="62" t="s">
        <v>546</v>
      </c>
      <c r="B217" s="62" t="s">
        <v>547</v>
      </c>
    </row>
    <row r="218">
      <c r="A218" s="63" t="s">
        <v>548</v>
      </c>
      <c r="B218" s="63" t="s">
        <v>549</v>
      </c>
    </row>
    <row r="219">
      <c r="A219" s="62" t="s">
        <v>550</v>
      </c>
      <c r="B219" s="62" t="s">
        <v>224</v>
      </c>
    </row>
    <row r="220">
      <c r="A220" s="63" t="s">
        <v>551</v>
      </c>
      <c r="B220" s="63" t="s">
        <v>552</v>
      </c>
    </row>
    <row r="221">
      <c r="A221" s="62" t="s">
        <v>553</v>
      </c>
      <c r="B221" s="62" t="s">
        <v>554</v>
      </c>
    </row>
    <row r="222">
      <c r="A222" s="63" t="s">
        <v>553</v>
      </c>
      <c r="B222" s="63" t="s">
        <v>555</v>
      </c>
    </row>
    <row r="223">
      <c r="A223" s="62" t="s">
        <v>556</v>
      </c>
      <c r="B223" s="62" t="s">
        <v>557</v>
      </c>
    </row>
    <row r="224">
      <c r="A224" s="63" t="s">
        <v>558</v>
      </c>
      <c r="B224" s="63" t="s">
        <v>559</v>
      </c>
    </row>
    <row r="225">
      <c r="A225" s="62" t="s">
        <v>560</v>
      </c>
      <c r="B225" s="62" t="s">
        <v>561</v>
      </c>
    </row>
    <row r="226">
      <c r="A226" s="63" t="s">
        <v>562</v>
      </c>
      <c r="B226" s="63" t="s">
        <v>563</v>
      </c>
    </row>
    <row r="227">
      <c r="A227" s="62" t="s">
        <v>564</v>
      </c>
      <c r="B227" s="62" t="s">
        <v>565</v>
      </c>
    </row>
    <row r="228">
      <c r="A228" s="63" t="s">
        <v>566</v>
      </c>
      <c r="B228" s="63" t="s">
        <v>567</v>
      </c>
    </row>
    <row r="229">
      <c r="A229" s="62" t="s">
        <v>568</v>
      </c>
      <c r="B229" s="62" t="s">
        <v>569</v>
      </c>
    </row>
    <row r="230">
      <c r="A230" s="63" t="s">
        <v>570</v>
      </c>
      <c r="B230" s="63" t="s">
        <v>567</v>
      </c>
    </row>
    <row r="231">
      <c r="A231" s="62" t="s">
        <v>571</v>
      </c>
      <c r="B231" s="62" t="s">
        <v>572</v>
      </c>
    </row>
    <row r="232">
      <c r="A232" s="63" t="s">
        <v>573</v>
      </c>
      <c r="B232" s="63" t="s">
        <v>574</v>
      </c>
    </row>
    <row r="233">
      <c r="A233" s="62" t="s">
        <v>575</v>
      </c>
      <c r="B233" s="62" t="s">
        <v>576</v>
      </c>
    </row>
    <row r="234">
      <c r="A234" s="63" t="s">
        <v>577</v>
      </c>
      <c r="B234" s="63" t="s">
        <v>578</v>
      </c>
    </row>
    <row r="235">
      <c r="A235" s="62" t="s">
        <v>579</v>
      </c>
      <c r="B235" s="62" t="s">
        <v>540</v>
      </c>
    </row>
    <row r="236">
      <c r="A236" s="63" t="s">
        <v>580</v>
      </c>
      <c r="B236" s="63" t="s">
        <v>581</v>
      </c>
    </row>
    <row r="237">
      <c r="A237" s="62" t="s">
        <v>582</v>
      </c>
      <c r="B237" s="62" t="s">
        <v>583</v>
      </c>
    </row>
    <row r="238">
      <c r="A238" s="63" t="s">
        <v>584</v>
      </c>
      <c r="B238" s="63" t="s">
        <v>264</v>
      </c>
    </row>
    <row r="239">
      <c r="A239" s="62" t="s">
        <v>585</v>
      </c>
      <c r="B239" s="62" t="s">
        <v>586</v>
      </c>
    </row>
    <row r="240">
      <c r="A240" s="63" t="s">
        <v>587</v>
      </c>
      <c r="B240" s="63" t="s">
        <v>557</v>
      </c>
    </row>
    <row r="241">
      <c r="A241" s="62" t="s">
        <v>588</v>
      </c>
      <c r="B241" s="62" t="s">
        <v>589</v>
      </c>
    </row>
    <row r="242">
      <c r="A242" s="63" t="s">
        <v>590</v>
      </c>
      <c r="B242" s="63" t="s">
        <v>591</v>
      </c>
    </row>
    <row r="243">
      <c r="A243" s="62" t="s">
        <v>592</v>
      </c>
      <c r="B243" s="62" t="s">
        <v>593</v>
      </c>
    </row>
    <row r="244">
      <c r="A244" s="63" t="s">
        <v>594</v>
      </c>
      <c r="B244" s="63" t="s">
        <v>283</v>
      </c>
    </row>
    <row r="245">
      <c r="A245" s="62" t="s">
        <v>595</v>
      </c>
      <c r="B245" s="62" t="s">
        <v>596</v>
      </c>
    </row>
    <row r="246">
      <c r="A246" s="63" t="s">
        <v>597</v>
      </c>
      <c r="B246" s="63" t="s">
        <v>511</v>
      </c>
    </row>
    <row r="247">
      <c r="A247" s="62" t="s">
        <v>598</v>
      </c>
      <c r="B247" s="62" t="s">
        <v>599</v>
      </c>
    </row>
    <row r="248">
      <c r="A248" s="63" t="s">
        <v>600</v>
      </c>
      <c r="B248" s="63" t="s">
        <v>601</v>
      </c>
    </row>
    <row r="249">
      <c r="A249" s="62" t="s">
        <v>602</v>
      </c>
      <c r="B249" s="62" t="s">
        <v>603</v>
      </c>
    </row>
    <row r="250">
      <c r="A250" s="63" t="s">
        <v>604</v>
      </c>
      <c r="B250" s="63" t="s">
        <v>605</v>
      </c>
    </row>
    <row r="251">
      <c r="A251" s="62" t="s">
        <v>606</v>
      </c>
      <c r="B251" s="62" t="s">
        <v>607</v>
      </c>
    </row>
    <row r="252">
      <c r="A252" s="63" t="s">
        <v>608</v>
      </c>
      <c r="B252" s="63" t="s">
        <v>358</v>
      </c>
    </row>
    <row r="253">
      <c r="A253" s="62" t="s">
        <v>609</v>
      </c>
      <c r="B253" s="62" t="s">
        <v>610</v>
      </c>
    </row>
    <row r="254">
      <c r="A254" s="63" t="s">
        <v>611</v>
      </c>
      <c r="B254" s="63" t="s">
        <v>612</v>
      </c>
    </row>
    <row r="255">
      <c r="A255" s="62" t="s">
        <v>613</v>
      </c>
      <c r="B255" s="62" t="s">
        <v>614</v>
      </c>
    </row>
    <row r="256">
      <c r="A256" s="63" t="s">
        <v>615</v>
      </c>
      <c r="B256" s="63" t="s">
        <v>301</v>
      </c>
    </row>
    <row r="257">
      <c r="A257" s="62" t="s">
        <v>616</v>
      </c>
      <c r="B257" s="62" t="s">
        <v>332</v>
      </c>
    </row>
    <row r="258">
      <c r="A258" s="63" t="s">
        <v>617</v>
      </c>
      <c r="B258" s="63" t="s">
        <v>618</v>
      </c>
    </row>
    <row r="259">
      <c r="A259" s="62" t="s">
        <v>619</v>
      </c>
      <c r="B259" s="62" t="s">
        <v>620</v>
      </c>
    </row>
    <row r="260">
      <c r="A260" s="63" t="s">
        <v>621</v>
      </c>
      <c r="B260" s="63" t="s">
        <v>612</v>
      </c>
    </row>
    <row r="261">
      <c r="A261" s="62" t="s">
        <v>622</v>
      </c>
      <c r="B261" s="62" t="s">
        <v>623</v>
      </c>
    </row>
    <row r="262">
      <c r="A262" s="63" t="s">
        <v>624</v>
      </c>
      <c r="B262" s="63" t="s">
        <v>625</v>
      </c>
    </row>
    <row r="263">
      <c r="A263" s="62" t="s">
        <v>626</v>
      </c>
      <c r="B263" s="62" t="s">
        <v>627</v>
      </c>
    </row>
    <row r="264">
      <c r="A264" s="63" t="s">
        <v>628</v>
      </c>
      <c r="B264" s="63" t="s">
        <v>629</v>
      </c>
    </row>
    <row r="265">
      <c r="A265" s="62" t="s">
        <v>630</v>
      </c>
      <c r="B265" s="62" t="s">
        <v>631</v>
      </c>
    </row>
    <row r="266">
      <c r="A266" s="63" t="s">
        <v>632</v>
      </c>
      <c r="B266" s="63" t="s">
        <v>633</v>
      </c>
    </row>
    <row r="267">
      <c r="A267" s="62" t="s">
        <v>634</v>
      </c>
      <c r="B267" s="62" t="s">
        <v>635</v>
      </c>
    </row>
    <row r="268">
      <c r="A268" s="63" t="s">
        <v>636</v>
      </c>
      <c r="B268" s="63" t="s">
        <v>536</v>
      </c>
    </row>
    <row r="269">
      <c r="A269" s="62" t="s">
        <v>637</v>
      </c>
      <c r="B269" s="62" t="s">
        <v>638</v>
      </c>
    </row>
    <row r="270">
      <c r="A270" s="63" t="s">
        <v>639</v>
      </c>
      <c r="B270" s="63" t="s">
        <v>638</v>
      </c>
    </row>
    <row r="271">
      <c r="A271" s="62" t="s">
        <v>640</v>
      </c>
      <c r="B271" s="62" t="s">
        <v>641</v>
      </c>
    </row>
    <row r="272">
      <c r="A272" s="63" t="s">
        <v>642</v>
      </c>
      <c r="B272" s="63" t="s">
        <v>643</v>
      </c>
    </row>
    <row r="273">
      <c r="A273" s="62" t="s">
        <v>644</v>
      </c>
      <c r="B273" s="62" t="s">
        <v>645</v>
      </c>
    </row>
    <row r="274">
      <c r="A274" s="63" t="s">
        <v>646</v>
      </c>
      <c r="B274" s="63" t="s">
        <v>647</v>
      </c>
    </row>
    <row r="275">
      <c r="A275" s="62" t="s">
        <v>648</v>
      </c>
      <c r="B275" s="62" t="s">
        <v>649</v>
      </c>
    </row>
    <row r="276">
      <c r="A276" s="63" t="s">
        <v>650</v>
      </c>
      <c r="B276" s="63" t="s">
        <v>651</v>
      </c>
    </row>
    <row r="277">
      <c r="A277" s="62" t="s">
        <v>652</v>
      </c>
      <c r="B277" s="62" t="s">
        <v>653</v>
      </c>
    </row>
    <row r="278">
      <c r="A278" s="63" t="s">
        <v>654</v>
      </c>
      <c r="B278" s="63" t="s">
        <v>655</v>
      </c>
    </row>
    <row r="279">
      <c r="A279" s="62" t="s">
        <v>656</v>
      </c>
      <c r="B279" s="62" t="s">
        <v>653</v>
      </c>
    </row>
    <row r="280">
      <c r="A280" s="63" t="s">
        <v>657</v>
      </c>
      <c r="B280" s="63" t="s">
        <v>517</v>
      </c>
    </row>
    <row r="281">
      <c r="A281" s="62" t="s">
        <v>658</v>
      </c>
      <c r="B281" s="62" t="s">
        <v>659</v>
      </c>
    </row>
    <row r="282">
      <c r="A282" s="63" t="s">
        <v>660</v>
      </c>
      <c r="B282" s="63" t="s">
        <v>653</v>
      </c>
    </row>
    <row r="283">
      <c r="A283" s="62" t="s">
        <v>661</v>
      </c>
      <c r="B283" s="62" t="s">
        <v>662</v>
      </c>
    </row>
    <row r="284">
      <c r="A284" s="63" t="s">
        <v>663</v>
      </c>
      <c r="B284" s="63" t="s">
        <v>395</v>
      </c>
    </row>
    <row r="285">
      <c r="A285" s="62" t="s">
        <v>664</v>
      </c>
      <c r="B285" s="62" t="s">
        <v>665</v>
      </c>
    </row>
    <row r="286">
      <c r="A286" s="63" t="s">
        <v>666</v>
      </c>
      <c r="B286" s="63" t="s">
        <v>627</v>
      </c>
    </row>
    <row r="287">
      <c r="A287" s="62" t="s">
        <v>667</v>
      </c>
      <c r="B287" s="62" t="s">
        <v>603</v>
      </c>
    </row>
    <row r="288">
      <c r="A288" s="63" t="s">
        <v>668</v>
      </c>
      <c r="B288" s="63" t="s">
        <v>669</v>
      </c>
    </row>
    <row r="289">
      <c r="A289" s="62" t="s">
        <v>670</v>
      </c>
      <c r="B289" s="62" t="s">
        <v>671</v>
      </c>
    </row>
    <row r="290">
      <c r="A290" s="63" t="s">
        <v>672</v>
      </c>
      <c r="B290" s="63" t="s">
        <v>673</v>
      </c>
    </row>
    <row r="291">
      <c r="A291" s="62" t="s">
        <v>674</v>
      </c>
      <c r="B291" s="62" t="s">
        <v>675</v>
      </c>
    </row>
    <row r="292">
      <c r="A292" s="63" t="s">
        <v>676</v>
      </c>
      <c r="B292" s="63" t="s">
        <v>677</v>
      </c>
    </row>
    <row r="293">
      <c r="A293" s="62" t="s">
        <v>678</v>
      </c>
      <c r="B293" s="62" t="s">
        <v>679</v>
      </c>
    </row>
    <row r="294">
      <c r="A294" s="63" t="s">
        <v>680</v>
      </c>
      <c r="B294" s="63" t="s">
        <v>681</v>
      </c>
    </row>
    <row r="295">
      <c r="A295" s="62" t="s">
        <v>682</v>
      </c>
      <c r="B295" s="62" t="s">
        <v>683</v>
      </c>
    </row>
    <row r="296">
      <c r="A296" s="63" t="s">
        <v>684</v>
      </c>
      <c r="B296" s="63" t="s">
        <v>685</v>
      </c>
    </row>
    <row r="297">
      <c r="A297" s="62" t="s">
        <v>686</v>
      </c>
      <c r="B297" s="62" t="s">
        <v>687</v>
      </c>
    </row>
    <row r="298">
      <c r="A298" s="63" t="s">
        <v>688</v>
      </c>
      <c r="B298" s="63" t="s">
        <v>689</v>
      </c>
    </row>
    <row r="299">
      <c r="A299" s="62" t="s">
        <v>690</v>
      </c>
      <c r="B299" s="62" t="s">
        <v>691</v>
      </c>
    </row>
    <row r="300">
      <c r="A300" s="63" t="s">
        <v>692</v>
      </c>
      <c r="B300" s="63" t="s">
        <v>693</v>
      </c>
    </row>
    <row r="301">
      <c r="A301" s="62" t="s">
        <v>694</v>
      </c>
      <c r="B301" s="62" t="s">
        <v>695</v>
      </c>
    </row>
    <row r="302">
      <c r="A302" s="63" t="s">
        <v>696</v>
      </c>
      <c r="B302" s="63" t="s">
        <v>697</v>
      </c>
    </row>
    <row r="303">
      <c r="A303" s="62" t="s">
        <v>698</v>
      </c>
      <c r="B303" s="62" t="s">
        <v>384</v>
      </c>
    </row>
    <row r="304">
      <c r="A304" s="63" t="s">
        <v>699</v>
      </c>
      <c r="B304" s="63" t="s">
        <v>700</v>
      </c>
    </row>
    <row r="305">
      <c r="A305" s="62" t="s">
        <v>701</v>
      </c>
      <c r="B305" s="62" t="s">
        <v>702</v>
      </c>
    </row>
    <row r="306">
      <c r="A306" s="63" t="s">
        <v>703</v>
      </c>
      <c r="B306" s="63" t="s">
        <v>704</v>
      </c>
    </row>
    <row r="307">
      <c r="A307" s="62" t="s">
        <v>705</v>
      </c>
      <c r="B307" s="62" t="s">
        <v>706</v>
      </c>
    </row>
    <row r="308">
      <c r="A308" s="63" t="s">
        <v>707</v>
      </c>
      <c r="B308" s="63" t="s">
        <v>708</v>
      </c>
    </row>
    <row r="309">
      <c r="A309" s="62" t="s">
        <v>709</v>
      </c>
      <c r="B309" s="62" t="s">
        <v>425</v>
      </c>
    </row>
    <row r="310">
      <c r="A310" s="63" t="s">
        <v>710</v>
      </c>
      <c r="B310" s="63" t="s">
        <v>711</v>
      </c>
    </row>
    <row r="311">
      <c r="A311" s="62" t="s">
        <v>712</v>
      </c>
      <c r="B311" s="62" t="s">
        <v>669</v>
      </c>
    </row>
    <row r="312">
      <c r="A312" s="63" t="s">
        <v>713</v>
      </c>
      <c r="B312" s="63" t="s">
        <v>714</v>
      </c>
    </row>
    <row r="313">
      <c r="A313" s="62" t="s">
        <v>715</v>
      </c>
      <c r="B313" s="62" t="s">
        <v>675</v>
      </c>
    </row>
    <row r="314">
      <c r="A314" s="63" t="s">
        <v>716</v>
      </c>
      <c r="B314" s="63" t="s">
        <v>618</v>
      </c>
    </row>
    <row r="315">
      <c r="A315" s="62" t="s">
        <v>717</v>
      </c>
      <c r="B315" s="62" t="s">
        <v>718</v>
      </c>
    </row>
    <row r="316">
      <c r="A316" s="63" t="s">
        <v>719</v>
      </c>
      <c r="B316" s="63" t="s">
        <v>720</v>
      </c>
    </row>
    <row r="317">
      <c r="A317" s="62" t="s">
        <v>721</v>
      </c>
      <c r="B317" s="62" t="s">
        <v>722</v>
      </c>
    </row>
    <row r="318">
      <c r="A318" s="63" t="s">
        <v>723</v>
      </c>
      <c r="B318" s="63" t="s">
        <v>724</v>
      </c>
    </row>
    <row r="319">
      <c r="A319" s="62" t="s">
        <v>725</v>
      </c>
      <c r="B319" s="62" t="s">
        <v>726</v>
      </c>
    </row>
    <row r="320">
      <c r="A320" s="63" t="s">
        <v>727</v>
      </c>
      <c r="B320" s="63" t="s">
        <v>728</v>
      </c>
    </row>
    <row r="321">
      <c r="A321" s="62" t="s">
        <v>729</v>
      </c>
      <c r="B321" s="62" t="s">
        <v>662</v>
      </c>
    </row>
    <row r="322">
      <c r="A322" s="63" t="s">
        <v>730</v>
      </c>
      <c r="B322" s="63" t="s">
        <v>731</v>
      </c>
    </row>
    <row r="323">
      <c r="A323" s="62" t="s">
        <v>732</v>
      </c>
      <c r="B323" s="62" t="s">
        <v>733</v>
      </c>
    </row>
    <row r="324">
      <c r="A324" s="63" t="s">
        <v>734</v>
      </c>
      <c r="B324" s="63" t="s">
        <v>735</v>
      </c>
    </row>
    <row r="325">
      <c r="A325" s="62" t="s">
        <v>736</v>
      </c>
      <c r="B325" s="62" t="s">
        <v>737</v>
      </c>
    </row>
    <row r="326">
      <c r="A326" s="63" t="s">
        <v>738</v>
      </c>
      <c r="B326" s="63" t="s">
        <v>683</v>
      </c>
    </row>
    <row r="327">
      <c r="A327" s="62" t="s">
        <v>739</v>
      </c>
      <c r="B327" s="62" t="s">
        <v>441</v>
      </c>
    </row>
    <row r="328">
      <c r="A328" s="63" t="s">
        <v>740</v>
      </c>
      <c r="B328" s="63" t="s">
        <v>741</v>
      </c>
    </row>
    <row r="329">
      <c r="A329" s="62" t="s">
        <v>742</v>
      </c>
      <c r="B329" s="62" t="s">
        <v>643</v>
      </c>
    </row>
    <row r="330">
      <c r="A330" s="63" t="s">
        <v>743</v>
      </c>
      <c r="B330" s="63" t="s">
        <v>744</v>
      </c>
    </row>
    <row r="331">
      <c r="A331" s="62" t="s">
        <v>745</v>
      </c>
      <c r="B331" s="62" t="s">
        <v>746</v>
      </c>
    </row>
    <row r="332">
      <c r="A332" s="63" t="s">
        <v>747</v>
      </c>
      <c r="B332" s="63" t="s">
        <v>748</v>
      </c>
    </row>
    <row r="333">
      <c r="A333" s="62" t="s">
        <v>749</v>
      </c>
      <c r="B333" s="62" t="s">
        <v>750</v>
      </c>
    </row>
    <row r="334">
      <c r="A334" s="63" t="s">
        <v>751</v>
      </c>
      <c r="B334" s="63" t="s">
        <v>752</v>
      </c>
    </row>
    <row r="335">
      <c r="A335" s="62" t="s">
        <v>753</v>
      </c>
      <c r="B335" s="62" t="s">
        <v>645</v>
      </c>
    </row>
    <row r="336">
      <c r="A336" s="63" t="s">
        <v>754</v>
      </c>
      <c r="B336" s="63" t="s">
        <v>755</v>
      </c>
    </row>
    <row r="337">
      <c r="A337" s="62" t="s">
        <v>756</v>
      </c>
      <c r="B337" s="62" t="s">
        <v>671</v>
      </c>
    </row>
    <row r="338">
      <c r="A338" s="63" t="s">
        <v>757</v>
      </c>
      <c r="B338" s="63" t="s">
        <v>758</v>
      </c>
    </row>
    <row r="339">
      <c r="A339" s="62" t="s">
        <v>759</v>
      </c>
      <c r="B339" s="62" t="s">
        <v>760</v>
      </c>
    </row>
    <row r="340">
      <c r="A340" s="63" t="s">
        <v>761</v>
      </c>
      <c r="B340" s="63" t="s">
        <v>762</v>
      </c>
    </row>
    <row r="341">
      <c r="A341" s="62" t="s">
        <v>763</v>
      </c>
      <c r="B341" s="62" t="s">
        <v>731</v>
      </c>
    </row>
    <row r="342">
      <c r="A342" s="63" t="s">
        <v>764</v>
      </c>
      <c r="B342" s="63" t="s">
        <v>599</v>
      </c>
    </row>
    <row r="343">
      <c r="A343" s="62" t="s">
        <v>765</v>
      </c>
      <c r="B343" s="62" t="s">
        <v>702</v>
      </c>
    </row>
    <row r="344">
      <c r="A344" s="63" t="s">
        <v>766</v>
      </c>
      <c r="B344" s="63" t="s">
        <v>758</v>
      </c>
    </row>
    <row r="345">
      <c r="A345" s="62" t="s">
        <v>767</v>
      </c>
      <c r="B345" s="62" t="s">
        <v>768</v>
      </c>
    </row>
    <row r="346">
      <c r="A346" s="63" t="s">
        <v>769</v>
      </c>
      <c r="B346" s="63" t="s">
        <v>770</v>
      </c>
    </row>
    <row r="347">
      <c r="A347" s="62" t="s">
        <v>771</v>
      </c>
      <c r="B347" s="62" t="s">
        <v>772</v>
      </c>
    </row>
    <row r="348">
      <c r="A348" s="63" t="s">
        <v>773</v>
      </c>
      <c r="B348" s="63" t="s">
        <v>647</v>
      </c>
    </row>
    <row r="349">
      <c r="A349" s="62" t="s">
        <v>774</v>
      </c>
      <c r="B349" s="62" t="s">
        <v>718</v>
      </c>
    </row>
    <row r="350">
      <c r="A350" s="63" t="s">
        <v>775</v>
      </c>
      <c r="B350" s="63" t="s">
        <v>752</v>
      </c>
    </row>
    <row r="351">
      <c r="A351" s="62" t="s">
        <v>776</v>
      </c>
      <c r="B351" s="62" t="s">
        <v>777</v>
      </c>
    </row>
    <row r="352">
      <c r="A352" s="63" t="s">
        <v>778</v>
      </c>
      <c r="B352" s="63" t="s">
        <v>779</v>
      </c>
    </row>
    <row r="353">
      <c r="A353" s="62" t="s">
        <v>780</v>
      </c>
      <c r="B353" s="62" t="s">
        <v>237</v>
      </c>
    </row>
    <row r="354">
      <c r="A354" s="63" t="s">
        <v>781</v>
      </c>
      <c r="B354" s="63" t="s">
        <v>744</v>
      </c>
    </row>
    <row r="355">
      <c r="A355" s="62" t="s">
        <v>782</v>
      </c>
      <c r="B355" s="62" t="s">
        <v>576</v>
      </c>
    </row>
    <row r="356">
      <c r="A356" s="63" t="s">
        <v>783</v>
      </c>
      <c r="B356" s="63" t="s">
        <v>549</v>
      </c>
    </row>
    <row r="357">
      <c r="A357" s="62" t="s">
        <v>784</v>
      </c>
      <c r="B357" s="62" t="s">
        <v>353</v>
      </c>
    </row>
    <row r="358">
      <c r="A358" s="63" t="s">
        <v>785</v>
      </c>
      <c r="B358" s="63" t="s">
        <v>786</v>
      </c>
    </row>
    <row r="359">
      <c r="A359" s="62" t="s">
        <v>787</v>
      </c>
      <c r="B359" s="62" t="s">
        <v>788</v>
      </c>
    </row>
    <row r="360">
      <c r="A360" s="63" t="s">
        <v>789</v>
      </c>
      <c r="B360" s="63" t="s">
        <v>790</v>
      </c>
    </row>
    <row r="361">
      <c r="A361" s="62" t="s">
        <v>791</v>
      </c>
      <c r="B361" s="62" t="s">
        <v>792</v>
      </c>
    </row>
    <row r="362">
      <c r="A362" s="63" t="s">
        <v>793</v>
      </c>
      <c r="B362" s="63" t="s">
        <v>737</v>
      </c>
    </row>
    <row r="363">
      <c r="A363" s="62" t="s">
        <v>794</v>
      </c>
      <c r="B363" s="62" t="s">
        <v>704</v>
      </c>
    </row>
    <row r="364">
      <c r="A364" s="63" t="s">
        <v>795</v>
      </c>
      <c r="B364" s="63" t="s">
        <v>687</v>
      </c>
    </row>
    <row r="365">
      <c r="A365" s="62" t="s">
        <v>796</v>
      </c>
      <c r="B365" s="62" t="s">
        <v>797</v>
      </c>
    </row>
    <row r="366">
      <c r="A366" s="63" t="s">
        <v>798</v>
      </c>
      <c r="B366" s="63" t="s">
        <v>772</v>
      </c>
    </row>
    <row r="367">
      <c r="A367" s="62" t="s">
        <v>799</v>
      </c>
      <c r="B367" s="62" t="s">
        <v>800</v>
      </c>
    </row>
    <row r="368">
      <c r="A368" s="63" t="s">
        <v>801</v>
      </c>
      <c r="B368" s="63" t="s">
        <v>802</v>
      </c>
    </row>
    <row r="369">
      <c r="A369" s="62" t="s">
        <v>803</v>
      </c>
      <c r="B369" s="62" t="s">
        <v>804</v>
      </c>
    </row>
    <row r="370">
      <c r="A370" s="63" t="s">
        <v>805</v>
      </c>
      <c r="B370" s="63" t="s">
        <v>806</v>
      </c>
    </row>
    <row r="371">
      <c r="A371" s="62" t="s">
        <v>807</v>
      </c>
      <c r="B371" s="62" t="s">
        <v>800</v>
      </c>
    </row>
    <row r="372">
      <c r="A372" s="63" t="s">
        <v>808</v>
      </c>
      <c r="B372" s="63" t="s">
        <v>809</v>
      </c>
    </row>
    <row r="373">
      <c r="A373" s="62" t="s">
        <v>810</v>
      </c>
      <c r="B373" s="62" t="s">
        <v>708</v>
      </c>
    </row>
    <row r="374">
      <c r="A374" s="63" t="s">
        <v>811</v>
      </c>
      <c r="B374" s="63" t="s">
        <v>812</v>
      </c>
    </row>
    <row r="375">
      <c r="A375" s="62" t="s">
        <v>813</v>
      </c>
      <c r="B375" s="62" t="s">
        <v>814</v>
      </c>
    </row>
    <row r="376">
      <c r="A376" s="63" t="s">
        <v>815</v>
      </c>
      <c r="B376" s="63" t="s">
        <v>816</v>
      </c>
    </row>
    <row r="377">
      <c r="A377" s="62" t="s">
        <v>817</v>
      </c>
      <c r="B377" s="62" t="s">
        <v>814</v>
      </c>
    </row>
    <row r="378">
      <c r="A378" s="63" t="s">
        <v>818</v>
      </c>
      <c r="B378" s="63" t="s">
        <v>819</v>
      </c>
    </row>
    <row r="379">
      <c r="A379" s="62" t="s">
        <v>820</v>
      </c>
      <c r="B379" s="62" t="s">
        <v>536</v>
      </c>
    </row>
    <row r="380">
      <c r="A380" s="63" t="s">
        <v>821</v>
      </c>
      <c r="B380" s="63" t="s">
        <v>711</v>
      </c>
    </row>
    <row r="381">
      <c r="A381" s="62" t="s">
        <v>822</v>
      </c>
      <c r="B381" s="62" t="s">
        <v>823</v>
      </c>
    </row>
    <row r="382">
      <c r="A382" s="63" t="s">
        <v>824</v>
      </c>
      <c r="B382" s="63" t="s">
        <v>825</v>
      </c>
    </row>
    <row r="383">
      <c r="A383" s="62" t="s">
        <v>826</v>
      </c>
      <c r="B383" s="62" t="s">
        <v>772</v>
      </c>
    </row>
    <row r="384">
      <c r="A384" s="63" t="s">
        <v>827</v>
      </c>
      <c r="B384" s="63" t="s">
        <v>555</v>
      </c>
    </row>
    <row r="385">
      <c r="A385" s="62" t="s">
        <v>827</v>
      </c>
      <c r="B385" s="62" t="s">
        <v>554</v>
      </c>
    </row>
    <row r="386">
      <c r="A386" s="63" t="s">
        <v>828</v>
      </c>
      <c r="B386" s="63" t="s">
        <v>829</v>
      </c>
    </row>
    <row r="387">
      <c r="A387" s="62" t="s">
        <v>830</v>
      </c>
      <c r="B387" s="62" t="s">
        <v>779</v>
      </c>
    </row>
    <row r="388">
      <c r="A388" s="63" t="s">
        <v>831</v>
      </c>
      <c r="B388" s="63" t="s">
        <v>687</v>
      </c>
    </row>
    <row r="389">
      <c r="A389" s="62" t="s">
        <v>832</v>
      </c>
      <c r="B389" s="62" t="s">
        <v>833</v>
      </c>
    </row>
    <row r="390">
      <c r="A390" s="63" t="s">
        <v>834</v>
      </c>
      <c r="B390" s="63" t="s">
        <v>835</v>
      </c>
    </row>
    <row r="391">
      <c r="A391" s="62" t="s">
        <v>836</v>
      </c>
      <c r="B391" s="62" t="s">
        <v>685</v>
      </c>
    </row>
    <row r="392">
      <c r="A392" s="63" t="s">
        <v>837</v>
      </c>
      <c r="B392" s="63" t="s">
        <v>806</v>
      </c>
    </row>
    <row r="393">
      <c r="A393" s="62" t="s">
        <v>838</v>
      </c>
      <c r="B393" s="62" t="s">
        <v>685</v>
      </c>
    </row>
    <row r="394">
      <c r="A394" s="63" t="s">
        <v>839</v>
      </c>
      <c r="B394" s="63" t="s">
        <v>840</v>
      </c>
    </row>
    <row r="395">
      <c r="A395" s="62" t="s">
        <v>841</v>
      </c>
      <c r="B395" s="62" t="s">
        <v>768</v>
      </c>
    </row>
    <row r="396">
      <c r="A396" s="63" t="s">
        <v>842</v>
      </c>
      <c r="B396" s="63" t="s">
        <v>843</v>
      </c>
    </row>
    <row r="397">
      <c r="A397" s="62" t="s">
        <v>844</v>
      </c>
      <c r="B397" s="62" t="s">
        <v>845</v>
      </c>
    </row>
    <row r="398">
      <c r="A398" s="63" t="s">
        <v>846</v>
      </c>
      <c r="B398" s="63" t="s">
        <v>806</v>
      </c>
    </row>
    <row r="399">
      <c r="A399" s="62" t="s">
        <v>847</v>
      </c>
      <c r="B399" s="62" t="s">
        <v>835</v>
      </c>
    </row>
    <row r="400">
      <c r="A400" s="63" t="s">
        <v>848</v>
      </c>
      <c r="B400" s="63" t="s">
        <v>685</v>
      </c>
    </row>
    <row r="401">
      <c r="A401" s="62" t="s">
        <v>849</v>
      </c>
      <c r="B401" s="62" t="s">
        <v>816</v>
      </c>
    </row>
    <row r="402">
      <c r="A402" s="63" t="s">
        <v>850</v>
      </c>
      <c r="B402" s="63" t="s">
        <v>851</v>
      </c>
    </row>
    <row r="403">
      <c r="A403" s="62" t="s">
        <v>852</v>
      </c>
      <c r="B403" s="62" t="s">
        <v>741</v>
      </c>
    </row>
    <row r="404">
      <c r="A404" s="63" t="s">
        <v>853</v>
      </c>
      <c r="B404" s="63" t="s">
        <v>829</v>
      </c>
    </row>
    <row r="405">
      <c r="A405" s="62" t="s">
        <v>854</v>
      </c>
      <c r="B405" s="62" t="s">
        <v>855</v>
      </c>
    </row>
    <row r="406">
      <c r="A406" s="63" t="s">
        <v>856</v>
      </c>
      <c r="B406" s="63" t="s">
        <v>857</v>
      </c>
    </row>
    <row r="407">
      <c r="A407" s="62" t="s">
        <v>858</v>
      </c>
      <c r="B407" s="62" t="s">
        <v>316</v>
      </c>
    </row>
    <row r="408">
      <c r="A408" s="63" t="s">
        <v>859</v>
      </c>
      <c r="B408" s="63" t="s">
        <v>772</v>
      </c>
    </row>
    <row r="409">
      <c r="A409" s="62" t="s">
        <v>860</v>
      </c>
      <c r="B409" s="62" t="s">
        <v>855</v>
      </c>
    </row>
    <row r="410">
      <c r="A410" s="63" t="s">
        <v>861</v>
      </c>
      <c r="B410" s="63" t="s">
        <v>855</v>
      </c>
    </row>
    <row r="411">
      <c r="A411" s="62" t="s">
        <v>862</v>
      </c>
      <c r="B411" s="62" t="s">
        <v>332</v>
      </c>
    </row>
    <row r="412">
      <c r="A412" s="63" t="s">
        <v>863</v>
      </c>
      <c r="B412" s="63" t="s">
        <v>216</v>
      </c>
    </row>
    <row r="413">
      <c r="A413" s="62" t="s">
        <v>864</v>
      </c>
      <c r="B413" s="62" t="s">
        <v>865</v>
      </c>
    </row>
    <row r="414">
      <c r="A414" s="63" t="s">
        <v>866</v>
      </c>
      <c r="B414" s="63" t="s">
        <v>867</v>
      </c>
    </row>
    <row r="415">
      <c r="A415" s="62" t="s">
        <v>868</v>
      </c>
      <c r="B415" s="62" t="s">
        <v>735</v>
      </c>
    </row>
    <row r="416">
      <c r="A416" s="63" t="s">
        <v>869</v>
      </c>
      <c r="B416" s="63" t="s">
        <v>697</v>
      </c>
    </row>
    <row r="417">
      <c r="A417" s="62" t="s">
        <v>870</v>
      </c>
      <c r="B417" s="62" t="s">
        <v>748</v>
      </c>
    </row>
    <row r="418">
      <c r="A418" s="63" t="s">
        <v>871</v>
      </c>
      <c r="B418" s="63" t="s">
        <v>867</v>
      </c>
    </row>
    <row r="419">
      <c r="A419" s="62" t="s">
        <v>872</v>
      </c>
      <c r="B419" s="62" t="s">
        <v>873</v>
      </c>
    </row>
    <row r="420">
      <c r="A420" s="63" t="s">
        <v>874</v>
      </c>
      <c r="B420" s="63" t="s">
        <v>395</v>
      </c>
    </row>
    <row r="421">
      <c r="A421" s="62" t="s">
        <v>875</v>
      </c>
      <c r="B421" s="62" t="s">
        <v>857</v>
      </c>
    </row>
    <row r="422">
      <c r="A422" s="63" t="s">
        <v>876</v>
      </c>
      <c r="B422" s="63" t="s">
        <v>772</v>
      </c>
    </row>
    <row r="423">
      <c r="A423" s="62" t="s">
        <v>877</v>
      </c>
      <c r="B423" s="62" t="s">
        <v>878</v>
      </c>
    </row>
    <row r="424">
      <c r="A424" s="63" t="s">
        <v>879</v>
      </c>
      <c r="B424" s="63" t="s">
        <v>880</v>
      </c>
    </row>
    <row r="425">
      <c r="A425" s="62" t="s">
        <v>881</v>
      </c>
      <c r="B425" s="62" t="s">
        <v>880</v>
      </c>
    </row>
    <row r="426">
      <c r="A426" s="63" t="s">
        <v>882</v>
      </c>
      <c r="B426" s="63" t="s">
        <v>833</v>
      </c>
    </row>
    <row r="427">
      <c r="A427" s="62" t="s">
        <v>883</v>
      </c>
      <c r="B427" s="62" t="s">
        <v>671</v>
      </c>
    </row>
    <row r="428">
      <c r="A428" s="63" t="s">
        <v>884</v>
      </c>
      <c r="B428" s="63" t="s">
        <v>885</v>
      </c>
    </row>
    <row r="429">
      <c r="A429" s="62" t="s">
        <v>886</v>
      </c>
      <c r="B429" s="62" t="s">
        <v>887</v>
      </c>
    </row>
    <row r="430">
      <c r="A430" s="63" t="s">
        <v>888</v>
      </c>
      <c r="B430" s="63" t="s">
        <v>772</v>
      </c>
    </row>
    <row r="431">
      <c r="A431" s="62" t="s">
        <v>889</v>
      </c>
      <c r="B431" s="62" t="s">
        <v>890</v>
      </c>
    </row>
    <row r="432">
      <c r="A432" s="63" t="s">
        <v>891</v>
      </c>
      <c r="B432" s="63" t="s">
        <v>892</v>
      </c>
    </row>
    <row r="433">
      <c r="A433" s="62" t="s">
        <v>893</v>
      </c>
      <c r="B433" s="62" t="s">
        <v>772</v>
      </c>
    </row>
    <row r="434">
      <c r="A434" s="63" t="s">
        <v>894</v>
      </c>
      <c r="B434" s="63" t="s">
        <v>895</v>
      </c>
    </row>
    <row r="435">
      <c r="A435" s="62" t="s">
        <v>896</v>
      </c>
      <c r="B435" s="62" t="s">
        <v>897</v>
      </c>
    </row>
    <row r="436">
      <c r="A436" s="63" t="s">
        <v>898</v>
      </c>
      <c r="B436" s="63" t="s">
        <v>722</v>
      </c>
    </row>
    <row r="437">
      <c r="A437" s="62" t="s">
        <v>899</v>
      </c>
      <c r="B437" s="62" t="s">
        <v>900</v>
      </c>
    </row>
    <row r="438">
      <c r="A438" s="63" t="s">
        <v>901</v>
      </c>
      <c r="B438" s="63" t="s">
        <v>900</v>
      </c>
    </row>
    <row r="439">
      <c r="A439" s="62" t="s">
        <v>902</v>
      </c>
      <c r="B439" s="62" t="s">
        <v>833</v>
      </c>
    </row>
    <row r="440">
      <c r="A440" s="63" t="s">
        <v>903</v>
      </c>
      <c r="B440" s="63" t="s">
        <v>903</v>
      </c>
    </row>
    <row r="441">
      <c r="A441" s="62" t="s">
        <v>904</v>
      </c>
      <c r="B441" s="62" t="s">
        <v>845</v>
      </c>
    </row>
    <row r="442">
      <c r="A442" s="63" t="s">
        <v>905</v>
      </c>
      <c r="B442" s="63" t="s">
        <v>750</v>
      </c>
    </row>
    <row r="443">
      <c r="A443" s="62" t="s">
        <v>906</v>
      </c>
      <c r="B443" s="62" t="s">
        <v>907</v>
      </c>
    </row>
    <row r="444">
      <c r="A444" s="63" t="s">
        <v>908</v>
      </c>
      <c r="B444" s="63" t="s">
        <v>909</v>
      </c>
    </row>
    <row r="445">
      <c r="A445" s="62" t="s">
        <v>910</v>
      </c>
      <c r="B445" s="62" t="s">
        <v>679</v>
      </c>
    </row>
    <row r="446">
      <c r="A446" s="63" t="s">
        <v>911</v>
      </c>
      <c r="B446" s="63" t="s">
        <v>809</v>
      </c>
    </row>
    <row r="447">
      <c r="A447" s="62" t="s">
        <v>912</v>
      </c>
      <c r="B447" s="62" t="s">
        <v>913</v>
      </c>
    </row>
    <row r="448">
      <c r="A448" s="63" t="s">
        <v>914</v>
      </c>
      <c r="B448" s="63" t="s">
        <v>665</v>
      </c>
    </row>
    <row r="449">
      <c r="A449" s="62" t="s">
        <v>915</v>
      </c>
      <c r="B449" s="62" t="s">
        <v>916</v>
      </c>
    </row>
    <row r="450">
      <c r="A450" s="63" t="s">
        <v>917</v>
      </c>
      <c r="B450" s="63" t="s">
        <v>917</v>
      </c>
    </row>
    <row r="451">
      <c r="A451" s="62" t="s">
        <v>918</v>
      </c>
      <c r="B451" s="62" t="s">
        <v>919</v>
      </c>
    </row>
    <row r="452">
      <c r="A452" s="63" t="s">
        <v>920</v>
      </c>
      <c r="B452" s="63" t="s">
        <v>921</v>
      </c>
    </row>
    <row r="453">
      <c r="A453" s="62" t="s">
        <v>922</v>
      </c>
      <c r="B453" s="62" t="s">
        <v>923</v>
      </c>
    </row>
    <row r="454">
      <c r="A454" s="63" t="s">
        <v>924</v>
      </c>
      <c r="B454" s="63" t="s">
        <v>925</v>
      </c>
    </row>
    <row r="455">
      <c r="A455" s="62" t="s">
        <v>926</v>
      </c>
      <c r="B455" s="62" t="s">
        <v>927</v>
      </c>
    </row>
    <row r="456">
      <c r="A456" s="63" t="s">
        <v>928</v>
      </c>
      <c r="B456" s="63" t="s">
        <v>928</v>
      </c>
    </row>
    <row r="457">
      <c r="A457" s="62" t="s">
        <v>929</v>
      </c>
      <c r="B457" s="62" t="s">
        <v>929</v>
      </c>
    </row>
    <row r="458">
      <c r="A458" s="63" t="s">
        <v>930</v>
      </c>
      <c r="B458" s="63" t="s">
        <v>921</v>
      </c>
    </row>
    <row r="459">
      <c r="A459" s="62" t="s">
        <v>931</v>
      </c>
      <c r="B459" s="62" t="s">
        <v>932</v>
      </c>
    </row>
    <row r="460">
      <c r="A460" s="63" t="s">
        <v>933</v>
      </c>
      <c r="B460" s="63" t="s">
        <v>934</v>
      </c>
    </row>
    <row r="461">
      <c r="A461" s="62" t="s">
        <v>935</v>
      </c>
      <c r="B461" s="62" t="s">
        <v>936</v>
      </c>
    </row>
    <row r="462">
      <c r="A462" s="63" t="s">
        <v>937</v>
      </c>
      <c r="B462" s="63" t="s">
        <v>936</v>
      </c>
    </row>
    <row r="463">
      <c r="A463" s="62" t="s">
        <v>938</v>
      </c>
      <c r="B463" s="62" t="s">
        <v>939</v>
      </c>
    </row>
    <row r="464">
      <c r="A464" s="63" t="s">
        <v>940</v>
      </c>
      <c r="B464" s="63" t="s">
        <v>939</v>
      </c>
    </row>
    <row r="465">
      <c r="A465" s="62" t="s">
        <v>941</v>
      </c>
      <c r="B465" s="62" t="s">
        <v>942</v>
      </c>
    </row>
    <row r="466">
      <c r="A466" s="63" t="s">
        <v>943</v>
      </c>
      <c r="B466" s="63" t="s">
        <v>944</v>
      </c>
    </row>
    <row r="467">
      <c r="A467" s="62" t="s">
        <v>945</v>
      </c>
      <c r="B467" s="62" t="s">
        <v>944</v>
      </c>
    </row>
    <row r="468">
      <c r="A468" s="63" t="s">
        <v>946</v>
      </c>
      <c r="B468" s="63" t="s">
        <v>942</v>
      </c>
    </row>
    <row r="469">
      <c r="A469" s="62" t="s">
        <v>947</v>
      </c>
      <c r="B469" s="62" t="s">
        <v>947</v>
      </c>
    </row>
    <row r="470">
      <c r="A470" s="63" t="s">
        <v>948</v>
      </c>
      <c r="B470" s="63" t="s">
        <v>949</v>
      </c>
    </row>
    <row r="471">
      <c r="A471" s="62" t="s">
        <v>950</v>
      </c>
      <c r="B471" s="62" t="s">
        <v>951</v>
      </c>
    </row>
    <row r="472">
      <c r="A472" s="63" t="s">
        <v>952</v>
      </c>
      <c r="B472" s="63" t="s">
        <v>951</v>
      </c>
    </row>
    <row r="473">
      <c r="A473" s="62" t="s">
        <v>953</v>
      </c>
      <c r="B473" s="62" t="s">
        <v>913</v>
      </c>
    </row>
    <row r="474">
      <c r="A474" s="63" t="s">
        <v>954</v>
      </c>
      <c r="B474" s="63" t="s">
        <v>954</v>
      </c>
    </row>
    <row r="475">
      <c r="A475" s="62" t="s">
        <v>955</v>
      </c>
      <c r="B475" s="62" t="s">
        <v>493</v>
      </c>
    </row>
    <row r="476">
      <c r="A476" s="63" t="s">
        <v>956</v>
      </c>
      <c r="B476" s="63" t="s">
        <v>957</v>
      </c>
    </row>
    <row r="477">
      <c r="A477" s="62" t="s">
        <v>958</v>
      </c>
      <c r="B477" s="62" t="s">
        <v>958</v>
      </c>
    </row>
    <row r="478">
      <c r="A478" s="63" t="s">
        <v>959</v>
      </c>
      <c r="B478" s="63" t="s">
        <v>777</v>
      </c>
    </row>
    <row r="479">
      <c r="A479" s="62" t="s">
        <v>960</v>
      </c>
      <c r="B479" s="62" t="s">
        <v>788</v>
      </c>
    </row>
    <row r="480">
      <c r="A480" s="63" t="s">
        <v>961</v>
      </c>
      <c r="B480" s="63" t="s">
        <v>962</v>
      </c>
    </row>
    <row r="481">
      <c r="A481" s="62" t="s">
        <v>963</v>
      </c>
      <c r="B481" s="62" t="s">
        <v>964</v>
      </c>
    </row>
    <row r="482">
      <c r="A482" s="63" t="s">
        <v>965</v>
      </c>
      <c r="B482" s="63" t="s">
        <v>964</v>
      </c>
    </row>
    <row r="483">
      <c r="A483" s="62" t="s">
        <v>966</v>
      </c>
      <c r="B483" s="62" t="s">
        <v>967</v>
      </c>
    </row>
    <row r="484">
      <c r="A484" s="63" t="s">
        <v>968</v>
      </c>
      <c r="B484" s="63" t="s">
        <v>967</v>
      </c>
    </row>
    <row r="485">
      <c r="A485" s="62" t="s">
        <v>969</v>
      </c>
      <c r="B485" s="62" t="s">
        <v>969</v>
      </c>
    </row>
    <row r="486">
      <c r="A486" s="63" t="s">
        <v>970</v>
      </c>
      <c r="B486" s="63" t="s">
        <v>867</v>
      </c>
    </row>
    <row r="487">
      <c r="A487" s="62" t="s">
        <v>971</v>
      </c>
      <c r="B487" s="62" t="s">
        <v>972</v>
      </c>
    </row>
    <row r="488">
      <c r="A488" s="63" t="s">
        <v>973</v>
      </c>
      <c r="B488" s="63" t="s">
        <v>972</v>
      </c>
    </row>
    <row r="489">
      <c r="A489" s="62" t="s">
        <v>974</v>
      </c>
      <c r="B489" s="62" t="s">
        <v>972</v>
      </c>
    </row>
    <row r="490">
      <c r="A490" s="63" t="s">
        <v>975</v>
      </c>
      <c r="B490" s="63" t="s">
        <v>976</v>
      </c>
    </row>
    <row r="491">
      <c r="A491" s="62" t="s">
        <v>977</v>
      </c>
      <c r="B491" s="62" t="s">
        <v>978</v>
      </c>
    </row>
    <row r="492">
      <c r="A492" s="63" t="s">
        <v>979</v>
      </c>
      <c r="B492" s="63" t="s">
        <v>980</v>
      </c>
    </row>
    <row r="493">
      <c r="A493" s="62" t="s">
        <v>981</v>
      </c>
      <c r="B493" s="62" t="s">
        <v>976</v>
      </c>
    </row>
    <row r="494">
      <c r="A494" s="63" t="s">
        <v>982</v>
      </c>
      <c r="B494" s="63" t="s">
        <v>983</v>
      </c>
    </row>
    <row r="495">
      <c r="A495" s="62" t="s">
        <v>984</v>
      </c>
      <c r="B495" s="62" t="s">
        <v>985</v>
      </c>
    </row>
    <row r="496">
      <c r="A496" s="63" t="s">
        <v>986</v>
      </c>
      <c r="B496" s="63" t="s">
        <v>985</v>
      </c>
    </row>
    <row r="497">
      <c r="A497" s="62" t="s">
        <v>987</v>
      </c>
      <c r="B497" s="62" t="s">
        <v>988</v>
      </c>
    </row>
    <row r="498">
      <c r="A498" s="63" t="s">
        <v>989</v>
      </c>
      <c r="B498" s="63" t="s">
        <v>989</v>
      </c>
    </row>
    <row r="499">
      <c r="A499" s="62" t="s">
        <v>990</v>
      </c>
      <c r="B499" s="62" t="s">
        <v>990</v>
      </c>
    </row>
    <row r="500">
      <c r="A500" s="63" t="s">
        <v>991</v>
      </c>
      <c r="B500" s="63" t="s">
        <v>991</v>
      </c>
    </row>
    <row r="501">
      <c r="A501" s="62" t="s">
        <v>992</v>
      </c>
      <c r="B501" s="62" t="s">
        <v>992</v>
      </c>
    </row>
    <row r="502">
      <c r="A502" s="63" t="s">
        <v>993</v>
      </c>
      <c r="B502" s="63" t="s">
        <v>993</v>
      </c>
    </row>
    <row r="503">
      <c r="A503" s="62" t="s">
        <v>994</v>
      </c>
      <c r="B503" s="62" t="s">
        <v>995</v>
      </c>
    </row>
    <row r="504">
      <c r="A504" s="63" t="s">
        <v>996</v>
      </c>
      <c r="B504" s="63" t="s">
        <v>996</v>
      </c>
    </row>
    <row r="505">
      <c r="A505" s="62" t="s">
        <v>997</v>
      </c>
      <c r="B505" s="62" t="s">
        <v>997</v>
      </c>
    </row>
    <row r="506">
      <c r="A506" s="63" t="s">
        <v>998</v>
      </c>
      <c r="B506" s="63" t="s">
        <v>998</v>
      </c>
    </row>
    <row r="507">
      <c r="A507" s="62" t="s">
        <v>999</v>
      </c>
      <c r="B507" s="62" t="s">
        <v>491</v>
      </c>
    </row>
    <row r="508">
      <c r="A508" s="63" t="s">
        <v>1000</v>
      </c>
      <c r="B508" s="63" t="s">
        <v>596</v>
      </c>
    </row>
    <row r="509">
      <c r="A509" s="62" t="s">
        <v>1001</v>
      </c>
      <c r="B509" s="62" t="s">
        <v>1001</v>
      </c>
    </row>
    <row r="510">
      <c r="A510" s="63" t="s">
        <v>1002</v>
      </c>
      <c r="B510" s="63" t="s">
        <v>1003</v>
      </c>
    </row>
    <row r="511">
      <c r="A511" s="62" t="s">
        <v>1004</v>
      </c>
      <c r="B511" s="62" t="s">
        <v>1004</v>
      </c>
    </row>
    <row r="512">
      <c r="A512" s="63" t="s">
        <v>1005</v>
      </c>
      <c r="B512" s="63" t="s">
        <v>1005</v>
      </c>
    </row>
    <row r="513">
      <c r="A513" s="62" t="s">
        <v>1006</v>
      </c>
      <c r="B513" s="62" t="s">
        <v>1006</v>
      </c>
    </row>
    <row r="514">
      <c r="A514" s="63" t="s">
        <v>1007</v>
      </c>
      <c r="B514" s="63" t="s">
        <v>1008</v>
      </c>
    </row>
    <row r="515">
      <c r="A515" s="62" t="s">
        <v>1009</v>
      </c>
      <c r="B515" s="62" t="s">
        <v>1010</v>
      </c>
    </row>
    <row r="516">
      <c r="A516" s="63" t="s">
        <v>1011</v>
      </c>
      <c r="B516" s="63" t="s">
        <v>1012</v>
      </c>
    </row>
    <row r="517">
      <c r="A517" s="62" t="s">
        <v>1013</v>
      </c>
      <c r="B517" s="62" t="s">
        <v>1013</v>
      </c>
    </row>
    <row r="518">
      <c r="A518" s="63" t="s">
        <v>1014</v>
      </c>
      <c r="B518" s="63" t="s">
        <v>1015</v>
      </c>
    </row>
    <row r="519">
      <c r="A519" s="62" t="s">
        <v>1016</v>
      </c>
      <c r="B519" s="62" t="s">
        <v>1015</v>
      </c>
    </row>
    <row r="520">
      <c r="A520" s="63" t="s">
        <v>1017</v>
      </c>
      <c r="B520" s="63" t="s">
        <v>1018</v>
      </c>
    </row>
    <row r="521">
      <c r="A521" s="62" t="s">
        <v>1019</v>
      </c>
      <c r="B521" s="62" t="s">
        <v>942</v>
      </c>
    </row>
    <row r="522">
      <c r="A522" s="63" t="s">
        <v>1020</v>
      </c>
      <c r="B522" s="63" t="s">
        <v>851</v>
      </c>
    </row>
    <row r="523">
      <c r="A523" s="62" t="s">
        <v>1021</v>
      </c>
      <c r="B523" s="62" t="s">
        <v>612</v>
      </c>
    </row>
    <row r="524">
      <c r="A524" s="63" t="s">
        <v>1022</v>
      </c>
      <c r="B524" s="63" t="s">
        <v>927</v>
      </c>
    </row>
    <row r="525">
      <c r="A525" s="62" t="s">
        <v>1023</v>
      </c>
      <c r="B525" s="62" t="s">
        <v>720</v>
      </c>
    </row>
    <row r="526">
      <c r="A526" s="63" t="s">
        <v>1024</v>
      </c>
      <c r="B526" s="63" t="s">
        <v>1025</v>
      </c>
    </row>
    <row r="527">
      <c r="A527" s="62" t="s">
        <v>1026</v>
      </c>
      <c r="B527" s="62" t="s">
        <v>1027</v>
      </c>
    </row>
    <row r="528">
      <c r="A528" s="63" t="s">
        <v>1028</v>
      </c>
      <c r="B528" s="63" t="s">
        <v>1029</v>
      </c>
    </row>
    <row r="529">
      <c r="A529" s="62" t="s">
        <v>1030</v>
      </c>
      <c r="B529" s="62" t="s">
        <v>949</v>
      </c>
    </row>
    <row r="530">
      <c r="A530" s="63" t="s">
        <v>1031</v>
      </c>
      <c r="B530" s="63" t="s">
        <v>957</v>
      </c>
    </row>
    <row r="531">
      <c r="A531" s="62" t="s">
        <v>1032</v>
      </c>
      <c r="B531" s="62" t="s">
        <v>840</v>
      </c>
    </row>
    <row r="532">
      <c r="A532" s="63" t="s">
        <v>1033</v>
      </c>
      <c r="B532" s="63" t="s">
        <v>802</v>
      </c>
    </row>
    <row r="533">
      <c r="A533" s="62" t="s">
        <v>1034</v>
      </c>
      <c r="B533" s="62" t="s">
        <v>679</v>
      </c>
    </row>
    <row r="534">
      <c r="A534" s="63" t="s">
        <v>1035</v>
      </c>
      <c r="B534" s="63" t="s">
        <v>770</v>
      </c>
    </row>
    <row r="535">
      <c r="A535" s="62" t="s">
        <v>1036</v>
      </c>
      <c r="B535" s="62" t="s">
        <v>603</v>
      </c>
    </row>
    <row r="536">
      <c r="A536" s="63" t="s">
        <v>1037</v>
      </c>
      <c r="B536" s="63" t="s">
        <v>1038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75"/>
  </cols>
  <sheetData>
    <row r="1">
      <c r="A1" s="65" t="s">
        <v>1039</v>
      </c>
      <c r="B1" s="65" t="s">
        <v>1040</v>
      </c>
      <c r="C1" s="65" t="s">
        <v>1041</v>
      </c>
    </row>
    <row r="2">
      <c r="A2" s="66" t="s">
        <v>216</v>
      </c>
      <c r="B2" s="67" t="s">
        <v>1042</v>
      </c>
      <c r="C2" s="68">
        <v>60.0</v>
      </c>
    </row>
    <row r="3">
      <c r="A3" s="69" t="s">
        <v>267</v>
      </c>
      <c r="B3" s="70" t="s">
        <v>1043</v>
      </c>
      <c r="C3" s="70">
        <v>8.0</v>
      </c>
    </row>
    <row r="4">
      <c r="A4" s="69" t="s">
        <v>214</v>
      </c>
      <c r="B4" s="70" t="s">
        <v>1044</v>
      </c>
      <c r="C4" s="70">
        <v>69.0</v>
      </c>
    </row>
    <row r="5">
      <c r="A5" s="69" t="s">
        <v>298</v>
      </c>
      <c r="B5" s="70" t="s">
        <v>1045</v>
      </c>
      <c r="C5" s="70">
        <v>94.0</v>
      </c>
    </row>
    <row r="6">
      <c r="A6" s="69" t="s">
        <v>340</v>
      </c>
      <c r="B6" s="70" t="s">
        <v>1046</v>
      </c>
      <c r="C6" s="70">
        <v>109.0</v>
      </c>
    </row>
    <row r="7">
      <c r="A7" s="69" t="s">
        <v>245</v>
      </c>
      <c r="B7" s="70" t="s">
        <v>1044</v>
      </c>
      <c r="C7" s="70">
        <v>9.0</v>
      </c>
    </row>
    <row r="8">
      <c r="A8" s="69" t="s">
        <v>214</v>
      </c>
      <c r="B8" s="70" t="s">
        <v>1044</v>
      </c>
      <c r="C8" s="70">
        <v>69.0</v>
      </c>
    </row>
    <row r="9">
      <c r="A9" s="69" t="s">
        <v>219</v>
      </c>
      <c r="B9" s="70" t="s">
        <v>1043</v>
      </c>
      <c r="C9" s="70">
        <v>79.0</v>
      </c>
    </row>
    <row r="10">
      <c r="A10" s="69" t="s">
        <v>282</v>
      </c>
      <c r="B10" s="70" t="s">
        <v>1047</v>
      </c>
      <c r="C10" s="70">
        <v>48.0</v>
      </c>
    </row>
    <row r="11">
      <c r="A11" s="69" t="s">
        <v>225</v>
      </c>
      <c r="B11" s="70" t="s">
        <v>1048</v>
      </c>
      <c r="C11" s="70">
        <v>13.0</v>
      </c>
    </row>
    <row r="12">
      <c r="A12" s="69" t="s">
        <v>317</v>
      </c>
      <c r="B12" s="70" t="s">
        <v>1049</v>
      </c>
      <c r="C12" s="70">
        <v>48.0</v>
      </c>
    </row>
    <row r="13">
      <c r="A13" s="69" t="s">
        <v>332</v>
      </c>
      <c r="B13" s="70" t="s">
        <v>1050</v>
      </c>
      <c r="C13" s="70">
        <v>19.0</v>
      </c>
    </row>
    <row r="14">
      <c r="A14" s="69" t="s">
        <v>222</v>
      </c>
      <c r="B14" s="70" t="s">
        <v>1051</v>
      </c>
      <c r="C14" s="70">
        <v>13.0</v>
      </c>
    </row>
    <row r="15">
      <c r="A15" s="69" t="s">
        <v>314</v>
      </c>
      <c r="B15" s="70" t="s">
        <v>1044</v>
      </c>
      <c r="C15" s="70">
        <v>10.0</v>
      </c>
    </row>
    <row r="16">
      <c r="A16" s="69" t="s">
        <v>230</v>
      </c>
      <c r="B16" s="70" t="s">
        <v>1046</v>
      </c>
      <c r="C16" s="70">
        <v>23.0</v>
      </c>
    </row>
    <row r="17">
      <c r="A17" s="69" t="s">
        <v>255</v>
      </c>
      <c r="B17" s="70" t="s">
        <v>1042</v>
      </c>
      <c r="C17" s="70">
        <v>80.0</v>
      </c>
    </row>
    <row r="18">
      <c r="A18" s="69" t="s">
        <v>294</v>
      </c>
      <c r="B18" s="70" t="s">
        <v>1052</v>
      </c>
      <c r="C18" s="70">
        <v>59.0</v>
      </c>
    </row>
    <row r="19">
      <c r="A19" s="69" t="s">
        <v>281</v>
      </c>
      <c r="B19" s="70" t="s">
        <v>1046</v>
      </c>
      <c r="C19" s="70">
        <v>83.0</v>
      </c>
    </row>
    <row r="20">
      <c r="A20" s="69" t="s">
        <v>227</v>
      </c>
      <c r="B20" s="70" t="s">
        <v>1053</v>
      </c>
      <c r="C20" s="70">
        <v>41.0</v>
      </c>
    </row>
    <row r="21">
      <c r="A21" s="69" t="s">
        <v>288</v>
      </c>
      <c r="B21" s="70" t="s">
        <v>1054</v>
      </c>
      <c r="C21" s="70">
        <v>50.0</v>
      </c>
    </row>
    <row r="22">
      <c r="A22" s="69" t="s">
        <v>221</v>
      </c>
      <c r="B22" s="70" t="s">
        <v>1048</v>
      </c>
      <c r="C22" s="70">
        <v>78.0</v>
      </c>
    </row>
    <row r="23">
      <c r="A23" s="69" t="s">
        <v>256</v>
      </c>
      <c r="B23" s="70" t="s">
        <v>1055</v>
      </c>
      <c r="C23" s="70">
        <v>29.0</v>
      </c>
    </row>
    <row r="24">
      <c r="A24" s="69" t="s">
        <v>262</v>
      </c>
      <c r="B24" s="70" t="s">
        <v>1056</v>
      </c>
      <c r="C24" s="70">
        <v>72.0</v>
      </c>
    </row>
    <row r="25">
      <c r="A25" s="69" t="s">
        <v>247</v>
      </c>
      <c r="B25" s="70" t="s">
        <v>1055</v>
      </c>
      <c r="C25" s="70">
        <v>11.0</v>
      </c>
    </row>
    <row r="26">
      <c r="A26" s="69" t="s">
        <v>367</v>
      </c>
      <c r="B26" s="70" t="s">
        <v>1057</v>
      </c>
      <c r="C26" s="70">
        <v>18.0</v>
      </c>
    </row>
    <row r="27">
      <c r="A27" s="69" t="s">
        <v>244</v>
      </c>
      <c r="B27" s="70" t="s">
        <v>1058</v>
      </c>
      <c r="C27" s="70">
        <v>12.0</v>
      </c>
    </row>
    <row r="28">
      <c r="A28" s="69" t="s">
        <v>218</v>
      </c>
      <c r="B28" s="70" t="s">
        <v>1059</v>
      </c>
      <c r="C28" s="70">
        <v>24.0</v>
      </c>
    </row>
    <row r="29">
      <c r="A29" s="69" t="s">
        <v>313</v>
      </c>
      <c r="B29" s="70" t="s">
        <v>1060</v>
      </c>
      <c r="C29" s="70">
        <v>8.0</v>
      </c>
    </row>
    <row r="30">
      <c r="A30" s="69" t="s">
        <v>284</v>
      </c>
      <c r="B30" s="70" t="s">
        <v>1057</v>
      </c>
      <c r="C30" s="70">
        <v>25.0</v>
      </c>
    </row>
    <row r="31">
      <c r="A31" s="69" t="s">
        <v>301</v>
      </c>
      <c r="B31" s="70" t="s">
        <v>1061</v>
      </c>
      <c r="C31" s="70">
        <v>40.0</v>
      </c>
    </row>
    <row r="32">
      <c r="A32" s="69" t="s">
        <v>236</v>
      </c>
      <c r="B32" s="70" t="s">
        <v>1062</v>
      </c>
      <c r="C32" s="70">
        <v>24.0</v>
      </c>
    </row>
    <row r="33">
      <c r="A33" s="69" t="s">
        <v>327</v>
      </c>
      <c r="B33" s="70" t="s">
        <v>1044</v>
      </c>
      <c r="C33" s="70">
        <v>11.0</v>
      </c>
    </row>
    <row r="34">
      <c r="A34" s="69" t="s">
        <v>224</v>
      </c>
      <c r="B34" s="70" t="s">
        <v>1061</v>
      </c>
      <c r="C34" s="70">
        <v>54.0</v>
      </c>
    </row>
    <row r="35">
      <c r="A35" s="69" t="s">
        <v>241</v>
      </c>
      <c r="B35" s="70" t="s">
        <v>1048</v>
      </c>
      <c r="C35" s="70">
        <v>213.0</v>
      </c>
    </row>
    <row r="36">
      <c r="A36" s="69" t="s">
        <v>279</v>
      </c>
      <c r="B36" s="70" t="s">
        <v>1056</v>
      </c>
      <c r="C36" s="70">
        <v>117.0</v>
      </c>
    </row>
    <row r="37">
      <c r="A37" s="69" t="s">
        <v>283</v>
      </c>
      <c r="B37" s="70" t="s">
        <v>1042</v>
      </c>
      <c r="C37" s="70">
        <v>121.0</v>
      </c>
    </row>
    <row r="38">
      <c r="A38" s="69" t="s">
        <v>331</v>
      </c>
      <c r="B38" s="70" t="s">
        <v>1046</v>
      </c>
      <c r="C38" s="70">
        <v>84.0</v>
      </c>
    </row>
    <row r="39">
      <c r="A39" s="69" t="s">
        <v>349</v>
      </c>
      <c r="B39" s="70" t="s">
        <v>1055</v>
      </c>
      <c r="C39" s="70">
        <v>64.0</v>
      </c>
    </row>
    <row r="40">
      <c r="A40" s="69" t="s">
        <v>212</v>
      </c>
      <c r="B40" s="70" t="s">
        <v>1056</v>
      </c>
      <c r="C40" s="70">
        <v>64.0</v>
      </c>
    </row>
    <row r="41">
      <c r="A41" s="69" t="s">
        <v>221</v>
      </c>
      <c r="B41" s="70" t="s">
        <v>1048</v>
      </c>
      <c r="C41" s="70">
        <v>78.0</v>
      </c>
    </row>
    <row r="42">
      <c r="A42" s="69" t="s">
        <v>264</v>
      </c>
      <c r="B42" s="70" t="s">
        <v>1042</v>
      </c>
      <c r="C42" s="70">
        <v>121.0</v>
      </c>
    </row>
    <row r="43">
      <c r="A43" s="69" t="s">
        <v>261</v>
      </c>
      <c r="B43" s="70" t="s">
        <v>1046</v>
      </c>
      <c r="C43" s="70">
        <v>8.0</v>
      </c>
    </row>
    <row r="44">
      <c r="A44" s="69" t="s">
        <v>237</v>
      </c>
      <c r="B44" s="70" t="s">
        <v>1046</v>
      </c>
      <c r="C44" s="70">
        <v>67.0</v>
      </c>
    </row>
    <row r="45">
      <c r="A45" s="69" t="s">
        <v>263</v>
      </c>
      <c r="B45" s="70" t="s">
        <v>1058</v>
      </c>
      <c r="C45" s="70">
        <v>57.0</v>
      </c>
    </row>
    <row r="46">
      <c r="A46" s="69" t="s">
        <v>276</v>
      </c>
      <c r="B46" s="70" t="s">
        <v>1055</v>
      </c>
      <c r="C46" s="70">
        <v>16.0</v>
      </c>
    </row>
    <row r="47">
      <c r="A47" s="69" t="s">
        <v>248</v>
      </c>
      <c r="B47" s="70" t="s">
        <v>1063</v>
      </c>
      <c r="C47" s="70">
        <v>32.0</v>
      </c>
    </row>
    <row r="48">
      <c r="A48" s="69" t="s">
        <v>304</v>
      </c>
      <c r="B48" s="70" t="s">
        <v>1064</v>
      </c>
      <c r="C48" s="70">
        <v>11.0</v>
      </c>
    </row>
    <row r="49">
      <c r="A49" s="69" t="s">
        <v>350</v>
      </c>
      <c r="B49" s="70" t="s">
        <v>1065</v>
      </c>
      <c r="C49" s="70">
        <v>47.0</v>
      </c>
    </row>
    <row r="50">
      <c r="A50" s="69" t="s">
        <v>360</v>
      </c>
      <c r="B50" s="70" t="s">
        <v>1062</v>
      </c>
      <c r="C50" s="70">
        <v>55.0</v>
      </c>
    </row>
    <row r="51">
      <c r="A51" s="69" t="s">
        <v>258</v>
      </c>
      <c r="B51" s="70" t="s">
        <v>1046</v>
      </c>
      <c r="C51" s="70">
        <v>69.0</v>
      </c>
    </row>
    <row r="52">
      <c r="A52" s="69" t="s">
        <v>316</v>
      </c>
      <c r="B52" s="70" t="s">
        <v>1046</v>
      </c>
      <c r="C52" s="70">
        <v>64.0</v>
      </c>
    </row>
    <row r="53">
      <c r="A53" s="69" t="s">
        <v>326</v>
      </c>
      <c r="B53" s="70" t="s">
        <v>1046</v>
      </c>
      <c r="C53" s="70">
        <v>17.0</v>
      </c>
    </row>
    <row r="54">
      <c r="A54" s="69" t="s">
        <v>280</v>
      </c>
      <c r="B54" s="70" t="s">
        <v>1066</v>
      </c>
      <c r="C54" s="70">
        <v>59.0</v>
      </c>
    </row>
    <row r="55">
      <c r="A55" s="69" t="s">
        <v>354</v>
      </c>
      <c r="B55" s="70" t="s">
        <v>1067</v>
      </c>
      <c r="C55" s="70">
        <v>46.0</v>
      </c>
    </row>
    <row r="56">
      <c r="A56" s="69" t="s">
        <v>136</v>
      </c>
      <c r="B56" s="70" t="s">
        <v>1057</v>
      </c>
      <c r="C56" s="70">
        <v>9.0</v>
      </c>
    </row>
    <row r="57">
      <c r="A57" s="69" t="s">
        <v>330</v>
      </c>
      <c r="B57" s="70" t="s">
        <v>1068</v>
      </c>
      <c r="C57" s="70">
        <v>23.0</v>
      </c>
    </row>
    <row r="58">
      <c r="A58" s="69" t="s">
        <v>223</v>
      </c>
      <c r="B58" s="70" t="s">
        <v>1052</v>
      </c>
      <c r="C58" s="70">
        <v>50.0</v>
      </c>
    </row>
    <row r="59">
      <c r="A59" s="69" t="s">
        <v>384</v>
      </c>
      <c r="B59" s="70" t="s">
        <v>1046</v>
      </c>
      <c r="C59" s="70">
        <v>23.0</v>
      </c>
    </row>
    <row r="60">
      <c r="A60" s="69" t="s">
        <v>385</v>
      </c>
      <c r="B60" s="70" t="s">
        <v>1046</v>
      </c>
      <c r="C60" s="70">
        <v>25.0</v>
      </c>
    </row>
    <row r="61">
      <c r="A61" s="69" t="s">
        <v>323</v>
      </c>
      <c r="B61" s="70" t="s">
        <v>1046</v>
      </c>
      <c r="C61" s="70">
        <v>8.0</v>
      </c>
    </row>
    <row r="62">
      <c r="A62" s="69" t="s">
        <v>344</v>
      </c>
      <c r="B62" s="70" t="s">
        <v>1064</v>
      </c>
      <c r="C62" s="70">
        <v>83.0</v>
      </c>
    </row>
    <row r="63">
      <c r="A63" s="69" t="s">
        <v>316</v>
      </c>
      <c r="B63" s="70" t="s">
        <v>1046</v>
      </c>
      <c r="C63" s="70">
        <v>64.0</v>
      </c>
    </row>
    <row r="64">
      <c r="A64" s="69" t="s">
        <v>226</v>
      </c>
      <c r="B64" s="70" t="s">
        <v>1056</v>
      </c>
      <c r="C64" s="70">
        <v>9.0</v>
      </c>
    </row>
    <row r="65">
      <c r="A65" s="69" t="s">
        <v>359</v>
      </c>
      <c r="B65" s="70" t="s">
        <v>1060</v>
      </c>
      <c r="C65" s="70">
        <v>42.0</v>
      </c>
    </row>
    <row r="66">
      <c r="A66" s="69" t="s">
        <v>335</v>
      </c>
      <c r="B66" s="70" t="s">
        <v>1049</v>
      </c>
      <c r="C66" s="70">
        <v>95.0</v>
      </c>
    </row>
    <row r="67">
      <c r="A67" s="69" t="s">
        <v>240</v>
      </c>
      <c r="B67" s="70" t="s">
        <v>1054</v>
      </c>
      <c r="C67" s="70">
        <v>17.0</v>
      </c>
    </row>
    <row r="68">
      <c r="A68" s="69" t="s">
        <v>353</v>
      </c>
      <c r="B68" s="70" t="s">
        <v>1054</v>
      </c>
      <c r="C68" s="70">
        <v>113.0</v>
      </c>
    </row>
    <row r="69">
      <c r="A69" s="69" t="s">
        <v>272</v>
      </c>
      <c r="B69" s="70" t="s">
        <v>1053</v>
      </c>
      <c r="C69" s="70">
        <v>58.0</v>
      </c>
    </row>
    <row r="70">
      <c r="A70" s="69" t="s">
        <v>315</v>
      </c>
      <c r="B70" s="70" t="s">
        <v>1069</v>
      </c>
      <c r="C70" s="70">
        <v>53.0</v>
      </c>
    </row>
    <row r="71">
      <c r="A71" s="69" t="s">
        <v>228</v>
      </c>
      <c r="B71" s="70" t="s">
        <v>1070</v>
      </c>
      <c r="C71" s="70">
        <v>54.0</v>
      </c>
    </row>
    <row r="72">
      <c r="A72" s="69" t="s">
        <v>257</v>
      </c>
      <c r="B72" s="70" t="s">
        <v>1056</v>
      </c>
      <c r="C72" s="70">
        <v>49.0</v>
      </c>
    </row>
    <row r="73">
      <c r="A73" s="69" t="s">
        <v>215</v>
      </c>
      <c r="B73" s="70" t="s">
        <v>1071</v>
      </c>
      <c r="C73" s="70">
        <v>126.0</v>
      </c>
    </row>
    <row r="74">
      <c r="A74" s="69" t="s">
        <v>291</v>
      </c>
      <c r="B74" s="70" t="s">
        <v>1072</v>
      </c>
      <c r="C74" s="70">
        <v>61.0</v>
      </c>
    </row>
    <row r="75">
      <c r="A75" s="69" t="s">
        <v>318</v>
      </c>
      <c r="B75" s="70" t="s">
        <v>1073</v>
      </c>
      <c r="C75" s="70">
        <v>82.0</v>
      </c>
    </row>
    <row r="76">
      <c r="A76" s="69" t="s">
        <v>213</v>
      </c>
      <c r="B76" s="70" t="s">
        <v>1049</v>
      </c>
      <c r="C76" s="70">
        <v>45.0</v>
      </c>
    </row>
    <row r="77">
      <c r="A77" s="69" t="s">
        <v>229</v>
      </c>
      <c r="B77" s="70" t="s">
        <v>1056</v>
      </c>
      <c r="C77" s="70">
        <v>54.0</v>
      </c>
    </row>
    <row r="78">
      <c r="A78" s="69" t="s">
        <v>287</v>
      </c>
      <c r="B78" s="70" t="s">
        <v>1056</v>
      </c>
      <c r="C78" s="70">
        <v>37.0</v>
      </c>
    </row>
    <row r="79">
      <c r="A79" s="69" t="s">
        <v>297</v>
      </c>
      <c r="B79" s="70" t="s">
        <v>1056</v>
      </c>
      <c r="C79" s="70">
        <v>95.0</v>
      </c>
    </row>
    <row r="80">
      <c r="A80" s="69" t="s">
        <v>231</v>
      </c>
      <c r="B80" s="70" t="s">
        <v>1074</v>
      </c>
      <c r="C80" s="70">
        <v>49.0</v>
      </c>
    </row>
    <row r="81">
      <c r="A81" s="69" t="s">
        <v>217</v>
      </c>
      <c r="B81" s="70" t="s">
        <v>1075</v>
      </c>
      <c r="C81" s="70">
        <v>50.0</v>
      </c>
    </row>
    <row r="82">
      <c r="A82" s="69" t="s">
        <v>220</v>
      </c>
      <c r="B82" s="70" t="s">
        <v>1051</v>
      </c>
      <c r="C82" s="70">
        <v>20.0</v>
      </c>
    </row>
  </sheetData>
  <drawing r:id="rId1"/>
</worksheet>
</file>