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 sheetId="1" r:id="rId5"/>
    <sheet state="visible" name="fplAlign" sheetId="2" r:id="rId6"/>
    <sheet state="visible" name="LOG" sheetId="3" r:id="rId7"/>
    <sheet state="visible" name="CALCULS BRANCHES" sheetId="4" r:id="rId8"/>
    <sheet state="visible" name="TRIANGULATION CARTE" sheetId="5" r:id="rId9"/>
    <sheet state="visible" name="WINTEM" sheetId="6" r:id="rId10"/>
    <sheet state="visible" name="CARBURANT" sheetId="7" r:id="rId11"/>
    <sheet state="visible" name="CTLS_FF" sheetId="8" r:id="rId12"/>
    <sheet state="visible" name="AUTONOMIE" sheetId="9" r:id="rId13"/>
    <sheet state="visible" name="CTLS_CENTRAGE" sheetId="10" r:id="rId14"/>
    <sheet state="visible" name="DR400_CENTRAGE" sheetId="11" r:id="rId15"/>
    <sheet state="visible" name="PERFORMANCE" sheetId="12" r:id="rId16"/>
    <sheet state="visible" name="DR400120_PERFORMANCE" sheetId="13" r:id="rId17"/>
    <sheet state="visible" name="CTLS-LSA_PERFORMANCE" sheetId="14" r:id="rId18"/>
    <sheet state="visible" name="FREQUENCES" sheetId="15" r:id="rId19"/>
    <sheet state="visible" name="WAYPOINTS" sheetId="16" r:id="rId20"/>
    <sheet state="visible" name="BILAN ACTIVITE" sheetId="17" r:id="rId21"/>
  </sheets>
  <definedNames>
    <definedName name="ManualWindDirection">WINTEM!$J$21</definedName>
    <definedName name="Vz_15">PERFORMANCE!$E$10</definedName>
    <definedName name="Fb">PERFORMANCE!$E$8</definedName>
    <definedName name="AverageWindDirection">WINTEM!$G$21</definedName>
    <definedName name="SpeedUnit">PERFORMANCE!$E$7</definedName>
    <definedName name="DInit">PERFORMANCE!$D$43</definedName>
    <definedName name="Zpo">PERFORMANCE!$D$46</definedName>
    <definedName name="FF_Procedures">PERFORMANCE!$H$71</definedName>
    <definedName name="TOW">PERFORMANCE!$E$16</definedName>
    <definedName name="DénDd">PERFORMANCE!$D$39</definedName>
    <definedName name="VzCorrZ">DR400120_PERFORMANCE!$C$73</definedName>
    <definedName name="ZRéf">PERFORMANCE!$H$18</definedName>
    <definedName localSheetId="7" name="VP3K">CTLS_FF!$D$24:$D$27</definedName>
    <definedName name="QFU">PERFORMANCE!$H$15</definedName>
    <definedName name="DR400_DaCorr">DR400120_PERFORMANCE!$D$113</definedName>
    <definedName localSheetId="7" name="VP7K">CTLS_FF!$D$40:$D$43</definedName>
    <definedName name="Dd">PERFORMANCE!$E$30</definedName>
    <definedName name="Dw">PERFORMANCE!$H$6</definedName>
    <definedName name="Etape2">CARBURANT!$B$25</definedName>
    <definedName localSheetId="7" name="VP10K">CTLS_FF!$D$52:$D$55</definedName>
    <definedName localSheetId="7" name="FF3K">CTLS_FF!$E$24:$E$27</definedName>
    <definedName name="CTLS_TOW">PERFORMANCE!$C$16</definedName>
    <definedName localSheetId="7" name="FF8K">CTLS_FF!$E$44:$E$47</definedName>
    <definedName name="Zo">PERFORMANCE!$C$22</definedName>
    <definedName name="Zd">PERFORMANCE!$K$5</definedName>
    <definedName name="Zp">PERFORMANCE!$K$4</definedName>
    <definedName localSheetId="11" name="Do">PERFORMANCE!$C$21</definedName>
    <definedName name="TODA">PERFORMANCE!$H$17</definedName>
    <definedName name="Veff">PERFORMANCE!$H$8</definedName>
    <definedName name="Hv_0">PERFORMANCE!$E$13</definedName>
    <definedName name="Da">PERFORMANCE!$E$32</definedName>
    <definedName localSheetId="7" name="VP5K">CTLS_FF!$D$32:$D$35</definedName>
    <definedName name="fplPath">fplAlign!$A$1</definedName>
    <definedName localSheetId="7" name="FF9K">CTLS_FF!$E$48:$E$51</definedName>
    <definedName name="FuelMax">PERFORMANCE!$E$14</definedName>
    <definedName name="Slope">PERFORMANCE!$K$18</definedName>
    <definedName name="GradCont">PERFORMANCE!$D$41</definedName>
    <definedName name="CTLS_LW">PERFORMANCE!$C$18</definedName>
    <definedName localSheetId="7" name="VP12K">CTLS_FF!$D$56:$D$59</definedName>
    <definedName name="Dra">PERFORMANCE!$E$31</definedName>
    <definedName name="Vw">PERFORMANCE!$H$7</definedName>
    <definedName localSheetId="7" name="FF5K">CTLS_FF!$E$32:$E$35</definedName>
    <definedName localSheetId="7" name="FF7K">CTLS_FF!$E$40:$E$43</definedName>
    <definedName name="ManualWindSpeed">WINTEM!$J$20</definedName>
    <definedName name="CTLS_DrdCorr">'CTLS-LSA_PERFORMANCE'!$H$59</definedName>
    <definedName name="CTLS_DaCorr">'CTLS-LSA_PERFORMANCE'!$K$59</definedName>
    <definedName localSheetId="7" name="FF6K">CTLS_FF!$E$36:$E$39</definedName>
    <definedName name="GradInit">PERFORMANCE!$D$40</definedName>
    <definedName name="QNH">PERFORMANCE!$H$4</definedName>
    <definedName name="SurfType">PERFORMANCE!$H$13</definedName>
    <definedName localSheetId="7" name="VP8K">CTLS_FF!$D$44:$D$47</definedName>
    <definedName name="Zt">PERFORMANCE!$H$12</definedName>
    <definedName name="WindMode">WINTEM!$J$15</definedName>
    <definedName name="CTLS_DraCorr">'CTLS-LSA_PERFORMANCE'!$J$59</definedName>
    <definedName name="Drd">PERFORMANCE!$E$29</definedName>
    <definedName name="TORA">PERFORMANCE!$H$16</definedName>
    <definedName name="DR400_LW">PERFORMANCE!$D$18</definedName>
    <definedName localSheetId="7" name="FF4K">CTLS_FF!$E$28:$E$31</definedName>
    <definedName name="OAT">PERFORMANCE!$H$3</definedName>
    <definedName name="SurfEtat">PERFORMANCE!$H$14</definedName>
    <definedName name="Hpo">PERFORMANCE!$D$45</definedName>
    <definedName localSheetId="7" name="VP4K">CTLS_FF!$D$28:$D$31</definedName>
    <definedName localSheetId="7" name="FF12K">CTLS_FF!$E$56:$E$59</definedName>
    <definedName name="Vy_0">PERFORMANCE!$E$11</definedName>
    <definedName name="CTLS_DdCorr">'CTLS-LSA_PERFORMANCE'!$I$59</definedName>
    <definedName name="Vz_0">PERFORMANCE!$E$12</definedName>
    <definedName name="VzCorrT">DR400120_PERFORMANCE!$C$72</definedName>
    <definedName name="DR400_DdCorr">DR400120_PERFORMANCE!$D$45</definedName>
    <definedName name="DCont">PERFORMANCE!$D$44</definedName>
    <definedName name="AverageWindSpeed">WINTEM!$F$21</definedName>
    <definedName name="Vx_15">PERFORMANCE!$E$9</definedName>
    <definedName localSheetId="7" name="VP6K">CTLS_FF!$D$36:$D$39</definedName>
    <definedName localSheetId="7" name="VP9K">CTLS_FF!$D$48:$D$51</definedName>
    <definedName name="DR400_TOW">PERFORMANCE!$D$16</definedName>
    <definedName localSheetId="7" name="FF10K">CTLS_FF!$E$52:$E$55</definedName>
    <definedName hidden="1" localSheetId="7" name="_xlnm._FilterDatabase">CTLS_FF!$C$23:$E$59</definedName>
  </definedNames>
  <calcPr/>
</workbook>
</file>

<file path=xl/sharedStrings.xml><?xml version="1.0" encoding="utf-8"?>
<sst xmlns="http://schemas.openxmlformats.org/spreadsheetml/2006/main" count="636" uniqueCount="363">
  <si>
    <t>Top + estimée - Route - Altitude - Moteur - Essence - Radio</t>
  </si>
  <si>
    <t>H E</t>
  </si>
  <si>
    <t>FREQUENCE</t>
  </si>
  <si>
    <t>Rm °</t>
  </si>
  <si>
    <t>D nm</t>
  </si>
  <si>
    <t>Z ft</t>
  </si>
  <si>
    <t>T min</t>
  </si>
  <si>
    <t>H R</t>
  </si>
  <si>
    <t>REPORT</t>
  </si>
  <si>
    <t>Cm °</t>
  </si>
  <si>
    <t>Vi kts</t>
  </si>
  <si>
    <t>MSA ft</t>
  </si>
  <si>
    <t>Tw/ETA</t>
  </si>
  <si>
    <t>---</t>
  </si>
  <si>
    <t>LES MUREAUX</t>
  </si>
  <si>
    <t>LFXU</t>
  </si>
  <si>
    <t>MEZEROL</t>
  </si>
  <si>
    <t>4 (52)</t>
  </si>
  <si>
    <t>5 (5)</t>
  </si>
  <si>
    <t>SW</t>
  </si>
  <si>
    <t>2 (48)</t>
  </si>
  <si>
    <t>LE BOURGET Info</t>
  </si>
  <si>
    <t>5 (46)</t>
  </si>
  <si>
    <t>N12</t>
  </si>
  <si>
    <t>7 (41)</t>
  </si>
  <si>
    <t>CHARTRES</t>
  </si>
  <si>
    <t>EPR</t>
  </si>
  <si>
    <t>7 (34)</t>
  </si>
  <si>
    <t>LE BOURGET Approche</t>
  </si>
  <si>
    <t>LFOR</t>
  </si>
  <si>
    <t>2 (27)</t>
  </si>
  <si>
    <t>N154</t>
  </si>
  <si>
    <t>9 (25)</t>
  </si>
  <si>
    <t>DREUX</t>
  </si>
  <si>
    <t>LFON</t>
  </si>
  <si>
    <t>1 (16)</t>
  </si>
  <si>
    <t>MEZIER</t>
  </si>
  <si>
    <t>10 (14)</t>
  </si>
  <si>
    <t>hh:mm</t>
  </si>
  <si>
    <t>L</t>
  </si>
  <si>
    <t>DEP (E/R)</t>
  </si>
  <si>
    <t>ARR</t>
  </si>
  <si>
    <t>QNH</t>
  </si>
  <si>
    <t>Vw</t>
  </si>
  <si>
    <t>kts</t>
  </si>
  <si>
    <t>Xm</t>
  </si>
  <si>
    <t>deg</t>
  </si>
  <si>
    <t>AUTRES FREQUENCES</t>
  </si>
  <si>
    <t>PROC DEP</t>
  </si>
  <si>
    <t>DATE</t>
  </si>
  <si>
    <t>OAT</t>
  </si>
  <si>
    <t>°C</t>
  </si>
  <si>
    <t>Dw</t>
  </si>
  <si>
    <t>Fb</t>
  </si>
  <si>
    <t>ETAPES</t>
  </si>
  <si>
    <t>HEURE</t>
  </si>
  <si>
    <t>ft</t>
  </si>
  <si>
    <t>FF</t>
  </si>
  <si>
    <t>L/h</t>
  </si>
  <si>
    <t>D</t>
  </si>
  <si>
    <t>nm</t>
  </si>
  <si>
    <t>PROC ARR</t>
  </si>
  <si>
    <t>HOBBS</t>
  </si>
  <si>
    <t>h,m</t>
  </si>
  <si>
    <t>PONTOISE ATIS</t>
  </si>
  <si>
    <t>RES. ROUTE</t>
  </si>
  <si>
    <t>CARBU (L)</t>
  </si>
  <si>
    <t>α</t>
  </si>
  <si>
    <t>RES. FINALE</t>
  </si>
  <si>
    <t>AUTONOMIE</t>
  </si>
  <si>
    <t>X°</t>
  </si>
  <si>
    <t>GUARD</t>
  </si>
  <si>
    <t>CARBU MINI</t>
  </si>
  <si>
    <t>ARR. MOT.</t>
  </si>
  <si>
    <t>Tc</t>
  </si>
  <si>
    <t>s/min</t>
  </si>
  <si>
    <t>ROLL / 50 ft</t>
  </si>
  <si>
    <t>m</t>
  </si>
  <si>
    <t>https://drive.google.com/open?id=1CD8gElm2eIWqvcc28HXxKBx5Kiu-HcaF&amp;usp=drive_fs</t>
  </si>
  <si>
    <t>Identifiant</t>
  </si>
  <si>
    <t>Type</t>
  </si>
  <si>
    <t>AIRPORT</t>
  </si>
  <si>
    <t>XUSW</t>
  </si>
  <si>
    <t>USER WAYPOINT</t>
  </si>
  <si>
    <t>MEZER</t>
  </si>
  <si>
    <t>ONEE</t>
  </si>
  <si>
    <t>pasca</t>
  </si>
  <si>
    <r>
      <rPr>
        <rFont val="Calibri"/>
        <b/>
        <color rgb="FF9900FF"/>
        <sz val="8.0"/>
      </rPr>
      <t>T</t>
    </r>
    <r>
      <rPr>
        <rFont val="Calibri"/>
        <color rgb="FF9900FF"/>
        <sz val="8.0"/>
      </rPr>
      <t xml:space="preserve">op + estimée - </t>
    </r>
    <r>
      <rPr>
        <rFont val="Calibri"/>
        <b/>
        <color rgb="FF9900FF"/>
        <sz val="8.0"/>
      </rPr>
      <t>R</t>
    </r>
    <r>
      <rPr>
        <rFont val="Calibri"/>
        <color rgb="FF9900FF"/>
        <sz val="8.0"/>
      </rPr>
      <t xml:space="preserve">oute - </t>
    </r>
    <r>
      <rPr>
        <rFont val="Calibri"/>
        <b/>
        <color rgb="FF9900FF"/>
        <sz val="8.0"/>
      </rPr>
      <t>A</t>
    </r>
    <r>
      <rPr>
        <rFont val="Calibri"/>
        <color rgb="FF9900FF"/>
        <sz val="8.0"/>
      </rPr>
      <t xml:space="preserve">ltitude - </t>
    </r>
    <r>
      <rPr>
        <rFont val="Calibri"/>
        <b/>
        <color rgb="FF9900FF"/>
        <sz val="8.0"/>
      </rPr>
      <t>M</t>
    </r>
    <r>
      <rPr>
        <rFont val="Calibri"/>
        <color rgb="FF9900FF"/>
        <sz val="8.0"/>
      </rPr>
      <t xml:space="preserve">oteur - </t>
    </r>
    <r>
      <rPr>
        <rFont val="Calibri"/>
        <b/>
        <color rgb="FF9900FF"/>
        <sz val="8.0"/>
      </rPr>
      <t>E</t>
    </r>
    <r>
      <rPr>
        <rFont val="Calibri"/>
        <color rgb="FF9900FF"/>
        <sz val="8.0"/>
      </rPr>
      <t xml:space="preserve">ssence - </t>
    </r>
    <r>
      <rPr>
        <rFont val="Calibri"/>
        <b/>
        <color rgb="FF9900FF"/>
        <sz val="8.0"/>
      </rPr>
      <t>R</t>
    </r>
    <r>
      <rPr>
        <rFont val="Calibri"/>
        <color rgb="FF9900FF"/>
        <sz val="8.0"/>
      </rPr>
      <t>adio</t>
    </r>
  </si>
  <si>
    <r>
      <rPr>
        <rFont val="Calibri"/>
        <b/>
        <color rgb="FF9900FF"/>
        <sz val="8.0"/>
      </rPr>
      <t>T</t>
    </r>
    <r>
      <rPr>
        <rFont val="Calibri"/>
        <color rgb="FF9900FF"/>
        <sz val="8.0"/>
      </rPr>
      <t xml:space="preserve">op + estimée - </t>
    </r>
    <r>
      <rPr>
        <rFont val="Calibri"/>
        <b/>
        <color rgb="FF9900FF"/>
        <sz val="8.0"/>
      </rPr>
      <t>R</t>
    </r>
    <r>
      <rPr>
        <rFont val="Calibri"/>
        <color rgb="FF9900FF"/>
        <sz val="8.0"/>
      </rPr>
      <t xml:space="preserve">oute - </t>
    </r>
    <r>
      <rPr>
        <rFont val="Calibri"/>
        <b/>
        <color rgb="FF9900FF"/>
        <sz val="8.0"/>
      </rPr>
      <t>A</t>
    </r>
    <r>
      <rPr>
        <rFont val="Calibri"/>
        <color rgb="FF9900FF"/>
        <sz val="8.0"/>
      </rPr>
      <t xml:space="preserve">ltitude - </t>
    </r>
    <r>
      <rPr>
        <rFont val="Calibri"/>
        <b/>
        <color rgb="FF9900FF"/>
        <sz val="8.0"/>
      </rPr>
      <t>M</t>
    </r>
    <r>
      <rPr>
        <rFont val="Calibri"/>
        <color rgb="FF9900FF"/>
        <sz val="8.0"/>
      </rPr>
      <t xml:space="preserve">oteur - </t>
    </r>
    <r>
      <rPr>
        <rFont val="Calibri"/>
        <b/>
        <color rgb="FF9900FF"/>
        <sz val="8.0"/>
      </rPr>
      <t>E</t>
    </r>
    <r>
      <rPr>
        <rFont val="Calibri"/>
        <color rgb="FF9900FF"/>
        <sz val="8.0"/>
      </rPr>
      <t xml:space="preserve">ssence - </t>
    </r>
    <r>
      <rPr>
        <rFont val="Calibri"/>
        <b/>
        <color rgb="FF9900FF"/>
        <sz val="8.0"/>
      </rPr>
      <t>R</t>
    </r>
    <r>
      <rPr>
        <rFont val="Calibri"/>
        <color rgb="FF9900FF"/>
        <sz val="8.0"/>
      </rPr>
      <t>adio</t>
    </r>
  </si>
  <si>
    <r>
      <rPr>
        <rFont val="Calibri"/>
        <i/>
        <color rgb="FF000000"/>
        <sz val="10.0"/>
      </rPr>
      <t>MSA</t>
    </r>
    <r>
      <rPr>
        <rFont val="Calibri"/>
        <i/>
        <color rgb="FF000000"/>
        <sz val="10.0"/>
      </rPr>
      <t>/</t>
    </r>
    <r>
      <rPr>
        <rFont val="Calibri"/>
        <i/>
        <color rgb="FF000000"/>
        <sz val="10.0"/>
      </rPr>
      <t>Tx</t>
    </r>
  </si>
  <si>
    <t>Tw/Fuel</t>
  </si>
  <si>
    <t>Z AD</t>
  </si>
  <si>
    <t>KVe</t>
  </si>
  <si>
    <t>Σ D</t>
  </si>
  <si>
    <t>X</t>
  </si>
  <si>
    <t>FUEL MIN 1</t>
  </si>
  <si>
    <t>FUEL MIN 1+2</t>
  </si>
  <si>
    <t>HEURE IVV</t>
  </si>
  <si>
    <t>From</t>
  </si>
  <si>
    <t>To</t>
  </si>
  <si>
    <t>HE (hh:mm)</t>
  </si>
  <si>
    <t>HR (hh:mm)</t>
  </si>
  <si>
    <t>Compteur (h.d)</t>
  </si>
  <si>
    <t>Dist (NM)</t>
  </si>
  <si>
    <t>Rv (°)</t>
  </si>
  <si>
    <t>Dm (°)</t>
  </si>
  <si>
    <t>Zi</t>
  </si>
  <si>
    <t>FL</t>
  </si>
  <si>
    <t>MSA</t>
  </si>
  <si>
    <t>Zsfc</t>
  </si>
  <si>
    <t>Rm (°)</t>
  </si>
  <si>
    <t>Zp</t>
  </si>
  <si>
    <t>Zd</t>
  </si>
  <si>
    <t>Zv</t>
  </si>
  <si>
    <t>TA</t>
  </si>
  <si>
    <t>1FL</t>
  </si>
  <si>
    <t>TL</t>
  </si>
  <si>
    <t>OAT Ref</t>
  </si>
  <si>
    <t>OAT Ref Elev</t>
  </si>
  <si>
    <t>Vw (KTS)</t>
  </si>
  <si>
    <t>Dw (°)</t>
  </si>
  <si>
    <t>Vi</t>
  </si>
  <si>
    <t>Vc</t>
  </si>
  <si>
    <t>Vp (KTS)</t>
  </si>
  <si>
    <t>Vs (KTS)</t>
  </si>
  <si>
    <t>X (°)</t>
  </si>
  <si>
    <t>FF (L/H)</t>
  </si>
  <si>
    <t>Cm (°)</t>
  </si>
  <si>
    <t>T (MIN)</t>
  </si>
  <si>
    <t>Tw (MIN)</t>
  </si>
  <si>
    <t>F (L)</t>
  </si>
  <si>
    <t>Fw (L)</t>
  </si>
  <si>
    <t>ReqFuel (MIN)</t>
  </si>
  <si>
    <t>BurnedFuel (L)</t>
  </si>
  <si>
    <t>PTSW</t>
  </si>
  <si>
    <t>N12HE</t>
  </si>
  <si>
    <t>Triangulation</t>
  </si>
  <si>
    <t>Dist (mm)</t>
  </si>
  <si>
    <t>Dist Triang (NM)</t>
  </si>
  <si>
    <t>Dist Triang (mm)</t>
  </si>
  <si>
    <t>1 min (mm)</t>
  </si>
  <si>
    <t>LFPT</t>
  </si>
  <si>
    <t>LFOP</t>
  </si>
  <si>
    <t>LFAE</t>
  </si>
  <si>
    <t>Scale</t>
  </si>
  <si>
    <t>Mid Seg Lat</t>
  </si>
  <si>
    <t>Mid Seg Lon</t>
  </si>
  <si>
    <t>Wind_Direction</t>
  </si>
  <si>
    <t>RefDate:</t>
  </si>
  <si>
    <t>ObsTime</t>
  </si>
  <si>
    <t>ObsDate</t>
  </si>
  <si>
    <t>ObsDate&amp;Time</t>
  </si>
  <si>
    <t>Height</t>
  </si>
  <si>
    <t>RefTime:</t>
  </si>
  <si>
    <t>ObsDate&amp;Time:</t>
  </si>
  <si>
    <t>2024-12-31 16</t>
  </si>
  <si>
    <t>ObsDate:</t>
  </si>
  <si>
    <t>ObsTime:</t>
  </si>
  <si>
    <t>Height (m)</t>
  </si>
  <si>
    <t>Height (ft)</t>
  </si>
  <si>
    <t>Average MSL (ft)</t>
  </si>
  <si>
    <t>Average MSL (m)</t>
  </si>
  <si>
    <t>Cruise Alt (ft)</t>
  </si>
  <si>
    <t>Coverages (U ; V)</t>
  </si>
  <si>
    <t>Tolerance</t>
  </si>
  <si>
    <t>Mode</t>
  </si>
  <si>
    <t>Manual</t>
  </si>
  <si>
    <t>Average</t>
  </si>
  <si>
    <t>Detailed</t>
  </si>
  <si>
    <t>MIN</t>
  </si>
  <si>
    <t>MAX</t>
  </si>
  <si>
    <t>Margin</t>
  </si>
  <si>
    <t>BILAN CARBURANT EN VFR</t>
  </si>
  <si>
    <t>ÉTAPE</t>
  </si>
  <si>
    <t>FUEL FLOW (L/H)</t>
  </si>
  <si>
    <t>FORFAIT ROULAGE</t>
  </si>
  <si>
    <t>TEMPS SANS VENT</t>
  </si>
  <si>
    <t>INCIDENCE VENT</t>
  </si>
  <si>
    <t>RETARDS ATTENDUS</t>
  </si>
  <si>
    <t>INTÉGRATION</t>
  </si>
  <si>
    <t>(1) TEMPS POUR L'ÉTAPE</t>
  </si>
  <si>
    <t>TERRAIN DE DIVERSION :</t>
  </si>
  <si>
    <t>(2) PLAN DE DIVERSION</t>
  </si>
  <si>
    <t>(3) RÉSERVE FINALE</t>
  </si>
  <si>
    <t>(4) MARGE DE SÉCURITÉ</t>
  </si>
  <si>
    <t>MINIMUM REGLEMENTAIRE</t>
  </si>
  <si>
    <t>HH:MM</t>
  </si>
  <si>
    <t>(1) + (2) + (3) + (4)</t>
  </si>
  <si>
    <t>DelestageTotal</t>
  </si>
  <si>
    <t>Etapes</t>
  </si>
  <si>
    <t>ReserveRoute</t>
  </si>
  <si>
    <t>ReserveFinale</t>
  </si>
  <si>
    <t>Lien étape suivante</t>
  </si>
  <si>
    <t>"https://docs.google.com/spreadsheets/d/1N8FDD-FlN5wmwfArdkngWdtqL6o2Lskxg5rTB8Y2KRg/edit?usp=sharing"</t>
  </si>
  <si>
    <t>Vp</t>
  </si>
  <si>
    <r>
      <rPr>
        <rFont val="Calibri"/>
        <b/>
        <color theme="1"/>
      </rPr>
      <t>REF</t>
    </r>
    <r>
      <rPr>
        <rFont val="Calibri"/>
        <color theme="1"/>
      </rPr>
      <t xml:space="preserve"> : PERFORMANCE CTLS LSA Document # AF 0430 0006</t>
    </r>
  </si>
  <si>
    <t>FF Procedures</t>
  </si>
  <si>
    <t>Carburant embarqué (L)</t>
  </si>
  <si>
    <t>Autonomie (h)</t>
  </si>
  <si>
    <t xml:space="preserve"> MASSE ET CENTRAGE CTLS F-HBCT</t>
  </si>
  <si>
    <t>Carburant (L)</t>
  </si>
  <si>
    <t>masse en kg</t>
  </si>
  <si>
    <t>bras de levier
en mm</t>
  </si>
  <si>
    <t>moment</t>
  </si>
  <si>
    <t xml:space="preserve">masse à vide </t>
  </si>
  <si>
    <t xml:space="preserve"> </t>
  </si>
  <si>
    <t xml:space="preserve">pilote </t>
  </si>
  <si>
    <t xml:space="preserve">passager </t>
  </si>
  <si>
    <t>Roulage</t>
  </si>
  <si>
    <t>Atterrissage</t>
  </si>
  <si>
    <t>IVV</t>
  </si>
  <si>
    <t>bagages</t>
  </si>
  <si>
    <t>TOTAL Roulage</t>
  </si>
  <si>
    <t>TOTAL Atterrissage</t>
  </si>
  <si>
    <t>TOTAL IVV</t>
  </si>
  <si>
    <t xml:space="preserve"> MASSE ET CENTRAGE DR400-120 F-GSRK</t>
  </si>
  <si>
    <t>passager AV</t>
  </si>
  <si>
    <t>passagers AR</t>
  </si>
  <si>
    <t>Aircraft</t>
  </si>
  <si>
    <t>Weather Conditions</t>
  </si>
  <si>
    <t>Model</t>
  </si>
  <si>
    <t>CTLS-LSA</t>
  </si>
  <si>
    <t>ISA Deviation</t>
  </si>
  <si>
    <t>hPa</t>
  </si>
  <si>
    <t>DR400/120</t>
  </si>
  <si>
    <t>selected</t>
  </si>
  <si>
    <t>°</t>
  </si>
  <si>
    <t>Speed unit</t>
  </si>
  <si>
    <t>kn</t>
  </si>
  <si>
    <t>km/h</t>
  </si>
  <si>
    <t>Veff</t>
  </si>
  <si>
    <t>Vx (kph)</t>
  </si>
  <si>
    <t>Vz_15 (m/s)</t>
  </si>
  <si>
    <t>Vy (kph)</t>
  </si>
  <si>
    <t>Airfield</t>
  </si>
  <si>
    <t>Vz_0 (m/s)</t>
  </si>
  <si>
    <t>Zt</t>
  </si>
  <si>
    <t>Hv0 (ft)</t>
  </si>
  <si>
    <t>Surface Type</t>
  </si>
  <si>
    <t>Herbe</t>
  </si>
  <si>
    <t>Fuel Max</t>
  </si>
  <si>
    <t>Surface Condition</t>
  </si>
  <si>
    <t>Sèche</t>
  </si>
  <si>
    <t>MTOW (kg)</t>
  </si>
  <si>
    <t>QFU</t>
  </si>
  <si>
    <t>TOW (kg)</t>
  </si>
  <si>
    <t>TORA</t>
  </si>
  <si>
    <t>TOW (%MTOW)</t>
  </si>
  <si>
    <t>TODA</t>
  </si>
  <si>
    <t>LW (kg)</t>
  </si>
  <si>
    <t>Slope</t>
  </si>
  <si>
    <t>Obstacle</t>
  </si>
  <si>
    <t>Zo</t>
  </si>
  <si>
    <t>Ho</t>
  </si>
  <si>
    <t>Drd</t>
  </si>
  <si>
    <t>Dd</t>
  </si>
  <si>
    <t>Dra</t>
  </si>
  <si>
    <t>Da</t>
  </si>
  <si>
    <t>TORA%</t>
  </si>
  <si>
    <t>TODA%</t>
  </si>
  <si>
    <t>Roll Distance</t>
  </si>
  <si>
    <t>T/O Distance</t>
  </si>
  <si>
    <t>Dd Slope</t>
  </si>
  <si>
    <t>DénDd</t>
  </si>
  <si>
    <t>Init. Climb Gradient</t>
  </si>
  <si>
    <t>GradInit</t>
  </si>
  <si>
    <t>Cont. Climb Gradient</t>
  </si>
  <si>
    <t>GradCont</t>
  </si>
  <si>
    <t>Init. Climb Dist.</t>
  </si>
  <si>
    <t>DInit</t>
  </si>
  <si>
    <t>Cont. Climb Dist.</t>
  </si>
  <si>
    <t>DCont</t>
  </si>
  <si>
    <t>Obst. Cross. Height</t>
  </si>
  <si>
    <t>Hpo</t>
  </si>
  <si>
    <t>Obst. Cross. Alt</t>
  </si>
  <si>
    <t>Zpo</t>
  </si>
  <si>
    <t>Obstacle Clearance</t>
  </si>
  <si>
    <t>Zpo-Zo</t>
  </si>
  <si>
    <t>Procedures</t>
  </si>
  <si>
    <t>Extrait Manuel de Vol DR400/120 F-GTZS</t>
  </si>
  <si>
    <t>Distance roulement</t>
  </si>
  <si>
    <t>Distance décollage</t>
  </si>
  <si>
    <t>Corr.</t>
  </si>
  <si>
    <t>Piste</t>
  </si>
  <si>
    <t>Humide</t>
  </si>
  <si>
    <t>&lt;0</t>
  </si>
  <si>
    <t>+10% / 2 kts</t>
  </si>
  <si>
    <t>Dur</t>
  </si>
  <si>
    <t>Usure</t>
  </si>
  <si>
    <t>Expérience pilote</t>
  </si>
  <si>
    <t>Vent</t>
  </si>
  <si>
    <t>DdCorrW</t>
  </si>
  <si>
    <t>Surface</t>
  </si>
  <si>
    <t>DdCorrSurf</t>
  </si>
  <si>
    <t>Déclivité</t>
  </si>
  <si>
    <t>DdCorrDécl</t>
  </si>
  <si>
    <t>5% par %</t>
  </si>
  <si>
    <t>TOTAL</t>
  </si>
  <si>
    <t>DdCorr</t>
  </si>
  <si>
    <t>Vz max</t>
  </si>
  <si>
    <t>TOW</t>
  </si>
  <si>
    <t>Vy</t>
  </si>
  <si>
    <t>Vx</t>
  </si>
  <si>
    <t>Position volets</t>
  </si>
  <si>
    <t>Vitesse pente max</t>
  </si>
  <si>
    <t>Vitesse Vz max</t>
  </si>
  <si>
    <t>Vitesse ascensionnelle</t>
  </si>
  <si>
    <t>Vz</t>
  </si>
  <si>
    <t>m/s (corrigé Zp, T)</t>
  </si>
  <si>
    <t>Vz (Std, volets rentrés)</t>
  </si>
  <si>
    <t>Vz (Corr. T, volets rentrés)</t>
  </si>
  <si>
    <t>Correction Vz / Température</t>
  </si>
  <si>
    <t>par 10° Déviation ISA</t>
  </si>
  <si>
    <t>Correction Vz / Altitude</t>
  </si>
  <si>
    <t>m/s par 1000 ft</t>
  </si>
  <si>
    <t>Distance atterrissage</t>
  </si>
  <si>
    <t>DaCorrW</t>
  </si>
  <si>
    <t>DaCorrSurf</t>
  </si>
  <si>
    <t>DaCorr</t>
  </si>
  <si>
    <t>Take-off Roll Distance (ft)</t>
  </si>
  <si>
    <t>Density Altitude (ft)</t>
  </si>
  <si>
    <t>Takeoff Distance (ft)</t>
  </si>
  <si>
    <t>Mass (kg)</t>
  </si>
  <si>
    <t>Landing Roll (ft)</t>
  </si>
  <si>
    <t>Landing Distance (ft)</t>
  </si>
  <si>
    <t>Climb Rate 0°</t>
  </si>
  <si>
    <t>Climb Rate 15°</t>
  </si>
  <si>
    <t>CAS 0°</t>
  </si>
  <si>
    <t>CAS 15°</t>
  </si>
  <si>
    <t>Influence</t>
  </si>
  <si>
    <t>Applicable</t>
  </si>
  <si>
    <t>TKOF Roll Dist.</t>
  </si>
  <si>
    <t>TKOF Dist.</t>
  </si>
  <si>
    <t>LDG Roll Dist.</t>
  </si>
  <si>
    <t>LDG Dist.</t>
  </si>
  <si>
    <t>Yes</t>
  </si>
  <si>
    <t>High grass</t>
  </si>
  <si>
    <t>No</t>
  </si>
  <si>
    <t>Flaps 0</t>
  </si>
  <si>
    <t>Tail wind (kt)</t>
  </si>
  <si>
    <t>Wet snow</t>
  </si>
  <si>
    <t>Soaked soil</t>
  </si>
  <si>
    <t>WPT</t>
  </si>
  <si>
    <t>D_LAT</t>
  </si>
  <si>
    <t>M_LAT</t>
  </si>
  <si>
    <t>S_LAT</t>
  </si>
  <si>
    <t>C_LAT</t>
  </si>
  <si>
    <t>DMSC_LAT</t>
  </si>
  <si>
    <t>DD_LAT</t>
  </si>
  <si>
    <t>D_LON</t>
  </si>
  <si>
    <t>M_LON</t>
  </si>
  <si>
    <t>S_LON</t>
  </si>
  <si>
    <t>C_LON</t>
  </si>
  <si>
    <t>DMSC_LON</t>
  </si>
  <si>
    <t>DD_LON</t>
  </si>
  <si>
    <t>N</t>
  </si>
  <si>
    <t>E</t>
  </si>
  <si>
    <t>Départ</t>
  </si>
  <si>
    <t>Arrivée</t>
  </si>
  <si>
    <t>AD</t>
  </si>
  <si>
    <t>Heure</t>
  </si>
  <si>
    <t>Carburant</t>
  </si>
  <si>
    <t>Durée (hh:mm)</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</si>
</sst>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HH:mm"/>
    <numFmt numFmtId="165" formatCode="dd/MM/yyyy"/>
    <numFmt numFmtId="166" formatCode="hh:mm"/>
    <numFmt numFmtId="167" formatCode="0.0"/>
    <numFmt numFmtId="168" formatCode="000"/>
    <numFmt numFmtId="169" formatCode="000.000"/>
    <numFmt numFmtId="170" formatCode="hh&quot;:&quot;mm"/>
    <numFmt numFmtId="171" formatCode="#,##0.0"/>
    <numFmt numFmtId="172" formatCode="HH:mm:ss"/>
    <numFmt numFmtId="173" formatCode="#,##0.00000"/>
    <numFmt numFmtId="174" formatCode="yyyy-mm-dd"/>
    <numFmt numFmtId="175" formatCode="[h]:mm"/>
    <numFmt numFmtId="176" formatCode="0.0%"/>
    <numFmt numFmtId="177" formatCode="0.000000"/>
  </numFmts>
  <fonts count="79">
    <font>
      <sz val="10.0"/>
      <color rgb="FF000000"/>
      <name val="Calibri"/>
      <scheme val="minor"/>
    </font>
    <font>
      <sz val="10.0"/>
      <color theme="1"/>
      <name val="Calibri"/>
      <scheme val="minor"/>
    </font>
    <font>
      <b/>
      <sz val="10.0"/>
      <color theme="1"/>
      <name val="Calibri"/>
      <scheme val="minor"/>
    </font>
    <font>
      <sz val="8.0"/>
      <color rgb="FF9900FF"/>
      <name val="Calibri"/>
      <scheme val="minor"/>
    </font>
    <font>
      <b/>
      <sz val="10.0"/>
      <color rgb="FF9900FF"/>
      <name val="Calibri"/>
      <scheme val="minor"/>
    </font>
    <font>
      <i/>
      <sz val="10.0"/>
      <color theme="1"/>
      <name val="Calibri"/>
      <scheme val="minor"/>
    </font>
    <font/>
    <font>
      <i/>
      <sz val="10.0"/>
      <color rgb="FF000000"/>
      <name val="Calibri"/>
      <scheme val="minor"/>
    </font>
    <font>
      <b/>
      <sz val="10.0"/>
      <color rgb="FF4A86E8"/>
      <name val="Calibri"/>
      <scheme val="minor"/>
    </font>
    <font>
      <i/>
      <sz val="10.0"/>
      <color rgb="FFFF9900"/>
      <name val="Calibri"/>
      <scheme val="minor"/>
    </font>
    <font>
      <i/>
      <sz val="10.0"/>
      <color rgb="FF4A86E8"/>
      <name val="Calibri"/>
      <scheme val="minor"/>
    </font>
    <font>
      <sz val="9.0"/>
      <color theme="1"/>
      <name val="Calibri"/>
      <scheme val="minor"/>
    </font>
    <font>
      <b/>
      <sz val="9.0"/>
      <color theme="1"/>
      <name val="Calibri"/>
      <scheme val="minor"/>
    </font>
    <font>
      <sz val="10.0"/>
      <color rgb="FFFF9900"/>
      <name val="Calibri"/>
      <scheme val="minor"/>
    </font>
    <font>
      <b/>
      <color theme="1"/>
      <name val="Calibri"/>
      <scheme val="minor"/>
    </font>
    <font>
      <sz val="9.0"/>
      <color rgb="FFFF9900"/>
      <name val="Calibri"/>
      <scheme val="minor"/>
    </font>
    <font>
      <sz val="10.0"/>
      <color rgb="FF9900FF"/>
      <name val="Calibri"/>
      <scheme val="minor"/>
    </font>
    <font>
      <sz val="10.0"/>
      <color rgb="FF4A86E8"/>
      <name val="Calibri"/>
      <scheme val="minor"/>
    </font>
    <font>
      <color theme="1"/>
      <name val="Calibri"/>
      <scheme val="minor"/>
    </font>
    <font>
      <u/>
      <color rgb="FF0000FF"/>
    </font>
    <font>
      <color theme="9"/>
      <name val="Calibri"/>
      <scheme val="minor"/>
    </font>
    <font>
      <sz val="10.0"/>
      <color rgb="FFFF0000"/>
      <name val="Calibri"/>
      <scheme val="minor"/>
    </font>
    <font>
      <b/>
      <sz val="10.0"/>
      <color rgb="FFFF0000"/>
      <name val="Calibri"/>
      <scheme val="minor"/>
    </font>
    <font>
      <color rgb="FF70AD47"/>
      <name val="Calibri"/>
      <scheme val="minor"/>
    </font>
    <font>
      <sz val="9.0"/>
      <color theme="1"/>
      <name val="Calibri"/>
    </font>
    <font>
      <b/>
      <sz val="9.0"/>
      <color theme="1"/>
      <name val="Calibri"/>
    </font>
    <font>
      <sz val="9.0"/>
      <color rgb="FF000000"/>
      <name val="&quot;Google Sans Mono&quot;"/>
    </font>
    <font>
      <b/>
      <u/>
      <color rgb="FF0000FF"/>
    </font>
    <font>
      <b/>
      <sz val="11.0"/>
      <color theme="1"/>
      <name val="Calibri"/>
    </font>
    <font>
      <b/>
      <color rgb="FF4A86E8"/>
      <name val="Calibri"/>
      <scheme val="minor"/>
    </font>
    <font>
      <b/>
      <color rgb="FF4A86E8"/>
      <name val="Calibri"/>
    </font>
    <font>
      <b/>
      <sz val="11.0"/>
      <color rgb="FF4A86E8"/>
      <name val="Calibri"/>
    </font>
    <font>
      <color theme="1"/>
      <name val="Calibri"/>
    </font>
    <font>
      <b/>
      <color rgb="FFFF9900"/>
      <name val="Calibri"/>
      <scheme val="minor"/>
    </font>
    <font>
      <b/>
      <color rgb="FF000000"/>
      <name val="Calibri"/>
      <scheme val="minor"/>
    </font>
    <font>
      <b/>
      <color rgb="FF70AD47"/>
      <name val="Calibri"/>
      <scheme val="minor"/>
    </font>
    <font>
      <b/>
      <color rgb="FFCC0000"/>
      <name val="Calibri"/>
      <scheme val="minor"/>
    </font>
    <font>
      <b/>
      <color theme="4"/>
      <name val="Calibri"/>
      <scheme val="minor"/>
    </font>
    <font>
      <color rgb="FF3C4043"/>
      <name val="&quot;Roboto Mono&quot;"/>
    </font>
    <font>
      <sz val="10.0"/>
      <color rgb="FF3C4043"/>
      <name val="Google Sans Mono"/>
    </font>
    <font>
      <b/>
      <sz val="10.0"/>
      <color rgb="FF008000"/>
      <name val="Google Sans Mono"/>
    </font>
    <font>
      <b/>
      <sz val="10.0"/>
      <color rgb="FFC92786"/>
      <name val="Google Sans Mono"/>
    </font>
    <font>
      <i/>
      <sz val="10.0"/>
      <color rgb="FFC92786"/>
      <name val="Google Sans Mono"/>
    </font>
    <font>
      <sz val="10.0"/>
      <color rgb="FF9FC5E8"/>
      <name val="Google Sans Mono"/>
    </font>
    <font>
      <sz val="10.0"/>
      <color theme="1"/>
      <name val="Google Sans Mono"/>
    </font>
    <font>
      <b/>
      <sz val="10.0"/>
      <color rgb="FFFF9900"/>
      <name val="Google Sans Mono"/>
    </font>
    <font>
      <i/>
      <color theme="1"/>
      <name val="Calibri"/>
      <scheme val="minor"/>
    </font>
    <font>
      <b/>
      <i/>
      <color theme="1"/>
      <name val="Calibri"/>
      <scheme val="minor"/>
    </font>
    <font>
      <b/>
      <sz val="20.0"/>
      <color theme="1"/>
      <name val="Calibri"/>
      <scheme val="minor"/>
    </font>
    <font>
      <color theme="4"/>
      <name val="Calibri"/>
      <scheme val="minor"/>
    </font>
    <font>
      <color rgb="FFFF9900"/>
      <name val="Calibri"/>
      <scheme val="minor"/>
    </font>
    <font>
      <color rgb="FFC92786"/>
      <name val="&quot;Roboto Mono&quot;"/>
    </font>
    <font>
      <sz val="9.0"/>
      <color rgb="FF008000"/>
      <name val="&quot;Google Sans Mono&quot;"/>
    </font>
    <font>
      <b/>
      <sz val="14.0"/>
      <color theme="1"/>
      <name val="Calibri"/>
    </font>
    <font>
      <sz val="11.0"/>
      <color theme="1"/>
      <name val="Calibri"/>
    </font>
    <font>
      <sz val="10.0"/>
      <color theme="1"/>
      <name val="Calibri"/>
    </font>
    <font>
      <i/>
      <sz val="11.0"/>
      <color theme="1"/>
      <name val="Calibri"/>
    </font>
    <font>
      <i/>
      <sz val="11.0"/>
      <color rgb="FF000000"/>
      <name val="Calibri"/>
    </font>
    <font>
      <b/>
      <sz val="11.0"/>
      <color rgb="FF38761D"/>
      <name val="Calibri"/>
    </font>
    <font>
      <b/>
      <color rgb="FF38761D"/>
      <name val="Calibri"/>
      <scheme val="minor"/>
    </font>
    <font>
      <b/>
      <sz val="11.0"/>
      <color rgb="FFFF9900"/>
      <name val="Calibri"/>
    </font>
    <font>
      <b/>
      <sz val="10.0"/>
      <color rgb="FFFF9900"/>
      <name val="Calibri"/>
      <scheme val="minor"/>
    </font>
    <font>
      <b/>
      <sz val="11.0"/>
      <color rgb="FF666666"/>
      <name val="Calibri"/>
    </font>
    <font>
      <b/>
      <color rgb="FF666666"/>
      <name val="Calibri"/>
      <scheme val="minor"/>
    </font>
    <font>
      <b/>
      <color theme="1"/>
      <name val="Arial"/>
    </font>
    <font>
      <color theme="1"/>
      <name val="Arial"/>
    </font>
    <font>
      <color rgb="FF4472C4"/>
      <name val="Arial"/>
    </font>
    <font>
      <color rgb="FF4285F4"/>
      <name val="Arial"/>
    </font>
    <font>
      <i/>
      <color theme="1"/>
      <name val="Arial"/>
    </font>
    <font>
      <color rgb="FF4A86E8"/>
      <name val="Arial"/>
    </font>
    <font>
      <color rgb="FFFF9900"/>
      <name val="Arial"/>
    </font>
    <font>
      <color rgb="FF4A86E8"/>
      <name val="Calibri"/>
      <scheme val="minor"/>
    </font>
    <font>
      <color rgb="FF9900FF"/>
      <name val="Arial"/>
    </font>
    <font>
      <color rgb="FF4472C4"/>
      <name val="Calibri"/>
      <scheme val="minor"/>
    </font>
    <font>
      <b/>
      <color theme="1"/>
      <name val="Calibri"/>
    </font>
    <font>
      <b/>
      <color theme="5"/>
      <name val="Calibri"/>
      <scheme val="minor"/>
    </font>
    <font>
      <b/>
      <color rgb="FFEA4335"/>
      <name val="Calibri"/>
      <scheme val="minor"/>
    </font>
    <font>
      <b/>
      <sz val="10.0"/>
      <color theme="4"/>
      <name val="Calibri"/>
      <scheme val="minor"/>
    </font>
    <font>
      <sz val="9.0"/>
      <color rgb="FF1155CC"/>
      <name val="&quot;Google Sans Mono&quot;"/>
    </font>
  </fonts>
  <fills count="12">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C9DAF8"/>
        <bgColor rgb="FFC9DAF8"/>
      </patternFill>
    </fill>
    <fill>
      <patternFill patternType="solid">
        <fgColor theme="0"/>
        <bgColor theme="0"/>
      </patternFill>
    </fill>
    <fill>
      <patternFill patternType="solid">
        <fgColor rgb="FFF8F9FA"/>
        <bgColor rgb="FFF8F9FA"/>
      </patternFill>
    </fill>
    <fill>
      <patternFill patternType="solid">
        <fgColor rgb="FFCFE2F3"/>
        <bgColor rgb="FFCFE2F3"/>
      </patternFill>
    </fill>
    <fill>
      <patternFill patternType="solid">
        <fgColor rgb="FFEAD1DC"/>
        <bgColor rgb="FFEAD1DC"/>
      </patternFill>
    </fill>
    <fill>
      <patternFill patternType="solid">
        <fgColor rgb="FFD9EAD3"/>
        <bgColor rgb="FFD9EAD3"/>
      </patternFill>
    </fill>
  </fills>
  <borders count="6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dotted">
        <color rgb="FF000000"/>
      </right>
      <top style="thin">
        <color rgb="FF000000"/>
      </top>
      <bottom style="thin">
        <color rgb="FF000000"/>
      </bottom>
    </border>
    <border>
      <left style="thin">
        <color rgb="FF000000"/>
      </left>
      <right style="dotted">
        <color rgb="FF000000"/>
      </right>
      <top style="thin">
        <color rgb="FF000000"/>
      </top>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tted">
        <color rgb="FF000000"/>
      </right>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left style="double">
        <color rgb="FF000000"/>
      </left>
      <top style="double">
        <color rgb="FF000000"/>
      </top>
      <bottom style="double">
        <color rgb="FF000000"/>
      </bottom>
    </border>
    <border>
      <right style="thin">
        <color rgb="FF000000"/>
      </right>
      <top style="double">
        <color rgb="FF000000"/>
      </top>
      <bottom style="double">
        <color rgb="FF000000"/>
      </bottom>
    </border>
    <border>
      <left style="thin">
        <color rgb="FF000000"/>
      </left>
      <right style="thin">
        <color rgb="FF000000"/>
      </right>
      <top style="double">
        <color rgb="FF000000"/>
      </top>
      <bottom style="double">
        <color rgb="FF000000"/>
      </bottom>
    </border>
    <border>
      <left style="thin">
        <color rgb="FF000000"/>
      </left>
      <right style="double">
        <color rgb="FF000000"/>
      </right>
      <top style="double">
        <color rgb="FF000000"/>
      </top>
      <bottom style="double">
        <color rgb="FF000000"/>
      </bottom>
    </border>
    <border>
      <left style="thin">
        <color rgb="FF4A86E8"/>
      </left>
      <top style="thin">
        <color rgb="FF4A86E8"/>
      </top>
    </border>
    <border>
      <top style="thin">
        <color rgb="FF4A86E8"/>
      </top>
    </border>
    <border>
      <right style="thin">
        <color rgb="FF4A86E8"/>
      </right>
      <top style="thin">
        <color rgb="FF4A86E8"/>
      </top>
    </border>
    <border>
      <left style="thin">
        <color rgb="FF4285F4"/>
      </left>
      <top style="thin">
        <color rgb="FF4285F4"/>
      </top>
    </border>
    <border>
      <top style="thin">
        <color rgb="FF4285F4"/>
      </top>
    </border>
    <border>
      <right style="thin">
        <color rgb="FF4285F4"/>
      </right>
      <top style="thin">
        <color rgb="FF4285F4"/>
      </top>
    </border>
    <border>
      <left style="thin">
        <color rgb="FF4A86E8"/>
      </left>
    </border>
    <border>
      <right style="thin">
        <color rgb="FF4A86E8"/>
      </right>
    </border>
    <border>
      <left style="thin">
        <color rgb="FF4285F4"/>
      </left>
    </border>
    <border>
      <right style="thin">
        <color rgb="FF4285F4"/>
      </right>
    </border>
    <border>
      <left style="thin">
        <color rgb="FF4285F4"/>
      </left>
      <bottom style="thin">
        <color rgb="FF4285F4"/>
      </bottom>
    </border>
    <border>
      <bottom style="thin">
        <color rgb="FF4285F4"/>
      </bottom>
    </border>
    <border>
      <right style="thin">
        <color rgb="FF4285F4"/>
      </right>
      <bottom style="thin">
        <color rgb="FF4285F4"/>
      </bottom>
    </border>
    <border>
      <left style="thin">
        <color rgb="FF4A86E8"/>
      </left>
      <bottom style="thin">
        <color rgb="FF4A86E8"/>
      </bottom>
    </border>
    <border>
      <bottom style="thin">
        <color rgb="FF4A86E8"/>
      </bottom>
    </border>
    <border>
      <right style="thin">
        <color rgb="FF4A86E8"/>
      </right>
      <bottom style="thin">
        <color rgb="FF4A86E8"/>
      </bottom>
    </border>
    <border>
      <left style="thin">
        <color rgb="FFFF9900"/>
      </left>
      <top style="thin">
        <color rgb="FFFF9900"/>
      </top>
    </border>
    <border>
      <top style="thin">
        <color rgb="FFFF9900"/>
      </top>
    </border>
    <border>
      <right style="thin">
        <color rgb="FFFF9900"/>
      </right>
      <top style="thin">
        <color rgb="FFFF9900"/>
      </top>
    </border>
    <border>
      <left style="thin">
        <color rgb="FFFF9900"/>
      </left>
    </border>
    <border>
      <right style="thin">
        <color rgb="FFFF9900"/>
      </right>
    </border>
    <border>
      <left style="thin">
        <color rgb="FFFF9900"/>
      </left>
      <bottom style="thin">
        <color rgb="FFFF9900"/>
      </bottom>
    </border>
    <border>
      <bottom style="thin">
        <color rgb="FFFF9900"/>
      </bottom>
    </border>
    <border>
      <right style="thin">
        <color rgb="FFFF9900"/>
      </right>
      <bottom style="thin">
        <color rgb="FFFF9900"/>
      </bottom>
    </border>
    <border>
      <left style="thin">
        <color rgb="FFEA4335"/>
      </left>
      <right style="thin">
        <color rgb="FFEA4335"/>
      </right>
      <top style="thin">
        <color rgb="FFEA4335"/>
      </top>
      <bottom style="thin">
        <color rgb="FFEA4335"/>
      </bottom>
    </border>
    <border>
      <left style="thin">
        <color rgb="FF4A86E8"/>
      </left>
      <right style="thin">
        <color rgb="FF4A86E8"/>
      </right>
      <top style="thin">
        <color rgb="FF4A86E8"/>
      </top>
      <bottom style="thin">
        <color rgb="FF4A86E8"/>
      </bottom>
    </border>
    <border>
      <left style="thin">
        <color rgb="FFFF9900"/>
      </left>
      <top style="thin">
        <color rgb="FFFF9900"/>
      </top>
      <bottom style="thin">
        <color rgb="FFFF9900"/>
      </bottom>
    </border>
    <border>
      <top style="thin">
        <color rgb="FFFF9900"/>
      </top>
      <bottom style="thin">
        <color rgb="FFFF9900"/>
      </bottom>
    </border>
    <border>
      <right style="thin">
        <color rgb="FFFF9900"/>
      </right>
      <top style="thin">
        <color rgb="FFFF9900"/>
      </top>
      <bottom style="thin">
        <color rgb="FFFF9900"/>
      </bottom>
    </border>
  </borders>
  <cellStyleXfs count="1">
    <xf borderId="0" fillId="0" fontId="0" numFmtId="0" applyAlignment="1" applyFont="1"/>
  </cellStyleXfs>
  <cellXfs count="517">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vertical="center"/>
    </xf>
    <xf borderId="0" fillId="0" fontId="2" numFmtId="0" xfId="0" applyAlignment="1" applyFont="1">
      <alignment horizontal="center" vertical="center"/>
    </xf>
    <xf borderId="0" fillId="0" fontId="2" numFmtId="0" xfId="0" applyFont="1"/>
    <xf borderId="0" fillId="0" fontId="3" numFmtId="0" xfId="0" applyAlignment="1" applyFont="1">
      <alignment horizontal="center" readingOrder="0"/>
    </xf>
    <xf borderId="1" fillId="2" fontId="4" numFmtId="0" xfId="0" applyAlignment="1" applyBorder="1" applyFill="1" applyFont="1">
      <alignment horizontal="center" readingOrder="0" vertical="center"/>
    </xf>
    <xf borderId="2" fillId="2" fontId="2" numFmtId="0" xfId="0" applyAlignment="1" applyBorder="1" applyFont="1">
      <alignment horizontal="center" vertical="center"/>
    </xf>
    <xf borderId="1" fillId="2" fontId="5" numFmtId="0" xfId="0" applyAlignment="1" applyBorder="1" applyFont="1">
      <alignment horizontal="right" readingOrder="0" vertical="center"/>
    </xf>
    <xf borderId="2" fillId="0" fontId="6" numFmtId="0" xfId="0" applyBorder="1" applyFont="1"/>
    <xf borderId="3" fillId="0" fontId="6" numFmtId="0" xfId="0" applyBorder="1" applyFont="1"/>
    <xf borderId="1" fillId="2" fontId="7" numFmtId="0" xfId="0" applyAlignment="1" applyBorder="1" applyFont="1">
      <alignment horizontal="right" readingOrder="0" vertical="center"/>
    </xf>
    <xf borderId="1" fillId="2" fontId="5" numFmtId="0" xfId="0" applyAlignment="1" applyBorder="1" applyFont="1">
      <alignment horizontal="center" readingOrder="0" vertical="center"/>
    </xf>
    <xf borderId="3" fillId="2" fontId="2" numFmtId="0" xfId="0" applyBorder="1" applyFont="1"/>
    <xf borderId="1" fillId="2" fontId="2" numFmtId="0" xfId="0" applyAlignment="1" applyBorder="1" applyFont="1">
      <alignment horizontal="center" readingOrder="0" vertical="center"/>
    </xf>
    <xf borderId="1" fillId="2" fontId="2" numFmtId="0" xfId="0" applyAlignment="1" applyBorder="1" applyFont="1">
      <alignment horizontal="left" readingOrder="0" vertical="center"/>
    </xf>
    <xf borderId="3" fillId="2" fontId="2" numFmtId="0" xfId="0" applyAlignment="1" applyBorder="1" applyFont="1">
      <alignment horizontal="center" readingOrder="0" vertical="center"/>
    </xf>
    <xf borderId="2" fillId="2" fontId="5" numFmtId="0" xfId="0" applyAlignment="1" applyBorder="1" applyFont="1">
      <alignment horizontal="left" readingOrder="0" vertical="center"/>
    </xf>
    <xf borderId="3" fillId="2" fontId="1" numFmtId="0" xfId="0" applyAlignment="1" applyBorder="1" applyFont="1">
      <alignment horizontal="center" readingOrder="0" vertical="center"/>
    </xf>
    <xf borderId="4" fillId="2" fontId="2" numFmtId="0" xfId="0" applyAlignment="1" applyBorder="1" applyFont="1">
      <alignment horizontal="center" vertical="center"/>
    </xf>
    <xf borderId="0" fillId="2" fontId="4" numFmtId="0" xfId="0" applyAlignment="1" applyFont="1">
      <alignment horizontal="center" readingOrder="0" vertical="center"/>
    </xf>
    <xf borderId="5" fillId="2" fontId="2" numFmtId="0" xfId="0" applyAlignment="1" applyBorder="1" applyFont="1">
      <alignment horizontal="left" readingOrder="0"/>
    </xf>
    <xf borderId="6" fillId="0" fontId="6" numFmtId="0" xfId="0" applyBorder="1" applyFont="1"/>
    <xf borderId="6" fillId="2" fontId="5" numFmtId="0" xfId="0" applyAlignment="1" applyBorder="1" applyFont="1">
      <alignment horizontal="center" readingOrder="0"/>
    </xf>
    <xf borderId="7" fillId="0" fontId="6" numFmtId="0" xfId="0" applyBorder="1" applyFont="1"/>
    <xf borderId="1" fillId="2" fontId="1" numFmtId="0" xfId="0" applyAlignment="1" applyBorder="1" applyFont="1">
      <alignment horizontal="center" readingOrder="0" vertical="center"/>
    </xf>
    <xf borderId="5" fillId="2" fontId="2" numFmtId="0" xfId="0" applyAlignment="1" applyBorder="1" applyFont="1">
      <alignment horizontal="center" vertical="center"/>
    </xf>
    <xf borderId="6" fillId="2" fontId="4" numFmtId="0" xfId="0" applyAlignment="1" applyBorder="1" applyFont="1">
      <alignment horizontal="center" readingOrder="0" vertical="center"/>
    </xf>
    <xf borderId="4" fillId="2" fontId="8" numFmtId="0" xfId="0" applyAlignment="1" applyBorder="1" applyFont="1">
      <alignment horizontal="left" readingOrder="0"/>
    </xf>
    <xf borderId="0" fillId="2" fontId="2" numFmtId="0" xfId="0" applyAlignment="1" applyFont="1">
      <alignment horizontal="left" readingOrder="0"/>
    </xf>
    <xf borderId="8" fillId="0" fontId="6" numFmtId="0" xfId="0" applyBorder="1" applyFont="1"/>
    <xf borderId="5" fillId="2" fontId="2" numFmtId="0" xfId="0" applyBorder="1" applyFont="1"/>
    <xf borderId="7" fillId="2" fontId="2" numFmtId="0" xfId="0" applyAlignment="1" applyBorder="1" applyFont="1">
      <alignment horizontal="center" readingOrder="0" vertical="center"/>
    </xf>
    <xf borderId="5" fillId="2" fontId="5" numFmtId="0" xfId="0" applyAlignment="1" applyBorder="1" applyFont="1">
      <alignment horizontal="center" readingOrder="0" vertical="center"/>
    </xf>
    <xf borderId="5" fillId="2" fontId="1" numFmtId="0" xfId="0" applyAlignment="1" applyBorder="1" applyFont="1">
      <alignment horizontal="center" readingOrder="0" vertical="center"/>
    </xf>
    <xf borderId="7" fillId="2" fontId="5" numFmtId="0" xfId="0" applyAlignment="1" applyBorder="1" applyFont="1">
      <alignment horizontal="right" readingOrder="0" vertical="center"/>
    </xf>
    <xf borderId="6" fillId="2" fontId="1" numFmtId="0" xfId="0" applyAlignment="1" applyBorder="1" applyFont="1">
      <alignment horizontal="center" readingOrder="0" vertical="center"/>
    </xf>
    <xf borderId="6" fillId="2" fontId="2" numFmtId="0" xfId="0" applyAlignment="1" applyBorder="1" applyFont="1">
      <alignment horizontal="right" readingOrder="0" vertical="center"/>
    </xf>
    <xf borderId="1" fillId="0" fontId="1" numFmtId="0" xfId="0" applyAlignment="1" applyBorder="1" applyFont="1">
      <alignment horizontal="center" readingOrder="0" vertical="center"/>
    </xf>
    <xf borderId="2" fillId="0" fontId="1" numFmtId="0" xfId="0" applyBorder="1" applyFont="1"/>
    <xf borderId="4" fillId="0" fontId="9" numFmtId="0" xfId="0" applyAlignment="1" applyBorder="1" applyFont="1">
      <alignment horizontal="right" readingOrder="0"/>
    </xf>
    <xf borderId="7" fillId="2" fontId="2" numFmtId="0" xfId="0" applyAlignment="1" applyBorder="1" applyFont="1">
      <alignment horizontal="right" readingOrder="0" vertical="center"/>
    </xf>
    <xf borderId="1" fillId="0" fontId="1" numFmtId="0" xfId="0" applyBorder="1" applyFont="1"/>
    <xf borderId="1" fillId="0" fontId="9" numFmtId="0" xfId="0" applyAlignment="1" applyBorder="1" applyFont="1">
      <alignment horizontal="right" readingOrder="0"/>
    </xf>
    <xf borderId="0" fillId="0" fontId="1" numFmtId="0" xfId="0" applyAlignment="1" applyFont="1">
      <alignment horizontal="center" readingOrder="0" vertical="center"/>
    </xf>
    <xf borderId="1" fillId="0" fontId="10" numFmtId="0" xfId="0" applyAlignment="1" applyBorder="1" applyFont="1">
      <alignment horizontal="center" readingOrder="0" vertical="center"/>
    </xf>
    <xf borderId="3" fillId="0" fontId="1" numFmtId="0" xfId="0" applyBorder="1" applyFont="1"/>
    <xf borderId="1" fillId="0" fontId="8" numFmtId="0" xfId="0" applyAlignment="1" applyBorder="1" applyFont="1">
      <alignment horizontal="center" vertical="center"/>
    </xf>
    <xf borderId="1" fillId="0" fontId="8" numFmtId="0" xfId="0" applyAlignment="1" applyBorder="1" applyFont="1">
      <alignment horizontal="center" readingOrder="0" vertical="center"/>
    </xf>
    <xf borderId="3" fillId="0" fontId="1" numFmtId="0" xfId="0" applyAlignment="1" applyBorder="1" applyFont="1">
      <alignment horizontal="center" readingOrder="0" vertical="center"/>
    </xf>
    <xf borderId="2" fillId="0" fontId="5" numFmtId="1" xfId="0" applyAlignment="1" applyBorder="1" applyFont="1" applyNumberFormat="1">
      <alignment horizontal="center" readingOrder="0" vertical="center"/>
    </xf>
    <xf borderId="5" fillId="0" fontId="1" numFmtId="0" xfId="0" applyBorder="1" applyFont="1"/>
    <xf borderId="6" fillId="0" fontId="1" numFmtId="0" xfId="0" applyBorder="1" applyFont="1"/>
    <xf borderId="5" fillId="0" fontId="8" numFmtId="0" xfId="0" applyAlignment="1" applyBorder="1" applyFont="1">
      <alignment vertical="center"/>
    </xf>
    <xf borderId="6" fillId="0" fontId="9" numFmtId="0" xfId="0" applyAlignment="1" applyBorder="1" applyFont="1">
      <alignment horizontal="right"/>
    </xf>
    <xf borderId="9" fillId="0" fontId="8" numFmtId="0" xfId="0" applyAlignment="1" applyBorder="1" applyFont="1">
      <alignment horizontal="center" vertical="center"/>
    </xf>
    <xf borderId="3" fillId="0" fontId="2" numFmtId="0" xfId="0" applyAlignment="1" applyBorder="1" applyFont="1">
      <alignment horizontal="center" readingOrder="0" vertical="center"/>
    </xf>
    <xf borderId="1" fillId="0" fontId="5" numFmtId="1" xfId="0" applyAlignment="1" applyBorder="1" applyFont="1" applyNumberFormat="1">
      <alignment horizontal="center" readingOrder="0" vertical="center"/>
    </xf>
    <xf borderId="7" fillId="0" fontId="2" numFmtId="1" xfId="0" applyAlignment="1" applyBorder="1" applyFont="1" applyNumberFormat="1">
      <alignment horizontal="center" readingOrder="0" vertical="center"/>
    </xf>
    <xf borderId="5" fillId="0" fontId="5" numFmtId="1" xfId="0" applyAlignment="1" applyBorder="1" applyFont="1" applyNumberFormat="1">
      <alignment horizontal="center" vertical="center"/>
    </xf>
    <xf borderId="7" fillId="0" fontId="10" numFmtId="0" xfId="0" applyBorder="1" applyFont="1"/>
    <xf borderId="6" fillId="0" fontId="2" numFmtId="0" xfId="0" applyAlignment="1" applyBorder="1" applyFont="1">
      <alignment horizontal="center" readingOrder="0" vertical="center"/>
    </xf>
    <xf borderId="1" fillId="0" fontId="5" numFmtId="0" xfId="0" applyAlignment="1" applyBorder="1" applyFont="1">
      <alignment horizontal="center" readingOrder="0"/>
    </xf>
    <xf borderId="10" fillId="0" fontId="5" numFmtId="1" xfId="0" applyAlignment="1" applyBorder="1" applyFont="1" applyNumberFormat="1">
      <alignment horizontal="center" vertical="center"/>
    </xf>
    <xf borderId="5" fillId="0" fontId="1" numFmtId="0" xfId="0" applyAlignment="1" applyBorder="1" applyFont="1">
      <alignment horizontal="center" readingOrder="0" vertical="center"/>
    </xf>
    <xf borderId="7" fillId="0" fontId="10" numFmtId="0" xfId="0" applyAlignment="1" applyBorder="1" applyFont="1">
      <alignment horizontal="center" readingOrder="0" vertical="center"/>
    </xf>
    <xf borderId="7" fillId="0" fontId="2" numFmtId="0" xfId="0" applyAlignment="1" applyBorder="1" applyFont="1">
      <alignment horizontal="center" readingOrder="0" vertical="center"/>
    </xf>
    <xf borderId="6" fillId="0" fontId="5" numFmtId="0" xfId="0" applyAlignment="1" applyBorder="1" applyFont="1">
      <alignment horizontal="right"/>
    </xf>
    <xf borderId="1" fillId="0" fontId="5" numFmtId="0" xfId="0" applyAlignment="1" applyBorder="1" applyFont="1">
      <alignment horizontal="center" readingOrder="0" vertical="center"/>
    </xf>
    <xf borderId="9" fillId="0" fontId="2" numFmtId="0" xfId="0" applyAlignment="1" applyBorder="1" applyFont="1">
      <alignment horizontal="center" vertical="center"/>
    </xf>
    <xf borderId="1" fillId="0" fontId="2" numFmtId="0" xfId="0" applyAlignment="1" applyBorder="1" applyFont="1">
      <alignment horizontal="center" readingOrder="0" vertical="center"/>
    </xf>
    <xf borderId="7" fillId="0" fontId="5" numFmtId="0" xfId="0" applyAlignment="1" applyBorder="1" applyFont="1">
      <alignment horizontal="center" readingOrder="0" vertical="center"/>
    </xf>
    <xf borderId="4" fillId="0" fontId="5" numFmtId="0" xfId="0" applyAlignment="1" applyBorder="1" applyFont="1">
      <alignment horizontal="right" readingOrder="0"/>
    </xf>
    <xf borderId="5" fillId="0" fontId="2" numFmtId="0" xfId="0" applyAlignment="1" applyBorder="1" applyFont="1">
      <alignment vertical="center"/>
    </xf>
    <xf borderId="1" fillId="0" fontId="9" numFmtId="0" xfId="0" applyAlignment="1" applyBorder="1" applyFont="1">
      <alignment horizontal="center" readingOrder="0"/>
    </xf>
    <xf borderId="10" fillId="0" fontId="1" numFmtId="1" xfId="0" applyAlignment="1" applyBorder="1" applyFont="1" applyNumberFormat="1">
      <alignment horizontal="center" vertical="center"/>
    </xf>
    <xf borderId="9" fillId="0" fontId="1" numFmtId="0" xfId="0" applyAlignment="1" applyBorder="1" applyFont="1">
      <alignment horizontal="center" vertical="center"/>
    </xf>
    <xf borderId="0" fillId="0" fontId="2" numFmtId="0" xfId="0" applyAlignment="1" applyFont="1">
      <alignment horizontal="center" readingOrder="0"/>
    </xf>
    <xf borderId="0" fillId="0" fontId="11" numFmtId="0" xfId="0" applyFont="1"/>
    <xf borderId="11" fillId="0" fontId="12" numFmtId="0" xfId="0" applyAlignment="1" applyBorder="1" applyFont="1">
      <alignment horizontal="center" readingOrder="0"/>
    </xf>
    <xf borderId="12" fillId="0" fontId="12" numFmtId="0" xfId="0" applyAlignment="1" applyBorder="1" applyFont="1">
      <alignment horizontal="center" readingOrder="0"/>
    </xf>
    <xf borderId="13" fillId="0" fontId="6" numFmtId="0" xfId="0" applyBorder="1" applyFont="1"/>
    <xf borderId="14" fillId="0" fontId="6" numFmtId="0" xfId="0" applyBorder="1" applyFont="1"/>
    <xf borderId="12" fillId="0" fontId="2" numFmtId="0" xfId="0" applyAlignment="1" applyBorder="1" applyFont="1">
      <alignment readingOrder="0" vertical="center"/>
    </xf>
    <xf borderId="11" fillId="0" fontId="13" numFmtId="0" xfId="0" applyAlignment="1" applyBorder="1" applyFont="1">
      <alignment readingOrder="0"/>
    </xf>
    <xf borderId="12" fillId="0" fontId="2" numFmtId="0" xfId="0" applyAlignment="1" applyBorder="1" applyFont="1">
      <alignment readingOrder="0"/>
    </xf>
    <xf borderId="0" fillId="0" fontId="11" numFmtId="0" xfId="0" applyAlignment="1" applyFont="1">
      <alignment readingOrder="0"/>
    </xf>
    <xf borderId="9" fillId="0" fontId="1" numFmtId="1" xfId="0" applyAlignment="1" applyBorder="1" applyFont="1" applyNumberFormat="1">
      <alignment readingOrder="0"/>
    </xf>
    <xf borderId="1" fillId="0" fontId="14" numFmtId="0" xfId="0" applyAlignment="1" applyBorder="1" applyFont="1">
      <alignment horizontal="center" readingOrder="0"/>
    </xf>
    <xf borderId="12" fillId="0" fontId="11" numFmtId="0" xfId="0" applyAlignment="1" applyBorder="1" applyFont="1">
      <alignment readingOrder="0"/>
    </xf>
    <xf borderId="11" fillId="0" fontId="15" numFmtId="164" xfId="0" applyAlignment="1" applyBorder="1" applyFont="1" applyNumberFormat="1">
      <alignment readingOrder="0"/>
    </xf>
    <xf borderId="11" fillId="0" fontId="11" numFmtId="1" xfId="0" applyBorder="1" applyFont="1" applyNumberFormat="1"/>
    <xf borderId="12" fillId="0" fontId="12" numFmtId="0" xfId="0" applyAlignment="1" applyBorder="1" applyFont="1">
      <alignment readingOrder="0" vertical="center"/>
    </xf>
    <xf borderId="12" fillId="0" fontId="16" numFmtId="165" xfId="0" applyAlignment="1" applyBorder="1" applyFont="1" applyNumberFormat="1">
      <alignment horizontal="center" readingOrder="0"/>
    </xf>
    <xf borderId="0" fillId="0" fontId="1" numFmtId="0" xfId="0" applyAlignment="1" applyFont="1">
      <alignment readingOrder="0"/>
    </xf>
    <xf borderId="1" fillId="0" fontId="2" numFmtId="0" xfId="0" applyAlignment="1" applyBorder="1" applyFont="1">
      <alignment readingOrder="0" vertical="center"/>
    </xf>
    <xf borderId="1" fillId="0" fontId="9" numFmtId="0" xfId="0" applyAlignment="1" applyBorder="1" applyFont="1">
      <alignment horizontal="left" readingOrder="0" shrinkToFit="0" wrapText="1"/>
    </xf>
    <xf borderId="3" fillId="0" fontId="9" numFmtId="0" xfId="0" applyAlignment="1" applyBorder="1" applyFont="1">
      <alignment horizontal="left"/>
    </xf>
    <xf borderId="12" fillId="0" fontId="12" numFmtId="0" xfId="0" applyAlignment="1" applyBorder="1" applyFont="1">
      <alignment readingOrder="0"/>
    </xf>
    <xf borderId="11" fillId="0" fontId="12" numFmtId="164" xfId="0" applyBorder="1" applyFont="1" applyNumberFormat="1"/>
    <xf borderId="11" fillId="0" fontId="12" numFmtId="1" xfId="0" applyBorder="1" applyFont="1" applyNumberFormat="1"/>
    <xf borderId="15" fillId="0" fontId="16" numFmtId="166" xfId="0" applyAlignment="1" applyBorder="1" applyFont="1" applyNumberFormat="1">
      <alignment horizontal="left" readingOrder="0" vertical="center"/>
    </xf>
    <xf borderId="13" fillId="0" fontId="16" numFmtId="166" xfId="0" applyAlignment="1" applyBorder="1" applyFont="1" applyNumberFormat="1">
      <alignment horizontal="left" readingOrder="0" vertical="center"/>
    </xf>
    <xf borderId="12" fillId="0" fontId="17" numFmtId="0" xfId="0" applyBorder="1" applyFont="1"/>
    <xf borderId="5" fillId="0" fontId="6" numFmtId="0" xfId="0" applyBorder="1" applyFont="1"/>
    <xf borderId="11" fillId="0" fontId="0" numFmtId="167" xfId="0" applyAlignment="1" applyBorder="1" applyFont="1" applyNumberFormat="1">
      <alignment readingOrder="0"/>
    </xf>
    <xf borderId="0" fillId="0" fontId="18" numFmtId="0" xfId="0" applyAlignment="1" applyFont="1">
      <alignment readingOrder="0"/>
    </xf>
    <xf borderId="11" fillId="0" fontId="1" numFmtId="1" xfId="0" applyBorder="1" applyFont="1" applyNumberFormat="1"/>
    <xf borderId="12" fillId="0" fontId="13" numFmtId="0" xfId="0" applyAlignment="1" applyBorder="1" applyFont="1">
      <alignment vertical="center"/>
    </xf>
    <xf borderId="0" fillId="0" fontId="1" numFmtId="1" xfId="0" applyFont="1" applyNumberFormat="1"/>
    <xf borderId="0" fillId="0" fontId="17" numFmtId="0" xfId="0" applyAlignment="1" applyFont="1">
      <alignment readingOrder="0"/>
    </xf>
    <xf borderId="15" fillId="0" fontId="13" numFmtId="0" xfId="0" applyAlignment="1" applyBorder="1" applyFont="1">
      <alignment horizontal="left" readingOrder="0" vertical="center"/>
    </xf>
    <xf borderId="13" fillId="0" fontId="13" numFmtId="0" xfId="0" applyAlignment="1" applyBorder="1" applyFont="1">
      <alignment horizontal="left" readingOrder="0" vertical="center"/>
    </xf>
    <xf borderId="12" fillId="0" fontId="14" numFmtId="0" xfId="0" applyAlignment="1" applyBorder="1" applyFont="1">
      <alignment horizontal="center" readingOrder="0"/>
    </xf>
    <xf borderId="11" fillId="0" fontId="2" numFmtId="0" xfId="0" applyAlignment="1" applyBorder="1" applyFont="1">
      <alignment horizontal="center" readingOrder="0"/>
    </xf>
    <xf borderId="11" fillId="0" fontId="14" numFmtId="0" xfId="0" applyAlignment="1" applyBorder="1" applyFont="1">
      <alignment horizontal="center" readingOrder="0"/>
    </xf>
    <xf borderId="15" fillId="3" fontId="2" numFmtId="164" xfId="0" applyAlignment="1" applyBorder="1" applyFill="1" applyFont="1" applyNumberFormat="1">
      <alignment horizontal="left" vertical="center"/>
    </xf>
    <xf borderId="13" fillId="3" fontId="2" numFmtId="164" xfId="0" applyAlignment="1" applyBorder="1" applyFont="1" applyNumberFormat="1">
      <alignment horizontal="left" vertical="center"/>
    </xf>
    <xf borderId="0" fillId="0" fontId="1" numFmtId="0" xfId="0" applyAlignment="1" applyFont="1">
      <alignment readingOrder="0" vertical="center"/>
    </xf>
    <xf borderId="11" fillId="0" fontId="1" numFmtId="1" xfId="0" applyAlignment="1" applyBorder="1" applyFont="1" applyNumberFormat="1">
      <alignment horizontal="center"/>
    </xf>
    <xf borderId="0" fillId="0" fontId="12" numFmtId="0" xfId="0" applyAlignment="1" applyFont="1">
      <alignment readingOrder="0"/>
    </xf>
    <xf borderId="12" fillId="3" fontId="12" numFmtId="0" xfId="0" applyAlignment="1" applyBorder="1" applyFont="1">
      <alignment readingOrder="0"/>
    </xf>
    <xf borderId="11" fillId="3" fontId="12" numFmtId="164" xfId="0" applyBorder="1" applyFont="1" applyNumberFormat="1"/>
    <xf borderId="11" fillId="3" fontId="12" numFmtId="1" xfId="0" applyBorder="1" applyFont="1" applyNumberFormat="1"/>
    <xf borderId="16" fillId="3" fontId="4" numFmtId="164" xfId="0" applyAlignment="1" applyBorder="1" applyFont="1" applyNumberFormat="1">
      <alignment horizontal="left" vertical="center"/>
    </xf>
    <xf borderId="2" fillId="3" fontId="4" numFmtId="164" xfId="0" applyAlignment="1" applyBorder="1" applyFont="1" applyNumberFormat="1">
      <alignment horizontal="left" vertical="center"/>
    </xf>
    <xf borderId="0" fillId="0" fontId="2" numFmtId="0" xfId="0" applyAlignment="1" applyFont="1">
      <alignment readingOrder="0"/>
    </xf>
    <xf borderId="12" fillId="0" fontId="2" numFmtId="0" xfId="0" applyAlignment="1" applyBorder="1" applyFont="1">
      <alignment horizontal="center" readingOrder="0"/>
    </xf>
    <xf borderId="11" fillId="0" fontId="1" numFmtId="1" xfId="0" applyAlignment="1" applyBorder="1" applyFont="1" applyNumberFormat="1">
      <alignment horizontal="center" readingOrder="0"/>
    </xf>
    <xf borderId="11" fillId="0" fontId="18" numFmtId="1" xfId="0" applyAlignment="1" applyBorder="1" applyFont="1" applyNumberFormat="1">
      <alignment horizontal="center"/>
    </xf>
    <xf borderId="12" fillId="0" fontId="18" numFmtId="0" xfId="0" applyBorder="1" applyFont="1"/>
    <xf borderId="14" fillId="0" fontId="17" numFmtId="0" xfId="0" applyBorder="1" applyFont="1"/>
    <xf borderId="11" fillId="0" fontId="17" numFmtId="0" xfId="0" applyBorder="1" applyFont="1"/>
    <xf borderId="0" fillId="0" fontId="2" numFmtId="1" xfId="0" applyFont="1" applyNumberFormat="1"/>
    <xf borderId="0" fillId="0" fontId="19" numFmtId="0" xfId="0" applyAlignment="1" applyFont="1">
      <alignment readingOrder="0"/>
    </xf>
    <xf borderId="4" fillId="2" fontId="2" numFmtId="0" xfId="0" applyAlignment="1" applyBorder="1" applyFont="1">
      <alignment horizontal="left" readingOrder="0"/>
    </xf>
    <xf borderId="0" fillId="2" fontId="5" numFmtId="0" xfId="0" applyAlignment="1" applyFont="1">
      <alignment horizontal="center" readingOrder="0"/>
    </xf>
    <xf borderId="7" fillId="2" fontId="7" numFmtId="0" xfId="0" applyAlignment="1" applyBorder="1" applyFont="1">
      <alignment horizontal="right" readingOrder="0" vertical="center"/>
    </xf>
    <xf borderId="1" fillId="0" fontId="20" numFmtId="0" xfId="0" applyAlignment="1" applyBorder="1" applyFont="1">
      <alignment readingOrder="0"/>
    </xf>
    <xf borderId="2" fillId="0" fontId="21" numFmtId="0" xfId="0" applyAlignment="1" applyBorder="1" applyFont="1">
      <alignment horizontal="right" readingOrder="0"/>
    </xf>
    <xf borderId="2" fillId="0" fontId="9" numFmtId="0" xfId="0" applyAlignment="1" applyBorder="1" applyFont="1">
      <alignment horizontal="right" readingOrder="0"/>
    </xf>
    <xf borderId="3" fillId="0" fontId="9" numFmtId="0" xfId="0" applyAlignment="1" applyBorder="1" applyFont="1">
      <alignment horizontal="right" readingOrder="0"/>
    </xf>
    <xf borderId="1" fillId="0" fontId="10" numFmtId="168" xfId="0" applyAlignment="1" applyBorder="1" applyFont="1" applyNumberFormat="1">
      <alignment horizontal="center" readingOrder="0" vertical="center"/>
    </xf>
    <xf borderId="1" fillId="0" fontId="8" numFmtId="1" xfId="0" applyAlignment="1" applyBorder="1" applyFont="1" applyNumberFormat="1">
      <alignment horizontal="center" vertical="center"/>
    </xf>
    <xf borderId="3" fillId="0" fontId="1" numFmtId="0" xfId="0" applyAlignment="1" applyBorder="1" applyFont="1">
      <alignment horizontal="right" readingOrder="0" vertical="center"/>
    </xf>
    <xf borderId="6" fillId="0" fontId="9" numFmtId="169" xfId="0" applyAlignment="1" applyBorder="1" applyFont="1" applyNumberFormat="1">
      <alignment horizontal="right"/>
    </xf>
    <xf borderId="3" fillId="0" fontId="2" numFmtId="0" xfId="0" applyAlignment="1" applyBorder="1" applyFont="1">
      <alignment horizontal="right" readingOrder="0" vertical="center"/>
    </xf>
    <xf borderId="7" fillId="0" fontId="22" numFmtId="168" xfId="0" applyAlignment="1" applyBorder="1" applyFont="1" applyNumberFormat="1">
      <alignment horizontal="center" readingOrder="0" vertical="center"/>
    </xf>
    <xf borderId="5" fillId="0" fontId="5" numFmtId="0" xfId="0" applyAlignment="1" applyBorder="1" applyFont="1">
      <alignment horizontal="center" vertical="center"/>
    </xf>
    <xf borderId="7" fillId="0" fontId="10" numFmtId="0" xfId="0" applyAlignment="1" applyBorder="1" applyFont="1">
      <alignment horizontal="right"/>
    </xf>
    <xf borderId="6" fillId="0" fontId="2" numFmtId="0" xfId="0" applyAlignment="1" applyBorder="1" applyFont="1">
      <alignment horizontal="right" readingOrder="0" vertical="center"/>
    </xf>
    <xf borderId="2" fillId="0" fontId="9" numFmtId="0" xfId="0" applyAlignment="1" applyBorder="1" applyFont="1">
      <alignment horizontal="center" readingOrder="0"/>
    </xf>
    <xf borderId="10" fillId="0" fontId="5" numFmtId="0" xfId="0" applyAlignment="1" applyBorder="1" applyFont="1">
      <alignment horizontal="center" vertical="center"/>
    </xf>
    <xf borderId="7" fillId="0" fontId="10" numFmtId="0" xfId="0" applyAlignment="1" applyBorder="1" applyFont="1">
      <alignment horizontal="right" readingOrder="0" vertical="center"/>
    </xf>
    <xf borderId="7" fillId="0" fontId="2" numFmtId="0" xfId="0" applyAlignment="1" applyBorder="1" applyFont="1">
      <alignment horizontal="right" readingOrder="0" vertical="center"/>
    </xf>
    <xf borderId="5" fillId="0" fontId="8" numFmtId="0" xfId="0" applyAlignment="1" applyBorder="1" applyFont="1">
      <alignment shrinkToFit="0" vertical="center" wrapText="0"/>
    </xf>
    <xf borderId="1" fillId="0" fontId="18" numFmtId="0" xfId="0" applyBorder="1" applyFont="1"/>
    <xf borderId="3" fillId="0" fontId="9" numFmtId="0" xfId="0" applyAlignment="1" applyBorder="1" applyFont="1">
      <alignment horizontal="center" readingOrder="0"/>
    </xf>
    <xf borderId="9" fillId="0" fontId="17" numFmtId="0" xfId="0" applyAlignment="1" applyBorder="1" applyFont="1">
      <alignment horizontal="center" vertical="center"/>
    </xf>
    <xf borderId="1" fillId="0" fontId="23" numFmtId="0" xfId="0" applyAlignment="1" applyBorder="1" applyFont="1">
      <alignment readingOrder="0"/>
    </xf>
    <xf borderId="11" fillId="0" fontId="24" numFmtId="164" xfId="0" applyAlignment="1" applyBorder="1" applyFont="1" applyNumberFormat="1">
      <alignment horizontal="right" vertical="bottom"/>
    </xf>
    <xf borderId="11" fillId="0" fontId="2" numFmtId="0" xfId="0" applyAlignment="1" applyBorder="1" applyFont="1">
      <alignment readingOrder="0" vertical="center"/>
    </xf>
    <xf borderId="3" fillId="0" fontId="9" numFmtId="169" xfId="0" applyAlignment="1" applyBorder="1" applyFont="1" applyNumberFormat="1">
      <alignment horizontal="left"/>
    </xf>
    <xf borderId="10" fillId="0" fontId="25" numFmtId="164" xfId="0" applyAlignment="1" applyBorder="1" applyFont="1" applyNumberFormat="1">
      <alignment horizontal="right" vertical="bottom"/>
    </xf>
    <xf borderId="12" fillId="0" fontId="16" numFmtId="170" xfId="0" applyAlignment="1" applyBorder="1" applyFont="1" applyNumberFormat="1">
      <alignment horizontal="left"/>
    </xf>
    <xf borderId="14" fillId="0" fontId="16" numFmtId="0" xfId="0" applyAlignment="1" applyBorder="1" applyFont="1">
      <alignment horizontal="left"/>
    </xf>
    <xf borderId="5" fillId="0" fontId="2" numFmtId="0" xfId="0" applyAlignment="1" applyBorder="1" applyFont="1">
      <alignment readingOrder="0" vertical="center"/>
    </xf>
    <xf borderId="11" fillId="0" fontId="0" numFmtId="1" xfId="0" applyAlignment="1" applyBorder="1" applyFont="1" applyNumberFormat="1">
      <alignment readingOrder="0"/>
    </xf>
    <xf borderId="11" fillId="0" fontId="2" numFmtId="1" xfId="0" applyBorder="1" applyFont="1" applyNumberFormat="1"/>
    <xf borderId="10" fillId="0" fontId="24" numFmtId="164" xfId="0" applyAlignment="1" applyBorder="1" applyFont="1" applyNumberFormat="1">
      <alignment horizontal="right" vertical="bottom"/>
    </xf>
    <xf borderId="12" fillId="0" fontId="16" numFmtId="0" xfId="0" applyAlignment="1" applyBorder="1" applyFont="1">
      <alignment horizontal="left" readingOrder="0" vertical="center"/>
    </xf>
    <xf borderId="13" fillId="0" fontId="13" numFmtId="0" xfId="0" applyAlignment="1" applyBorder="1" applyFont="1">
      <alignment readingOrder="0" vertical="center"/>
    </xf>
    <xf borderId="12" fillId="0" fontId="16" numFmtId="171" xfId="0" applyAlignment="1" applyBorder="1" applyFont="1" applyNumberFormat="1">
      <alignment horizontal="left" readingOrder="0"/>
    </xf>
    <xf borderId="14" fillId="0" fontId="17" numFmtId="0" xfId="0" applyAlignment="1" applyBorder="1" applyFont="1">
      <alignment readingOrder="0"/>
    </xf>
    <xf borderId="15" fillId="0" fontId="16" numFmtId="0" xfId="0" applyAlignment="1" applyBorder="1" applyFont="1">
      <alignment horizontal="left" readingOrder="0" vertical="center"/>
    </xf>
    <xf borderId="12" fillId="0" fontId="16" numFmtId="1" xfId="0" applyAlignment="1" applyBorder="1" applyFont="1" applyNumberFormat="1">
      <alignment horizontal="left"/>
    </xf>
    <xf borderId="17" fillId="0" fontId="12" numFmtId="0" xfId="0" applyAlignment="1" applyBorder="1" applyFont="1">
      <alignment readingOrder="0" vertical="center"/>
    </xf>
    <xf borderId="18" fillId="0" fontId="6" numFmtId="0" xfId="0" applyBorder="1" applyFont="1"/>
    <xf borderId="17" fillId="0" fontId="18" numFmtId="0" xfId="0" applyBorder="1" applyFont="1"/>
    <xf borderId="18" fillId="0" fontId="0" numFmtId="1" xfId="0" applyBorder="1" applyFont="1" applyNumberFormat="1"/>
    <xf borderId="19" fillId="0" fontId="0" numFmtId="1" xfId="0" applyBorder="1" applyFont="1" applyNumberFormat="1"/>
    <xf borderId="10" fillId="3" fontId="25" numFmtId="164" xfId="0" applyAlignment="1" applyBorder="1" applyFont="1" applyNumberFormat="1">
      <alignment horizontal="right" vertical="bottom"/>
    </xf>
    <xf borderId="5" fillId="0" fontId="12" numFmtId="0" xfId="0" applyAlignment="1" applyBorder="1" applyFont="1">
      <alignment readingOrder="0" vertical="center"/>
    </xf>
    <xf borderId="20" fillId="3" fontId="2" numFmtId="164" xfId="0" applyAlignment="1" applyBorder="1" applyFont="1" applyNumberFormat="1">
      <alignment horizontal="left" vertical="center"/>
    </xf>
    <xf borderId="6" fillId="3" fontId="2" numFmtId="164" xfId="0" applyAlignment="1" applyBorder="1" applyFont="1" applyNumberFormat="1">
      <alignment horizontal="left" vertical="center"/>
    </xf>
    <xf borderId="10" fillId="0" fontId="2" numFmtId="0" xfId="0" applyAlignment="1" applyBorder="1" applyFont="1">
      <alignment readingOrder="0" vertical="center"/>
    </xf>
    <xf borderId="10" fillId="0" fontId="1" numFmtId="3" xfId="0" applyAlignment="1" applyBorder="1" applyFont="1" applyNumberFormat="1">
      <alignment readingOrder="0" vertical="center"/>
    </xf>
    <xf borderId="12" fillId="4" fontId="25" numFmtId="0" xfId="0" applyAlignment="1" applyBorder="1" applyFill="1" applyFont="1">
      <alignment readingOrder="0" vertical="bottom"/>
    </xf>
    <xf borderId="14" fillId="4" fontId="25" numFmtId="164" xfId="0" applyAlignment="1" applyBorder="1" applyFont="1" applyNumberFormat="1">
      <alignment horizontal="right" vertical="bottom"/>
    </xf>
    <xf borderId="14" fillId="4" fontId="25" numFmtId="1" xfId="0" applyAlignment="1" applyBorder="1" applyFont="1" applyNumberFormat="1">
      <alignment horizontal="right" vertical="bottom"/>
    </xf>
    <xf borderId="15" fillId="3" fontId="4" numFmtId="164" xfId="0" applyAlignment="1" applyBorder="1" applyFont="1" applyNumberFormat="1">
      <alignment horizontal="left" vertical="center"/>
    </xf>
    <xf borderId="13" fillId="3" fontId="4" numFmtId="164" xfId="0" applyAlignment="1" applyBorder="1" applyFont="1" applyNumberFormat="1">
      <alignment horizontal="left" vertical="center"/>
    </xf>
    <xf borderId="0" fillId="0" fontId="1" numFmtId="4" xfId="0" applyFont="1" applyNumberFormat="1"/>
    <xf borderId="0" fillId="3" fontId="26" numFmtId="0" xfId="0" applyFont="1"/>
    <xf borderId="11" fillId="0" fontId="14" numFmtId="0" xfId="0" applyAlignment="1" applyBorder="1" applyFont="1">
      <alignment readingOrder="0"/>
    </xf>
    <xf borderId="11" fillId="0" fontId="27" numFmtId="0" xfId="0" applyAlignment="1" applyBorder="1" applyFont="1">
      <alignment readingOrder="0"/>
    </xf>
    <xf borderId="11" fillId="0" fontId="28" numFmtId="0" xfId="0" applyAlignment="1" applyBorder="1" applyFont="1">
      <alignment vertical="bottom"/>
    </xf>
    <xf borderId="11" fillId="0" fontId="28" numFmtId="0" xfId="0" applyAlignment="1" applyBorder="1" applyFont="1">
      <alignment readingOrder="0" vertical="bottom"/>
    </xf>
    <xf borderId="0" fillId="0" fontId="14" numFmtId="0" xfId="0" applyAlignment="1" applyFont="1">
      <alignment readingOrder="0"/>
    </xf>
    <xf borderId="11" fillId="5" fontId="29" numFmtId="0" xfId="0" applyAlignment="1" applyBorder="1" applyFill="1" applyFont="1">
      <alignment readingOrder="0"/>
    </xf>
    <xf borderId="11" fillId="5" fontId="30" numFmtId="0" xfId="0" applyAlignment="1" applyBorder="1" applyFont="1">
      <alignment vertical="bottom"/>
    </xf>
    <xf borderId="11" fillId="6" fontId="29" numFmtId="166" xfId="0" applyAlignment="1" applyBorder="1" applyFill="1" applyFont="1" applyNumberFormat="1">
      <alignment readingOrder="0"/>
    </xf>
    <xf borderId="11" fillId="5" fontId="29" numFmtId="170" xfId="0" applyAlignment="1" applyBorder="1" applyFont="1" applyNumberFormat="1">
      <alignment readingOrder="0"/>
    </xf>
    <xf borderId="11" fillId="6" fontId="29" numFmtId="4" xfId="0" applyAlignment="1" applyBorder="1" applyFont="1" applyNumberFormat="1">
      <alignment readingOrder="0"/>
    </xf>
    <xf borderId="11" fillId="6" fontId="29" numFmtId="1" xfId="0" applyAlignment="1" applyBorder="1" applyFont="1" applyNumberFormat="1">
      <alignment readingOrder="0"/>
    </xf>
    <xf borderId="11" fillId="6" fontId="29" numFmtId="168" xfId="0" applyAlignment="1" applyBorder="1" applyFont="1" applyNumberFormat="1">
      <alignment readingOrder="0"/>
    </xf>
    <xf borderId="11" fillId="6" fontId="29" numFmtId="167" xfId="0" applyAlignment="1" applyBorder="1" applyFont="1" applyNumberFormat="1">
      <alignment horizontal="right" readingOrder="0"/>
    </xf>
    <xf borderId="11" fillId="5" fontId="31" numFmtId="0" xfId="0" applyAlignment="1" applyBorder="1" applyFont="1">
      <alignment horizontal="right" readingOrder="0" vertical="bottom"/>
    </xf>
    <xf borderId="11" fillId="6" fontId="29" numFmtId="0" xfId="0" applyAlignment="1" applyBorder="1" applyFont="1">
      <alignment readingOrder="0"/>
    </xf>
    <xf borderId="11" fillId="6" fontId="14" numFmtId="168" xfId="0" applyAlignment="1" applyBorder="1" applyFont="1" applyNumberFormat="1">
      <alignment readingOrder="0"/>
    </xf>
    <xf borderId="11" fillId="0" fontId="28" numFmtId="168" xfId="0" applyAlignment="1" applyBorder="1" applyFont="1" applyNumberFormat="1">
      <alignment horizontal="right" vertical="bottom"/>
    </xf>
    <xf borderId="11" fillId="3" fontId="28" numFmtId="168" xfId="0" applyAlignment="1" applyBorder="1" applyFont="1" applyNumberFormat="1">
      <alignment horizontal="right" vertical="bottom"/>
    </xf>
    <xf borderId="11" fillId="3" fontId="28" numFmtId="168" xfId="0" applyAlignment="1" applyBorder="1" applyFont="1" applyNumberFormat="1">
      <alignment horizontal="right" vertical="bottom"/>
    </xf>
    <xf borderId="11" fillId="7" fontId="28" numFmtId="168" xfId="0" applyAlignment="1" applyBorder="1" applyFill="1" applyFont="1" applyNumberFormat="1">
      <alignment horizontal="right" vertical="bottom"/>
    </xf>
    <xf borderId="11" fillId="3" fontId="14" numFmtId="168" xfId="0" applyAlignment="1" applyBorder="1" applyFont="1" applyNumberFormat="1">
      <alignment readingOrder="0"/>
    </xf>
    <xf borderId="11" fillId="0" fontId="14" numFmtId="168" xfId="0" applyBorder="1" applyFont="1" applyNumberFormat="1"/>
    <xf borderId="11" fillId="0" fontId="14" numFmtId="167" xfId="0" applyBorder="1" applyFont="1" applyNumberFormat="1"/>
    <xf borderId="11" fillId="3" fontId="14" numFmtId="167" xfId="0" applyAlignment="1" applyBorder="1" applyFont="1" applyNumberFormat="1">
      <alignment readingOrder="0"/>
    </xf>
    <xf borderId="11" fillId="6" fontId="14" numFmtId="168" xfId="0" applyBorder="1" applyFont="1" applyNumberFormat="1"/>
    <xf borderId="11" fillId="6" fontId="14" numFmtId="1" xfId="0" applyBorder="1" applyFont="1" applyNumberFormat="1"/>
    <xf borderId="11" fillId="6" fontId="18" numFmtId="167" xfId="0" applyBorder="1" applyFont="1" applyNumberFormat="1"/>
    <xf borderId="4" fillId="0" fontId="32" numFmtId="4" xfId="0" applyAlignment="1" applyBorder="1" applyFont="1" applyNumberFormat="1">
      <alignment horizontal="right" vertical="bottom"/>
    </xf>
    <xf borderId="0" fillId="0" fontId="18" numFmtId="4" xfId="0" applyFont="1" applyNumberFormat="1"/>
    <xf borderId="11" fillId="0" fontId="14" numFmtId="0" xfId="0" applyBorder="1" applyFont="1"/>
    <xf borderId="11" fillId="7" fontId="14" numFmtId="0" xfId="0" applyAlignment="1" applyBorder="1" applyFont="1">
      <alignment readingOrder="0"/>
    </xf>
    <xf borderId="11" fillId="3" fontId="14" numFmtId="0" xfId="0" applyAlignment="1" applyBorder="1" applyFont="1">
      <alignment readingOrder="0"/>
    </xf>
    <xf borderId="0" fillId="0" fontId="18" numFmtId="0" xfId="0" applyFont="1"/>
    <xf borderId="4" fillId="0" fontId="32" numFmtId="4" xfId="0" applyAlignment="1" applyBorder="1" applyFont="1" applyNumberFormat="1">
      <alignment vertical="bottom"/>
    </xf>
    <xf borderId="11" fillId="6" fontId="33" numFmtId="167" xfId="0" applyAlignment="1" applyBorder="1" applyFont="1" applyNumberFormat="1">
      <alignment readingOrder="0"/>
    </xf>
    <xf borderId="11" fillId="6" fontId="34" numFmtId="167" xfId="0" applyAlignment="1" applyBorder="1" applyFont="1" applyNumberFormat="1">
      <alignment readingOrder="0"/>
    </xf>
    <xf borderId="11" fillId="6" fontId="35" numFmtId="167" xfId="0" applyAlignment="1" applyBorder="1" applyFont="1" applyNumberFormat="1">
      <alignment readingOrder="0"/>
    </xf>
    <xf borderId="11" fillId="6" fontId="36" numFmtId="168" xfId="0" applyBorder="1" applyFont="1" applyNumberFormat="1"/>
    <xf borderId="11" fillId="6" fontId="36" numFmtId="1" xfId="0" applyBorder="1" applyFont="1" applyNumberFormat="1"/>
    <xf borderId="0" fillId="0" fontId="18" numFmtId="172" xfId="0" applyFont="1" applyNumberFormat="1"/>
    <xf borderId="0" fillId="0" fontId="18" numFmtId="173" xfId="0" applyFont="1" applyNumberFormat="1"/>
    <xf borderId="11" fillId="5" fontId="37" numFmtId="3" xfId="0" applyAlignment="1" applyBorder="1" applyFont="1" applyNumberFormat="1">
      <alignment readingOrder="0"/>
    </xf>
    <xf borderId="0" fillId="8" fontId="38" numFmtId="0" xfId="0" applyAlignment="1" applyFill="1" applyFont="1">
      <alignment vertical="bottom"/>
    </xf>
    <xf borderId="0" fillId="4" fontId="39" numFmtId="0" xfId="0" applyAlignment="1" applyFont="1">
      <alignment readingOrder="0" vertical="bottom"/>
    </xf>
    <xf borderId="0" fillId="4" fontId="40" numFmtId="174" xfId="0" applyAlignment="1" applyFont="1" applyNumberFormat="1">
      <alignment vertical="bottom"/>
    </xf>
    <xf borderId="11" fillId="9" fontId="18" numFmtId="0" xfId="0" applyAlignment="1" applyBorder="1" applyFill="1" applyFont="1">
      <alignment readingOrder="0"/>
    </xf>
    <xf borderId="11" fillId="9" fontId="14" numFmtId="0" xfId="0" applyAlignment="1" applyBorder="1" applyFont="1">
      <alignment readingOrder="0"/>
    </xf>
    <xf borderId="0" fillId="4" fontId="39" numFmtId="0" xfId="0" applyAlignment="1" applyFont="1">
      <alignment vertical="bottom"/>
    </xf>
    <xf borderId="0" fillId="4" fontId="40" numFmtId="0" xfId="0" applyAlignment="1" applyFont="1">
      <alignment readingOrder="0" vertical="bottom"/>
    </xf>
    <xf borderId="0" fillId="4" fontId="41" numFmtId="0" xfId="0" applyAlignment="1" applyFont="1">
      <alignment readingOrder="0"/>
    </xf>
    <xf borderId="0" fillId="8" fontId="39" numFmtId="0" xfId="0" applyAlignment="1" applyFont="1">
      <alignment readingOrder="0" vertical="bottom"/>
    </xf>
    <xf borderId="0" fillId="3" fontId="42" numFmtId="174" xfId="0" applyAlignment="1" applyFont="1" applyNumberFormat="1">
      <alignment vertical="bottom"/>
    </xf>
    <xf borderId="0" fillId="8" fontId="39" numFmtId="0" xfId="0" applyAlignment="1" applyFont="1">
      <alignment vertical="bottom"/>
    </xf>
    <xf borderId="0" fillId="0" fontId="42" numFmtId="0" xfId="0" applyAlignment="1" applyFont="1">
      <alignment horizontal="right" readingOrder="0" vertical="bottom"/>
    </xf>
    <xf borderId="0" fillId="4" fontId="40" numFmtId="0" xfId="0" applyAlignment="1" applyFont="1">
      <alignment horizontal="right" readingOrder="0" vertical="bottom"/>
    </xf>
    <xf borderId="0" fillId="0" fontId="43" numFmtId="1" xfId="0" applyFont="1" applyNumberFormat="1"/>
    <xf borderId="0" fillId="0" fontId="44" numFmtId="0" xfId="0" applyAlignment="1" applyFont="1">
      <alignment readingOrder="0"/>
    </xf>
    <xf borderId="0" fillId="0" fontId="43" numFmtId="0" xfId="0" applyAlignment="1" applyFont="1">
      <alignment vertical="bottom"/>
    </xf>
    <xf borderId="0" fillId="8" fontId="45" numFmtId="0" xfId="0" applyAlignment="1" applyFont="1">
      <alignment readingOrder="0" vertical="bottom"/>
    </xf>
    <xf borderId="0" fillId="4" fontId="45" numFmtId="0" xfId="0" applyAlignment="1" applyFont="1">
      <alignment readingOrder="0" vertical="bottom"/>
    </xf>
    <xf borderId="0" fillId="0" fontId="44" numFmtId="0" xfId="0" applyAlignment="1" applyFont="1">
      <alignment vertical="bottom"/>
    </xf>
    <xf borderId="0" fillId="0" fontId="44" numFmtId="0" xfId="0" applyFont="1"/>
    <xf borderId="0" fillId="4" fontId="18" numFmtId="0" xfId="0" applyAlignment="1" applyFont="1">
      <alignment readingOrder="0"/>
    </xf>
    <xf borderId="0" fillId="4" fontId="14" numFmtId="0" xfId="0" applyAlignment="1" applyFont="1">
      <alignment readingOrder="0"/>
    </xf>
    <xf borderId="0" fillId="0" fontId="46" numFmtId="0" xfId="0" applyAlignment="1" applyFont="1">
      <alignment readingOrder="0"/>
    </xf>
    <xf borderId="0" fillId="0" fontId="47" numFmtId="0" xfId="0" applyAlignment="1" applyFont="1">
      <alignment readingOrder="0"/>
    </xf>
    <xf borderId="0" fillId="0" fontId="14" numFmtId="1" xfId="0" applyFont="1" applyNumberFormat="1"/>
    <xf borderId="11" fillId="0" fontId="18" numFmtId="0" xfId="0" applyAlignment="1" applyBorder="1" applyFont="1">
      <alignment readingOrder="0"/>
    </xf>
    <xf borderId="11" fillId="0" fontId="18" numFmtId="0" xfId="0" applyBorder="1" applyFont="1"/>
    <xf borderId="0" fillId="0" fontId="18" numFmtId="9" xfId="0" applyAlignment="1" applyFont="1" applyNumberFormat="1">
      <alignment readingOrder="0"/>
    </xf>
    <xf borderId="0" fillId="0" fontId="48" numFmtId="0" xfId="0" applyAlignment="1" applyFont="1">
      <alignment horizontal="left" readingOrder="0" shrinkToFit="0" vertical="center" wrapText="0"/>
    </xf>
    <xf borderId="0" fillId="0" fontId="18" numFmtId="0" xfId="0" applyAlignment="1" applyFont="1">
      <alignment vertical="center"/>
    </xf>
    <xf borderId="0" fillId="0" fontId="18" numFmtId="0" xfId="0" applyAlignment="1" applyFont="1">
      <alignment horizontal="center" readingOrder="0" vertical="center"/>
    </xf>
    <xf borderId="21" fillId="0" fontId="14" numFmtId="0" xfId="0" applyAlignment="1" applyBorder="1" applyFont="1">
      <alignment horizontal="center" readingOrder="0" vertical="center"/>
    </xf>
    <xf borderId="22" fillId="0" fontId="33" numFmtId="0" xfId="0" applyAlignment="1" applyBorder="1" applyFont="1">
      <alignment horizontal="center" readingOrder="0" vertical="center"/>
    </xf>
    <xf borderId="23" fillId="0" fontId="33" numFmtId="0" xfId="0" applyAlignment="1" applyBorder="1" applyFont="1">
      <alignment horizontal="center" readingOrder="0" vertical="center"/>
    </xf>
    <xf borderId="0" fillId="0" fontId="18" numFmtId="0" xfId="0" applyAlignment="1" applyFont="1">
      <alignment readingOrder="0" vertical="center"/>
    </xf>
    <xf borderId="23" fillId="0" fontId="49" numFmtId="3" xfId="0" applyAlignment="1" applyBorder="1" applyFont="1" applyNumberFormat="1">
      <alignment readingOrder="0" vertical="center"/>
    </xf>
    <xf borderId="24" fillId="0" fontId="14" numFmtId="0" xfId="0" applyAlignment="1" applyBorder="1" applyFont="1">
      <alignment horizontal="center" readingOrder="0" shrinkToFit="0" vertical="center" wrapText="1"/>
    </xf>
    <xf borderId="25" fillId="0" fontId="14" numFmtId="0" xfId="0" applyAlignment="1" applyBorder="1" applyFont="1">
      <alignment horizontal="center" readingOrder="0" shrinkToFit="0" vertical="center" wrapText="1"/>
    </xf>
    <xf borderId="26" fillId="0" fontId="14" numFmtId="0" xfId="0" applyAlignment="1" applyBorder="1" applyFont="1">
      <alignment horizontal="center" readingOrder="0" shrinkToFit="0" vertical="center" wrapText="1"/>
    </xf>
    <xf borderId="27" fillId="0" fontId="50" numFmtId="0" xfId="0" applyAlignment="1" applyBorder="1" applyFont="1">
      <alignment readingOrder="0" vertical="center"/>
    </xf>
    <xf borderId="28" fillId="0" fontId="49" numFmtId="1" xfId="0" applyAlignment="1" applyBorder="1" applyFont="1" applyNumberFormat="1">
      <alignment vertical="center"/>
    </xf>
    <xf borderId="28" fillId="0" fontId="50" numFmtId="0" xfId="0" applyAlignment="1" applyBorder="1" applyFont="1">
      <alignment readingOrder="0" vertical="center"/>
    </xf>
    <xf borderId="29" fillId="0" fontId="49" numFmtId="1" xfId="0" applyAlignment="1" applyBorder="1" applyFont="1" applyNumberFormat="1">
      <alignment vertical="center"/>
    </xf>
    <xf borderId="0" fillId="0" fontId="14" numFmtId="0" xfId="0" applyAlignment="1" applyFont="1">
      <alignment readingOrder="0" vertical="center"/>
    </xf>
    <xf borderId="0" fillId="0" fontId="14" numFmtId="0" xfId="0" applyAlignment="1" applyFont="1">
      <alignment horizontal="right" readingOrder="0" vertical="center"/>
    </xf>
    <xf borderId="0" fillId="0" fontId="33" numFmtId="0" xfId="0" applyAlignment="1" applyFont="1">
      <alignment horizontal="center" readingOrder="0" vertical="center"/>
    </xf>
    <xf borderId="24" fillId="0" fontId="18" numFmtId="0" xfId="0" applyAlignment="1" applyBorder="1" applyFont="1">
      <alignment readingOrder="0" vertical="center"/>
    </xf>
    <xf borderId="25" fillId="0" fontId="18" numFmtId="0" xfId="0" applyAlignment="1" applyBorder="1" applyFont="1">
      <alignment vertical="center"/>
    </xf>
    <xf borderId="26" fillId="0" fontId="49" numFmtId="1" xfId="0" applyAlignment="1" applyBorder="1" applyFont="1" applyNumberFormat="1">
      <alignment vertical="center"/>
    </xf>
    <xf borderId="30" fillId="0" fontId="18" numFmtId="0" xfId="0" applyAlignment="1" applyBorder="1" applyFont="1">
      <alignment readingOrder="0" vertical="center"/>
    </xf>
    <xf borderId="11" fillId="0" fontId="18" numFmtId="0" xfId="0" applyAlignment="1" applyBorder="1" applyFont="1">
      <alignment vertical="center"/>
    </xf>
    <xf borderId="31" fillId="0" fontId="49" numFmtId="1" xfId="0" applyAlignment="1" applyBorder="1" applyFont="1" applyNumberFormat="1">
      <alignment vertical="center"/>
    </xf>
    <xf borderId="32" fillId="0" fontId="18" numFmtId="0" xfId="0" applyAlignment="1" applyBorder="1" applyFont="1">
      <alignment readingOrder="0" vertical="center"/>
    </xf>
    <xf borderId="31" fillId="0" fontId="49" numFmtId="0" xfId="0" applyAlignment="1" applyBorder="1" applyFont="1">
      <alignment readingOrder="0" vertical="center"/>
    </xf>
    <xf borderId="27" fillId="0" fontId="18" numFmtId="0" xfId="0" applyAlignment="1" applyBorder="1" applyFont="1">
      <alignment readingOrder="0" vertical="center"/>
    </xf>
    <xf borderId="28" fillId="0" fontId="18" numFmtId="0" xfId="0" applyAlignment="1" applyBorder="1" applyFont="1">
      <alignment vertical="center"/>
    </xf>
    <xf borderId="29" fillId="0" fontId="50" numFmtId="0" xfId="0" applyAlignment="1" applyBorder="1" applyFont="1">
      <alignment readingOrder="0" vertical="center"/>
    </xf>
    <xf borderId="0" fillId="0" fontId="14" numFmtId="0" xfId="0" applyAlignment="1" applyFont="1">
      <alignment readingOrder="0" shrinkToFit="0" vertical="center" wrapText="1"/>
    </xf>
    <xf borderId="0" fillId="0" fontId="14" numFmtId="1" xfId="0" applyAlignment="1" applyFont="1" applyNumberFormat="1">
      <alignment horizontal="right" readingOrder="0" vertical="center"/>
    </xf>
    <xf borderId="0" fillId="0" fontId="18" numFmtId="1" xfId="0" applyAlignment="1" applyFont="1" applyNumberFormat="1">
      <alignment vertical="center"/>
    </xf>
    <xf borderId="33" fillId="0" fontId="18" numFmtId="0" xfId="0" applyAlignment="1" applyBorder="1" applyFont="1">
      <alignment readingOrder="0" vertical="center"/>
    </xf>
    <xf borderId="34" fillId="0" fontId="6" numFmtId="0" xfId="0" applyBorder="1" applyFont="1"/>
    <xf borderId="35" fillId="0" fontId="37" numFmtId="170" xfId="0" applyAlignment="1" applyBorder="1" applyFont="1" applyNumberFormat="1">
      <alignment vertical="center"/>
    </xf>
    <xf borderId="36" fillId="0" fontId="37" numFmtId="1" xfId="0" applyAlignment="1" applyBorder="1" applyFont="1" applyNumberFormat="1">
      <alignment vertical="center"/>
    </xf>
    <xf borderId="0" fillId="0" fontId="32" numFmtId="0" xfId="0" applyAlignment="1" applyFont="1">
      <alignment vertical="bottom"/>
    </xf>
    <xf borderId="0" fillId="0" fontId="32" numFmtId="0" xfId="0" applyAlignment="1" applyFont="1">
      <alignment horizontal="center" vertical="bottom"/>
    </xf>
    <xf borderId="0" fillId="0" fontId="32" numFmtId="0" xfId="0" applyAlignment="1" applyFont="1">
      <alignment horizontal="right" vertical="bottom"/>
    </xf>
    <xf borderId="0" fillId="10" fontId="32" numFmtId="0" xfId="0" applyAlignment="1" applyFill="1" applyFont="1">
      <alignment vertical="bottom"/>
    </xf>
    <xf borderId="0" fillId="10" fontId="32" numFmtId="164" xfId="0" applyAlignment="1" applyFont="1" applyNumberFormat="1">
      <alignment horizontal="right" vertical="bottom"/>
    </xf>
    <xf borderId="0" fillId="10" fontId="32" numFmtId="4" xfId="0" applyAlignment="1" applyFont="1" applyNumberFormat="1">
      <alignment horizontal="right" vertical="bottom"/>
    </xf>
    <xf borderId="0" fillId="8" fontId="51" numFmtId="0" xfId="0" applyAlignment="1" applyFont="1">
      <alignment vertical="bottom"/>
    </xf>
    <xf borderId="0" fillId="10" fontId="32" numFmtId="2" xfId="0" applyAlignment="1" applyFont="1" applyNumberFormat="1">
      <alignment horizontal="right" vertical="bottom"/>
    </xf>
    <xf borderId="0" fillId="9" fontId="32" numFmtId="4" xfId="0" applyAlignment="1" applyFont="1" applyNumberFormat="1">
      <alignment horizontal="right" vertical="bottom"/>
    </xf>
    <xf borderId="0" fillId="9" fontId="32" numFmtId="2" xfId="0" applyAlignment="1" applyFont="1" applyNumberFormat="1">
      <alignment horizontal="right" vertical="bottom"/>
    </xf>
    <xf borderId="0" fillId="11" fontId="32" numFmtId="2" xfId="0" applyAlignment="1" applyFill="1" applyFont="1" applyNumberFormat="1">
      <alignment horizontal="right" vertical="bottom"/>
    </xf>
    <xf borderId="0" fillId="11" fontId="32" numFmtId="0" xfId="0" applyAlignment="1" applyFont="1">
      <alignment vertical="bottom"/>
    </xf>
    <xf borderId="0" fillId="11" fontId="32" numFmtId="164" xfId="0" applyAlignment="1" applyFont="1" applyNumberFormat="1">
      <alignment horizontal="right" vertical="bottom"/>
    </xf>
    <xf borderId="0" fillId="11" fontId="32" numFmtId="4" xfId="0" applyAlignment="1" applyFont="1" applyNumberFormat="1">
      <alignment horizontal="right" vertical="bottom"/>
    </xf>
    <xf borderId="0" fillId="5" fontId="32" numFmtId="2" xfId="0" applyAlignment="1" applyFont="1" applyNumberFormat="1">
      <alignment horizontal="right" vertical="bottom"/>
    </xf>
    <xf borderId="0" fillId="5" fontId="32" numFmtId="0" xfId="0" applyAlignment="1" applyFont="1">
      <alignment vertical="bottom"/>
    </xf>
    <xf borderId="0" fillId="5" fontId="32" numFmtId="164" xfId="0" applyAlignment="1" applyFont="1" applyNumberFormat="1">
      <alignment horizontal="right" vertical="bottom"/>
    </xf>
    <xf borderId="0" fillId="5" fontId="32" numFmtId="4" xfId="0" applyAlignment="1" applyFont="1" applyNumberFormat="1">
      <alignment horizontal="right" vertical="bottom"/>
    </xf>
    <xf borderId="0" fillId="8" fontId="32" numFmtId="0" xfId="0" applyAlignment="1" applyFont="1">
      <alignment vertical="bottom"/>
    </xf>
    <xf borderId="0" fillId="0" fontId="32" numFmtId="2" xfId="0" applyAlignment="1" applyFont="1" applyNumberFormat="1">
      <alignment vertical="bottom"/>
    </xf>
    <xf borderId="0" fillId="3" fontId="52" numFmtId="0" xfId="0" applyAlignment="1" applyFont="1">
      <alignment readingOrder="0"/>
    </xf>
    <xf borderId="0" fillId="0" fontId="18" numFmtId="168" xfId="0" applyAlignment="1" applyFont="1" applyNumberFormat="1">
      <alignment readingOrder="0"/>
    </xf>
    <xf borderId="0" fillId="0" fontId="18" numFmtId="167" xfId="0" applyFont="1" applyNumberFormat="1"/>
    <xf borderId="0" fillId="0" fontId="18" numFmtId="167" xfId="0" applyAlignment="1" applyFont="1" applyNumberFormat="1">
      <alignment readingOrder="0"/>
    </xf>
    <xf borderId="0" fillId="0" fontId="29" numFmtId="0" xfId="0" applyAlignment="1" applyFont="1">
      <alignment readingOrder="0"/>
    </xf>
    <xf borderId="11" fillId="0" fontId="18" numFmtId="175" xfId="0" applyBorder="1" applyFont="1" applyNumberFormat="1"/>
    <xf borderId="0" fillId="0" fontId="53" numFmtId="0" xfId="0" applyAlignment="1" applyFont="1">
      <alignment horizontal="center"/>
    </xf>
    <xf borderId="11" fillId="0" fontId="54" numFmtId="0" xfId="0" applyAlignment="1" applyBorder="1" applyFont="1">
      <alignment horizontal="center" vertical="center"/>
    </xf>
    <xf borderId="11" fillId="0" fontId="55" numFmtId="0" xfId="0" applyAlignment="1" applyBorder="1" applyFont="1">
      <alignment horizontal="center" shrinkToFit="0" vertical="center" wrapText="1"/>
    </xf>
    <xf borderId="11" fillId="0" fontId="54" numFmtId="0" xfId="0" applyAlignment="1" applyBorder="1" applyFont="1">
      <alignment horizontal="right" vertical="center"/>
    </xf>
    <xf borderId="11" fillId="2" fontId="54" numFmtId="2" xfId="0" applyAlignment="1" applyBorder="1" applyFont="1" applyNumberFormat="1">
      <alignment readingOrder="0" vertical="center"/>
    </xf>
    <xf borderId="11" fillId="10" fontId="54" numFmtId="1" xfId="0" applyAlignment="1" applyBorder="1" applyFont="1" applyNumberFormat="1">
      <alignment readingOrder="0" vertical="center"/>
    </xf>
    <xf borderId="11" fillId="6" fontId="54" numFmtId="1" xfId="0" applyAlignment="1" applyBorder="1" applyFont="1" applyNumberFormat="1">
      <alignment vertical="center"/>
    </xf>
    <xf borderId="0" fillId="0" fontId="32" numFmtId="0" xfId="0" applyFont="1"/>
    <xf borderId="11" fillId="2" fontId="54" numFmtId="2" xfId="0" applyAlignment="1" applyBorder="1" applyFont="1" applyNumberFormat="1">
      <alignment vertical="center"/>
    </xf>
    <xf borderId="11" fillId="5" fontId="31" numFmtId="1" xfId="0" applyAlignment="1" applyBorder="1" applyFont="1" applyNumberFormat="1">
      <alignment readingOrder="0" vertical="center"/>
    </xf>
    <xf borderId="11" fillId="0" fontId="56" numFmtId="0" xfId="0" applyAlignment="1" applyBorder="1" applyFont="1">
      <alignment horizontal="right" readingOrder="0" vertical="center"/>
    </xf>
    <xf borderId="11" fillId="6" fontId="46" numFmtId="0" xfId="0" applyAlignment="1" applyBorder="1" applyFont="1">
      <alignment readingOrder="0"/>
    </xf>
    <xf borderId="11" fillId="6" fontId="56" numFmtId="1" xfId="0" applyAlignment="1" applyBorder="1" applyFont="1" applyNumberFormat="1">
      <alignment vertical="center"/>
    </xf>
    <xf borderId="11" fillId="10" fontId="57" numFmtId="1" xfId="0" applyAlignment="1" applyBorder="1" applyFont="1" applyNumberFormat="1">
      <alignment readingOrder="0" vertical="center"/>
    </xf>
    <xf borderId="11" fillId="6" fontId="46" numFmtId="1" xfId="0" applyAlignment="1" applyBorder="1" applyFont="1" applyNumberFormat="1">
      <alignment readingOrder="0"/>
    </xf>
    <xf borderId="11" fillId="10" fontId="56" numFmtId="1" xfId="0" applyAlignment="1" applyBorder="1" applyFont="1" applyNumberFormat="1">
      <alignment readingOrder="0" vertical="center"/>
    </xf>
    <xf borderId="11" fillId="0" fontId="58" numFmtId="0" xfId="0" applyAlignment="1" applyBorder="1" applyFont="1">
      <alignment horizontal="right" readingOrder="0" vertical="center"/>
    </xf>
    <xf borderId="11" fillId="3" fontId="59" numFmtId="1" xfId="0" applyBorder="1" applyFont="1" applyNumberFormat="1"/>
    <xf borderId="11" fillId="0" fontId="60" numFmtId="0" xfId="0" applyAlignment="1" applyBorder="1" applyFont="1">
      <alignment horizontal="right" readingOrder="0" vertical="center"/>
    </xf>
    <xf borderId="11" fillId="2" fontId="54" numFmtId="167" xfId="0" applyAlignment="1" applyBorder="1" applyFont="1" applyNumberFormat="1">
      <alignment horizontal="right" vertical="center"/>
    </xf>
    <xf borderId="11" fillId="0" fontId="61" numFmtId="1" xfId="0" applyAlignment="1" applyBorder="1" applyFont="1" applyNumberFormat="1">
      <alignment horizontal="right" readingOrder="0" vertical="center"/>
    </xf>
    <xf borderId="0" fillId="0" fontId="54" numFmtId="0" xfId="0" applyFont="1"/>
    <xf borderId="11" fillId="0" fontId="62" numFmtId="0" xfId="0" applyAlignment="1" applyBorder="1" applyFont="1">
      <alignment horizontal="right" readingOrder="0" vertical="center"/>
    </xf>
    <xf borderId="11" fillId="3" fontId="63" numFmtId="1" xfId="0" applyBorder="1" applyFont="1" applyNumberFormat="1"/>
    <xf borderId="0" fillId="0" fontId="53" numFmtId="0" xfId="0" applyAlignment="1" applyFont="1">
      <alignment horizontal="center" readingOrder="0"/>
    </xf>
    <xf borderId="11" fillId="0" fontId="54" numFmtId="0" xfId="0" applyAlignment="1" applyBorder="1" applyFont="1">
      <alignment horizontal="right" readingOrder="0" vertical="center"/>
    </xf>
    <xf borderId="37" fillId="0" fontId="64" numFmtId="0" xfId="0" applyAlignment="1" applyBorder="1" applyFont="1">
      <alignment readingOrder="0"/>
    </xf>
    <xf borderId="38" fillId="0" fontId="65" numFmtId="0" xfId="0" applyAlignment="1" applyBorder="1" applyFont="1">
      <alignment readingOrder="0"/>
    </xf>
    <xf borderId="38" fillId="0" fontId="65" numFmtId="0" xfId="0" applyBorder="1" applyFont="1"/>
    <xf borderId="39" fillId="0" fontId="65" numFmtId="0" xfId="0" applyBorder="1" applyFont="1"/>
    <xf borderId="40" fillId="0" fontId="14" numFmtId="0" xfId="0" applyAlignment="1" applyBorder="1" applyFont="1">
      <alignment readingOrder="0"/>
    </xf>
    <xf borderId="41" fillId="0" fontId="18" numFmtId="0" xfId="0" applyBorder="1" applyFont="1"/>
    <xf borderId="42" fillId="0" fontId="18" numFmtId="0" xfId="0" applyBorder="1" applyFont="1"/>
    <xf borderId="43" fillId="0" fontId="65" numFmtId="0" xfId="0" applyAlignment="1" applyBorder="1" applyFont="1">
      <alignment readingOrder="0"/>
    </xf>
    <xf borderId="0" fillId="0" fontId="66" numFmtId="0" xfId="0" applyAlignment="1" applyFont="1">
      <alignment readingOrder="0"/>
    </xf>
    <xf borderId="0" fillId="0" fontId="65" numFmtId="0" xfId="0" applyFont="1"/>
    <xf borderId="44" fillId="0" fontId="65" numFmtId="0" xfId="0" applyBorder="1" applyFont="1"/>
    <xf borderId="45" fillId="0" fontId="18" numFmtId="0" xfId="0" applyAlignment="1" applyBorder="1" applyFont="1">
      <alignment readingOrder="0"/>
    </xf>
    <xf borderId="0" fillId="0" fontId="67" numFmtId="0" xfId="0" applyAlignment="1" applyFont="1">
      <alignment horizontal="right" vertical="bottom"/>
    </xf>
    <xf borderId="0" fillId="0" fontId="50" numFmtId="167" xfId="0" applyFont="1" applyNumberFormat="1"/>
    <xf borderId="46" fillId="0" fontId="18" numFmtId="0" xfId="0" applyAlignment="1" applyBorder="1" applyFont="1">
      <alignment readingOrder="0"/>
    </xf>
    <xf borderId="43" fillId="0" fontId="65" numFmtId="0" xfId="0" applyBorder="1" applyFont="1"/>
    <xf borderId="0" fillId="0" fontId="50" numFmtId="0" xfId="0" applyFont="1"/>
    <xf borderId="0" fillId="0" fontId="64" numFmtId="0" xfId="0" applyAlignment="1" applyFont="1">
      <alignment horizontal="center" readingOrder="0"/>
    </xf>
    <xf borderId="44" fillId="0" fontId="68" numFmtId="0" xfId="0" applyAlignment="1" applyBorder="1" applyFont="1">
      <alignment horizontal="center" readingOrder="0"/>
    </xf>
    <xf borderId="45" fillId="0" fontId="18" numFmtId="0" xfId="0" applyBorder="1" applyFont="1"/>
    <xf borderId="0" fillId="0" fontId="65" numFmtId="0" xfId="0" applyAlignment="1" applyFont="1">
      <alignment vertical="bottom"/>
    </xf>
    <xf borderId="0" fillId="0" fontId="50" numFmtId="1" xfId="0" applyFont="1" applyNumberFormat="1"/>
    <xf borderId="0" fillId="0" fontId="65" numFmtId="0" xfId="0" applyAlignment="1" applyFont="1">
      <alignment readingOrder="0"/>
    </xf>
    <xf borderId="44" fillId="0" fontId="65" numFmtId="0" xfId="0" applyAlignment="1" applyBorder="1" applyFont="1">
      <alignment readingOrder="0"/>
    </xf>
    <xf borderId="0" fillId="0" fontId="69" numFmtId="168" xfId="0" applyAlignment="1" applyFont="1" applyNumberFormat="1">
      <alignment horizontal="right" readingOrder="0" vertical="bottom"/>
    </xf>
    <xf borderId="46" fillId="0" fontId="18" numFmtId="0" xfId="0" applyBorder="1" applyFont="1"/>
    <xf borderId="0" fillId="0" fontId="69" numFmtId="1" xfId="0" applyAlignment="1" applyFont="1" applyNumberFormat="1">
      <alignment horizontal="right" readingOrder="0" vertical="bottom"/>
    </xf>
    <xf borderId="44" fillId="4" fontId="65" numFmtId="1" xfId="0" applyAlignment="1" applyBorder="1" applyFont="1" applyNumberFormat="1">
      <alignment readingOrder="0"/>
    </xf>
    <xf borderId="0" fillId="0" fontId="69" numFmtId="0" xfId="0" applyAlignment="1" applyFont="1">
      <alignment horizontal="right" vertical="bottom"/>
    </xf>
    <xf borderId="0" fillId="0" fontId="67" numFmtId="0" xfId="0" applyAlignment="1" applyFont="1">
      <alignment readingOrder="0"/>
    </xf>
    <xf borderId="44" fillId="4" fontId="65" numFmtId="0" xfId="0" applyAlignment="1" applyBorder="1" applyFont="1">
      <alignment readingOrder="0"/>
    </xf>
    <xf borderId="47" fillId="0" fontId="18" numFmtId="0" xfId="0" applyAlignment="1" applyBorder="1" applyFont="1">
      <alignment readingOrder="0"/>
    </xf>
    <xf borderId="48" fillId="0" fontId="70" numFmtId="167" xfId="0" applyAlignment="1" applyBorder="1" applyFont="1" applyNumberFormat="1">
      <alignment horizontal="right" vertical="bottom"/>
    </xf>
    <xf borderId="48" fillId="0" fontId="18" numFmtId="0" xfId="0" applyAlignment="1" applyBorder="1" applyFont="1">
      <alignment readingOrder="0"/>
    </xf>
    <xf borderId="48" fillId="0" fontId="18" numFmtId="0" xfId="0" applyBorder="1" applyFont="1"/>
    <xf borderId="49" fillId="0" fontId="18" numFmtId="0" xfId="0" applyBorder="1" applyFont="1"/>
    <xf borderId="0" fillId="0" fontId="70" numFmtId="1" xfId="0" applyAlignment="1" applyFont="1" applyNumberFormat="1">
      <alignment horizontal="right" vertical="bottom"/>
    </xf>
    <xf borderId="0" fillId="0" fontId="70" numFmtId="167" xfId="0" applyAlignment="1" applyFont="1" applyNumberFormat="1">
      <alignment horizontal="right" vertical="bottom"/>
    </xf>
    <xf borderId="44" fillId="4" fontId="65" numFmtId="167" xfId="0" applyAlignment="1" applyBorder="1" applyFont="1" applyNumberFormat="1">
      <alignment readingOrder="0"/>
    </xf>
    <xf borderId="0" fillId="0" fontId="49" numFmtId="0" xfId="0" applyAlignment="1" applyFont="1">
      <alignment readingOrder="0"/>
    </xf>
    <xf borderId="0" fillId="0" fontId="71" numFmtId="0" xfId="0" applyAlignment="1" applyFont="1">
      <alignment readingOrder="0"/>
    </xf>
    <xf borderId="0" fillId="0" fontId="72" numFmtId="0" xfId="0" applyAlignment="1" applyFont="1">
      <alignment readingOrder="0"/>
    </xf>
    <xf borderId="0" fillId="0" fontId="73" numFmtId="168" xfId="0" applyAlignment="1" applyFont="1" applyNumberFormat="1">
      <alignment readingOrder="0"/>
    </xf>
    <xf borderId="0" fillId="0" fontId="67" numFmtId="1" xfId="0" applyAlignment="1" applyFont="1" applyNumberFormat="1">
      <alignment readingOrder="0"/>
    </xf>
    <xf borderId="0" fillId="0" fontId="73" numFmtId="0" xfId="0" applyAlignment="1" applyFont="1">
      <alignment readingOrder="0"/>
    </xf>
    <xf borderId="0" fillId="0" fontId="65" numFmtId="9" xfId="0" applyFont="1" applyNumberFormat="1"/>
    <xf borderId="50" fillId="0" fontId="65" numFmtId="0" xfId="0" applyAlignment="1" applyBorder="1" applyFont="1">
      <alignment readingOrder="0"/>
    </xf>
    <xf borderId="51" fillId="0" fontId="65" numFmtId="1" xfId="0" applyAlignment="1" applyBorder="1" applyFont="1" applyNumberFormat="1">
      <alignment readingOrder="0"/>
    </xf>
    <xf borderId="51" fillId="0" fontId="65" numFmtId="0" xfId="0" applyAlignment="1" applyBorder="1" applyFont="1">
      <alignment readingOrder="0"/>
    </xf>
    <xf borderId="52" fillId="0" fontId="65" numFmtId="0" xfId="0" applyBorder="1" applyFont="1"/>
    <xf borderId="45" fillId="0" fontId="65" numFmtId="0" xfId="0" applyAlignment="1" applyBorder="1" applyFont="1">
      <alignment vertical="bottom"/>
    </xf>
    <xf borderId="46" fillId="0" fontId="50" numFmtId="176" xfId="0" applyAlignment="1" applyBorder="1" applyFont="1" applyNumberFormat="1">
      <alignment readingOrder="0"/>
    </xf>
    <xf borderId="47" fillId="0" fontId="65" numFmtId="0" xfId="0" applyAlignment="1" applyBorder="1" applyFont="1">
      <alignment vertical="bottom"/>
    </xf>
    <xf borderId="48" fillId="0" fontId="73" numFmtId="0" xfId="0" applyAlignment="1" applyBorder="1" applyFont="1">
      <alignment readingOrder="0"/>
    </xf>
    <xf borderId="0" fillId="0" fontId="69" numFmtId="0" xfId="0" applyAlignment="1" applyFont="1">
      <alignment horizontal="right" readingOrder="0" vertical="bottom"/>
    </xf>
    <xf borderId="0" fillId="0" fontId="67" numFmtId="1" xfId="0" applyAlignment="1" applyFont="1" applyNumberFormat="1">
      <alignment horizontal="right" readingOrder="0" vertical="bottom"/>
    </xf>
    <xf borderId="45" fillId="0" fontId="65" numFmtId="0" xfId="0" applyBorder="1" applyFont="1"/>
    <xf borderId="47" fillId="0" fontId="6" numFmtId="0" xfId="0" applyBorder="1" applyFont="1"/>
    <xf borderId="48" fillId="0" fontId="70" numFmtId="1" xfId="0" applyAlignment="1" applyBorder="1" applyFont="1" applyNumberFormat="1">
      <alignment horizontal="right" vertical="bottom"/>
    </xf>
    <xf borderId="53" fillId="0" fontId="18" numFmtId="0" xfId="0" applyBorder="1" applyFont="1"/>
    <xf borderId="54" fillId="0" fontId="14" numFmtId="0" xfId="0" applyAlignment="1" applyBorder="1" applyFont="1">
      <alignment readingOrder="0"/>
    </xf>
    <xf borderId="55" fillId="0" fontId="46" numFmtId="0" xfId="0" applyAlignment="1" applyBorder="1" applyFont="1">
      <alignment horizontal="center" readingOrder="0"/>
    </xf>
    <xf borderId="56" fillId="0" fontId="18" numFmtId="0" xfId="0" applyAlignment="1" applyBorder="1" applyFont="1">
      <alignment readingOrder="0"/>
    </xf>
    <xf borderId="57" fillId="4" fontId="18" numFmtId="0" xfId="0" applyAlignment="1" applyBorder="1" applyFont="1">
      <alignment readingOrder="0"/>
    </xf>
    <xf borderId="56" fillId="0" fontId="14" numFmtId="0" xfId="0" applyAlignment="1" applyBorder="1" applyFont="1">
      <alignment readingOrder="0"/>
    </xf>
    <xf borderId="0" fillId="0" fontId="18" numFmtId="1" xfId="0" applyFont="1" applyNumberFormat="1"/>
    <xf borderId="57" fillId="4" fontId="18" numFmtId="1" xfId="0" applyAlignment="1" applyBorder="1" applyFont="1" applyNumberFormat="1">
      <alignment readingOrder="0"/>
    </xf>
    <xf borderId="58" fillId="0" fontId="14" numFmtId="0" xfId="0" applyAlignment="1" applyBorder="1" applyFont="1">
      <alignment readingOrder="0"/>
    </xf>
    <xf borderId="59" fillId="0" fontId="18" numFmtId="1" xfId="0" applyBorder="1" applyFont="1" applyNumberFormat="1"/>
    <xf borderId="60" fillId="4" fontId="18" numFmtId="1" xfId="0" applyAlignment="1" applyBorder="1" applyFont="1" applyNumberFormat="1">
      <alignment readingOrder="0"/>
    </xf>
    <xf borderId="11" fillId="0" fontId="18" numFmtId="1" xfId="0" applyBorder="1" applyFont="1" applyNumberFormat="1"/>
    <xf borderId="11" fillId="0" fontId="18" numFmtId="9" xfId="0" applyBorder="1" applyFont="1" applyNumberFormat="1"/>
    <xf borderId="11" fillId="0" fontId="18" numFmtId="167" xfId="0" applyAlignment="1" applyBorder="1" applyFont="1" applyNumberFormat="1">
      <alignment readingOrder="0"/>
    </xf>
    <xf borderId="11" fillId="0" fontId="65" numFmtId="167" xfId="0" applyAlignment="1" applyBorder="1" applyFont="1" applyNumberFormat="1">
      <alignment horizontal="right" vertical="bottom"/>
    </xf>
    <xf borderId="11" fillId="0" fontId="65" numFmtId="176" xfId="0" applyAlignment="1" applyBorder="1" applyFont="1" applyNumberFormat="1">
      <alignment horizontal="right" vertical="bottom"/>
    </xf>
    <xf borderId="11" fillId="0" fontId="18" numFmtId="1" xfId="0" applyAlignment="1" applyBorder="1" applyFont="1" applyNumberFormat="1">
      <alignment readingOrder="0"/>
    </xf>
    <xf borderId="11" fillId="0" fontId="65" numFmtId="1" xfId="0" applyAlignment="1" applyBorder="1" applyFont="1" applyNumberFormat="1">
      <alignment horizontal="right" vertical="bottom"/>
    </xf>
    <xf borderId="9" fillId="0" fontId="14" numFmtId="0" xfId="0" applyAlignment="1" applyBorder="1" applyFont="1">
      <alignment readingOrder="0" vertical="center"/>
    </xf>
    <xf borderId="9" fillId="0" fontId="18" numFmtId="0" xfId="0" applyAlignment="1" applyBorder="1" applyFont="1">
      <alignment readingOrder="0" vertical="center"/>
    </xf>
    <xf borderId="10" fillId="0" fontId="6" numFmtId="0" xfId="0" applyBorder="1" applyFont="1"/>
    <xf borderId="11" fillId="0" fontId="46" numFmtId="0" xfId="0" applyAlignment="1" applyBorder="1" applyFont="1">
      <alignment horizontal="center" readingOrder="0"/>
    </xf>
    <xf borderId="11" fillId="0" fontId="74" numFmtId="0" xfId="0" applyAlignment="1" applyBorder="1" applyFont="1">
      <alignment vertical="bottom"/>
    </xf>
    <xf borderId="11" fillId="0" fontId="32" numFmtId="0" xfId="0" applyAlignment="1" applyBorder="1" applyFont="1">
      <alignment vertical="bottom"/>
    </xf>
    <xf borderId="11" fillId="0" fontId="32" numFmtId="168" xfId="0" applyAlignment="1" applyBorder="1" applyFont="1" applyNumberFormat="1">
      <alignment horizontal="right" vertical="bottom"/>
    </xf>
    <xf borderId="11" fillId="0" fontId="18" numFmtId="167" xfId="0" applyBorder="1" applyFont="1" applyNumberFormat="1"/>
    <xf borderId="11" fillId="4" fontId="18" numFmtId="167" xfId="0" applyAlignment="1" applyBorder="1" applyFont="1" applyNumberFormat="1">
      <alignment readingOrder="0"/>
    </xf>
    <xf borderId="11" fillId="4" fontId="18" numFmtId="0" xfId="0" applyAlignment="1" applyBorder="1" applyFont="1">
      <alignment readingOrder="0"/>
    </xf>
    <xf borderId="11" fillId="0" fontId="32" numFmtId="0" xfId="0" applyAlignment="1" applyBorder="1" applyFont="1">
      <alignment readingOrder="0"/>
    </xf>
    <xf borderId="0" fillId="0" fontId="14" numFmtId="0" xfId="0" applyAlignment="1" applyFont="1">
      <alignment horizontal="center" readingOrder="0"/>
    </xf>
    <xf borderId="8" fillId="0" fontId="18" numFmtId="0" xfId="0" applyBorder="1" applyFont="1"/>
    <xf borderId="13" fillId="0" fontId="14" numFmtId="0" xfId="0" applyAlignment="1" applyBorder="1" applyFont="1">
      <alignment horizontal="center" readingOrder="0"/>
    </xf>
    <xf borderId="7" fillId="0" fontId="18" numFmtId="0" xfId="0" applyAlignment="1" applyBorder="1" applyFont="1">
      <alignment readingOrder="0"/>
    </xf>
    <xf borderId="14" fillId="0" fontId="14" numFmtId="0" xfId="0" applyAlignment="1" applyBorder="1" applyFont="1">
      <alignment readingOrder="0"/>
    </xf>
    <xf borderId="10" fillId="0" fontId="14" numFmtId="0" xfId="0" applyAlignment="1" applyBorder="1" applyFont="1">
      <alignment readingOrder="0"/>
    </xf>
    <xf borderId="11" fillId="0" fontId="64" numFmtId="0" xfId="0" applyAlignment="1" applyBorder="1" applyFont="1">
      <alignment horizontal="right" vertical="bottom"/>
    </xf>
    <xf borderId="11" fillId="4" fontId="65" numFmtId="167" xfId="0" applyAlignment="1" applyBorder="1" applyFont="1" applyNumberFormat="1">
      <alignment horizontal="right" vertical="bottom"/>
    </xf>
    <xf borderId="11" fillId="4" fontId="65" numFmtId="1" xfId="0" applyAlignment="1" applyBorder="1" applyFont="1" applyNumberFormat="1">
      <alignment horizontal="right" vertical="bottom"/>
    </xf>
    <xf borderId="11" fillId="4" fontId="65" numFmtId="0" xfId="0" applyAlignment="1" applyBorder="1" applyFont="1">
      <alignment horizontal="right" vertical="bottom"/>
    </xf>
    <xf borderId="11" fillId="4" fontId="64" numFmtId="1" xfId="0" applyAlignment="1" applyBorder="1" applyFont="1" applyNumberFormat="1">
      <alignment horizontal="right" vertical="bottom"/>
    </xf>
    <xf borderId="7" fillId="0" fontId="18" numFmtId="0" xfId="0" applyBorder="1" applyFont="1"/>
    <xf borderId="11" fillId="4" fontId="18" numFmtId="167" xfId="0" applyBorder="1" applyFont="1" applyNumberFormat="1"/>
    <xf borderId="11" fillId="4" fontId="18" numFmtId="0" xfId="0" applyBorder="1" applyFont="1"/>
    <xf borderId="11" fillId="0" fontId="18" numFmtId="0" xfId="0" applyAlignment="1" applyBorder="1" applyFont="1">
      <alignment horizontal="right" readingOrder="0"/>
    </xf>
    <xf quotePrefix="1" borderId="11" fillId="0" fontId="18" numFmtId="0" xfId="0" applyAlignment="1" applyBorder="1" applyFont="1">
      <alignment horizontal="right" readingOrder="0"/>
    </xf>
    <xf borderId="11" fillId="0" fontId="18" numFmtId="9" xfId="0" applyAlignment="1" applyBorder="1" applyFont="1" applyNumberFormat="1">
      <alignment readingOrder="0"/>
    </xf>
    <xf borderId="12" fillId="0" fontId="18" numFmtId="0" xfId="0" applyAlignment="1" applyBorder="1" applyFont="1">
      <alignment readingOrder="0"/>
    </xf>
    <xf borderId="11" fillId="0" fontId="65" numFmtId="2" xfId="0" applyAlignment="1" applyBorder="1" applyFont="1" applyNumberFormat="1">
      <alignment horizontal="right" vertical="bottom"/>
    </xf>
    <xf borderId="10" fillId="0" fontId="18" numFmtId="0" xfId="0" applyAlignment="1" applyBorder="1" applyFont="1">
      <alignment readingOrder="0"/>
    </xf>
    <xf borderId="10" fillId="0" fontId="65" numFmtId="2" xfId="0" applyAlignment="1" applyBorder="1" applyFont="1" applyNumberFormat="1">
      <alignment horizontal="right" vertical="bottom"/>
    </xf>
    <xf borderId="11" fillId="0" fontId="65" numFmtId="0" xfId="0" applyAlignment="1" applyBorder="1" applyFont="1">
      <alignment horizontal="right" vertical="bottom"/>
    </xf>
    <xf borderId="11" fillId="0" fontId="64" numFmtId="2" xfId="0" applyAlignment="1" applyBorder="1" applyFont="1" applyNumberFormat="1">
      <alignment horizontal="right" vertical="bottom"/>
    </xf>
    <xf borderId="61" fillId="0" fontId="14" numFmtId="0" xfId="0" applyAlignment="1" applyBorder="1" applyFont="1">
      <alignment readingOrder="0"/>
    </xf>
    <xf borderId="61" fillId="0" fontId="18" numFmtId="1" xfId="0" applyBorder="1" applyFont="1" applyNumberFormat="1"/>
    <xf borderId="61" fillId="0" fontId="18" numFmtId="167" xfId="0" applyBorder="1" applyFont="1" applyNumberFormat="1"/>
    <xf borderId="0" fillId="0" fontId="14" numFmtId="0" xfId="0" applyFont="1"/>
    <xf borderId="0" fillId="0" fontId="18" numFmtId="10" xfId="0" applyAlignment="1" applyFont="1" applyNumberFormat="1">
      <alignment readingOrder="0"/>
    </xf>
    <xf borderId="0" fillId="0" fontId="18" numFmtId="2" xfId="0" applyFont="1" applyNumberFormat="1"/>
    <xf borderId="62" fillId="0" fontId="18" numFmtId="0" xfId="0" applyAlignment="1" applyBorder="1" applyFont="1">
      <alignment readingOrder="0"/>
    </xf>
    <xf borderId="62" fillId="0" fontId="65" numFmtId="2" xfId="0" applyAlignment="1" applyBorder="1" applyFont="1" applyNumberFormat="1">
      <alignment horizontal="right" vertical="bottom"/>
    </xf>
    <xf borderId="62" fillId="0" fontId="65" numFmtId="0" xfId="0" applyAlignment="1" applyBorder="1" applyFont="1">
      <alignment horizontal="right" vertical="bottom"/>
    </xf>
    <xf borderId="62" fillId="0" fontId="14" numFmtId="0" xfId="0" applyAlignment="1" applyBorder="1" applyFont="1">
      <alignment readingOrder="0"/>
    </xf>
    <xf borderId="62" fillId="0" fontId="64" numFmtId="2" xfId="0" applyAlignment="1" applyBorder="1" applyFont="1" applyNumberFormat="1">
      <alignment horizontal="right" vertical="bottom"/>
    </xf>
    <xf borderId="0" fillId="0" fontId="37" numFmtId="0" xfId="0" applyAlignment="1" applyFont="1">
      <alignment horizontal="left" readingOrder="0"/>
    </xf>
    <xf borderId="0" fillId="0" fontId="37" numFmtId="0" xfId="0" applyAlignment="1" applyFont="1">
      <alignment horizontal="center" readingOrder="0"/>
    </xf>
    <xf borderId="0" fillId="0" fontId="75" numFmtId="0" xfId="0" applyAlignment="1" applyFont="1">
      <alignment readingOrder="0"/>
    </xf>
    <xf borderId="0" fillId="0" fontId="18" numFmtId="1" xfId="0" applyAlignment="1" applyFont="1" applyNumberFormat="1">
      <alignment readingOrder="0"/>
    </xf>
    <xf borderId="0" fillId="0" fontId="37" numFmtId="1" xfId="0" applyAlignment="1" applyFont="1" applyNumberFormat="1">
      <alignment readingOrder="0"/>
    </xf>
    <xf borderId="0" fillId="0" fontId="75" numFmtId="1" xfId="0" applyAlignment="1" applyFont="1" applyNumberFormat="1">
      <alignment readingOrder="0"/>
    </xf>
    <xf borderId="0" fillId="0" fontId="37" numFmtId="1" xfId="0" applyFont="1" applyNumberFormat="1"/>
    <xf borderId="0" fillId="0" fontId="76" numFmtId="1" xfId="0" applyAlignment="1" applyFont="1" applyNumberFormat="1">
      <alignment readingOrder="0"/>
    </xf>
    <xf borderId="63" fillId="0" fontId="14" numFmtId="1" xfId="0" applyAlignment="1" applyBorder="1" applyFont="1" applyNumberFormat="1">
      <alignment readingOrder="0"/>
    </xf>
    <xf borderId="64" fillId="0" fontId="14" numFmtId="1" xfId="0" applyBorder="1" applyFont="1" applyNumberFormat="1"/>
    <xf borderId="65" fillId="0" fontId="18" numFmtId="1" xfId="0" applyAlignment="1" applyBorder="1" applyFont="1" applyNumberFormat="1">
      <alignment readingOrder="0"/>
    </xf>
    <xf borderId="0" fillId="0" fontId="37" numFmtId="1" xfId="0" applyAlignment="1" applyFont="1" applyNumberFormat="1">
      <alignment horizontal="left" readingOrder="0"/>
    </xf>
    <xf borderId="0" fillId="0" fontId="37" numFmtId="1" xfId="0" applyAlignment="1" applyFont="1" applyNumberFormat="1">
      <alignment horizontal="center" readingOrder="0"/>
    </xf>
    <xf borderId="0" fillId="0" fontId="14" numFmtId="1" xfId="0" applyAlignment="1" applyFont="1" applyNumberFormat="1">
      <alignment readingOrder="0"/>
    </xf>
    <xf borderId="0" fillId="3" fontId="77" numFmtId="1" xfId="0" applyFont="1" applyNumberFormat="1"/>
    <xf borderId="0" fillId="0" fontId="18" numFmtId="0" xfId="0" applyAlignment="1" applyFont="1">
      <alignment horizontal="center" readingOrder="0"/>
    </xf>
    <xf borderId="0" fillId="4" fontId="18" numFmtId="1" xfId="0" applyAlignment="1" applyFont="1" applyNumberFormat="1">
      <alignment readingOrder="0"/>
    </xf>
    <xf borderId="0" fillId="4" fontId="18" numFmtId="0" xfId="0" applyFont="1"/>
    <xf borderId="0" fillId="4" fontId="14" numFmtId="1" xfId="0" applyAlignment="1" applyFont="1" applyNumberFormat="1">
      <alignment readingOrder="0"/>
    </xf>
    <xf borderId="0" fillId="4" fontId="18" numFmtId="1" xfId="0" applyFont="1" applyNumberFormat="1"/>
    <xf borderId="0" fillId="4" fontId="14" numFmtId="1" xfId="0" applyFont="1" applyNumberFormat="1"/>
    <xf borderId="0" fillId="4" fontId="18" numFmtId="0" xfId="0" applyAlignment="1" applyFont="1">
      <alignment vertical="center"/>
    </xf>
    <xf borderId="0" fillId="0" fontId="18" numFmtId="176" xfId="0" applyFont="1" applyNumberFormat="1"/>
    <xf borderId="0" fillId="4" fontId="18" numFmtId="2" xfId="0" applyFont="1" applyNumberFormat="1"/>
    <xf borderId="0" fillId="4" fontId="14" numFmtId="167" xfId="0" applyFont="1" applyNumberFormat="1"/>
    <xf borderId="0" fillId="0" fontId="18" numFmtId="169" xfId="0" applyFont="1" applyNumberFormat="1"/>
    <xf borderId="0" fillId="0" fontId="64" numFmtId="0" xfId="0" applyAlignment="1" applyFont="1">
      <alignment vertical="bottom"/>
    </xf>
    <xf borderId="0" fillId="9" fontId="65" numFmtId="0" xfId="0" applyAlignment="1" applyFont="1">
      <alignment horizontal="right" vertical="bottom"/>
    </xf>
    <xf borderId="0" fillId="9" fontId="65" numFmtId="0" xfId="0" applyAlignment="1" applyFont="1">
      <alignment vertical="bottom"/>
    </xf>
    <xf borderId="0" fillId="4" fontId="65" numFmtId="0" xfId="0" applyAlignment="1" applyFont="1">
      <alignment vertical="bottom"/>
    </xf>
    <xf borderId="0" fillId="4" fontId="65" numFmtId="0" xfId="0" applyAlignment="1" applyFont="1">
      <alignment horizontal="right" vertical="bottom"/>
    </xf>
    <xf borderId="0" fillId="0" fontId="18" numFmtId="177" xfId="0" applyFont="1" applyNumberFormat="1"/>
    <xf borderId="6" fillId="0" fontId="14" numFmtId="0" xfId="0" applyAlignment="1" applyBorder="1" applyFont="1">
      <alignment horizontal="center" readingOrder="0"/>
    </xf>
    <xf borderId="7" fillId="0" fontId="14" numFmtId="0" xfId="0" applyAlignment="1" applyBorder="1" applyFont="1">
      <alignment horizontal="center" readingOrder="0"/>
    </xf>
    <xf borderId="0" fillId="6" fontId="18" numFmtId="0" xfId="0" applyFont="1"/>
    <xf borderId="0" fillId="6" fontId="18" numFmtId="166" xfId="0" applyFont="1" applyNumberFormat="1"/>
    <xf borderId="8" fillId="6" fontId="18" numFmtId="0" xfId="0" applyBorder="1" applyFont="1"/>
    <xf borderId="0" fillId="5" fontId="18" numFmtId="0" xfId="0" applyAlignment="1" applyFont="1">
      <alignment readingOrder="0"/>
    </xf>
    <xf borderId="0" fillId="6" fontId="18" numFmtId="170" xfId="0" applyFont="1" applyNumberFormat="1"/>
    <xf borderId="0" fillId="6" fontId="18" numFmtId="171" xfId="0" applyFont="1" applyNumberFormat="1"/>
    <xf borderId="8" fillId="6" fontId="18" numFmtId="3" xfId="0" applyBorder="1" applyFont="1" applyNumberFormat="1"/>
    <xf borderId="0" fillId="6" fontId="78" numFmtId="170" xfId="0" applyFont="1" applyNumberFormat="1"/>
    <xf borderId="0" fillId="5" fontId="18" numFmtId="0" xfId="0" applyFont="1"/>
  </cellXfs>
  <cellStyles count="1">
    <cellStyle xfId="0" name="Normal" builtinId="0"/>
  </cellStyles>
  <dxfs count="1">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Autonomie (h) / Carburant embarqué (L)</a:t>
            </a:r>
          </a:p>
        </c:rich>
      </c:tx>
      <c:overlay val="0"/>
    </c:title>
    <c:plotArea>
      <c:layout>
        <c:manualLayout>
          <c:xMode val="edge"/>
          <c:yMode val="edge"/>
          <c:x val="0.1851888700417537"/>
          <c:y val="0.18183440399714487"/>
          <c:w val="0.7615752218162839"/>
          <c:h val="0.6525339043540329"/>
        </c:manualLayout>
      </c:layout>
      <c:lineChart>
        <c:varyColors val="0"/>
        <c:ser>
          <c:idx val="0"/>
          <c:order val="0"/>
          <c:tx>
            <c:strRef>
              <c:f>AUTONOMIE!$A$3</c:f>
            </c:strRef>
          </c:tx>
          <c:spPr>
            <a:ln cmpd="sng">
              <a:solidFill>
                <a:srgbClr val="4472C4"/>
              </a:solidFill>
            </a:ln>
          </c:spPr>
          <c:marker>
            <c:symbol val="none"/>
          </c:marker>
          <c:cat>
            <c:strRef>
              <c:f>AUTONOMIE!$B$2:$M$2</c:f>
            </c:strRef>
          </c:cat>
          <c:val>
            <c:numRef>
              <c:f>AUTONOMIE!$B$3:$M$3</c:f>
              <c:numCache/>
            </c:numRef>
          </c:val>
          <c:smooth val="0"/>
        </c:ser>
        <c:axId val="1295927840"/>
        <c:axId val="910408836"/>
      </c:lineChart>
      <c:catAx>
        <c:axId val="1295927840"/>
        <c:scaling>
          <c:orientation val="minMax"/>
          <c:max val="120.0"/>
        </c:scaling>
        <c:delete val="0"/>
        <c:axPos val="b"/>
        <c:title>
          <c:tx>
            <c:rich>
              <a:bodyPr/>
              <a:lstStyle/>
              <a:p>
                <a:pPr lvl="0">
                  <a:defRPr b="0">
                    <a:solidFill>
                      <a:srgbClr val="000000"/>
                    </a:solidFill>
                    <a:latin typeface="+mn-lt"/>
                  </a:defRPr>
                </a:pPr>
                <a:r>
                  <a:rPr b="0">
                    <a:solidFill>
                      <a:srgbClr val="000000"/>
                    </a:solidFill>
                    <a:latin typeface="+mn-lt"/>
                  </a:rPr>
                  <a:t>Carburant embarqué (L)</a:t>
                </a:r>
              </a:p>
            </c:rich>
          </c:tx>
          <c:overlay val="0"/>
        </c:title>
        <c:numFmt formatCode="General" sourceLinked="1"/>
        <c:majorTickMark val="cross"/>
        <c:minorTickMark val="cross"/>
        <c:spPr/>
        <c:txPr>
          <a:bodyPr/>
          <a:lstStyle/>
          <a:p>
            <a:pPr lvl="0">
              <a:defRPr b="0">
                <a:solidFill>
                  <a:srgbClr val="000000"/>
                </a:solidFill>
                <a:latin typeface="+mn-lt"/>
              </a:defRPr>
            </a:pPr>
          </a:p>
        </c:txPr>
        <c:crossAx val="910408836"/>
      </c:catAx>
      <c:valAx>
        <c:axId val="9104088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Autonomie (h)</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129592784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666666">
                  <a:alpha val="100000"/>
                </a:srgbClr>
              </a:solidFill>
            </a:ln>
          </c:spPr>
          <c:marker>
            <c:symbol val="circle"/>
            <c:size val="7"/>
            <c:spPr>
              <a:solidFill>
                <a:srgbClr val="666666">
                  <a:alpha val="100000"/>
                </a:srgbClr>
              </a:solidFill>
              <a:ln cmpd="sng">
                <a:solidFill>
                  <a:srgbClr val="666666">
                    <a:alpha val="100000"/>
                  </a:srgbClr>
                </a:solidFill>
              </a:ln>
            </c:spPr>
          </c:marker>
          <c:dPt>
            <c:idx val="0"/>
            <c:marker>
              <c:symbol val="none"/>
            </c:marker>
          </c:dPt>
          <c:dPt>
            <c:idx val="1"/>
            <c:marker>
              <c:symbol val="none"/>
            </c:marker>
          </c:dPt>
          <c:cat>
            <c:strRef>
              <c:f>CTLS_CENTRAGE!$D$11:$D$13</c:f>
            </c:strRef>
          </c:cat>
          <c:val>
            <c:numRef>
              <c:f>CTLS_CENTRAGE!$C$11:$C$13</c:f>
              <c:numCache/>
            </c:numRef>
          </c:val>
          <c:smooth val="0"/>
        </c:ser>
        <c:axId val="385425004"/>
        <c:axId val="1044358984"/>
      </c:lineChart>
      <c:catAx>
        <c:axId val="385425004"/>
        <c:scaling>
          <c:orientation val="minMax"/>
          <c:max val="478.0"/>
        </c:scaling>
        <c:delete val="0"/>
        <c:axPos val="b"/>
        <c:title>
          <c:tx>
            <c:rich>
              <a:bodyPr/>
              <a:lstStyle/>
              <a:p>
                <a:pPr lvl="0">
                  <a:defRPr b="0">
                    <a:solidFill>
                      <a:srgbClr val="000000"/>
                    </a:solidFill>
                    <a:latin typeface="+mn-lt"/>
                  </a:defRPr>
                </a:pPr>
                <a:r>
                  <a:rPr b="0">
                    <a:solidFill>
                      <a:srgbClr val="000000"/>
                    </a:solidFill>
                    <a:latin typeface="+mn-lt"/>
                  </a:rPr>
                  <a:t>Bras de levier</a:t>
                </a:r>
              </a:p>
            </c:rich>
          </c:tx>
          <c:overlay val="0"/>
        </c:title>
        <c:numFmt formatCode="General" sourceLinked="1"/>
        <c:majorTickMark val="cross"/>
        <c:minorTickMark val="none"/>
        <c:spPr/>
        <c:txPr>
          <a:bodyPr/>
          <a:lstStyle/>
          <a:p>
            <a:pPr lvl="0">
              <a:defRPr b="0">
                <a:solidFill>
                  <a:srgbClr val="000000"/>
                </a:solidFill>
                <a:latin typeface="+mn-lt"/>
              </a:defRPr>
            </a:pPr>
          </a:p>
        </c:txPr>
        <c:crossAx val="1044358984"/>
      </c:catAx>
      <c:valAx>
        <c:axId val="1044358984"/>
        <c:scaling>
          <c:orientation val="minMax"/>
          <c:max val="62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Masse</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38542500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037735849056604"/>
          <c:y val="0.1466789667896679"/>
          <c:w val="0.7924528301886793"/>
          <c:h val="0.7416974169741697"/>
        </c:manualLayout>
      </c:layout>
      <c:lineChart>
        <c:varyColors val="0"/>
        <c:ser>
          <c:idx val="0"/>
          <c:order val="0"/>
          <c:spPr>
            <a:ln cmpd="sng">
              <a:solidFill>
                <a:srgbClr val="666666">
                  <a:alpha val="100000"/>
                </a:srgbClr>
              </a:solidFill>
            </a:ln>
          </c:spPr>
          <c:marker>
            <c:symbol val="circle"/>
            <c:size val="10"/>
            <c:spPr>
              <a:solidFill>
                <a:srgbClr val="666666">
                  <a:alpha val="100000"/>
                </a:srgbClr>
              </a:solidFill>
              <a:ln cmpd="sng">
                <a:solidFill>
                  <a:srgbClr val="666666">
                    <a:alpha val="100000"/>
                  </a:srgbClr>
                </a:solidFill>
              </a:ln>
            </c:spPr>
          </c:marker>
          <c:dPt>
            <c:idx val="0"/>
            <c:marker>
              <c:symbol val="none"/>
            </c:marker>
          </c:dPt>
          <c:dPt>
            <c:idx val="1"/>
            <c:marker>
              <c:symbol val="none"/>
            </c:marker>
          </c:dPt>
          <c:cat>
            <c:strRef>
              <c:f>CTLS_CENTRAGE!$E$11:$E$13</c:f>
            </c:strRef>
          </c:cat>
          <c:val>
            <c:numRef>
              <c:f>CTLS_CENTRAGE!$C$11:$C$13</c:f>
              <c:numCache/>
            </c:numRef>
          </c:val>
          <c:smooth val="0"/>
        </c:ser>
        <c:axId val="1853831898"/>
        <c:axId val="1126242513"/>
      </c:lineChart>
      <c:catAx>
        <c:axId val="1853831898"/>
        <c:scaling>
          <c:orientation val="minMax"/>
          <c:max val="300000.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26242513"/>
      </c:catAx>
      <c:valAx>
        <c:axId val="1126242513"/>
        <c:scaling>
          <c:orientation val="minMax"/>
          <c:max val="625.0"/>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3831898"/>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666666">
                  <a:alpha val="100000"/>
                </a:srgbClr>
              </a:solidFill>
            </a:ln>
          </c:spPr>
          <c:marker>
            <c:symbol val="circle"/>
            <c:size val="7"/>
            <c:spPr>
              <a:solidFill>
                <a:srgbClr val="666666">
                  <a:alpha val="100000"/>
                </a:srgbClr>
              </a:solidFill>
              <a:ln cmpd="sng">
                <a:solidFill>
                  <a:srgbClr val="666666">
                    <a:alpha val="100000"/>
                  </a:srgbClr>
                </a:solidFill>
              </a:ln>
            </c:spPr>
          </c:marker>
          <c:dPt>
            <c:idx val="0"/>
            <c:marker>
              <c:symbol val="none"/>
            </c:marker>
          </c:dPt>
          <c:dPt>
            <c:idx val="1"/>
            <c:marker>
              <c:symbol val="none"/>
            </c:marker>
          </c:dPt>
          <c:cat>
            <c:strRef>
              <c:f>DR400_CENTRAGE!$D$12:$D$14</c:f>
            </c:strRef>
          </c:cat>
          <c:val>
            <c:numRef>
              <c:f>DR400_CENTRAGE!$C$12:$C$14</c:f>
              <c:numCache/>
            </c:numRef>
          </c:val>
          <c:smooth val="0"/>
        </c:ser>
        <c:axId val="2060297155"/>
        <c:axId val="850998292"/>
      </c:lineChart>
      <c:catAx>
        <c:axId val="2060297155"/>
        <c:scaling>
          <c:orientation val="minMax"/>
          <c:max val="570.0"/>
        </c:scaling>
        <c:delete val="0"/>
        <c:axPos val="b"/>
        <c:title>
          <c:tx>
            <c:rich>
              <a:bodyPr/>
              <a:lstStyle/>
              <a:p>
                <a:pPr lvl="0">
                  <a:defRPr b="0">
                    <a:solidFill>
                      <a:srgbClr val="000000"/>
                    </a:solidFill>
                    <a:latin typeface="+mn-lt"/>
                  </a:defRPr>
                </a:pPr>
                <a:r>
                  <a:rPr b="0">
                    <a:solidFill>
                      <a:srgbClr val="000000"/>
                    </a:solidFill>
                    <a:latin typeface="+mn-lt"/>
                  </a:rPr>
                  <a:t>Bras de levier</a:t>
                </a:r>
              </a:p>
            </c:rich>
          </c:tx>
          <c:overlay val="0"/>
        </c:title>
        <c:numFmt formatCode="General" sourceLinked="1"/>
        <c:majorTickMark val="cross"/>
        <c:minorTickMark val="cross"/>
        <c:spPr/>
        <c:txPr>
          <a:bodyPr/>
          <a:lstStyle/>
          <a:p>
            <a:pPr lvl="0">
              <a:defRPr b="0">
                <a:solidFill>
                  <a:srgbClr val="000000"/>
                </a:solidFill>
                <a:latin typeface="+mn-lt"/>
              </a:defRPr>
            </a:pPr>
          </a:p>
        </c:txPr>
        <c:crossAx val="850998292"/>
      </c:catAx>
      <c:valAx>
        <c:axId val="850998292"/>
        <c:scaling>
          <c:orientation val="minMax"/>
          <c:max val="9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Masse</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206029715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image" Target="../media/image2.jpg"/></Relationships>
</file>

<file path=xl/drawings/_rels/drawing11.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85725</xdr:colOff>
      <xdr:row>3</xdr:row>
      <xdr:rowOff>219075</xdr:rowOff>
    </xdr:from>
    <xdr:ext cx="762000" cy="485775"/>
    <xdr:grpSp>
      <xdr:nvGrpSpPr>
        <xdr:cNvPr id="2" name="Shape 2" title="Dessin"/>
        <xdr:cNvGrpSpPr/>
      </xdr:nvGrpSpPr>
      <xdr:grpSpPr>
        <a:xfrm>
          <a:off x="2173525" y="1156150"/>
          <a:ext cx="749400" cy="749400"/>
          <a:chOff x="2173525" y="1156150"/>
          <a:chExt cx="749400" cy="749400"/>
        </a:xfrm>
      </xdr:grpSpPr>
      <xdr:cxnSp>
        <xdr:nvCxnSpPr>
          <xdr:cNvPr id="3" name="Shape 3"/>
          <xdr:cNvCxnSpPr/>
        </xdr:nvCxnSpPr>
        <xdr:spPr>
          <a:xfrm flipH="1" rot="10800000">
            <a:off x="2173525" y="1156150"/>
            <a:ext cx="749400" cy="749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14</xdr:col>
      <xdr:colOff>85725</xdr:colOff>
      <xdr:row>1</xdr:row>
      <xdr:rowOff>219075</xdr:rowOff>
    </xdr:from>
    <xdr:ext cx="762000" cy="485775"/>
    <xdr:grpSp>
      <xdr:nvGrpSpPr>
        <xdr:cNvPr id="2" name="Shape 2" title="Dessin"/>
        <xdr:cNvGrpSpPr/>
      </xdr:nvGrpSpPr>
      <xdr:grpSpPr>
        <a:xfrm>
          <a:off x="2104050" y="828750"/>
          <a:ext cx="918000" cy="918000"/>
          <a:chOff x="2104050" y="828750"/>
          <a:chExt cx="918000" cy="918000"/>
        </a:xfrm>
      </xdr:grpSpPr>
      <xdr:cxnSp>
        <xdr:nvCxnSpPr>
          <xdr:cNvPr id="4" name="Shape 4"/>
          <xdr:cNvCxnSpPr/>
        </xdr:nvCxnSpPr>
        <xdr:spPr>
          <a:xfrm flipH="1" rot="10800000">
            <a:off x="2104050" y="828750"/>
            <a:ext cx="918000" cy="9180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14</xdr:col>
      <xdr:colOff>66675</xdr:colOff>
      <xdr:row>5</xdr:row>
      <xdr:rowOff>219075</xdr:rowOff>
    </xdr:from>
    <xdr:ext cx="781050" cy="485775"/>
    <xdr:grpSp>
      <xdr:nvGrpSpPr>
        <xdr:cNvPr id="2" name="Shape 2" title="Dessin"/>
        <xdr:cNvGrpSpPr/>
      </xdr:nvGrpSpPr>
      <xdr:grpSpPr>
        <a:xfrm>
          <a:off x="1865850" y="1136450"/>
          <a:ext cx="808800" cy="808800"/>
          <a:chOff x="1865850" y="1136450"/>
          <a:chExt cx="808800" cy="808800"/>
        </a:xfrm>
      </xdr:grpSpPr>
      <xdr:cxnSp>
        <xdr:nvCxnSpPr>
          <xdr:cNvPr id="5" name="Shape 5"/>
          <xdr:cNvCxnSpPr/>
        </xdr:nvCxnSpPr>
        <xdr:spPr>
          <a:xfrm flipH="1" rot="10800000">
            <a:off x="1865850" y="1136450"/>
            <a:ext cx="808800" cy="808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14</xdr:col>
      <xdr:colOff>85725</xdr:colOff>
      <xdr:row>7</xdr:row>
      <xdr:rowOff>219075</xdr:rowOff>
    </xdr:from>
    <xdr:ext cx="762000" cy="485775"/>
    <xdr:grpSp>
      <xdr:nvGrpSpPr>
        <xdr:cNvPr id="2" name="Shape 2" title="Dessin"/>
        <xdr:cNvGrpSpPr/>
      </xdr:nvGrpSpPr>
      <xdr:grpSpPr>
        <a:xfrm>
          <a:off x="1587950" y="1424300"/>
          <a:ext cx="699600" cy="699600"/>
          <a:chOff x="1587950" y="1424300"/>
          <a:chExt cx="699600" cy="699600"/>
        </a:xfrm>
      </xdr:grpSpPr>
      <xdr:cxnSp>
        <xdr:nvCxnSpPr>
          <xdr:cNvPr id="6" name="Shape 6"/>
          <xdr:cNvCxnSpPr/>
        </xdr:nvCxnSpPr>
        <xdr:spPr>
          <a:xfrm flipH="1" rot="10800000">
            <a:off x="1587950" y="1424300"/>
            <a:ext cx="699600" cy="6996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14</xdr:col>
      <xdr:colOff>85725</xdr:colOff>
      <xdr:row>9</xdr:row>
      <xdr:rowOff>219075</xdr:rowOff>
    </xdr:from>
    <xdr:ext cx="762000" cy="485775"/>
    <xdr:grpSp>
      <xdr:nvGrpSpPr>
        <xdr:cNvPr id="2" name="Shape 2" title="Dessin"/>
        <xdr:cNvGrpSpPr/>
      </xdr:nvGrpSpPr>
      <xdr:grpSpPr>
        <a:xfrm>
          <a:off x="2064350" y="774200"/>
          <a:ext cx="873300" cy="873300"/>
          <a:chOff x="2064350" y="774200"/>
          <a:chExt cx="873300" cy="873300"/>
        </a:xfrm>
      </xdr:grpSpPr>
      <xdr:cxnSp>
        <xdr:nvCxnSpPr>
          <xdr:cNvPr id="7" name="Shape 7"/>
          <xdr:cNvCxnSpPr/>
        </xdr:nvCxnSpPr>
        <xdr:spPr>
          <a:xfrm flipH="1" rot="10800000">
            <a:off x="2064350" y="774200"/>
            <a:ext cx="873300" cy="873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14</xdr:col>
      <xdr:colOff>85725</xdr:colOff>
      <xdr:row>11</xdr:row>
      <xdr:rowOff>219075</xdr:rowOff>
    </xdr:from>
    <xdr:ext cx="762000" cy="485775"/>
    <xdr:grpSp>
      <xdr:nvGrpSpPr>
        <xdr:cNvPr id="2" name="Shape 2" title="Dessin"/>
        <xdr:cNvGrpSpPr/>
      </xdr:nvGrpSpPr>
      <xdr:grpSpPr>
        <a:xfrm>
          <a:off x="1816225" y="2228150"/>
          <a:ext cx="1156200" cy="1156200"/>
          <a:chOff x="1816225" y="2228150"/>
          <a:chExt cx="1156200" cy="1156200"/>
        </a:xfrm>
      </xdr:grpSpPr>
      <xdr:cxnSp>
        <xdr:nvCxnSpPr>
          <xdr:cNvPr id="8" name="Shape 8"/>
          <xdr:cNvCxnSpPr/>
        </xdr:nvCxnSpPr>
        <xdr:spPr>
          <a:xfrm flipH="1" rot="10800000">
            <a:off x="1816225" y="2228150"/>
            <a:ext cx="1156200" cy="1156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14</xdr:col>
      <xdr:colOff>85725</xdr:colOff>
      <xdr:row>13</xdr:row>
      <xdr:rowOff>219075</xdr:rowOff>
    </xdr:from>
    <xdr:ext cx="762000" cy="485775"/>
    <xdr:grpSp>
      <xdr:nvGrpSpPr>
        <xdr:cNvPr id="2" name="Shape 2" title="Dessin"/>
        <xdr:cNvGrpSpPr/>
      </xdr:nvGrpSpPr>
      <xdr:grpSpPr>
        <a:xfrm>
          <a:off x="2411725" y="1548350"/>
          <a:ext cx="873300" cy="873300"/>
          <a:chOff x="2411725" y="1548350"/>
          <a:chExt cx="873300" cy="873300"/>
        </a:xfrm>
      </xdr:grpSpPr>
      <xdr:cxnSp>
        <xdr:nvCxnSpPr>
          <xdr:cNvPr id="9" name="Shape 9"/>
          <xdr:cNvCxnSpPr/>
        </xdr:nvCxnSpPr>
        <xdr:spPr>
          <a:xfrm flipH="1" rot="10800000">
            <a:off x="2411725" y="1548350"/>
            <a:ext cx="873300" cy="873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14</xdr:col>
      <xdr:colOff>85725</xdr:colOff>
      <xdr:row>15</xdr:row>
      <xdr:rowOff>219075</xdr:rowOff>
    </xdr:from>
    <xdr:ext cx="762000" cy="485775"/>
    <xdr:grpSp>
      <xdr:nvGrpSpPr>
        <xdr:cNvPr id="2" name="Shape 2" title="Dessin"/>
        <xdr:cNvGrpSpPr/>
      </xdr:nvGrpSpPr>
      <xdr:grpSpPr>
        <a:xfrm>
          <a:off x="2044500" y="1349900"/>
          <a:ext cx="962700" cy="893100"/>
          <a:chOff x="2044500" y="1349900"/>
          <a:chExt cx="962700" cy="893100"/>
        </a:xfrm>
      </xdr:grpSpPr>
      <xdr:cxnSp>
        <xdr:nvCxnSpPr>
          <xdr:cNvPr id="10" name="Shape 10"/>
          <xdr:cNvCxnSpPr/>
        </xdr:nvCxnSpPr>
        <xdr:spPr>
          <a:xfrm flipH="1" rot="10800000">
            <a:off x="2044500" y="1349900"/>
            <a:ext cx="962700" cy="8931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14</xdr:col>
      <xdr:colOff>85725</xdr:colOff>
      <xdr:row>17</xdr:row>
      <xdr:rowOff>219075</xdr:rowOff>
    </xdr:from>
    <xdr:ext cx="762000" cy="485775"/>
    <xdr:grpSp>
      <xdr:nvGrpSpPr>
        <xdr:cNvPr id="2" name="Shape 2" title="Dessin"/>
        <xdr:cNvGrpSpPr/>
      </xdr:nvGrpSpPr>
      <xdr:grpSpPr>
        <a:xfrm>
          <a:off x="2540725" y="1468825"/>
          <a:ext cx="823800" cy="823800"/>
          <a:chOff x="2540725" y="1468825"/>
          <a:chExt cx="823800" cy="823800"/>
        </a:xfrm>
      </xdr:grpSpPr>
      <xdr:cxnSp>
        <xdr:nvCxnSpPr>
          <xdr:cNvPr id="11" name="Shape 11"/>
          <xdr:cNvCxnSpPr/>
        </xdr:nvCxnSpPr>
        <xdr:spPr>
          <a:xfrm flipH="1" rot="10800000">
            <a:off x="2540725" y="1468825"/>
            <a:ext cx="823800" cy="823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14</xdr:col>
      <xdr:colOff>85725</xdr:colOff>
      <xdr:row>19</xdr:row>
      <xdr:rowOff>219075</xdr:rowOff>
    </xdr:from>
    <xdr:ext cx="762000" cy="485775"/>
    <xdr:grpSp>
      <xdr:nvGrpSpPr>
        <xdr:cNvPr id="2" name="Shape 2" title="Dessin"/>
        <xdr:cNvGrpSpPr/>
      </xdr:nvGrpSpPr>
      <xdr:grpSpPr>
        <a:xfrm>
          <a:off x="2123900" y="1339800"/>
          <a:ext cx="1310100" cy="1310100"/>
          <a:chOff x="2123900" y="1339800"/>
          <a:chExt cx="1310100" cy="1310100"/>
        </a:xfrm>
      </xdr:grpSpPr>
      <xdr:cxnSp>
        <xdr:nvCxnSpPr>
          <xdr:cNvPr id="12" name="Shape 12"/>
          <xdr:cNvCxnSpPr/>
        </xdr:nvCxnSpPr>
        <xdr:spPr>
          <a:xfrm flipH="1" rot="10800000">
            <a:off x="2123900" y="1339800"/>
            <a:ext cx="1310100" cy="13101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371475</xdr:colOff>
      <xdr:row>5</xdr:row>
      <xdr:rowOff>219075</xdr:rowOff>
    </xdr:from>
    <xdr:ext cx="800100" cy="485775"/>
    <xdr:grpSp>
      <xdr:nvGrpSpPr>
        <xdr:cNvPr id="2" name="Shape 2" title="Dessin"/>
        <xdr:cNvGrpSpPr/>
      </xdr:nvGrpSpPr>
      <xdr:grpSpPr>
        <a:xfrm>
          <a:off x="1975025" y="610500"/>
          <a:ext cx="1196100" cy="1195800"/>
          <a:chOff x="1975025" y="610500"/>
          <a:chExt cx="1196100" cy="1195800"/>
        </a:xfrm>
      </xdr:grpSpPr>
      <xdr:cxnSp>
        <xdr:nvCxnSpPr>
          <xdr:cNvPr id="13" name="Shape 13"/>
          <xdr:cNvCxnSpPr/>
        </xdr:nvCxnSpPr>
        <xdr:spPr>
          <a:xfrm flipH="1" rot="10800000">
            <a:off x="1975025" y="610500"/>
            <a:ext cx="1196100" cy="1195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352425</xdr:colOff>
      <xdr:row>7</xdr:row>
      <xdr:rowOff>238125</xdr:rowOff>
    </xdr:from>
    <xdr:ext cx="800100" cy="485775"/>
    <xdr:grpSp>
      <xdr:nvGrpSpPr>
        <xdr:cNvPr id="2" name="Shape 2" title="Dessin"/>
        <xdr:cNvGrpSpPr/>
      </xdr:nvGrpSpPr>
      <xdr:grpSpPr>
        <a:xfrm>
          <a:off x="1746750" y="1518600"/>
          <a:ext cx="1012200" cy="1012200"/>
          <a:chOff x="1746750" y="1518600"/>
          <a:chExt cx="1012200" cy="1012200"/>
        </a:xfrm>
      </xdr:grpSpPr>
      <xdr:cxnSp>
        <xdr:nvCxnSpPr>
          <xdr:cNvPr id="14" name="Shape 14"/>
          <xdr:cNvCxnSpPr/>
        </xdr:nvCxnSpPr>
        <xdr:spPr>
          <a:xfrm flipH="1" rot="10800000">
            <a:off x="1746750" y="1518600"/>
            <a:ext cx="1012200" cy="1012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371475</xdr:colOff>
      <xdr:row>9</xdr:row>
      <xdr:rowOff>228600</xdr:rowOff>
    </xdr:from>
    <xdr:ext cx="800100" cy="485775"/>
    <xdr:grpSp>
      <xdr:nvGrpSpPr>
        <xdr:cNvPr id="2" name="Shape 2" title="Dessin"/>
        <xdr:cNvGrpSpPr/>
      </xdr:nvGrpSpPr>
      <xdr:grpSpPr>
        <a:xfrm>
          <a:off x="1707050" y="1553350"/>
          <a:ext cx="1196100" cy="1195800"/>
          <a:chOff x="1707050" y="1553350"/>
          <a:chExt cx="1196100" cy="1195800"/>
        </a:xfrm>
      </xdr:grpSpPr>
      <xdr:cxnSp>
        <xdr:nvCxnSpPr>
          <xdr:cNvPr id="15" name="Shape 15"/>
          <xdr:cNvCxnSpPr/>
        </xdr:nvCxnSpPr>
        <xdr:spPr>
          <a:xfrm flipH="1" rot="10800000">
            <a:off x="1707050" y="1553350"/>
            <a:ext cx="1196100" cy="1195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352425</xdr:colOff>
      <xdr:row>11</xdr:row>
      <xdr:rowOff>228600</xdr:rowOff>
    </xdr:from>
    <xdr:ext cx="800100" cy="485775"/>
    <xdr:grpSp>
      <xdr:nvGrpSpPr>
        <xdr:cNvPr id="2" name="Shape 2" title="Dessin"/>
        <xdr:cNvGrpSpPr/>
      </xdr:nvGrpSpPr>
      <xdr:grpSpPr>
        <a:xfrm>
          <a:off x="1260450" y="788950"/>
          <a:ext cx="1235700" cy="1235700"/>
          <a:chOff x="1260450" y="788950"/>
          <a:chExt cx="1235700" cy="1235700"/>
        </a:xfrm>
      </xdr:grpSpPr>
      <xdr:cxnSp>
        <xdr:nvCxnSpPr>
          <xdr:cNvPr id="16" name="Shape 16"/>
          <xdr:cNvCxnSpPr/>
        </xdr:nvCxnSpPr>
        <xdr:spPr>
          <a:xfrm flipH="1" rot="10800000">
            <a:off x="1260450" y="788950"/>
            <a:ext cx="1235700" cy="1235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371475</xdr:colOff>
      <xdr:row>13</xdr:row>
      <xdr:rowOff>228600</xdr:rowOff>
    </xdr:from>
    <xdr:ext cx="800100" cy="485775"/>
    <xdr:grpSp>
      <xdr:nvGrpSpPr>
        <xdr:cNvPr id="2" name="Shape 2" title="Dessin"/>
        <xdr:cNvGrpSpPr/>
      </xdr:nvGrpSpPr>
      <xdr:grpSpPr>
        <a:xfrm>
          <a:off x="1925400" y="1379625"/>
          <a:ext cx="952800" cy="873300"/>
          <a:chOff x="1925400" y="1379625"/>
          <a:chExt cx="952800" cy="873300"/>
        </a:xfrm>
      </xdr:grpSpPr>
      <xdr:cxnSp>
        <xdr:nvCxnSpPr>
          <xdr:cNvPr id="17" name="Shape 17"/>
          <xdr:cNvCxnSpPr/>
        </xdr:nvCxnSpPr>
        <xdr:spPr>
          <a:xfrm flipH="1" rot="10800000">
            <a:off x="1925400" y="1379625"/>
            <a:ext cx="952800" cy="873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381000</xdr:colOff>
      <xdr:row>15</xdr:row>
      <xdr:rowOff>219075</xdr:rowOff>
    </xdr:from>
    <xdr:ext cx="800100" cy="485775"/>
    <xdr:grpSp>
      <xdr:nvGrpSpPr>
        <xdr:cNvPr id="2" name="Shape 2" title="Dessin"/>
        <xdr:cNvGrpSpPr/>
      </xdr:nvGrpSpPr>
      <xdr:grpSpPr>
        <a:xfrm>
          <a:off x="1965100" y="1205875"/>
          <a:ext cx="908100" cy="908100"/>
          <a:chOff x="1965100" y="1205875"/>
          <a:chExt cx="908100" cy="908100"/>
        </a:xfrm>
      </xdr:grpSpPr>
      <xdr:cxnSp>
        <xdr:nvCxnSpPr>
          <xdr:cNvPr id="18" name="Shape 18"/>
          <xdr:cNvCxnSpPr/>
        </xdr:nvCxnSpPr>
        <xdr:spPr>
          <a:xfrm flipH="1" rot="10800000">
            <a:off x="1965100" y="1205875"/>
            <a:ext cx="908100" cy="9081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381000</xdr:colOff>
      <xdr:row>17</xdr:row>
      <xdr:rowOff>209550</xdr:rowOff>
    </xdr:from>
    <xdr:ext cx="790575" cy="485775"/>
    <xdr:grpSp>
      <xdr:nvGrpSpPr>
        <xdr:cNvPr id="2" name="Shape 2" title="Dessin"/>
        <xdr:cNvGrpSpPr/>
      </xdr:nvGrpSpPr>
      <xdr:grpSpPr>
        <a:xfrm>
          <a:off x="1518475" y="1334900"/>
          <a:ext cx="1156200" cy="1156200"/>
          <a:chOff x="1518475" y="1334900"/>
          <a:chExt cx="1156200" cy="1156200"/>
        </a:xfrm>
      </xdr:grpSpPr>
      <xdr:cxnSp>
        <xdr:nvCxnSpPr>
          <xdr:cNvPr id="19" name="Shape 19"/>
          <xdr:cNvCxnSpPr/>
        </xdr:nvCxnSpPr>
        <xdr:spPr>
          <a:xfrm flipH="1" rot="10800000">
            <a:off x="1518475" y="1334900"/>
            <a:ext cx="1156200" cy="1156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361950</xdr:colOff>
      <xdr:row>19</xdr:row>
      <xdr:rowOff>190500</xdr:rowOff>
    </xdr:from>
    <xdr:ext cx="809625" cy="485775"/>
    <xdr:grpSp>
      <xdr:nvGrpSpPr>
        <xdr:cNvPr id="2" name="Shape 2" title="Dessin"/>
        <xdr:cNvGrpSpPr/>
      </xdr:nvGrpSpPr>
      <xdr:grpSpPr>
        <a:xfrm>
          <a:off x="2024650" y="977750"/>
          <a:ext cx="967800" cy="967500"/>
          <a:chOff x="2024650" y="977750"/>
          <a:chExt cx="967800" cy="967500"/>
        </a:xfrm>
      </xdr:grpSpPr>
      <xdr:cxnSp>
        <xdr:nvCxnSpPr>
          <xdr:cNvPr id="20" name="Shape 20"/>
          <xdr:cNvCxnSpPr/>
        </xdr:nvCxnSpPr>
        <xdr:spPr>
          <a:xfrm flipH="1" rot="10800000">
            <a:off x="2024650" y="977750"/>
            <a:ext cx="967800" cy="9675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381000</xdr:colOff>
      <xdr:row>3</xdr:row>
      <xdr:rowOff>219075</xdr:rowOff>
    </xdr:from>
    <xdr:ext cx="771525" cy="485775"/>
    <xdr:grpSp>
      <xdr:nvGrpSpPr>
        <xdr:cNvPr id="2" name="Shape 2" title="Dessin"/>
        <xdr:cNvGrpSpPr/>
      </xdr:nvGrpSpPr>
      <xdr:grpSpPr>
        <a:xfrm>
          <a:off x="2044500" y="2645950"/>
          <a:ext cx="1433400" cy="827700"/>
          <a:chOff x="2044500" y="2645950"/>
          <a:chExt cx="1433400" cy="827700"/>
        </a:xfrm>
      </xdr:grpSpPr>
      <xdr:cxnSp>
        <xdr:nvCxnSpPr>
          <xdr:cNvPr id="21" name="Shape 21"/>
          <xdr:cNvCxnSpPr/>
        </xdr:nvCxnSpPr>
        <xdr:spPr>
          <a:xfrm flipH="1" rot="10800000">
            <a:off x="2044500" y="2645950"/>
            <a:ext cx="1433400" cy="827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381000</xdr:colOff>
      <xdr:row>5</xdr:row>
      <xdr:rowOff>228600</xdr:rowOff>
    </xdr:from>
    <xdr:ext cx="771525" cy="485775"/>
    <xdr:grpSp>
      <xdr:nvGrpSpPr>
        <xdr:cNvPr id="2" name="Shape 2" title="Dessin"/>
        <xdr:cNvGrpSpPr/>
      </xdr:nvGrpSpPr>
      <xdr:grpSpPr>
        <a:xfrm>
          <a:off x="1994875" y="1275500"/>
          <a:ext cx="967800" cy="967500"/>
          <a:chOff x="1994875" y="1275500"/>
          <a:chExt cx="967800" cy="967500"/>
        </a:xfrm>
      </xdr:grpSpPr>
      <xdr:cxnSp>
        <xdr:nvCxnSpPr>
          <xdr:cNvPr id="22" name="Shape 22"/>
          <xdr:cNvCxnSpPr/>
        </xdr:nvCxnSpPr>
        <xdr:spPr>
          <a:xfrm flipH="1" rot="10800000">
            <a:off x="1994875" y="1275500"/>
            <a:ext cx="967800" cy="9675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381000</xdr:colOff>
      <xdr:row>7</xdr:row>
      <xdr:rowOff>228600</xdr:rowOff>
    </xdr:from>
    <xdr:ext cx="771525" cy="485775"/>
    <xdr:grpSp>
      <xdr:nvGrpSpPr>
        <xdr:cNvPr id="2" name="Shape 2" title="Dessin"/>
        <xdr:cNvGrpSpPr/>
      </xdr:nvGrpSpPr>
      <xdr:grpSpPr>
        <a:xfrm>
          <a:off x="1399400" y="1195825"/>
          <a:ext cx="1096800" cy="1096800"/>
          <a:chOff x="1399400" y="1195825"/>
          <a:chExt cx="1096800" cy="1096800"/>
        </a:xfrm>
      </xdr:grpSpPr>
      <xdr:cxnSp>
        <xdr:nvCxnSpPr>
          <xdr:cNvPr id="23" name="Shape 23"/>
          <xdr:cNvCxnSpPr/>
        </xdr:nvCxnSpPr>
        <xdr:spPr>
          <a:xfrm flipH="1" rot="10800000">
            <a:off x="1399400" y="1195825"/>
            <a:ext cx="1096800" cy="1096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381000</xdr:colOff>
      <xdr:row>9</xdr:row>
      <xdr:rowOff>228600</xdr:rowOff>
    </xdr:from>
    <xdr:ext cx="771525" cy="485775"/>
    <xdr:grpSp>
      <xdr:nvGrpSpPr>
        <xdr:cNvPr id="2" name="Shape 2" title="Dessin"/>
        <xdr:cNvGrpSpPr/>
      </xdr:nvGrpSpPr>
      <xdr:grpSpPr>
        <a:xfrm>
          <a:off x="2064350" y="1359775"/>
          <a:ext cx="1121400" cy="1121400"/>
          <a:chOff x="2064350" y="1359775"/>
          <a:chExt cx="1121400" cy="1121400"/>
        </a:xfrm>
      </xdr:grpSpPr>
      <xdr:cxnSp>
        <xdr:nvCxnSpPr>
          <xdr:cNvPr id="24" name="Shape 24"/>
          <xdr:cNvCxnSpPr/>
        </xdr:nvCxnSpPr>
        <xdr:spPr>
          <a:xfrm flipH="1" rot="10800000">
            <a:off x="2064350" y="1359775"/>
            <a:ext cx="1121400" cy="1121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381000</xdr:colOff>
      <xdr:row>11</xdr:row>
      <xdr:rowOff>228600</xdr:rowOff>
    </xdr:from>
    <xdr:ext cx="771525" cy="485775"/>
    <xdr:grpSp>
      <xdr:nvGrpSpPr>
        <xdr:cNvPr id="2" name="Shape 2" title="Dessin"/>
        <xdr:cNvGrpSpPr/>
      </xdr:nvGrpSpPr>
      <xdr:grpSpPr>
        <a:xfrm>
          <a:off x="1349775" y="650175"/>
          <a:ext cx="947700" cy="947700"/>
          <a:chOff x="1349775" y="650175"/>
          <a:chExt cx="947700" cy="947700"/>
        </a:xfrm>
      </xdr:grpSpPr>
      <xdr:cxnSp>
        <xdr:nvCxnSpPr>
          <xdr:cNvPr id="25" name="Shape 25"/>
          <xdr:cNvCxnSpPr/>
        </xdr:nvCxnSpPr>
        <xdr:spPr>
          <a:xfrm flipH="1" rot="10800000">
            <a:off x="1349775" y="650175"/>
            <a:ext cx="947700" cy="947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381000</xdr:colOff>
      <xdr:row>13</xdr:row>
      <xdr:rowOff>219075</xdr:rowOff>
    </xdr:from>
    <xdr:ext cx="771525" cy="485775"/>
    <xdr:grpSp>
      <xdr:nvGrpSpPr>
        <xdr:cNvPr id="2" name="Shape 2" title="Dessin"/>
        <xdr:cNvGrpSpPr/>
      </xdr:nvGrpSpPr>
      <xdr:grpSpPr>
        <a:xfrm>
          <a:off x="1508550" y="585575"/>
          <a:ext cx="1091700" cy="1091700"/>
          <a:chOff x="1508550" y="585575"/>
          <a:chExt cx="1091700" cy="1091700"/>
        </a:xfrm>
      </xdr:grpSpPr>
      <xdr:cxnSp>
        <xdr:nvCxnSpPr>
          <xdr:cNvPr id="26" name="Shape 26"/>
          <xdr:cNvCxnSpPr/>
        </xdr:nvCxnSpPr>
        <xdr:spPr>
          <a:xfrm flipH="1" rot="10800000">
            <a:off x="1508550" y="585575"/>
            <a:ext cx="1091700" cy="1091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381000</xdr:colOff>
      <xdr:row>15</xdr:row>
      <xdr:rowOff>228600</xdr:rowOff>
    </xdr:from>
    <xdr:ext cx="771525" cy="485775"/>
    <xdr:grpSp>
      <xdr:nvGrpSpPr>
        <xdr:cNvPr id="2" name="Shape 2" title="Dessin"/>
        <xdr:cNvGrpSpPr/>
      </xdr:nvGrpSpPr>
      <xdr:grpSpPr>
        <a:xfrm>
          <a:off x="1955175" y="1374500"/>
          <a:ext cx="1116600" cy="1116600"/>
          <a:chOff x="1955175" y="1374500"/>
          <a:chExt cx="1116600" cy="1116600"/>
        </a:xfrm>
      </xdr:grpSpPr>
      <xdr:cxnSp>
        <xdr:nvCxnSpPr>
          <xdr:cNvPr id="27" name="Shape 27"/>
          <xdr:cNvCxnSpPr/>
        </xdr:nvCxnSpPr>
        <xdr:spPr>
          <a:xfrm flipH="1" rot="10800000">
            <a:off x="1955175" y="1374500"/>
            <a:ext cx="1116600" cy="11166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371475</xdr:colOff>
      <xdr:row>17</xdr:row>
      <xdr:rowOff>228600</xdr:rowOff>
    </xdr:from>
    <xdr:ext cx="771525" cy="485775"/>
    <xdr:grpSp>
      <xdr:nvGrpSpPr>
        <xdr:cNvPr id="2" name="Shape 2" title="Dessin"/>
        <xdr:cNvGrpSpPr/>
      </xdr:nvGrpSpPr>
      <xdr:grpSpPr>
        <a:xfrm>
          <a:off x="2034575" y="927875"/>
          <a:ext cx="1106700" cy="1106700"/>
          <a:chOff x="2034575" y="927875"/>
          <a:chExt cx="1106700" cy="1106700"/>
        </a:xfrm>
      </xdr:grpSpPr>
      <xdr:cxnSp>
        <xdr:nvCxnSpPr>
          <xdr:cNvPr id="28" name="Shape 28"/>
          <xdr:cNvCxnSpPr/>
        </xdr:nvCxnSpPr>
        <xdr:spPr>
          <a:xfrm flipH="1" rot="10800000">
            <a:off x="2034575" y="927875"/>
            <a:ext cx="1106700" cy="1106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371475</xdr:colOff>
      <xdr:row>19</xdr:row>
      <xdr:rowOff>219075</xdr:rowOff>
    </xdr:from>
    <xdr:ext cx="771525" cy="485775"/>
    <xdr:grpSp>
      <xdr:nvGrpSpPr>
        <xdr:cNvPr id="2" name="Shape 2" title="Dessin"/>
        <xdr:cNvGrpSpPr/>
      </xdr:nvGrpSpPr>
      <xdr:grpSpPr>
        <a:xfrm>
          <a:off x="1260450" y="595600"/>
          <a:ext cx="1012200" cy="1012200"/>
          <a:chOff x="1260450" y="595600"/>
          <a:chExt cx="1012200" cy="1012200"/>
        </a:xfrm>
      </xdr:grpSpPr>
      <xdr:cxnSp>
        <xdr:nvCxnSpPr>
          <xdr:cNvPr id="29" name="Shape 29"/>
          <xdr:cNvCxnSpPr/>
        </xdr:nvCxnSpPr>
        <xdr:spPr>
          <a:xfrm flipH="1" rot="10800000">
            <a:off x="1260450" y="595600"/>
            <a:ext cx="1012200" cy="1012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3</xdr:row>
      <xdr:rowOff>238125</xdr:rowOff>
    </xdr:from>
    <xdr:ext cx="771525" cy="485775"/>
    <xdr:grpSp>
      <xdr:nvGrpSpPr>
        <xdr:cNvPr id="2" name="Shape 2" title="Dessin"/>
        <xdr:cNvGrpSpPr/>
      </xdr:nvGrpSpPr>
      <xdr:grpSpPr>
        <a:xfrm>
          <a:off x="1915475" y="1195850"/>
          <a:ext cx="1225800" cy="1225800"/>
          <a:chOff x="1915475" y="1195850"/>
          <a:chExt cx="1225800" cy="1225800"/>
        </a:xfrm>
      </xdr:grpSpPr>
      <xdr:cxnSp>
        <xdr:nvCxnSpPr>
          <xdr:cNvPr id="30" name="Shape 30"/>
          <xdr:cNvCxnSpPr/>
        </xdr:nvCxnSpPr>
        <xdr:spPr>
          <a:xfrm flipH="1" rot="10800000">
            <a:off x="1915475" y="1195850"/>
            <a:ext cx="1225800" cy="1225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5</xdr:row>
      <xdr:rowOff>219075</xdr:rowOff>
    </xdr:from>
    <xdr:ext cx="781050" cy="485775"/>
    <xdr:grpSp>
      <xdr:nvGrpSpPr>
        <xdr:cNvPr id="2" name="Shape 2" title="Dessin"/>
        <xdr:cNvGrpSpPr/>
      </xdr:nvGrpSpPr>
      <xdr:grpSpPr>
        <a:xfrm>
          <a:off x="2223150" y="908175"/>
          <a:ext cx="1166100" cy="1166100"/>
          <a:chOff x="2223150" y="908175"/>
          <a:chExt cx="1166100" cy="1166100"/>
        </a:xfrm>
      </xdr:grpSpPr>
      <xdr:cxnSp>
        <xdr:nvCxnSpPr>
          <xdr:cNvPr id="31" name="Shape 31"/>
          <xdr:cNvCxnSpPr/>
        </xdr:nvCxnSpPr>
        <xdr:spPr>
          <a:xfrm flipH="1" rot="10800000">
            <a:off x="2223150" y="908175"/>
            <a:ext cx="1166100" cy="11661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7</xdr:row>
      <xdr:rowOff>219075</xdr:rowOff>
    </xdr:from>
    <xdr:ext cx="781050" cy="485775"/>
    <xdr:grpSp>
      <xdr:nvGrpSpPr>
        <xdr:cNvPr id="2" name="Shape 2" title="Dessin"/>
        <xdr:cNvGrpSpPr/>
      </xdr:nvGrpSpPr>
      <xdr:grpSpPr>
        <a:xfrm>
          <a:off x="1756675" y="1111475"/>
          <a:ext cx="1042200" cy="1042200"/>
          <a:chOff x="1756675" y="1111475"/>
          <a:chExt cx="1042200" cy="1042200"/>
        </a:xfrm>
      </xdr:grpSpPr>
      <xdr:cxnSp>
        <xdr:nvCxnSpPr>
          <xdr:cNvPr id="32" name="Shape 32"/>
          <xdr:cNvCxnSpPr/>
        </xdr:nvCxnSpPr>
        <xdr:spPr>
          <a:xfrm flipH="1" rot="10800000">
            <a:off x="1756675" y="1111475"/>
            <a:ext cx="1042200" cy="1042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9</xdr:row>
      <xdr:rowOff>219075</xdr:rowOff>
    </xdr:from>
    <xdr:ext cx="781050" cy="485775"/>
    <xdr:grpSp>
      <xdr:nvGrpSpPr>
        <xdr:cNvPr id="2" name="Shape 2" title="Dessin"/>
        <xdr:cNvGrpSpPr/>
      </xdr:nvGrpSpPr>
      <xdr:grpSpPr>
        <a:xfrm>
          <a:off x="2163600" y="1503500"/>
          <a:ext cx="1106700" cy="1106700"/>
          <a:chOff x="2163600" y="1503500"/>
          <a:chExt cx="1106700" cy="1106700"/>
        </a:xfrm>
      </xdr:grpSpPr>
      <xdr:cxnSp>
        <xdr:nvCxnSpPr>
          <xdr:cNvPr id="33" name="Shape 33"/>
          <xdr:cNvCxnSpPr/>
        </xdr:nvCxnSpPr>
        <xdr:spPr>
          <a:xfrm flipH="1" rot="10800000">
            <a:off x="2163600" y="1503500"/>
            <a:ext cx="1106700" cy="1106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11</xdr:row>
      <xdr:rowOff>219075</xdr:rowOff>
    </xdr:from>
    <xdr:ext cx="781050" cy="485775"/>
    <xdr:grpSp>
      <xdr:nvGrpSpPr>
        <xdr:cNvPr id="2" name="Shape 2" title="Dessin"/>
        <xdr:cNvGrpSpPr/>
      </xdr:nvGrpSpPr>
      <xdr:grpSpPr>
        <a:xfrm>
          <a:off x="2054425" y="1220850"/>
          <a:ext cx="1002300" cy="1002300"/>
          <a:chOff x="2054425" y="1220850"/>
          <a:chExt cx="1002300" cy="1002300"/>
        </a:xfrm>
      </xdr:grpSpPr>
      <xdr:cxnSp>
        <xdr:nvCxnSpPr>
          <xdr:cNvPr id="34" name="Shape 34"/>
          <xdr:cNvCxnSpPr/>
        </xdr:nvCxnSpPr>
        <xdr:spPr>
          <a:xfrm flipH="1" rot="10800000">
            <a:off x="2054425" y="1220850"/>
            <a:ext cx="1002300" cy="1002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13</xdr:row>
      <xdr:rowOff>219075</xdr:rowOff>
    </xdr:from>
    <xdr:ext cx="781050" cy="485775"/>
    <xdr:grpSp>
      <xdr:nvGrpSpPr>
        <xdr:cNvPr id="2" name="Shape 2" title="Dessin"/>
        <xdr:cNvGrpSpPr/>
      </xdr:nvGrpSpPr>
      <xdr:grpSpPr>
        <a:xfrm>
          <a:off x="3185850" y="2213150"/>
          <a:ext cx="1052100" cy="1052100"/>
          <a:chOff x="3185850" y="2213150"/>
          <a:chExt cx="1052100" cy="1052100"/>
        </a:xfrm>
      </xdr:grpSpPr>
      <xdr:cxnSp>
        <xdr:nvCxnSpPr>
          <xdr:cNvPr id="35" name="Shape 35"/>
          <xdr:cNvCxnSpPr/>
        </xdr:nvCxnSpPr>
        <xdr:spPr>
          <a:xfrm flipH="1" rot="10800000">
            <a:off x="3185850" y="2213150"/>
            <a:ext cx="1052100" cy="10521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15</xdr:row>
      <xdr:rowOff>219075</xdr:rowOff>
    </xdr:from>
    <xdr:ext cx="781050" cy="485775"/>
    <xdr:grpSp>
      <xdr:nvGrpSpPr>
        <xdr:cNvPr id="2" name="Shape 2" title="Dessin"/>
        <xdr:cNvGrpSpPr/>
      </xdr:nvGrpSpPr>
      <xdr:grpSpPr>
        <a:xfrm>
          <a:off x="2451400" y="1553325"/>
          <a:ext cx="947700" cy="947700"/>
          <a:chOff x="2451400" y="1553325"/>
          <a:chExt cx="947700" cy="947700"/>
        </a:xfrm>
      </xdr:grpSpPr>
      <xdr:cxnSp>
        <xdr:nvCxnSpPr>
          <xdr:cNvPr id="36" name="Shape 36"/>
          <xdr:cNvCxnSpPr/>
        </xdr:nvCxnSpPr>
        <xdr:spPr>
          <a:xfrm flipH="1" rot="10800000">
            <a:off x="2451400" y="1553325"/>
            <a:ext cx="947700" cy="947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17</xdr:row>
      <xdr:rowOff>219075</xdr:rowOff>
    </xdr:from>
    <xdr:ext cx="781050" cy="485775"/>
    <xdr:grpSp>
      <xdr:nvGrpSpPr>
        <xdr:cNvPr id="2" name="Shape 2" title="Dessin"/>
        <xdr:cNvGrpSpPr/>
      </xdr:nvGrpSpPr>
      <xdr:grpSpPr>
        <a:xfrm>
          <a:off x="1925400" y="1513675"/>
          <a:ext cx="1325100" cy="1324800"/>
          <a:chOff x="1925400" y="1513675"/>
          <a:chExt cx="1325100" cy="1324800"/>
        </a:xfrm>
      </xdr:grpSpPr>
      <xdr:cxnSp>
        <xdr:nvCxnSpPr>
          <xdr:cNvPr id="37" name="Shape 37"/>
          <xdr:cNvCxnSpPr/>
        </xdr:nvCxnSpPr>
        <xdr:spPr>
          <a:xfrm flipH="1" rot="10800000">
            <a:off x="1925400" y="1513675"/>
            <a:ext cx="1325100" cy="1324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19</xdr:row>
      <xdr:rowOff>219075</xdr:rowOff>
    </xdr:from>
    <xdr:ext cx="781050" cy="485775"/>
    <xdr:grpSp>
      <xdr:nvGrpSpPr>
        <xdr:cNvPr id="2" name="Shape 2" title="Dessin"/>
        <xdr:cNvGrpSpPr/>
      </xdr:nvGrpSpPr>
      <xdr:grpSpPr>
        <a:xfrm>
          <a:off x="2709450" y="2267850"/>
          <a:ext cx="1285200" cy="1285200"/>
          <a:chOff x="2709450" y="2267850"/>
          <a:chExt cx="1285200" cy="1285200"/>
        </a:xfrm>
      </xdr:grpSpPr>
      <xdr:cxnSp>
        <xdr:nvCxnSpPr>
          <xdr:cNvPr id="38" name="Shape 38"/>
          <xdr:cNvCxnSpPr/>
        </xdr:nvCxnSpPr>
        <xdr:spPr>
          <a:xfrm flipH="1" rot="10800000">
            <a:off x="2709450" y="2267850"/>
            <a:ext cx="1285200" cy="1285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12</xdr:row>
      <xdr:rowOff>238125</xdr:rowOff>
    </xdr:from>
    <xdr:ext cx="781050" cy="485775"/>
    <xdr:grpSp>
      <xdr:nvGrpSpPr>
        <xdr:cNvPr id="2" name="Shape 2" title="Dessin"/>
        <xdr:cNvGrpSpPr/>
      </xdr:nvGrpSpPr>
      <xdr:grpSpPr>
        <a:xfrm>
          <a:off x="2530800" y="1339950"/>
          <a:ext cx="1250400" cy="1250400"/>
          <a:chOff x="2530800" y="1339950"/>
          <a:chExt cx="1250400" cy="1250400"/>
        </a:xfrm>
      </xdr:grpSpPr>
      <xdr:cxnSp>
        <xdr:nvCxnSpPr>
          <xdr:cNvPr id="39" name="Shape 39"/>
          <xdr:cNvCxnSpPr/>
        </xdr:nvCxnSpPr>
        <xdr:spPr>
          <a:xfrm flipH="1" rot="10800000">
            <a:off x="2530800" y="1339950"/>
            <a:ext cx="1250400" cy="1250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2</xdr:row>
      <xdr:rowOff>219075</xdr:rowOff>
    </xdr:from>
    <xdr:ext cx="781050" cy="485775"/>
    <xdr:grpSp>
      <xdr:nvGrpSpPr>
        <xdr:cNvPr id="2" name="Shape 2" title="Dessin"/>
        <xdr:cNvGrpSpPr/>
      </xdr:nvGrpSpPr>
      <xdr:grpSpPr>
        <a:xfrm>
          <a:off x="1310075" y="1250650"/>
          <a:ext cx="1131300" cy="1131300"/>
          <a:chOff x="1310075" y="1250650"/>
          <a:chExt cx="1131300" cy="1131300"/>
        </a:xfrm>
      </xdr:grpSpPr>
      <xdr:cxnSp>
        <xdr:nvCxnSpPr>
          <xdr:cNvPr id="40" name="Shape 40"/>
          <xdr:cNvCxnSpPr/>
        </xdr:nvCxnSpPr>
        <xdr:spPr>
          <a:xfrm flipH="1" rot="10800000">
            <a:off x="1310075" y="1250650"/>
            <a:ext cx="1131300" cy="1131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4</xdr:row>
      <xdr:rowOff>219075</xdr:rowOff>
    </xdr:from>
    <xdr:ext cx="781050" cy="485775"/>
    <xdr:grpSp>
      <xdr:nvGrpSpPr>
        <xdr:cNvPr id="2" name="Shape 2" title="Dessin"/>
        <xdr:cNvGrpSpPr/>
      </xdr:nvGrpSpPr>
      <xdr:grpSpPr>
        <a:xfrm>
          <a:off x="2133825" y="1369475"/>
          <a:ext cx="903300" cy="903300"/>
          <a:chOff x="2133825" y="1369475"/>
          <a:chExt cx="903300" cy="903300"/>
        </a:xfrm>
      </xdr:grpSpPr>
      <xdr:cxnSp>
        <xdr:nvCxnSpPr>
          <xdr:cNvPr id="41" name="Shape 41"/>
          <xdr:cNvCxnSpPr/>
        </xdr:nvCxnSpPr>
        <xdr:spPr>
          <a:xfrm flipH="1" rot="10800000">
            <a:off x="2133825" y="1369475"/>
            <a:ext cx="903300" cy="903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6</xdr:row>
      <xdr:rowOff>219075</xdr:rowOff>
    </xdr:from>
    <xdr:ext cx="771525" cy="485775"/>
    <xdr:grpSp>
      <xdr:nvGrpSpPr>
        <xdr:cNvPr id="2" name="Shape 2" title="Dessin"/>
        <xdr:cNvGrpSpPr/>
      </xdr:nvGrpSpPr>
      <xdr:grpSpPr>
        <a:xfrm>
          <a:off x="2223150" y="1190950"/>
          <a:ext cx="833700" cy="833700"/>
          <a:chOff x="2223150" y="1190950"/>
          <a:chExt cx="833700" cy="833700"/>
        </a:xfrm>
      </xdr:grpSpPr>
      <xdr:cxnSp>
        <xdr:nvCxnSpPr>
          <xdr:cNvPr id="42" name="Shape 42"/>
          <xdr:cNvCxnSpPr/>
        </xdr:nvCxnSpPr>
        <xdr:spPr>
          <a:xfrm flipH="1" rot="10800000">
            <a:off x="2223150" y="1190950"/>
            <a:ext cx="833700" cy="833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8</xdr:row>
      <xdr:rowOff>219075</xdr:rowOff>
    </xdr:from>
    <xdr:ext cx="781050" cy="485775"/>
    <xdr:grpSp>
      <xdr:nvGrpSpPr>
        <xdr:cNvPr id="2" name="Shape 2" title="Dessin"/>
        <xdr:cNvGrpSpPr/>
      </xdr:nvGrpSpPr>
      <xdr:grpSpPr>
        <a:xfrm>
          <a:off x="1955175" y="1895725"/>
          <a:ext cx="883200" cy="883200"/>
          <a:chOff x="1955175" y="1895725"/>
          <a:chExt cx="883200" cy="883200"/>
        </a:xfrm>
      </xdr:grpSpPr>
      <xdr:cxnSp>
        <xdr:nvCxnSpPr>
          <xdr:cNvPr id="43" name="Shape 43"/>
          <xdr:cNvCxnSpPr/>
        </xdr:nvCxnSpPr>
        <xdr:spPr>
          <a:xfrm flipH="1" rot="10800000">
            <a:off x="1955175" y="1895725"/>
            <a:ext cx="883200" cy="883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10</xdr:row>
      <xdr:rowOff>219075</xdr:rowOff>
    </xdr:from>
    <xdr:ext cx="781050" cy="485775"/>
    <xdr:grpSp>
      <xdr:nvGrpSpPr>
        <xdr:cNvPr id="2" name="Shape 2" title="Dessin"/>
        <xdr:cNvGrpSpPr/>
      </xdr:nvGrpSpPr>
      <xdr:grpSpPr>
        <a:xfrm>
          <a:off x="1726900" y="1811275"/>
          <a:ext cx="1027200" cy="1027200"/>
          <a:chOff x="1726900" y="1811275"/>
          <a:chExt cx="1027200" cy="1027200"/>
        </a:xfrm>
      </xdr:grpSpPr>
      <xdr:cxnSp>
        <xdr:nvCxnSpPr>
          <xdr:cNvPr id="44" name="Shape 44"/>
          <xdr:cNvCxnSpPr/>
        </xdr:nvCxnSpPr>
        <xdr:spPr>
          <a:xfrm flipH="1" rot="10800000">
            <a:off x="1726900" y="1811275"/>
            <a:ext cx="1027200" cy="1027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14</xdr:row>
      <xdr:rowOff>200025</xdr:rowOff>
    </xdr:from>
    <xdr:ext cx="781050" cy="485775"/>
    <xdr:grpSp>
      <xdr:nvGrpSpPr>
        <xdr:cNvPr id="2" name="Shape 2" title="Dessin"/>
        <xdr:cNvGrpSpPr/>
      </xdr:nvGrpSpPr>
      <xdr:grpSpPr>
        <a:xfrm>
          <a:off x="2183450" y="1543325"/>
          <a:ext cx="918000" cy="918000"/>
          <a:chOff x="2183450" y="1543325"/>
          <a:chExt cx="918000" cy="918000"/>
        </a:xfrm>
      </xdr:grpSpPr>
      <xdr:cxnSp>
        <xdr:nvCxnSpPr>
          <xdr:cNvPr id="45" name="Shape 45"/>
          <xdr:cNvCxnSpPr/>
        </xdr:nvCxnSpPr>
        <xdr:spPr>
          <a:xfrm flipH="1" rot="10800000">
            <a:off x="2183450" y="1543325"/>
            <a:ext cx="918000" cy="9180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16</xdr:row>
      <xdr:rowOff>219075</xdr:rowOff>
    </xdr:from>
    <xdr:ext cx="781050" cy="485775"/>
    <xdr:grpSp>
      <xdr:nvGrpSpPr>
        <xdr:cNvPr id="2" name="Shape 2" title="Dessin"/>
        <xdr:cNvGrpSpPr/>
      </xdr:nvGrpSpPr>
      <xdr:grpSpPr>
        <a:xfrm>
          <a:off x="2094125" y="1692150"/>
          <a:ext cx="1017300" cy="1017300"/>
          <a:chOff x="2094125" y="1692150"/>
          <a:chExt cx="1017300" cy="1017300"/>
        </a:xfrm>
      </xdr:grpSpPr>
      <xdr:cxnSp>
        <xdr:nvCxnSpPr>
          <xdr:cNvPr id="46" name="Shape 46"/>
          <xdr:cNvCxnSpPr/>
        </xdr:nvCxnSpPr>
        <xdr:spPr>
          <a:xfrm flipH="1" rot="10800000">
            <a:off x="2094125" y="1692150"/>
            <a:ext cx="1017300" cy="1017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18</xdr:row>
      <xdr:rowOff>219075</xdr:rowOff>
    </xdr:from>
    <xdr:ext cx="781050" cy="485775"/>
    <xdr:grpSp>
      <xdr:nvGrpSpPr>
        <xdr:cNvPr id="2" name="Shape 2" title="Dessin"/>
        <xdr:cNvGrpSpPr/>
      </xdr:nvGrpSpPr>
      <xdr:grpSpPr>
        <a:xfrm>
          <a:off x="1677275" y="2128800"/>
          <a:ext cx="1235700" cy="1235700"/>
          <a:chOff x="1677275" y="2128800"/>
          <a:chExt cx="1235700" cy="1235700"/>
        </a:xfrm>
      </xdr:grpSpPr>
      <xdr:cxnSp>
        <xdr:nvCxnSpPr>
          <xdr:cNvPr id="47" name="Shape 47"/>
          <xdr:cNvCxnSpPr/>
        </xdr:nvCxnSpPr>
        <xdr:spPr>
          <a:xfrm flipH="1" rot="10800000">
            <a:off x="1677275" y="2128800"/>
            <a:ext cx="1235700" cy="1235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371475</xdr:colOff>
      <xdr:row>20</xdr:row>
      <xdr:rowOff>219075</xdr:rowOff>
    </xdr:from>
    <xdr:ext cx="781050" cy="485775"/>
    <xdr:grpSp>
      <xdr:nvGrpSpPr>
        <xdr:cNvPr id="2" name="Shape 2" title="Dessin"/>
        <xdr:cNvGrpSpPr/>
      </xdr:nvGrpSpPr>
      <xdr:grpSpPr>
        <a:xfrm>
          <a:off x="2401800" y="1399250"/>
          <a:ext cx="1151400" cy="1151400"/>
          <a:chOff x="2401800" y="1399250"/>
          <a:chExt cx="1151400" cy="1151400"/>
        </a:xfrm>
      </xdr:grpSpPr>
      <xdr:cxnSp>
        <xdr:nvCxnSpPr>
          <xdr:cNvPr id="48" name="Shape 48"/>
          <xdr:cNvCxnSpPr/>
        </xdr:nvCxnSpPr>
        <xdr:spPr>
          <a:xfrm flipH="1" rot="10800000">
            <a:off x="2401800" y="1399250"/>
            <a:ext cx="1151400" cy="1151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22</xdr:col>
      <xdr:colOff>9525</xdr:colOff>
      <xdr:row>2</xdr:row>
      <xdr:rowOff>219075</xdr:rowOff>
    </xdr:from>
    <xdr:ext cx="762000" cy="485775"/>
    <xdr:grpSp>
      <xdr:nvGrpSpPr>
        <xdr:cNvPr id="2" name="Shape 2" title="Dessin"/>
        <xdr:cNvGrpSpPr/>
      </xdr:nvGrpSpPr>
      <xdr:grpSpPr>
        <a:xfrm>
          <a:off x="2233075" y="1017300"/>
          <a:ext cx="1265400" cy="1265400"/>
          <a:chOff x="2233075" y="1017300"/>
          <a:chExt cx="1265400" cy="1265400"/>
        </a:xfrm>
      </xdr:grpSpPr>
      <xdr:cxnSp>
        <xdr:nvCxnSpPr>
          <xdr:cNvPr id="49" name="Shape 49"/>
          <xdr:cNvCxnSpPr/>
        </xdr:nvCxnSpPr>
        <xdr:spPr>
          <a:xfrm flipH="1" rot="10800000">
            <a:off x="2233075" y="1017300"/>
            <a:ext cx="1265400" cy="1265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371475</xdr:colOff>
      <xdr:row>14</xdr:row>
      <xdr:rowOff>228600</xdr:rowOff>
    </xdr:from>
    <xdr:ext cx="790575" cy="485775"/>
    <xdr:grpSp>
      <xdr:nvGrpSpPr>
        <xdr:cNvPr id="2" name="Shape 2" title="Dessin"/>
        <xdr:cNvGrpSpPr/>
      </xdr:nvGrpSpPr>
      <xdr:grpSpPr>
        <a:xfrm>
          <a:off x="2292625" y="1756600"/>
          <a:ext cx="1052100" cy="1052100"/>
          <a:chOff x="2292625" y="1756600"/>
          <a:chExt cx="1052100" cy="1052100"/>
        </a:xfrm>
      </xdr:grpSpPr>
      <xdr:cxnSp>
        <xdr:nvCxnSpPr>
          <xdr:cNvPr id="50" name="Shape 50"/>
          <xdr:cNvCxnSpPr/>
        </xdr:nvCxnSpPr>
        <xdr:spPr>
          <a:xfrm flipH="1" rot="10800000">
            <a:off x="2292625" y="1756600"/>
            <a:ext cx="1052100" cy="10521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381000</xdr:colOff>
      <xdr:row>4</xdr:row>
      <xdr:rowOff>219075</xdr:rowOff>
    </xdr:from>
    <xdr:ext cx="762000" cy="485775"/>
    <xdr:grpSp>
      <xdr:nvGrpSpPr>
        <xdr:cNvPr id="2" name="Shape 2" title="Dessin"/>
        <xdr:cNvGrpSpPr/>
      </xdr:nvGrpSpPr>
      <xdr:grpSpPr>
        <a:xfrm>
          <a:off x="1885700" y="843500"/>
          <a:ext cx="1161300" cy="1161300"/>
          <a:chOff x="1885700" y="843500"/>
          <a:chExt cx="1161300" cy="1161300"/>
        </a:xfrm>
      </xdr:grpSpPr>
      <xdr:cxnSp>
        <xdr:nvCxnSpPr>
          <xdr:cNvPr id="51" name="Shape 51"/>
          <xdr:cNvCxnSpPr/>
        </xdr:nvCxnSpPr>
        <xdr:spPr>
          <a:xfrm flipH="1" rot="10800000">
            <a:off x="1885700" y="843500"/>
            <a:ext cx="1161300" cy="1161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381000</xdr:colOff>
      <xdr:row>6</xdr:row>
      <xdr:rowOff>219075</xdr:rowOff>
    </xdr:from>
    <xdr:ext cx="762000" cy="485775"/>
    <xdr:grpSp>
      <xdr:nvGrpSpPr>
        <xdr:cNvPr id="2" name="Shape 2" title="Dessin"/>
        <xdr:cNvGrpSpPr/>
      </xdr:nvGrpSpPr>
      <xdr:grpSpPr>
        <a:xfrm>
          <a:off x="1984950" y="908150"/>
          <a:ext cx="1037100" cy="1037100"/>
          <a:chOff x="1984950" y="908150"/>
          <a:chExt cx="1037100" cy="1037100"/>
        </a:xfrm>
      </xdr:grpSpPr>
      <xdr:cxnSp>
        <xdr:nvCxnSpPr>
          <xdr:cNvPr id="52" name="Shape 52"/>
          <xdr:cNvCxnSpPr/>
        </xdr:nvCxnSpPr>
        <xdr:spPr>
          <a:xfrm flipH="1" rot="10800000">
            <a:off x="1984950" y="908150"/>
            <a:ext cx="1037100" cy="10371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381000</xdr:colOff>
      <xdr:row>8</xdr:row>
      <xdr:rowOff>228600</xdr:rowOff>
    </xdr:from>
    <xdr:ext cx="762000" cy="476250"/>
    <xdr:grpSp>
      <xdr:nvGrpSpPr>
        <xdr:cNvPr id="2" name="Shape 2" title="Dessin"/>
        <xdr:cNvGrpSpPr/>
      </xdr:nvGrpSpPr>
      <xdr:grpSpPr>
        <a:xfrm>
          <a:off x="1816225" y="798975"/>
          <a:ext cx="1037100" cy="1037100"/>
          <a:chOff x="1816225" y="798975"/>
          <a:chExt cx="1037100" cy="1037100"/>
        </a:xfrm>
      </xdr:grpSpPr>
      <xdr:cxnSp>
        <xdr:nvCxnSpPr>
          <xdr:cNvPr id="53" name="Shape 53"/>
          <xdr:cNvCxnSpPr/>
        </xdr:nvCxnSpPr>
        <xdr:spPr>
          <a:xfrm flipH="1" rot="10800000">
            <a:off x="1816225" y="798975"/>
            <a:ext cx="1037100" cy="10371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381000</xdr:colOff>
      <xdr:row>10</xdr:row>
      <xdr:rowOff>219075</xdr:rowOff>
    </xdr:from>
    <xdr:ext cx="762000" cy="485775"/>
    <xdr:grpSp>
      <xdr:nvGrpSpPr>
        <xdr:cNvPr id="2" name="Shape 2" title="Dessin"/>
        <xdr:cNvGrpSpPr/>
      </xdr:nvGrpSpPr>
      <xdr:grpSpPr>
        <a:xfrm>
          <a:off x="2044500" y="1453975"/>
          <a:ext cx="1265400" cy="1265400"/>
          <a:chOff x="2044500" y="1453975"/>
          <a:chExt cx="1265400" cy="1265400"/>
        </a:xfrm>
      </xdr:grpSpPr>
      <xdr:cxnSp>
        <xdr:nvCxnSpPr>
          <xdr:cNvPr id="54" name="Shape 54"/>
          <xdr:cNvCxnSpPr/>
        </xdr:nvCxnSpPr>
        <xdr:spPr>
          <a:xfrm flipH="1" rot="10800000">
            <a:off x="2044500" y="1453975"/>
            <a:ext cx="1265400" cy="1265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381000</xdr:colOff>
      <xdr:row>12</xdr:row>
      <xdr:rowOff>219075</xdr:rowOff>
    </xdr:from>
    <xdr:ext cx="762000" cy="485775"/>
    <xdr:grpSp>
      <xdr:nvGrpSpPr>
        <xdr:cNvPr id="2" name="Shape 2" title="Dessin"/>
        <xdr:cNvGrpSpPr/>
      </xdr:nvGrpSpPr>
      <xdr:grpSpPr>
        <a:xfrm>
          <a:off x="2322400" y="1444000"/>
          <a:ext cx="1126500" cy="1126500"/>
          <a:chOff x="2322400" y="1444000"/>
          <a:chExt cx="1126500" cy="1126500"/>
        </a:xfrm>
      </xdr:grpSpPr>
      <xdr:cxnSp>
        <xdr:nvCxnSpPr>
          <xdr:cNvPr id="55" name="Shape 55"/>
          <xdr:cNvCxnSpPr/>
        </xdr:nvCxnSpPr>
        <xdr:spPr>
          <a:xfrm flipH="1" rot="10800000">
            <a:off x="2322400" y="1444000"/>
            <a:ext cx="1126500" cy="11265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381000</xdr:colOff>
      <xdr:row>16</xdr:row>
      <xdr:rowOff>219075</xdr:rowOff>
    </xdr:from>
    <xdr:ext cx="762000" cy="485775"/>
    <xdr:grpSp>
      <xdr:nvGrpSpPr>
        <xdr:cNvPr id="2" name="Shape 2" title="Dessin"/>
        <xdr:cNvGrpSpPr/>
      </xdr:nvGrpSpPr>
      <xdr:grpSpPr>
        <a:xfrm>
          <a:off x="2570500" y="1503650"/>
          <a:ext cx="1285200" cy="1285200"/>
          <a:chOff x="2570500" y="1503650"/>
          <a:chExt cx="1285200" cy="1285200"/>
        </a:xfrm>
      </xdr:grpSpPr>
      <xdr:cxnSp>
        <xdr:nvCxnSpPr>
          <xdr:cNvPr id="56" name="Shape 56"/>
          <xdr:cNvCxnSpPr/>
        </xdr:nvCxnSpPr>
        <xdr:spPr>
          <a:xfrm flipH="1" rot="10800000">
            <a:off x="2570500" y="1503650"/>
            <a:ext cx="1285200" cy="1285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381000</xdr:colOff>
      <xdr:row>18</xdr:row>
      <xdr:rowOff>219075</xdr:rowOff>
    </xdr:from>
    <xdr:ext cx="762000" cy="485775"/>
    <xdr:grpSp>
      <xdr:nvGrpSpPr>
        <xdr:cNvPr id="2" name="Shape 2" title="Dessin"/>
        <xdr:cNvGrpSpPr/>
      </xdr:nvGrpSpPr>
      <xdr:grpSpPr>
        <a:xfrm>
          <a:off x="2520875" y="2114050"/>
          <a:ext cx="1230600" cy="1230600"/>
          <a:chOff x="2520875" y="2114050"/>
          <a:chExt cx="1230600" cy="1230600"/>
        </a:xfrm>
      </xdr:grpSpPr>
      <xdr:cxnSp>
        <xdr:nvCxnSpPr>
          <xdr:cNvPr id="57" name="Shape 57"/>
          <xdr:cNvCxnSpPr/>
        </xdr:nvCxnSpPr>
        <xdr:spPr>
          <a:xfrm flipH="1" rot="10800000">
            <a:off x="2520875" y="2114050"/>
            <a:ext cx="1230600" cy="12306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390525</xdr:colOff>
      <xdr:row>20</xdr:row>
      <xdr:rowOff>219075</xdr:rowOff>
    </xdr:from>
    <xdr:ext cx="752475" cy="485775"/>
    <xdr:grpSp>
      <xdr:nvGrpSpPr>
        <xdr:cNvPr id="2" name="Shape 2" title="Dessin"/>
        <xdr:cNvGrpSpPr/>
      </xdr:nvGrpSpPr>
      <xdr:grpSpPr>
        <a:xfrm>
          <a:off x="1955175" y="1270425"/>
          <a:ext cx="1230600" cy="1230600"/>
          <a:chOff x="1955175" y="1270425"/>
          <a:chExt cx="1230600" cy="1230600"/>
        </a:xfrm>
      </xdr:grpSpPr>
      <xdr:cxnSp>
        <xdr:nvCxnSpPr>
          <xdr:cNvPr id="58" name="Shape 58"/>
          <xdr:cNvCxnSpPr/>
        </xdr:nvCxnSpPr>
        <xdr:spPr>
          <a:xfrm flipH="1" rot="10800000">
            <a:off x="1955175" y="1270425"/>
            <a:ext cx="1230600" cy="12306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1</xdr:row>
      <xdr:rowOff>219075</xdr:rowOff>
    </xdr:from>
    <xdr:ext cx="781050" cy="485775"/>
    <xdr:grpSp>
      <xdr:nvGrpSpPr>
        <xdr:cNvPr id="2" name="Shape 2" title="Dessin"/>
        <xdr:cNvGrpSpPr/>
      </xdr:nvGrpSpPr>
      <xdr:grpSpPr>
        <a:xfrm>
          <a:off x="2778925" y="248100"/>
          <a:ext cx="714600" cy="714600"/>
          <a:chOff x="2778925" y="248100"/>
          <a:chExt cx="714600" cy="714600"/>
        </a:xfrm>
      </xdr:grpSpPr>
      <xdr:cxnSp>
        <xdr:nvCxnSpPr>
          <xdr:cNvPr id="59" name="Shape 59"/>
          <xdr:cNvCxnSpPr/>
        </xdr:nvCxnSpPr>
        <xdr:spPr>
          <a:xfrm flipH="1" rot="10800000">
            <a:off x="2778925" y="248100"/>
            <a:ext cx="714600" cy="7146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371475</xdr:colOff>
      <xdr:row>1</xdr:row>
      <xdr:rowOff>228600</xdr:rowOff>
    </xdr:from>
    <xdr:ext cx="781050" cy="485775"/>
    <xdr:grpSp>
      <xdr:nvGrpSpPr>
        <xdr:cNvPr id="2" name="Shape 2" title="Dessin"/>
        <xdr:cNvGrpSpPr/>
      </xdr:nvGrpSpPr>
      <xdr:grpSpPr>
        <a:xfrm>
          <a:off x="2183450" y="575575"/>
          <a:ext cx="694800" cy="694800"/>
          <a:chOff x="2183450" y="575575"/>
          <a:chExt cx="694800" cy="694800"/>
        </a:xfrm>
      </xdr:grpSpPr>
      <xdr:cxnSp>
        <xdr:nvCxnSpPr>
          <xdr:cNvPr id="60" name="Shape 60"/>
          <xdr:cNvCxnSpPr/>
        </xdr:nvCxnSpPr>
        <xdr:spPr>
          <a:xfrm flipH="1" rot="10800000">
            <a:off x="2183450" y="575575"/>
            <a:ext cx="694800" cy="694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371475</xdr:colOff>
      <xdr:row>1</xdr:row>
      <xdr:rowOff>228600</xdr:rowOff>
    </xdr:from>
    <xdr:ext cx="790575" cy="476250"/>
    <xdr:grpSp>
      <xdr:nvGrpSpPr>
        <xdr:cNvPr id="2" name="Shape 2" title="Dessin"/>
        <xdr:cNvGrpSpPr/>
      </xdr:nvGrpSpPr>
      <xdr:grpSpPr>
        <a:xfrm>
          <a:off x="1875775" y="2337250"/>
          <a:ext cx="1136400" cy="1136400"/>
          <a:chOff x="1875775" y="2337250"/>
          <a:chExt cx="1136400" cy="1136400"/>
        </a:xfrm>
      </xdr:grpSpPr>
      <xdr:cxnSp>
        <xdr:nvCxnSpPr>
          <xdr:cNvPr id="61" name="Shape 61"/>
          <xdr:cNvCxnSpPr/>
        </xdr:nvCxnSpPr>
        <xdr:spPr>
          <a:xfrm flipH="1" rot="10800000">
            <a:off x="1875775" y="2337250"/>
            <a:ext cx="1136400" cy="1136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xdr:col>
      <xdr:colOff>19050</xdr:colOff>
      <xdr:row>5</xdr:row>
      <xdr:rowOff>190500</xdr:rowOff>
    </xdr:from>
    <xdr:ext cx="790575" cy="485775"/>
    <xdr:grpSp>
      <xdr:nvGrpSpPr>
        <xdr:cNvPr id="2" name="Shape 2" title="Dessin"/>
        <xdr:cNvGrpSpPr/>
      </xdr:nvGrpSpPr>
      <xdr:grpSpPr>
        <a:xfrm>
          <a:off x="2540725" y="1434250"/>
          <a:ext cx="947700" cy="947700"/>
          <a:chOff x="2540725" y="1434250"/>
          <a:chExt cx="947700" cy="947700"/>
        </a:xfrm>
      </xdr:grpSpPr>
      <xdr:cxnSp>
        <xdr:nvCxnSpPr>
          <xdr:cNvPr id="62" name="Shape 62"/>
          <xdr:cNvCxnSpPr/>
        </xdr:nvCxnSpPr>
        <xdr:spPr>
          <a:xfrm flipH="1" rot="10800000">
            <a:off x="2540725" y="1434250"/>
            <a:ext cx="947700" cy="947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0</xdr:col>
      <xdr:colOff>2867025</xdr:colOff>
      <xdr:row>7</xdr:row>
      <xdr:rowOff>200025</xdr:rowOff>
    </xdr:from>
    <xdr:ext cx="790575" cy="485775"/>
    <xdr:grpSp>
      <xdr:nvGrpSpPr>
        <xdr:cNvPr id="2" name="Shape 2" title="Dessin"/>
        <xdr:cNvGrpSpPr/>
      </xdr:nvGrpSpPr>
      <xdr:grpSpPr>
        <a:xfrm>
          <a:off x="1975025" y="1121550"/>
          <a:ext cx="1101600" cy="1101600"/>
          <a:chOff x="1975025" y="1121550"/>
          <a:chExt cx="1101600" cy="1101600"/>
        </a:xfrm>
      </xdr:grpSpPr>
      <xdr:cxnSp>
        <xdr:nvCxnSpPr>
          <xdr:cNvPr id="63" name="Shape 63"/>
          <xdr:cNvCxnSpPr/>
        </xdr:nvCxnSpPr>
        <xdr:spPr>
          <a:xfrm flipH="1" rot="10800000">
            <a:off x="1975025" y="1121550"/>
            <a:ext cx="1101600" cy="11016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xdr:col>
      <xdr:colOff>19050</xdr:colOff>
      <xdr:row>9</xdr:row>
      <xdr:rowOff>200025</xdr:rowOff>
    </xdr:from>
    <xdr:ext cx="790575" cy="485775"/>
    <xdr:grpSp>
      <xdr:nvGrpSpPr>
        <xdr:cNvPr id="2" name="Shape 2" title="Dessin"/>
        <xdr:cNvGrpSpPr/>
      </xdr:nvGrpSpPr>
      <xdr:grpSpPr>
        <a:xfrm>
          <a:off x="1597875" y="2014750"/>
          <a:ext cx="1091700" cy="1091700"/>
          <a:chOff x="1597875" y="2014750"/>
          <a:chExt cx="1091700" cy="1091700"/>
        </a:xfrm>
      </xdr:grpSpPr>
      <xdr:cxnSp>
        <xdr:nvCxnSpPr>
          <xdr:cNvPr id="64" name="Shape 64"/>
          <xdr:cNvCxnSpPr/>
        </xdr:nvCxnSpPr>
        <xdr:spPr>
          <a:xfrm flipH="1" rot="10800000">
            <a:off x="1597875" y="2014750"/>
            <a:ext cx="1091700" cy="1091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xdr:col>
      <xdr:colOff>9525</xdr:colOff>
      <xdr:row>11</xdr:row>
      <xdr:rowOff>200025</xdr:rowOff>
    </xdr:from>
    <xdr:ext cx="790575" cy="485775"/>
    <xdr:grpSp>
      <xdr:nvGrpSpPr>
        <xdr:cNvPr id="2" name="Shape 2" title="Dessin"/>
        <xdr:cNvGrpSpPr/>
      </xdr:nvGrpSpPr>
      <xdr:grpSpPr>
        <a:xfrm>
          <a:off x="1776525" y="1493600"/>
          <a:ext cx="997500" cy="997500"/>
          <a:chOff x="1776525" y="1493600"/>
          <a:chExt cx="997500" cy="997500"/>
        </a:xfrm>
      </xdr:grpSpPr>
      <xdr:cxnSp>
        <xdr:nvCxnSpPr>
          <xdr:cNvPr id="65" name="Shape 65"/>
          <xdr:cNvCxnSpPr/>
        </xdr:nvCxnSpPr>
        <xdr:spPr>
          <a:xfrm flipH="1" rot="10800000">
            <a:off x="1776525" y="1493600"/>
            <a:ext cx="997500" cy="9975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xdr:col>
      <xdr:colOff>9525</xdr:colOff>
      <xdr:row>13</xdr:row>
      <xdr:rowOff>209550</xdr:rowOff>
    </xdr:from>
    <xdr:ext cx="790575" cy="485775"/>
    <xdr:grpSp>
      <xdr:nvGrpSpPr>
        <xdr:cNvPr id="2" name="Shape 2" title="Dessin"/>
        <xdr:cNvGrpSpPr/>
      </xdr:nvGrpSpPr>
      <xdr:grpSpPr>
        <a:xfrm>
          <a:off x="1925400" y="932950"/>
          <a:ext cx="972600" cy="972600"/>
          <a:chOff x="1925400" y="932950"/>
          <a:chExt cx="972600" cy="972600"/>
        </a:xfrm>
      </xdr:grpSpPr>
      <xdr:cxnSp>
        <xdr:nvCxnSpPr>
          <xdr:cNvPr id="66" name="Shape 66"/>
          <xdr:cNvCxnSpPr/>
        </xdr:nvCxnSpPr>
        <xdr:spPr>
          <a:xfrm flipH="1" rot="10800000">
            <a:off x="1925400" y="932950"/>
            <a:ext cx="972600" cy="9726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xdr:col>
      <xdr:colOff>9525</xdr:colOff>
      <xdr:row>16</xdr:row>
      <xdr:rowOff>28575</xdr:rowOff>
    </xdr:from>
    <xdr:ext cx="790575" cy="485775"/>
    <xdr:grpSp>
      <xdr:nvGrpSpPr>
        <xdr:cNvPr id="2" name="Shape 2" title="Dessin"/>
        <xdr:cNvGrpSpPr/>
      </xdr:nvGrpSpPr>
      <xdr:grpSpPr>
        <a:xfrm>
          <a:off x="1935325" y="1091850"/>
          <a:ext cx="1131300" cy="1131300"/>
          <a:chOff x="1935325" y="1091850"/>
          <a:chExt cx="1131300" cy="1131300"/>
        </a:xfrm>
      </xdr:grpSpPr>
      <xdr:cxnSp>
        <xdr:nvCxnSpPr>
          <xdr:cNvPr id="67" name="Shape 67"/>
          <xdr:cNvCxnSpPr/>
        </xdr:nvCxnSpPr>
        <xdr:spPr>
          <a:xfrm flipH="1" rot="10800000">
            <a:off x="1935325" y="1091850"/>
            <a:ext cx="1131300" cy="1131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0</xdr:col>
      <xdr:colOff>2876550</xdr:colOff>
      <xdr:row>17</xdr:row>
      <xdr:rowOff>219075</xdr:rowOff>
    </xdr:from>
    <xdr:ext cx="800100" cy="476250"/>
    <xdr:grpSp>
      <xdr:nvGrpSpPr>
        <xdr:cNvPr id="2" name="Shape 2" title="Dessin"/>
        <xdr:cNvGrpSpPr/>
      </xdr:nvGrpSpPr>
      <xdr:grpSpPr>
        <a:xfrm>
          <a:off x="2104050" y="1449050"/>
          <a:ext cx="972600" cy="972600"/>
          <a:chOff x="2104050" y="1449050"/>
          <a:chExt cx="972600" cy="972600"/>
        </a:xfrm>
      </xdr:grpSpPr>
      <xdr:cxnSp>
        <xdr:nvCxnSpPr>
          <xdr:cNvPr id="68" name="Shape 68"/>
          <xdr:cNvCxnSpPr/>
        </xdr:nvCxnSpPr>
        <xdr:spPr>
          <a:xfrm flipH="1" rot="10800000">
            <a:off x="2104050" y="1449050"/>
            <a:ext cx="972600" cy="9726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xdr:col>
      <xdr:colOff>19050</xdr:colOff>
      <xdr:row>19</xdr:row>
      <xdr:rowOff>219075</xdr:rowOff>
    </xdr:from>
    <xdr:ext cx="781050" cy="476250"/>
    <xdr:grpSp>
      <xdr:nvGrpSpPr>
        <xdr:cNvPr id="2" name="Shape 2" title="Dessin"/>
        <xdr:cNvGrpSpPr/>
      </xdr:nvGrpSpPr>
      <xdr:grpSpPr>
        <a:xfrm>
          <a:off x="2461325" y="818750"/>
          <a:ext cx="1007400" cy="1007400"/>
          <a:chOff x="2461325" y="818750"/>
          <a:chExt cx="1007400" cy="1007400"/>
        </a:xfrm>
      </xdr:grpSpPr>
      <xdr:cxnSp>
        <xdr:nvCxnSpPr>
          <xdr:cNvPr id="69" name="Shape 69"/>
          <xdr:cNvCxnSpPr/>
        </xdr:nvCxnSpPr>
        <xdr:spPr>
          <a:xfrm flipH="1" rot="10800000">
            <a:off x="2461325" y="818750"/>
            <a:ext cx="1007400" cy="1007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371475</xdr:colOff>
      <xdr:row>3</xdr:row>
      <xdr:rowOff>238125</xdr:rowOff>
    </xdr:from>
    <xdr:ext cx="790575" cy="466725"/>
    <xdr:grpSp>
      <xdr:nvGrpSpPr>
        <xdr:cNvPr id="2" name="Shape 2" title="Dessin"/>
        <xdr:cNvGrpSpPr/>
      </xdr:nvGrpSpPr>
      <xdr:grpSpPr>
        <a:xfrm>
          <a:off x="1548250" y="1245425"/>
          <a:ext cx="967800" cy="967800"/>
          <a:chOff x="1548250" y="1245425"/>
          <a:chExt cx="967800" cy="967800"/>
        </a:xfrm>
      </xdr:grpSpPr>
      <xdr:cxnSp>
        <xdr:nvCxnSpPr>
          <xdr:cNvPr id="70" name="Shape 70"/>
          <xdr:cNvCxnSpPr/>
        </xdr:nvCxnSpPr>
        <xdr:spPr>
          <a:xfrm flipH="1" rot="10800000">
            <a:off x="1548250" y="1245425"/>
            <a:ext cx="967800" cy="967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1</xdr:row>
      <xdr:rowOff>219075</xdr:rowOff>
    </xdr:from>
    <xdr:ext cx="790575" cy="485775"/>
    <xdr:grpSp>
      <xdr:nvGrpSpPr>
        <xdr:cNvPr id="2" name="Shape 2" title="Dessin"/>
        <xdr:cNvGrpSpPr/>
      </xdr:nvGrpSpPr>
      <xdr:grpSpPr>
        <a:xfrm>
          <a:off x="1513200" y="924375"/>
          <a:ext cx="739800" cy="739800"/>
          <a:chOff x="1513200" y="924375"/>
          <a:chExt cx="739800" cy="739800"/>
        </a:xfrm>
      </xdr:grpSpPr>
      <xdr:cxnSp>
        <xdr:nvCxnSpPr>
          <xdr:cNvPr id="71" name="Shape 71"/>
          <xdr:cNvCxnSpPr/>
        </xdr:nvCxnSpPr>
        <xdr:spPr>
          <a:xfrm flipH="1" rot="10800000">
            <a:off x="1513200" y="924375"/>
            <a:ext cx="739800" cy="739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5</xdr:row>
      <xdr:rowOff>219075</xdr:rowOff>
    </xdr:from>
    <xdr:ext cx="781050" cy="485775"/>
    <xdr:grpSp>
      <xdr:nvGrpSpPr>
        <xdr:cNvPr id="2" name="Shape 2" title="Dessin"/>
        <xdr:cNvGrpSpPr/>
      </xdr:nvGrpSpPr>
      <xdr:grpSpPr>
        <a:xfrm>
          <a:off x="2120125" y="852175"/>
          <a:ext cx="613500" cy="613500"/>
          <a:chOff x="2120125" y="852175"/>
          <a:chExt cx="613500" cy="613500"/>
        </a:xfrm>
      </xdr:grpSpPr>
      <xdr:cxnSp>
        <xdr:nvCxnSpPr>
          <xdr:cNvPr id="72" name="Shape 72"/>
          <xdr:cNvCxnSpPr/>
        </xdr:nvCxnSpPr>
        <xdr:spPr>
          <a:xfrm flipH="1" rot="10800000">
            <a:off x="2120125" y="852175"/>
            <a:ext cx="613500" cy="6135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7</xdr:row>
      <xdr:rowOff>219075</xdr:rowOff>
    </xdr:from>
    <xdr:ext cx="790575" cy="485775"/>
    <xdr:grpSp>
      <xdr:nvGrpSpPr>
        <xdr:cNvPr id="2" name="Shape 2" title="Dessin"/>
        <xdr:cNvGrpSpPr/>
      </xdr:nvGrpSpPr>
      <xdr:grpSpPr>
        <a:xfrm>
          <a:off x="2191700" y="908475"/>
          <a:ext cx="751500" cy="751500"/>
          <a:chOff x="2191700" y="908475"/>
          <a:chExt cx="751500" cy="751500"/>
        </a:xfrm>
      </xdr:grpSpPr>
      <xdr:cxnSp>
        <xdr:nvCxnSpPr>
          <xdr:cNvPr id="73" name="Shape 73"/>
          <xdr:cNvCxnSpPr/>
        </xdr:nvCxnSpPr>
        <xdr:spPr>
          <a:xfrm flipH="1" rot="10800000">
            <a:off x="2191700" y="908475"/>
            <a:ext cx="751500" cy="7515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9</xdr:row>
      <xdr:rowOff>219075</xdr:rowOff>
    </xdr:from>
    <xdr:ext cx="790575" cy="485775"/>
    <xdr:grpSp>
      <xdr:nvGrpSpPr>
        <xdr:cNvPr id="2" name="Shape 2" title="Dessin"/>
        <xdr:cNvGrpSpPr/>
      </xdr:nvGrpSpPr>
      <xdr:grpSpPr>
        <a:xfrm>
          <a:off x="1332750" y="1491325"/>
          <a:ext cx="628800" cy="628800"/>
          <a:chOff x="1332750" y="1491325"/>
          <a:chExt cx="628800" cy="628800"/>
        </a:xfrm>
      </xdr:grpSpPr>
      <xdr:cxnSp>
        <xdr:nvCxnSpPr>
          <xdr:cNvPr id="74" name="Shape 74"/>
          <xdr:cNvCxnSpPr/>
        </xdr:nvCxnSpPr>
        <xdr:spPr>
          <a:xfrm flipH="1" rot="10800000">
            <a:off x="1332750" y="1491325"/>
            <a:ext cx="628800" cy="628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11</xdr:row>
      <xdr:rowOff>219075</xdr:rowOff>
    </xdr:from>
    <xdr:ext cx="790575" cy="485775"/>
    <xdr:grpSp>
      <xdr:nvGrpSpPr>
        <xdr:cNvPr id="2" name="Shape 2" title="Dessin"/>
        <xdr:cNvGrpSpPr/>
      </xdr:nvGrpSpPr>
      <xdr:grpSpPr>
        <a:xfrm>
          <a:off x="2150800" y="872600"/>
          <a:ext cx="603300" cy="603300"/>
          <a:chOff x="2150800" y="872600"/>
          <a:chExt cx="603300" cy="603300"/>
        </a:xfrm>
      </xdr:grpSpPr>
      <xdr:cxnSp>
        <xdr:nvCxnSpPr>
          <xdr:cNvPr id="75" name="Shape 75"/>
          <xdr:cNvCxnSpPr/>
        </xdr:nvCxnSpPr>
        <xdr:spPr>
          <a:xfrm flipH="1" rot="10800000">
            <a:off x="2150800" y="872600"/>
            <a:ext cx="603300" cy="603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13</xdr:row>
      <xdr:rowOff>219075</xdr:rowOff>
    </xdr:from>
    <xdr:ext cx="790575" cy="485775"/>
    <xdr:grpSp>
      <xdr:nvGrpSpPr>
        <xdr:cNvPr id="2" name="Shape 2" title="Dessin"/>
        <xdr:cNvGrpSpPr/>
      </xdr:nvGrpSpPr>
      <xdr:grpSpPr>
        <a:xfrm>
          <a:off x="2324625" y="632300"/>
          <a:ext cx="608400" cy="608400"/>
          <a:chOff x="2324625" y="632300"/>
          <a:chExt cx="608400" cy="608400"/>
        </a:xfrm>
      </xdr:grpSpPr>
      <xdr:cxnSp>
        <xdr:nvCxnSpPr>
          <xdr:cNvPr id="76" name="Shape 76"/>
          <xdr:cNvCxnSpPr/>
        </xdr:nvCxnSpPr>
        <xdr:spPr>
          <a:xfrm flipH="1" rot="10800000">
            <a:off x="2324625" y="632300"/>
            <a:ext cx="608400" cy="608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15</xdr:row>
      <xdr:rowOff>219075</xdr:rowOff>
    </xdr:from>
    <xdr:ext cx="790575" cy="485775"/>
    <xdr:grpSp>
      <xdr:nvGrpSpPr>
        <xdr:cNvPr id="2" name="Shape 2" title="Dessin"/>
        <xdr:cNvGrpSpPr/>
      </xdr:nvGrpSpPr>
      <xdr:grpSpPr>
        <a:xfrm>
          <a:off x="1946275" y="831725"/>
          <a:ext cx="736200" cy="736200"/>
          <a:chOff x="1946275" y="831725"/>
          <a:chExt cx="736200" cy="736200"/>
        </a:xfrm>
      </xdr:grpSpPr>
      <xdr:cxnSp>
        <xdr:nvCxnSpPr>
          <xdr:cNvPr id="77" name="Shape 77"/>
          <xdr:cNvCxnSpPr/>
        </xdr:nvCxnSpPr>
        <xdr:spPr>
          <a:xfrm flipH="1" rot="10800000">
            <a:off x="1946275" y="831725"/>
            <a:ext cx="736200" cy="736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17</xdr:row>
      <xdr:rowOff>219075</xdr:rowOff>
    </xdr:from>
    <xdr:ext cx="790575" cy="485775"/>
    <xdr:grpSp>
      <xdr:nvGrpSpPr>
        <xdr:cNvPr id="2" name="Shape 2" title="Dessin"/>
        <xdr:cNvGrpSpPr/>
      </xdr:nvGrpSpPr>
      <xdr:grpSpPr>
        <a:xfrm>
          <a:off x="2324625" y="959375"/>
          <a:ext cx="669900" cy="669900"/>
          <a:chOff x="2324625" y="959375"/>
          <a:chExt cx="669900" cy="669900"/>
        </a:xfrm>
      </xdr:grpSpPr>
      <xdr:cxnSp>
        <xdr:nvCxnSpPr>
          <xdr:cNvPr id="78" name="Shape 78"/>
          <xdr:cNvCxnSpPr/>
        </xdr:nvCxnSpPr>
        <xdr:spPr>
          <a:xfrm flipH="1" rot="10800000">
            <a:off x="2324625" y="959375"/>
            <a:ext cx="669900" cy="6699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19</xdr:row>
      <xdr:rowOff>219075</xdr:rowOff>
    </xdr:from>
    <xdr:ext cx="800100" cy="485775"/>
    <xdr:grpSp>
      <xdr:nvGrpSpPr>
        <xdr:cNvPr id="2" name="Shape 2" title="Dessin"/>
        <xdr:cNvGrpSpPr/>
      </xdr:nvGrpSpPr>
      <xdr:grpSpPr>
        <a:xfrm>
          <a:off x="2099675" y="1010650"/>
          <a:ext cx="843600" cy="843600"/>
          <a:chOff x="2099675" y="1010650"/>
          <a:chExt cx="843600" cy="843600"/>
        </a:xfrm>
      </xdr:grpSpPr>
      <xdr:cxnSp>
        <xdr:nvCxnSpPr>
          <xdr:cNvPr id="79" name="Shape 79"/>
          <xdr:cNvCxnSpPr/>
        </xdr:nvCxnSpPr>
        <xdr:spPr>
          <a:xfrm flipH="1" rot="10800000">
            <a:off x="2099675" y="1010650"/>
            <a:ext cx="843600" cy="8436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0</xdr:col>
      <xdr:colOff>2867025</xdr:colOff>
      <xdr:row>1</xdr:row>
      <xdr:rowOff>190500</xdr:rowOff>
    </xdr:from>
    <xdr:ext cx="790575" cy="485775"/>
    <xdr:grpSp>
      <xdr:nvGrpSpPr>
        <xdr:cNvPr id="2" name="Shape 2" title="Dessin"/>
        <xdr:cNvGrpSpPr/>
      </xdr:nvGrpSpPr>
      <xdr:grpSpPr>
        <a:xfrm>
          <a:off x="1588375" y="1470650"/>
          <a:ext cx="659700" cy="659700"/>
          <a:chOff x="1588375" y="1470650"/>
          <a:chExt cx="659700" cy="659700"/>
        </a:xfrm>
      </xdr:grpSpPr>
      <xdr:cxnSp>
        <xdr:nvCxnSpPr>
          <xdr:cNvPr id="80" name="Shape 80"/>
          <xdr:cNvCxnSpPr/>
        </xdr:nvCxnSpPr>
        <xdr:spPr>
          <a:xfrm flipH="1" rot="10800000">
            <a:off x="1588375" y="1470650"/>
            <a:ext cx="659700" cy="659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xdr:col>
      <xdr:colOff>9525</xdr:colOff>
      <xdr:row>3</xdr:row>
      <xdr:rowOff>200025</xdr:rowOff>
    </xdr:from>
    <xdr:ext cx="809625" cy="485775"/>
    <xdr:grpSp>
      <xdr:nvGrpSpPr>
        <xdr:cNvPr id="2" name="Shape 2" title="Dessin"/>
        <xdr:cNvGrpSpPr/>
      </xdr:nvGrpSpPr>
      <xdr:grpSpPr>
        <a:xfrm>
          <a:off x="1547475" y="749825"/>
          <a:ext cx="695400" cy="695400"/>
          <a:chOff x="1547475" y="749825"/>
          <a:chExt cx="695400" cy="695400"/>
        </a:xfrm>
      </xdr:grpSpPr>
      <xdr:cxnSp>
        <xdr:nvCxnSpPr>
          <xdr:cNvPr id="81" name="Shape 81"/>
          <xdr:cNvCxnSpPr/>
        </xdr:nvCxnSpPr>
        <xdr:spPr>
          <a:xfrm flipH="1" rot="10800000">
            <a:off x="1547475" y="749825"/>
            <a:ext cx="695400" cy="695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0</xdr:col>
      <xdr:colOff>9525</xdr:colOff>
      <xdr:row>0</xdr:row>
      <xdr:rowOff>0</xdr:rowOff>
    </xdr:from>
    <xdr:ext cx="7591425" cy="5715000"/>
    <xdr:grpSp>
      <xdr:nvGrpSpPr>
        <xdr:cNvPr id="2" name="Shape 2" title="Dessin"/>
        <xdr:cNvGrpSpPr/>
      </xdr:nvGrpSpPr>
      <xdr:grpSpPr>
        <a:xfrm>
          <a:off x="0" y="0"/>
          <a:ext cx="7577800" cy="5850700"/>
          <a:chOff x="0" y="0"/>
          <a:chExt cx="7577800" cy="5850700"/>
        </a:xfrm>
      </xdr:grpSpPr>
      <xdr:sp>
        <xdr:nvSpPr>
          <xdr:cNvPr id="82" name="Shape 82"/>
          <xdr:cNvSpPr txBox="1"/>
        </xdr:nvSpPr>
        <xdr:spPr>
          <a:xfrm>
            <a:off x="0" y="2895400"/>
            <a:ext cx="2595300" cy="29553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000">
                <a:solidFill>
                  <a:srgbClr val="4A86E8"/>
                </a:solidFill>
              </a:rPr>
              <a:t>Valeurs à saisir dans l’onglet CALCULS BRANCHES :</a:t>
            </a:r>
            <a:endParaRPr sz="1000">
              <a:solidFill>
                <a:srgbClr val="4A86E8"/>
              </a:solidFill>
            </a:endParaRPr>
          </a:p>
          <a:p>
            <a:pPr indent="0" lvl="0" marL="179999" rtl="0" algn="l">
              <a:spcBef>
                <a:spcPts val="0"/>
              </a:spcBef>
              <a:spcAft>
                <a:spcPts val="0"/>
              </a:spcAft>
              <a:buNone/>
            </a:pPr>
            <a:r>
              <a:rPr b="1" lang="en-US" sz="1000">
                <a:solidFill>
                  <a:srgbClr val="FF0000"/>
                </a:solidFill>
              </a:rPr>
              <a:t>1</a:t>
            </a:r>
            <a:r>
              <a:rPr b="1" lang="en-US" sz="1000"/>
              <a:t> - Rm</a:t>
            </a:r>
            <a:r>
              <a:rPr lang="en-US" sz="1000"/>
              <a:t> : Route Magnétique (</a:t>
            </a:r>
            <a:r>
              <a:rPr b="1" lang="en-US" sz="1000"/>
              <a:t>degrés</a:t>
            </a:r>
            <a:r>
              <a:rPr lang="en-US" sz="1000"/>
              <a:t>)</a:t>
            </a:r>
            <a:endParaRPr sz="1000"/>
          </a:p>
          <a:p>
            <a:pPr indent="0" lvl="0" marL="179999" rtl="0" algn="l">
              <a:spcBef>
                <a:spcPts val="0"/>
              </a:spcBef>
              <a:spcAft>
                <a:spcPts val="0"/>
              </a:spcAft>
              <a:buNone/>
            </a:pPr>
            <a:r>
              <a:rPr b="1" lang="en-US" sz="1000">
                <a:solidFill>
                  <a:srgbClr val="FF0000"/>
                </a:solidFill>
              </a:rPr>
              <a:t>2 </a:t>
            </a:r>
            <a:r>
              <a:rPr b="1" lang="en-US" sz="1000"/>
              <a:t>- D</a:t>
            </a:r>
            <a:r>
              <a:rPr lang="en-US" sz="1000"/>
              <a:t> : Longueur Branche (</a:t>
            </a:r>
            <a:r>
              <a:rPr b="1" lang="en-US" sz="1000"/>
              <a:t>nm</a:t>
            </a:r>
            <a:r>
              <a:rPr lang="en-US" sz="1000"/>
              <a:t>)</a:t>
            </a:r>
            <a:endParaRPr sz="1000"/>
          </a:p>
          <a:p>
            <a:pPr indent="0" lvl="0" marL="179999" rtl="0" algn="l">
              <a:spcBef>
                <a:spcPts val="0"/>
              </a:spcBef>
              <a:spcAft>
                <a:spcPts val="0"/>
              </a:spcAft>
              <a:buNone/>
            </a:pPr>
            <a:r>
              <a:rPr b="1" lang="en-US" sz="1000">
                <a:solidFill>
                  <a:srgbClr val="FF0000"/>
                </a:solidFill>
              </a:rPr>
              <a:t>3</a:t>
            </a:r>
            <a:r>
              <a:rPr b="1" lang="en-US" sz="1000"/>
              <a:t> - Z</a:t>
            </a:r>
            <a:r>
              <a:rPr lang="en-US" sz="1000"/>
              <a:t> : Altitude Branche (</a:t>
            </a:r>
            <a:r>
              <a:rPr b="1" lang="en-US" sz="1000"/>
              <a:t>ft</a:t>
            </a:r>
            <a:r>
              <a:rPr lang="en-US" sz="1000"/>
              <a:t>)</a:t>
            </a:r>
            <a:endParaRPr sz="1000"/>
          </a:p>
          <a:p>
            <a:pPr indent="0" lvl="0" marL="179999" rtl="0" algn="l">
              <a:spcBef>
                <a:spcPts val="0"/>
              </a:spcBef>
              <a:spcAft>
                <a:spcPts val="0"/>
              </a:spcAft>
              <a:buNone/>
            </a:pPr>
            <a:r>
              <a:rPr b="1" lang="en-US" sz="1000">
                <a:solidFill>
                  <a:srgbClr val="FF0000"/>
                </a:solidFill>
              </a:rPr>
              <a:t>4 </a:t>
            </a:r>
            <a:r>
              <a:rPr b="1" lang="en-US" sz="1000"/>
              <a:t>OK. MSA</a:t>
            </a:r>
            <a:r>
              <a:rPr lang="en-US" sz="1000"/>
              <a:t> : Altitude Minimale de Sécurité </a:t>
            </a:r>
            <a:r>
              <a:rPr b="1" lang="en-US" sz="1000"/>
              <a:t>(ft)</a:t>
            </a:r>
            <a:endParaRPr b="1" sz="1000"/>
          </a:p>
          <a:p>
            <a:pPr indent="0" lvl="0" marL="179999" rtl="0" algn="l">
              <a:spcBef>
                <a:spcPts val="0"/>
              </a:spcBef>
              <a:spcAft>
                <a:spcPts val="0"/>
              </a:spcAft>
              <a:buNone/>
            </a:pPr>
            <a:r>
              <a:rPr b="1" lang="en-US" sz="1000">
                <a:solidFill>
                  <a:srgbClr val="FF0000"/>
                </a:solidFill>
              </a:rPr>
              <a:t>9 </a:t>
            </a:r>
            <a:r>
              <a:rPr b="1" lang="en-US" sz="1000"/>
              <a:t>- </a:t>
            </a:r>
            <a:r>
              <a:rPr lang="en-US" sz="1000"/>
              <a:t>Libellé du </a:t>
            </a:r>
            <a:r>
              <a:rPr b="1" lang="en-US" sz="1000"/>
              <a:t>point tournant</a:t>
            </a:r>
            <a:endParaRPr b="1" sz="1000"/>
          </a:p>
          <a:p>
            <a:pPr indent="0" lvl="0" marL="0" rtl="0" algn="l">
              <a:spcBef>
                <a:spcPts val="0"/>
              </a:spcBef>
              <a:spcAft>
                <a:spcPts val="0"/>
              </a:spcAft>
              <a:buNone/>
            </a:pPr>
            <a:r>
              <a:t/>
            </a:r>
            <a:endParaRPr b="1" sz="1000">
              <a:solidFill>
                <a:srgbClr val="FF0000"/>
              </a:solidFill>
            </a:endParaRPr>
          </a:p>
          <a:p>
            <a:pPr indent="0" lvl="0" marL="0" rtl="0" algn="l">
              <a:spcBef>
                <a:spcPts val="0"/>
              </a:spcBef>
              <a:spcAft>
                <a:spcPts val="0"/>
              </a:spcAft>
              <a:buNone/>
            </a:pPr>
            <a:r>
              <a:rPr lang="en-US" sz="1000"/>
              <a:t>Les autres valeurs sont calculées :</a:t>
            </a:r>
            <a:endParaRPr sz="1000"/>
          </a:p>
          <a:p>
            <a:pPr indent="0" lvl="0" marL="179999" rtl="0" algn="l">
              <a:spcBef>
                <a:spcPts val="0"/>
              </a:spcBef>
              <a:spcAft>
                <a:spcPts val="0"/>
              </a:spcAft>
              <a:buNone/>
            </a:pPr>
            <a:r>
              <a:rPr b="1" lang="en-US" sz="1000">
                <a:solidFill>
                  <a:srgbClr val="FF0000"/>
                </a:solidFill>
              </a:rPr>
              <a:t>5</a:t>
            </a:r>
            <a:r>
              <a:rPr b="1" lang="en-US" sz="1000"/>
              <a:t> - Cm</a:t>
            </a:r>
            <a:r>
              <a:rPr lang="en-US" sz="1000"/>
              <a:t> : Cap Magnétique (</a:t>
            </a:r>
            <a:r>
              <a:rPr b="1" lang="en-US" sz="1000"/>
              <a:t>degrés</a:t>
            </a:r>
            <a:r>
              <a:rPr lang="en-US" sz="1000"/>
              <a:t>)</a:t>
            </a:r>
            <a:endParaRPr sz="1000"/>
          </a:p>
          <a:p>
            <a:pPr indent="0" lvl="0" marL="179999" rtl="0" algn="l">
              <a:spcBef>
                <a:spcPts val="0"/>
              </a:spcBef>
              <a:spcAft>
                <a:spcPts val="0"/>
              </a:spcAft>
              <a:buNone/>
            </a:pPr>
            <a:r>
              <a:rPr b="1" lang="en-US" sz="1000">
                <a:solidFill>
                  <a:srgbClr val="FF0000"/>
                </a:solidFill>
              </a:rPr>
              <a:t>6</a:t>
            </a:r>
            <a:r>
              <a:rPr lang="en-US" sz="1000">
                <a:solidFill>
                  <a:srgbClr val="FF0000"/>
                </a:solidFill>
              </a:rPr>
              <a:t> </a:t>
            </a:r>
            <a:r>
              <a:rPr b="1" lang="en-US" sz="1000"/>
              <a:t>- Vi</a:t>
            </a:r>
            <a:r>
              <a:rPr lang="en-US" sz="1000"/>
              <a:t> : Vitesse indiquée (</a:t>
            </a:r>
            <a:r>
              <a:rPr b="1" lang="en-US" sz="1000"/>
              <a:t>kts</a:t>
            </a:r>
            <a:r>
              <a:rPr lang="en-US" sz="1000"/>
              <a:t>)</a:t>
            </a:r>
            <a:endParaRPr sz="1000"/>
          </a:p>
          <a:p>
            <a:pPr indent="0" lvl="0" marL="179999" rtl="0" algn="l">
              <a:spcBef>
                <a:spcPts val="0"/>
              </a:spcBef>
              <a:spcAft>
                <a:spcPts val="0"/>
              </a:spcAft>
              <a:buNone/>
            </a:pPr>
            <a:r>
              <a:rPr b="1" lang="en-US" sz="1000">
                <a:solidFill>
                  <a:srgbClr val="FF0000"/>
                </a:solidFill>
              </a:rPr>
              <a:t>7 </a:t>
            </a:r>
            <a:r>
              <a:rPr b="1" lang="en-US" sz="1000"/>
              <a:t>- T</a:t>
            </a:r>
            <a:r>
              <a:rPr lang="en-US" sz="1000"/>
              <a:t> : Temps sans vent (</a:t>
            </a:r>
            <a:r>
              <a:rPr b="1" lang="en-US" sz="1000"/>
              <a:t>min</a:t>
            </a:r>
            <a:r>
              <a:rPr lang="en-US" sz="1000"/>
              <a:t>)</a:t>
            </a:r>
            <a:endParaRPr sz="1000"/>
          </a:p>
          <a:p>
            <a:pPr indent="0" lvl="0" marL="179999" rtl="0" algn="l">
              <a:spcBef>
                <a:spcPts val="0"/>
              </a:spcBef>
              <a:spcAft>
                <a:spcPts val="0"/>
              </a:spcAft>
              <a:buNone/>
            </a:pPr>
            <a:r>
              <a:rPr b="1" lang="en-US" sz="1000">
                <a:solidFill>
                  <a:srgbClr val="FF0000"/>
                </a:solidFill>
              </a:rPr>
              <a:t>8 </a:t>
            </a:r>
            <a:r>
              <a:rPr b="1" lang="en-US" sz="1000"/>
              <a:t>- Tw</a:t>
            </a:r>
            <a:r>
              <a:rPr lang="en-US" sz="1000"/>
              <a:t> : Temps avec vent (</a:t>
            </a:r>
            <a:r>
              <a:rPr b="1" lang="en-US" sz="1000"/>
              <a:t>min</a:t>
            </a:r>
            <a:r>
              <a:rPr lang="en-US" sz="1000"/>
              <a:t>)</a:t>
            </a:r>
            <a:endParaRPr sz="1000"/>
          </a:p>
          <a:p>
            <a:pPr indent="0" lvl="0" marL="179999" rtl="0" algn="l">
              <a:spcBef>
                <a:spcPts val="0"/>
              </a:spcBef>
              <a:spcAft>
                <a:spcPts val="0"/>
              </a:spcAft>
              <a:buNone/>
            </a:pPr>
            <a:r>
              <a:t/>
            </a:r>
            <a:endParaRPr sz="1000">
              <a:solidFill>
                <a:srgbClr val="FF0000"/>
              </a:solidFill>
            </a:endParaRPr>
          </a:p>
          <a:p>
            <a:pPr indent="0" lvl="0" marL="0" rtl="0" algn="l">
              <a:spcBef>
                <a:spcPts val="0"/>
              </a:spcBef>
              <a:spcAft>
                <a:spcPts val="0"/>
              </a:spcAft>
              <a:buNone/>
            </a:pPr>
            <a:r>
              <a:rPr lang="en-US" sz="1000">
                <a:solidFill>
                  <a:srgbClr val="FF9900"/>
                </a:solidFill>
              </a:rPr>
              <a:t>Valeurs à saisir directement dans la Log :</a:t>
            </a:r>
            <a:endParaRPr sz="1000">
              <a:solidFill>
                <a:srgbClr val="FF9900"/>
              </a:solidFill>
            </a:endParaRPr>
          </a:p>
          <a:p>
            <a:pPr indent="0" lvl="0" marL="179999" rtl="0" algn="l">
              <a:spcBef>
                <a:spcPts val="0"/>
              </a:spcBef>
              <a:spcAft>
                <a:spcPts val="0"/>
              </a:spcAft>
              <a:buNone/>
            </a:pPr>
            <a:r>
              <a:rPr b="1" lang="en-US" sz="1000">
                <a:solidFill>
                  <a:srgbClr val="FF0000"/>
                </a:solidFill>
              </a:rPr>
              <a:t>10</a:t>
            </a:r>
            <a:r>
              <a:rPr b="1" lang="en-US" sz="1000"/>
              <a:t> - Fréquences </a:t>
            </a:r>
            <a:r>
              <a:rPr lang="en-US" sz="1000"/>
              <a:t>(liste déroulante définie dans l’onglet FREQUENCES)</a:t>
            </a:r>
            <a:endParaRPr sz="1000"/>
          </a:p>
        </xdr:txBody>
      </xdr:sp>
      <xdr:sp>
        <xdr:nvSpPr>
          <xdr:cNvPr id="83" name="Shape 83"/>
          <xdr:cNvSpPr/>
        </xdr:nvSpPr>
        <xdr:spPr>
          <a:xfrm>
            <a:off x="2801950" y="3281150"/>
            <a:ext cx="294300" cy="2133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solidFill>
                  <a:srgbClr val="FF0000"/>
                </a:solidFill>
              </a:rPr>
              <a:t>1</a:t>
            </a:r>
            <a:endParaRPr sz="1000">
              <a:solidFill>
                <a:srgbClr val="FF0000"/>
              </a:solidFill>
            </a:endParaRPr>
          </a:p>
        </xdr:txBody>
      </xdr:sp>
      <xdr:sp>
        <xdr:nvSpPr>
          <xdr:cNvPr id="84" name="Shape 84"/>
          <xdr:cNvSpPr/>
        </xdr:nvSpPr>
        <xdr:spPr>
          <a:xfrm>
            <a:off x="3304625" y="3220100"/>
            <a:ext cx="294300" cy="2133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solidFill>
                  <a:srgbClr val="FF0000"/>
                </a:solidFill>
              </a:rPr>
              <a:t>5</a:t>
            </a:r>
            <a:endParaRPr sz="1000">
              <a:solidFill>
                <a:srgbClr val="FF0000"/>
              </a:solidFill>
            </a:endParaRPr>
          </a:p>
        </xdr:txBody>
      </xdr:sp>
      <xdr:sp>
        <xdr:nvSpPr>
          <xdr:cNvPr id="85" name="Shape 85"/>
          <xdr:cNvSpPr/>
        </xdr:nvSpPr>
        <xdr:spPr>
          <a:xfrm>
            <a:off x="3555888" y="3215225"/>
            <a:ext cx="294300" cy="2133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solidFill>
                  <a:srgbClr val="FF0000"/>
                </a:solidFill>
              </a:rPr>
              <a:t>2</a:t>
            </a:r>
            <a:endParaRPr sz="1000">
              <a:solidFill>
                <a:srgbClr val="FF0000"/>
              </a:solidFill>
            </a:endParaRPr>
          </a:p>
        </xdr:txBody>
      </xdr:sp>
      <xdr:sp>
        <xdr:nvSpPr>
          <xdr:cNvPr id="86" name="Shape 86"/>
          <xdr:cNvSpPr/>
        </xdr:nvSpPr>
        <xdr:spPr>
          <a:xfrm>
            <a:off x="3555888" y="3428525"/>
            <a:ext cx="294300" cy="2133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solidFill>
                  <a:srgbClr val="FF0000"/>
                </a:solidFill>
              </a:rPr>
              <a:t>6</a:t>
            </a:r>
            <a:endParaRPr sz="1000">
              <a:solidFill>
                <a:srgbClr val="FF0000"/>
              </a:solidFill>
            </a:endParaRPr>
          </a:p>
        </xdr:txBody>
      </xdr:sp>
      <xdr:sp>
        <xdr:nvSpPr>
          <xdr:cNvPr id="87" name="Shape 87"/>
          <xdr:cNvSpPr/>
        </xdr:nvSpPr>
        <xdr:spPr>
          <a:xfrm>
            <a:off x="3955063" y="3281150"/>
            <a:ext cx="294300" cy="2133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solidFill>
                  <a:srgbClr val="FF0000"/>
                </a:solidFill>
              </a:rPr>
              <a:t>3</a:t>
            </a:r>
            <a:endParaRPr sz="1000">
              <a:solidFill>
                <a:srgbClr val="FF0000"/>
              </a:solidFill>
            </a:endParaRPr>
          </a:p>
        </xdr:txBody>
      </xdr:sp>
      <xdr:sp>
        <xdr:nvSpPr>
          <xdr:cNvPr id="88" name="Shape 88"/>
          <xdr:cNvSpPr/>
        </xdr:nvSpPr>
        <xdr:spPr>
          <a:xfrm>
            <a:off x="4506638" y="3204800"/>
            <a:ext cx="294300" cy="2133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solidFill>
                  <a:srgbClr val="FF0000"/>
                </a:solidFill>
              </a:rPr>
              <a:t>4</a:t>
            </a:r>
            <a:endParaRPr sz="1000">
              <a:solidFill>
                <a:srgbClr val="FF0000"/>
              </a:solidFill>
            </a:endParaRPr>
          </a:p>
        </xdr:txBody>
      </xdr:sp>
      <xdr:sp>
        <xdr:nvSpPr>
          <xdr:cNvPr id="89" name="Shape 89"/>
          <xdr:cNvSpPr/>
        </xdr:nvSpPr>
        <xdr:spPr>
          <a:xfrm>
            <a:off x="4834100" y="3281150"/>
            <a:ext cx="294300" cy="2133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solidFill>
                  <a:srgbClr val="FF0000"/>
                </a:solidFill>
              </a:rPr>
              <a:t>7</a:t>
            </a:r>
            <a:endParaRPr sz="1000">
              <a:solidFill>
                <a:srgbClr val="FF0000"/>
              </a:solidFill>
            </a:endParaRPr>
          </a:p>
        </xdr:txBody>
      </xdr:sp>
      <xdr:sp>
        <xdr:nvSpPr>
          <xdr:cNvPr id="90" name="Shape 90"/>
          <xdr:cNvSpPr/>
        </xdr:nvSpPr>
        <xdr:spPr>
          <a:xfrm>
            <a:off x="5277175" y="3204800"/>
            <a:ext cx="294300" cy="2133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solidFill>
                  <a:srgbClr val="FF0000"/>
                </a:solidFill>
              </a:rPr>
              <a:t>8</a:t>
            </a:r>
            <a:endParaRPr sz="1000">
              <a:solidFill>
                <a:srgbClr val="FF0000"/>
              </a:solidFill>
            </a:endParaRPr>
          </a:p>
        </xdr:txBody>
      </xdr:sp>
      <xdr:sp>
        <xdr:nvSpPr>
          <xdr:cNvPr id="91" name="Shape 91"/>
          <xdr:cNvSpPr txBox="1"/>
        </xdr:nvSpPr>
        <xdr:spPr>
          <a:xfrm>
            <a:off x="0" y="0"/>
            <a:ext cx="7198500" cy="1046700"/>
          </a:xfrm>
          <a:prstGeom prst="rect">
            <a:avLst/>
          </a:prstGeom>
          <a:noFill/>
          <a:ln>
            <a:noFill/>
          </a:ln>
        </xdr:spPr>
        <xdr:txBody>
          <a:bodyPr anchorCtr="0" anchor="t" bIns="91425" lIns="91425" spcFirstLastPara="1" rIns="91425" wrap="square" tIns="91425">
            <a:spAutoFit/>
          </a:bodyPr>
          <a:lstStyle/>
          <a:p>
            <a:pPr indent="0" lvl="0" marL="0" rtl="0" algn="just">
              <a:spcBef>
                <a:spcPts val="0"/>
              </a:spcBef>
              <a:spcAft>
                <a:spcPts val="0"/>
              </a:spcAft>
              <a:buNone/>
            </a:pPr>
            <a:r>
              <a:rPr lang="en-US" sz="700">
                <a:highlight>
                  <a:srgbClr val="FFFFFF"/>
                </a:highlight>
              </a:rPr>
              <a:t>Copyright 2023 François DUMONT</a:t>
            </a:r>
            <a:endParaRPr sz="700">
              <a:highlight>
                <a:srgbClr val="FFFFFF"/>
              </a:highlight>
            </a:endParaRPr>
          </a:p>
          <a:p>
            <a:pPr indent="0" lvl="0" marL="0" rtl="0" algn="just">
              <a:spcBef>
                <a:spcPts val="0"/>
              </a:spcBef>
              <a:spcAft>
                <a:spcPts val="0"/>
              </a:spcAft>
              <a:buNone/>
            </a:pPr>
            <a:r>
              <a:rPr lang="en-US" sz="700">
                <a:highlight>
                  <a:srgbClr val="FFFFFF"/>
                </a:highlight>
              </a:rPr>
              <a:t>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a:t>
            </a:r>
            <a:endParaRPr sz="700">
              <a:highlight>
                <a:srgbClr val="FFFFFF"/>
              </a:highlight>
            </a:endParaRPr>
          </a:p>
          <a:p>
            <a:pPr indent="0" lvl="0" marL="0" rtl="0" algn="just">
              <a:spcBef>
                <a:spcPts val="0"/>
              </a:spcBef>
              <a:spcAft>
                <a:spcPts val="0"/>
              </a:spcAft>
              <a:buNone/>
            </a:pPr>
            <a:r>
              <a:rPr lang="en-US" sz="700">
                <a:highlight>
                  <a:srgbClr val="FFFFFF"/>
                </a:highlight>
              </a:rPr>
              <a:t>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a:t>
            </a:r>
            <a:endParaRPr sz="700">
              <a:highlight>
                <a:srgbClr val="FFFFFF"/>
              </a:highlight>
            </a:endParaRPr>
          </a:p>
        </xdr:txBody>
      </xdr:sp>
      <xdr:sp>
        <xdr:nvSpPr>
          <xdr:cNvPr id="92" name="Shape 92"/>
          <xdr:cNvSpPr txBox="1"/>
        </xdr:nvSpPr>
        <xdr:spPr>
          <a:xfrm>
            <a:off x="4751050" y="2581700"/>
            <a:ext cx="2431500" cy="3387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000">
                <a:solidFill>
                  <a:srgbClr val="9900FF"/>
                </a:solidFill>
              </a:rPr>
              <a:t>Heure estimée / réelle à noter en vol</a:t>
            </a:r>
            <a:endParaRPr sz="1000">
              <a:solidFill>
                <a:srgbClr val="9900FF"/>
              </a:solidFill>
            </a:endParaRPr>
          </a:p>
        </xdr:txBody>
      </xdr:sp>
      <xdr:cxnSp>
        <xdr:nvCxnSpPr>
          <xdr:cNvPr id="93" name="Shape 93"/>
          <xdr:cNvCxnSpPr/>
        </xdr:nvCxnSpPr>
        <xdr:spPr>
          <a:xfrm>
            <a:off x="5966800" y="2844200"/>
            <a:ext cx="0" cy="229500"/>
          </a:xfrm>
          <a:prstGeom prst="straightConnector1">
            <a:avLst/>
          </a:prstGeom>
          <a:noFill/>
          <a:ln cap="flat" cmpd="sng" w="9525">
            <a:solidFill>
              <a:srgbClr val="9900FF"/>
            </a:solidFill>
            <a:prstDash val="solid"/>
            <a:round/>
            <a:headEnd len="med" w="med" type="none"/>
            <a:tailEnd len="med" w="med" type="triangle"/>
          </a:ln>
        </xdr:spPr>
      </xdr:cxnSp>
      <xdr:sp>
        <xdr:nvSpPr>
          <xdr:cNvPr id="94" name="Shape 94"/>
          <xdr:cNvSpPr/>
        </xdr:nvSpPr>
        <xdr:spPr>
          <a:xfrm>
            <a:off x="6744800" y="2986625"/>
            <a:ext cx="294300" cy="2133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solidFill>
                  <a:srgbClr val="FF0000"/>
                </a:solidFill>
              </a:rPr>
              <a:t>9</a:t>
            </a:r>
            <a:endParaRPr sz="1000">
              <a:solidFill>
                <a:srgbClr val="FF0000"/>
              </a:solidFill>
            </a:endParaRPr>
          </a:p>
        </xdr:txBody>
      </xdr:sp>
      <xdr:sp>
        <xdr:nvSpPr>
          <xdr:cNvPr id="95" name="Shape 95"/>
          <xdr:cNvSpPr/>
        </xdr:nvSpPr>
        <xdr:spPr>
          <a:xfrm>
            <a:off x="7192600" y="3062825"/>
            <a:ext cx="385200" cy="2133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solidFill>
                  <a:srgbClr val="FF0000"/>
                </a:solidFill>
              </a:rPr>
              <a:t>10</a:t>
            </a:r>
            <a:endParaRPr sz="1000">
              <a:solidFill>
                <a:srgbClr val="FF0000"/>
              </a:solidFill>
            </a:endParaRPr>
          </a:p>
        </xdr:txBody>
      </xdr:sp>
      <xdr:sp>
        <xdr:nvSpPr>
          <xdr:cNvPr id="96" name="Shape 96"/>
          <xdr:cNvSpPr txBox="1"/>
        </xdr:nvSpPr>
        <xdr:spPr>
          <a:xfrm>
            <a:off x="0" y="945075"/>
            <a:ext cx="7198500" cy="1847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900"/>
              <a:t>Principe général de fonctionnement :</a:t>
            </a:r>
            <a:endParaRPr b="1" sz="900"/>
          </a:p>
          <a:p>
            <a:pPr indent="-152400" lvl="0" marL="269999" rtl="0" algn="l">
              <a:spcBef>
                <a:spcPts val="0"/>
              </a:spcBef>
              <a:spcAft>
                <a:spcPts val="0"/>
              </a:spcAft>
              <a:buSzPts val="900"/>
              <a:buChar char="●"/>
            </a:pPr>
            <a:r>
              <a:rPr lang="en-US" sz="900"/>
              <a:t>On fait le choix d’un Facteur de base (Fb) / Vitesse Propre (Vp) qui est utilisé pour graduer les branches sur la carte (voir à droite)</a:t>
            </a:r>
            <a:endParaRPr sz="900"/>
          </a:p>
          <a:p>
            <a:pPr indent="-152400" lvl="0" marL="269999" rtl="0" algn="l">
              <a:spcBef>
                <a:spcPts val="0"/>
              </a:spcBef>
              <a:spcAft>
                <a:spcPts val="0"/>
              </a:spcAft>
              <a:buSzPts val="900"/>
              <a:buChar char="●"/>
            </a:pPr>
            <a:r>
              <a:rPr lang="en-US" sz="900"/>
              <a:t>La Vitesse indiquée (Vi) est calculée pour chaque branche en fonction de son altitude Z</a:t>
            </a:r>
            <a:endParaRPr sz="900"/>
          </a:p>
          <a:p>
            <a:pPr indent="-152400" lvl="0" marL="269999" rtl="0" algn="l">
              <a:spcBef>
                <a:spcPts val="0"/>
              </a:spcBef>
              <a:spcAft>
                <a:spcPts val="0"/>
              </a:spcAft>
              <a:buSzPts val="900"/>
              <a:buChar char="●"/>
            </a:pPr>
            <a:r>
              <a:rPr lang="en-US" sz="900"/>
              <a:t>L’altitude densité (Zd) est calculée pour interpoler le Débit Carburant (Fuel Flow, FF) en fonction de la documentation constructeur (onglet </a:t>
            </a:r>
            <a:r>
              <a:rPr lang="en-US" sz="900">
                <a:solidFill>
                  <a:srgbClr val="980000"/>
                </a:solidFill>
              </a:rPr>
              <a:t>FUEL FLOW</a:t>
            </a:r>
            <a:r>
              <a:rPr lang="en-US" sz="900"/>
              <a:t>).</a:t>
            </a:r>
            <a:endParaRPr sz="900"/>
          </a:p>
          <a:p>
            <a:pPr indent="-152400" lvl="0" marL="269999" rtl="0" algn="l">
              <a:spcBef>
                <a:spcPts val="0"/>
              </a:spcBef>
              <a:spcAft>
                <a:spcPts val="0"/>
              </a:spcAft>
              <a:buSzPts val="900"/>
              <a:buChar char="●"/>
            </a:pPr>
            <a:r>
              <a:rPr lang="en-US" sz="900"/>
              <a:t>Les paramètres des branches sont saisis dans l’onglet </a:t>
            </a:r>
            <a:r>
              <a:rPr lang="en-US" sz="900">
                <a:solidFill>
                  <a:srgbClr val="4A86E8"/>
                </a:solidFill>
              </a:rPr>
              <a:t>CALCUL BRANCHES</a:t>
            </a:r>
            <a:r>
              <a:rPr lang="en-US" sz="900"/>
              <a:t> (Points de Report, Route magnétique Rm, longueur de branche D, Altitude branche Z, Altitude sécurité MSA) et apparaissent en </a:t>
            </a:r>
            <a:r>
              <a:rPr lang="en-US" sz="900">
                <a:solidFill>
                  <a:srgbClr val="4A86E8"/>
                </a:solidFill>
              </a:rPr>
              <a:t>bleu </a:t>
            </a:r>
            <a:r>
              <a:rPr lang="en-US" sz="900"/>
              <a:t>dans l’onglet </a:t>
            </a:r>
            <a:r>
              <a:rPr lang="en-US" sz="900">
                <a:solidFill>
                  <a:srgbClr val="FF9900"/>
                </a:solidFill>
              </a:rPr>
              <a:t>LOG</a:t>
            </a:r>
            <a:endParaRPr sz="900">
              <a:solidFill>
                <a:srgbClr val="FF9900"/>
              </a:solidFill>
            </a:endParaRPr>
          </a:p>
          <a:p>
            <a:pPr indent="-152400" lvl="0" marL="269999" rtl="0" algn="l">
              <a:spcBef>
                <a:spcPts val="0"/>
              </a:spcBef>
              <a:spcAft>
                <a:spcPts val="0"/>
              </a:spcAft>
              <a:buSzPts val="900"/>
              <a:buChar char="●"/>
            </a:pPr>
            <a:r>
              <a:rPr lang="en-US" sz="900"/>
              <a:t>Le Cap magnétique Cm, le temps sans (T) / avec vent (Tw), le temps de navigation restant (ETA)  ainsi que la consommation sans (F) et avec vent (Fw) sont calculés automatiquement.</a:t>
            </a:r>
            <a:endParaRPr sz="900"/>
          </a:p>
          <a:p>
            <a:pPr indent="-152400" lvl="0" marL="269999" rtl="0" algn="l">
              <a:spcBef>
                <a:spcPts val="0"/>
              </a:spcBef>
              <a:spcAft>
                <a:spcPts val="0"/>
              </a:spcAft>
              <a:buSzPts val="900"/>
              <a:buChar char="●"/>
            </a:pPr>
            <a:r>
              <a:rPr lang="en-US" sz="900"/>
              <a:t>Tous les autres paramètres en </a:t>
            </a:r>
            <a:r>
              <a:rPr lang="en-US" sz="900">
                <a:solidFill>
                  <a:srgbClr val="FF9900"/>
                </a:solidFill>
              </a:rPr>
              <a:t>orange </a:t>
            </a:r>
            <a:r>
              <a:rPr lang="en-US" sz="900"/>
              <a:t>sont à saisir directement dans l’onglet </a:t>
            </a:r>
            <a:r>
              <a:rPr lang="en-US" sz="900">
                <a:solidFill>
                  <a:srgbClr val="FF9900"/>
                </a:solidFill>
              </a:rPr>
              <a:t>LOG</a:t>
            </a:r>
            <a:r>
              <a:rPr lang="en-US" sz="900"/>
              <a:t>. En </a:t>
            </a:r>
            <a:r>
              <a:rPr lang="en-US" sz="900">
                <a:solidFill>
                  <a:srgbClr val="9900FF"/>
                </a:solidFill>
              </a:rPr>
              <a:t>violet </a:t>
            </a:r>
            <a:r>
              <a:rPr lang="en-US" sz="900"/>
              <a:t>ceux qu’on note pendant le vol.</a:t>
            </a:r>
            <a:endParaRPr sz="900"/>
          </a:p>
          <a:p>
            <a:pPr indent="-152400" lvl="0" marL="269999" rtl="0" algn="l">
              <a:spcBef>
                <a:spcPts val="0"/>
              </a:spcBef>
              <a:spcAft>
                <a:spcPts val="0"/>
              </a:spcAft>
              <a:buSzPts val="900"/>
              <a:buChar char="●"/>
            </a:pPr>
            <a:r>
              <a:rPr lang="en-US" sz="900"/>
              <a:t>Les fréquences sont définies dans l’onglet </a:t>
            </a:r>
            <a:r>
              <a:rPr lang="en-US" sz="900">
                <a:solidFill>
                  <a:srgbClr val="FF00FF"/>
                </a:solidFill>
              </a:rPr>
              <a:t>FREQUENCES </a:t>
            </a:r>
            <a:r>
              <a:rPr lang="en-US" sz="900"/>
              <a:t>et sont appelées depuis l’onglet </a:t>
            </a:r>
            <a:r>
              <a:rPr lang="en-US" sz="900">
                <a:solidFill>
                  <a:srgbClr val="FF9900"/>
                </a:solidFill>
              </a:rPr>
              <a:t>LOG </a:t>
            </a:r>
            <a:r>
              <a:rPr lang="en-US" sz="900"/>
              <a:t>avec une liste déroulante.</a:t>
            </a:r>
            <a:endParaRPr sz="900"/>
          </a:p>
          <a:p>
            <a:pPr indent="-152400" lvl="0" marL="269999" rtl="0" algn="l">
              <a:spcBef>
                <a:spcPts val="0"/>
              </a:spcBef>
              <a:spcAft>
                <a:spcPts val="0"/>
              </a:spcAft>
              <a:buSzPts val="900"/>
              <a:buChar char="●"/>
            </a:pPr>
            <a:r>
              <a:rPr lang="en-US" sz="900"/>
              <a:t>L’onglet CENTRAGE permet de réaliser le devis de masse, et de là les DISTANCES TKOF/LDG en fonction de l’altitude densité.</a:t>
            </a:r>
            <a:endParaRPr sz="900"/>
          </a:p>
        </xdr:txBody>
      </xdr:sp>
    </xdr:grpSp>
    <xdr:clientData fLocksWithSheet="0"/>
  </xdr:oneCellAnchor>
  <xdr:oneCellAnchor>
    <xdr:from>
      <xdr:col>0</xdr:col>
      <xdr:colOff>161925</xdr:colOff>
      <xdr:row>12</xdr:row>
      <xdr:rowOff>238125</xdr:rowOff>
    </xdr:from>
    <xdr:ext cx="2790825" cy="6657975"/>
    <xdr:grpSp>
      <xdr:nvGrpSpPr>
        <xdr:cNvPr id="2" name="Shape 2" title="Dessin"/>
        <xdr:cNvGrpSpPr/>
      </xdr:nvGrpSpPr>
      <xdr:grpSpPr>
        <a:xfrm>
          <a:off x="0" y="0"/>
          <a:ext cx="2784300" cy="6649500"/>
          <a:chOff x="0" y="0"/>
          <a:chExt cx="2784300" cy="6649500"/>
        </a:xfrm>
      </xdr:grpSpPr>
      <xdr:sp>
        <xdr:nvSpPr>
          <xdr:cNvPr id="97" name="Shape 97"/>
          <xdr:cNvSpPr txBox="1"/>
        </xdr:nvSpPr>
        <xdr:spPr>
          <a:xfrm>
            <a:off x="0" y="0"/>
            <a:ext cx="2391600" cy="66495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000"/>
              <a:t>Pour le</a:t>
            </a:r>
            <a:r>
              <a:rPr b="1" lang="en-US" sz="1000"/>
              <a:t> bilan carburant</a:t>
            </a:r>
            <a:r>
              <a:rPr lang="en-US" sz="1000"/>
              <a:t> on saisit :</a:t>
            </a:r>
            <a:endParaRPr sz="1000"/>
          </a:p>
          <a:p>
            <a:pPr indent="0" lvl="0" marL="0" rtl="0" algn="l">
              <a:spcBef>
                <a:spcPts val="0"/>
              </a:spcBef>
              <a:spcAft>
                <a:spcPts val="0"/>
              </a:spcAft>
              <a:buNone/>
            </a:pPr>
            <a:r>
              <a:rPr lang="en-US" sz="1000">
                <a:solidFill>
                  <a:srgbClr val="FF0000"/>
                </a:solidFill>
              </a:rPr>
              <a:t>11</a:t>
            </a:r>
            <a:r>
              <a:rPr lang="en-US" sz="1000"/>
              <a:t> - le temps pour les procédures de départ</a:t>
            </a:r>
            <a:endParaRPr sz="1000"/>
          </a:p>
          <a:p>
            <a:pPr indent="0" lvl="0" marL="0" rtl="0" algn="l">
              <a:spcBef>
                <a:spcPts val="0"/>
              </a:spcBef>
              <a:spcAft>
                <a:spcPts val="0"/>
              </a:spcAft>
              <a:buNone/>
            </a:pPr>
            <a:r>
              <a:rPr lang="en-US" sz="1000">
                <a:solidFill>
                  <a:srgbClr val="FF0000"/>
                </a:solidFill>
              </a:rPr>
              <a:t>13</a:t>
            </a:r>
            <a:r>
              <a:rPr lang="en-US" sz="1000"/>
              <a:t> - le temps pour les procédures d’arrivée</a:t>
            </a:r>
            <a:endParaRPr sz="1000"/>
          </a:p>
          <a:p>
            <a:pPr indent="0" lvl="0" marL="0" rtl="0" algn="l">
              <a:spcBef>
                <a:spcPts val="0"/>
              </a:spcBef>
              <a:spcAft>
                <a:spcPts val="0"/>
              </a:spcAft>
              <a:buNone/>
            </a:pPr>
            <a:r>
              <a:rPr lang="en-US" sz="1000">
                <a:solidFill>
                  <a:srgbClr val="FF0000"/>
                </a:solidFill>
              </a:rPr>
              <a:t>14</a:t>
            </a:r>
            <a:r>
              <a:rPr lang="en-US" sz="1000"/>
              <a:t> - la réserve de route</a:t>
            </a:r>
            <a:endParaRPr sz="1000"/>
          </a:p>
          <a:p>
            <a:pPr indent="0" lvl="0" marL="0" rtl="0" algn="l">
              <a:spcBef>
                <a:spcPts val="0"/>
              </a:spcBef>
              <a:spcAft>
                <a:spcPts val="0"/>
              </a:spcAft>
              <a:buNone/>
            </a:pPr>
            <a:r>
              <a:rPr lang="en-US" sz="1000">
                <a:solidFill>
                  <a:srgbClr val="FF0000"/>
                </a:solidFill>
              </a:rPr>
              <a:t>15</a:t>
            </a:r>
            <a:r>
              <a:rPr lang="en-US" sz="1000"/>
              <a:t> - la réserve finale réglementaire</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lang="en-US" sz="1000"/>
              <a:t>La consommation pour les étapes </a:t>
            </a:r>
            <a:r>
              <a:rPr lang="en-US" sz="1000">
                <a:solidFill>
                  <a:srgbClr val="FF0000"/>
                </a:solidFill>
              </a:rPr>
              <a:t>12</a:t>
            </a:r>
            <a:r>
              <a:rPr lang="en-US" sz="1000"/>
              <a:t> est calculée en intégrant le vent.</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lang="en-US" sz="1000"/>
              <a:t>Le cartouche </a:t>
            </a:r>
            <a:r>
              <a:rPr b="1" lang="en-US" sz="1000"/>
              <a:t>DEP / ARR </a:t>
            </a:r>
            <a:r>
              <a:rPr lang="en-US" sz="1000"/>
              <a:t> permet de saisir :</a:t>
            </a:r>
            <a:endParaRPr sz="1000"/>
          </a:p>
          <a:p>
            <a:pPr indent="-158750" lvl="0" marL="179999" rtl="0" algn="l">
              <a:spcBef>
                <a:spcPts val="0"/>
              </a:spcBef>
              <a:spcAft>
                <a:spcPts val="0"/>
              </a:spcAft>
              <a:buSzPts val="1000"/>
              <a:buChar char="-"/>
            </a:pPr>
            <a:r>
              <a:rPr lang="en-US" sz="1000"/>
              <a:t>la date, les heures bloc départ / arrivée</a:t>
            </a:r>
            <a:endParaRPr sz="1000"/>
          </a:p>
          <a:p>
            <a:pPr indent="-158750" lvl="0" marL="179999" rtl="0" algn="l">
              <a:spcBef>
                <a:spcPts val="0"/>
              </a:spcBef>
              <a:spcAft>
                <a:spcPts val="0"/>
              </a:spcAft>
              <a:buSzPts val="1000"/>
              <a:buChar char="-"/>
            </a:pPr>
            <a:r>
              <a:rPr lang="en-US" sz="1000"/>
              <a:t>les valeurs d’horamètre (HOBBS)</a:t>
            </a:r>
            <a:endParaRPr sz="1000"/>
          </a:p>
          <a:p>
            <a:pPr indent="-158750" lvl="0" marL="179999" rtl="0" algn="l">
              <a:spcBef>
                <a:spcPts val="0"/>
              </a:spcBef>
              <a:spcAft>
                <a:spcPts val="0"/>
              </a:spcAft>
              <a:buSzPts val="1000"/>
              <a:buChar char="-"/>
            </a:pPr>
            <a:r>
              <a:rPr lang="en-US" sz="1000"/>
              <a:t>la quantité de carburant embarquée</a:t>
            </a:r>
            <a:endParaRPr sz="1000"/>
          </a:p>
          <a:p>
            <a:pPr indent="-158750" lvl="0" marL="179999" rtl="0" algn="l">
              <a:spcBef>
                <a:spcPts val="0"/>
              </a:spcBef>
              <a:spcAft>
                <a:spcPts val="0"/>
              </a:spcAft>
              <a:buSzPts val="1000"/>
              <a:buChar char="-"/>
            </a:pPr>
            <a:r>
              <a:rPr lang="en-US" sz="1000"/>
              <a:t>l’autonomie et l’heure d’</a:t>
            </a:r>
            <a:r>
              <a:rPr lang="en-US" sz="1000"/>
              <a:t>arrêt moteur</a:t>
            </a:r>
            <a:r>
              <a:rPr lang="en-US" sz="1000"/>
              <a:t> sont calculées</a:t>
            </a:r>
            <a:endParaRPr sz="1000"/>
          </a:p>
          <a:p>
            <a:pPr indent="-158750" lvl="0" marL="179999" rtl="0" algn="l">
              <a:spcBef>
                <a:spcPts val="0"/>
              </a:spcBef>
              <a:spcAft>
                <a:spcPts val="0"/>
              </a:spcAft>
              <a:buSzPts val="1000"/>
              <a:buChar char="-"/>
            </a:pPr>
            <a:r>
              <a:rPr lang="en-US" sz="1000"/>
              <a:t>les distances de décollage et d’atterrissage (roulage et totale à 50 fr)</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lang="en-US" sz="1000"/>
              <a:t>Autres paramètres à saisir  :</a:t>
            </a:r>
            <a:endParaRPr sz="1000"/>
          </a:p>
          <a:p>
            <a:pPr indent="-292100" lvl="0" marL="457200" rtl="0" algn="l">
              <a:spcBef>
                <a:spcPts val="0"/>
              </a:spcBef>
              <a:spcAft>
                <a:spcPts val="0"/>
              </a:spcAft>
              <a:buSzPts val="1000"/>
              <a:buChar char="-"/>
            </a:pPr>
            <a:r>
              <a:rPr lang="en-US" sz="1000"/>
              <a:t>Vitesse (</a:t>
            </a:r>
            <a:r>
              <a:rPr b="1" lang="en-US" sz="1000"/>
              <a:t>Vw</a:t>
            </a:r>
            <a:r>
              <a:rPr lang="en-US" sz="1000"/>
              <a:t>) et Direction (</a:t>
            </a:r>
            <a:r>
              <a:rPr b="1" lang="en-US" sz="1000"/>
              <a:t>Dw</a:t>
            </a:r>
            <a:r>
              <a:rPr lang="en-US" sz="1000"/>
              <a:t>) du vent pour le calcul de dérive</a:t>
            </a:r>
            <a:endParaRPr sz="1000"/>
          </a:p>
          <a:p>
            <a:pPr indent="-292100" lvl="0" marL="457200" rtl="0" algn="l">
              <a:spcBef>
                <a:spcPts val="0"/>
              </a:spcBef>
              <a:spcAft>
                <a:spcPts val="0"/>
              </a:spcAft>
              <a:buSzPts val="1000"/>
              <a:buChar char="-"/>
            </a:pPr>
            <a:r>
              <a:rPr b="1" lang="en-US" sz="1000"/>
              <a:t>QNH</a:t>
            </a:r>
            <a:r>
              <a:rPr lang="en-US" sz="1000"/>
              <a:t>, Température Air Extérieure (</a:t>
            </a:r>
            <a:r>
              <a:rPr b="1" lang="en-US" sz="1000"/>
              <a:t>OAT</a:t>
            </a:r>
            <a:r>
              <a:rPr lang="en-US" sz="1000"/>
              <a:t>) et altitude de référence pour le calcul Zp et Zd</a:t>
            </a:r>
            <a:endParaRPr sz="1000"/>
          </a:p>
          <a:p>
            <a:pPr indent="-292100" lvl="0" marL="457200" rtl="0" algn="l">
              <a:spcBef>
                <a:spcPts val="0"/>
              </a:spcBef>
              <a:spcAft>
                <a:spcPts val="0"/>
              </a:spcAft>
              <a:buSzPts val="1000"/>
              <a:buChar char="-"/>
            </a:pPr>
            <a:r>
              <a:rPr lang="en-US" sz="1000"/>
              <a:t>Facteur de base </a:t>
            </a:r>
            <a:r>
              <a:rPr b="1" lang="en-US" sz="1000"/>
              <a:t>Fb</a:t>
            </a:r>
            <a:endParaRPr b="1" sz="1000"/>
          </a:p>
          <a:p>
            <a:pPr indent="0" lvl="0" marL="0" rtl="0" algn="l">
              <a:spcBef>
                <a:spcPts val="0"/>
              </a:spcBef>
              <a:spcAft>
                <a:spcPts val="0"/>
              </a:spcAft>
              <a:buNone/>
            </a:pPr>
            <a:r>
              <a:t/>
            </a:r>
            <a:endParaRPr b="1" sz="1000"/>
          </a:p>
          <a:p>
            <a:pPr indent="0" lvl="0" marL="0" rtl="0" algn="l">
              <a:spcBef>
                <a:spcPts val="0"/>
              </a:spcBef>
              <a:spcAft>
                <a:spcPts val="0"/>
              </a:spcAft>
              <a:buNone/>
            </a:pPr>
            <a:r>
              <a:rPr lang="en-US" sz="1000"/>
              <a:t>Le débit carburant (</a:t>
            </a:r>
            <a:r>
              <a:rPr b="1" lang="en-US" sz="1000"/>
              <a:t>FF</a:t>
            </a:r>
            <a:r>
              <a:rPr lang="en-US" sz="1000"/>
              <a:t>) moyen et</a:t>
            </a:r>
            <a:r>
              <a:rPr lang="en-US" sz="1000">
                <a:solidFill>
                  <a:srgbClr val="FF0000"/>
                </a:solidFill>
              </a:rPr>
              <a:t> </a:t>
            </a:r>
            <a:r>
              <a:rPr lang="en-US" sz="1000"/>
              <a:t>l</a:t>
            </a:r>
            <a:r>
              <a:rPr lang="en-US" sz="1000"/>
              <a:t>a longueur totale de la navigation (</a:t>
            </a:r>
            <a:r>
              <a:rPr b="1" lang="en-US" sz="1000"/>
              <a:t>D</a:t>
            </a:r>
            <a:r>
              <a:rPr lang="en-US" sz="1000"/>
              <a:t>) sont également calculés.</a:t>
            </a:r>
            <a:endParaRPr sz="1000">
              <a:solidFill>
                <a:srgbClr val="FF0000"/>
              </a:solidFill>
            </a:endParaRPr>
          </a:p>
          <a:p>
            <a:pPr indent="0" lvl="0" marL="0" rtl="0" algn="l">
              <a:spcBef>
                <a:spcPts val="0"/>
              </a:spcBef>
              <a:spcAft>
                <a:spcPts val="0"/>
              </a:spcAft>
              <a:buNone/>
            </a:pPr>
            <a:r>
              <a:t/>
            </a:r>
            <a:endParaRPr b="1" sz="1000"/>
          </a:p>
          <a:p>
            <a:pPr indent="0" lvl="0" marL="0" rtl="0" algn="l">
              <a:spcBef>
                <a:spcPts val="0"/>
              </a:spcBef>
              <a:spcAft>
                <a:spcPts val="0"/>
              </a:spcAft>
              <a:buNone/>
            </a:pPr>
            <a:r>
              <a:rPr lang="en-US" sz="1000"/>
              <a:t>La dérive maximale </a:t>
            </a:r>
            <a:r>
              <a:rPr b="1" lang="en-US" sz="1000"/>
              <a:t>Xm</a:t>
            </a:r>
            <a:r>
              <a:rPr lang="en-US" sz="1000"/>
              <a:t> est calculée et une table simple de calcul de dérive </a:t>
            </a:r>
            <a:r>
              <a:rPr b="1" lang="en-US" sz="1000"/>
              <a:t>X</a:t>
            </a:r>
            <a:r>
              <a:rPr lang="en-US" sz="1000"/>
              <a:t> et de temps corrigé </a:t>
            </a:r>
            <a:r>
              <a:rPr b="1" lang="en-US" sz="1000"/>
              <a:t>Tc</a:t>
            </a:r>
            <a:r>
              <a:rPr lang="en-US" sz="1000"/>
              <a:t> (en secondes / minute) en fonction de l’angle au vent </a:t>
            </a:r>
            <a:r>
              <a:rPr b="1" lang="en-US" sz="1000"/>
              <a:t>α</a:t>
            </a:r>
            <a:r>
              <a:rPr lang="en-US" sz="1000"/>
              <a:t> est disponible.</a:t>
            </a:r>
            <a:endParaRPr sz="1000"/>
          </a:p>
        </xdr:txBody>
      </xdr:sp>
      <xdr:sp>
        <xdr:nvSpPr>
          <xdr:cNvPr id="98" name="Shape 98"/>
          <xdr:cNvSpPr txBox="1"/>
        </xdr:nvSpPr>
        <xdr:spPr>
          <a:xfrm>
            <a:off x="2313900" y="2638550"/>
            <a:ext cx="470400" cy="3540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100">
                <a:solidFill>
                  <a:srgbClr val="FF0000"/>
                </a:solidFill>
              </a:rPr>
              <a:t>11</a:t>
            </a:r>
            <a:endParaRPr sz="1100">
              <a:solidFill>
                <a:srgbClr val="FF0000"/>
              </a:solidFill>
            </a:endParaRPr>
          </a:p>
        </xdr:txBody>
      </xdr:sp>
      <xdr:sp>
        <xdr:nvSpPr>
          <xdr:cNvPr id="99" name="Shape 99"/>
          <xdr:cNvSpPr txBox="1"/>
        </xdr:nvSpPr>
        <xdr:spPr>
          <a:xfrm>
            <a:off x="2313900" y="2880444"/>
            <a:ext cx="470400" cy="3540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100">
                <a:solidFill>
                  <a:srgbClr val="FF0000"/>
                </a:solidFill>
              </a:rPr>
              <a:t>12</a:t>
            </a:r>
            <a:endParaRPr sz="1100">
              <a:solidFill>
                <a:srgbClr val="FF0000"/>
              </a:solidFill>
            </a:endParaRPr>
          </a:p>
        </xdr:txBody>
      </xdr:sp>
      <xdr:sp>
        <xdr:nvSpPr>
          <xdr:cNvPr id="100" name="Shape 100"/>
          <xdr:cNvSpPr txBox="1"/>
        </xdr:nvSpPr>
        <xdr:spPr>
          <a:xfrm>
            <a:off x="2313900" y="3364231"/>
            <a:ext cx="470400" cy="3540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100">
                <a:solidFill>
                  <a:srgbClr val="FF0000"/>
                </a:solidFill>
              </a:rPr>
              <a:t>14</a:t>
            </a:r>
            <a:endParaRPr sz="1100">
              <a:solidFill>
                <a:srgbClr val="FF0000"/>
              </a:solidFill>
            </a:endParaRPr>
          </a:p>
        </xdr:txBody>
      </xdr:sp>
      <xdr:sp>
        <xdr:nvSpPr>
          <xdr:cNvPr id="101" name="Shape 101"/>
          <xdr:cNvSpPr txBox="1"/>
        </xdr:nvSpPr>
        <xdr:spPr>
          <a:xfrm>
            <a:off x="2313900" y="3122338"/>
            <a:ext cx="470400" cy="3540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100">
                <a:solidFill>
                  <a:srgbClr val="FF0000"/>
                </a:solidFill>
              </a:rPr>
              <a:t>13</a:t>
            </a:r>
            <a:endParaRPr sz="1100">
              <a:solidFill>
                <a:srgbClr val="FF0000"/>
              </a:solidFill>
            </a:endParaRPr>
          </a:p>
        </xdr:txBody>
      </xdr:sp>
      <xdr:sp>
        <xdr:nvSpPr>
          <xdr:cNvPr id="102" name="Shape 102"/>
          <xdr:cNvSpPr txBox="1"/>
        </xdr:nvSpPr>
        <xdr:spPr>
          <a:xfrm>
            <a:off x="2313900" y="3606125"/>
            <a:ext cx="470400" cy="3540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100">
                <a:solidFill>
                  <a:srgbClr val="FF0000"/>
                </a:solidFill>
              </a:rPr>
              <a:t>15</a:t>
            </a:r>
            <a:endParaRPr sz="1100">
              <a:solidFill>
                <a:srgbClr val="FF0000"/>
              </a:solidFill>
            </a:endParaRPr>
          </a:p>
        </xdr:txBody>
      </xdr:sp>
    </xdr:grpSp>
    <xdr:clientData fLocksWithSheet="0"/>
  </xdr:oneCellAnchor>
  <xdr:oneCellAnchor>
    <xdr:from>
      <xdr:col>17</xdr:col>
      <xdr:colOff>381000</xdr:colOff>
      <xdr:row>3</xdr:row>
      <xdr:rowOff>228600</xdr:rowOff>
    </xdr:from>
    <xdr:ext cx="790575" cy="485775"/>
    <xdr:grpSp>
      <xdr:nvGrpSpPr>
        <xdr:cNvPr id="2" name="Shape 2" title="Dessin"/>
        <xdr:cNvGrpSpPr/>
      </xdr:nvGrpSpPr>
      <xdr:grpSpPr>
        <a:xfrm>
          <a:off x="1332000" y="919250"/>
          <a:ext cx="724800" cy="724800"/>
          <a:chOff x="1332000" y="919250"/>
          <a:chExt cx="724800" cy="724800"/>
        </a:xfrm>
      </xdr:grpSpPr>
      <xdr:cxnSp>
        <xdr:nvCxnSpPr>
          <xdr:cNvPr id="103" name="Shape 103"/>
          <xdr:cNvCxnSpPr/>
        </xdr:nvCxnSpPr>
        <xdr:spPr>
          <a:xfrm flipH="1" rot="10800000">
            <a:off x="1332000" y="919250"/>
            <a:ext cx="724800" cy="724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13</xdr:col>
      <xdr:colOff>57150</xdr:colOff>
      <xdr:row>0</xdr:row>
      <xdr:rowOff>0</xdr:rowOff>
    </xdr:from>
    <xdr:ext cx="2143125" cy="2838450"/>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85725</xdr:colOff>
      <xdr:row>3</xdr:row>
      <xdr:rowOff>228600</xdr:rowOff>
    </xdr:from>
    <xdr:ext cx="762000" cy="485775"/>
    <xdr:grpSp>
      <xdr:nvGrpSpPr>
        <xdr:cNvPr id="2" name="Shape 2" title="Dessin"/>
        <xdr:cNvGrpSpPr/>
      </xdr:nvGrpSpPr>
      <xdr:grpSpPr>
        <a:xfrm>
          <a:off x="2173525" y="1156150"/>
          <a:ext cx="749400" cy="749400"/>
          <a:chOff x="2173525" y="1156150"/>
          <a:chExt cx="749400" cy="749400"/>
        </a:xfrm>
      </xdr:grpSpPr>
      <xdr:cxnSp>
        <xdr:nvCxnSpPr>
          <xdr:cNvPr id="3" name="Shape 3"/>
          <xdr:cNvCxnSpPr/>
        </xdr:nvCxnSpPr>
        <xdr:spPr>
          <a:xfrm flipH="1" rot="10800000">
            <a:off x="2173525" y="1156150"/>
            <a:ext cx="749400" cy="749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14</xdr:col>
      <xdr:colOff>85725</xdr:colOff>
      <xdr:row>1</xdr:row>
      <xdr:rowOff>228600</xdr:rowOff>
    </xdr:from>
    <xdr:ext cx="762000" cy="485775"/>
    <xdr:grpSp>
      <xdr:nvGrpSpPr>
        <xdr:cNvPr id="2" name="Shape 2" title="Dessin"/>
        <xdr:cNvGrpSpPr/>
      </xdr:nvGrpSpPr>
      <xdr:grpSpPr>
        <a:xfrm>
          <a:off x="2104050" y="828750"/>
          <a:ext cx="918000" cy="918000"/>
          <a:chOff x="2104050" y="828750"/>
          <a:chExt cx="918000" cy="918000"/>
        </a:xfrm>
      </xdr:grpSpPr>
      <xdr:cxnSp>
        <xdr:nvCxnSpPr>
          <xdr:cNvPr id="4" name="Shape 4"/>
          <xdr:cNvCxnSpPr/>
        </xdr:nvCxnSpPr>
        <xdr:spPr>
          <a:xfrm flipH="1" rot="10800000">
            <a:off x="2104050" y="828750"/>
            <a:ext cx="918000" cy="9180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14</xdr:col>
      <xdr:colOff>66675</xdr:colOff>
      <xdr:row>5</xdr:row>
      <xdr:rowOff>228600</xdr:rowOff>
    </xdr:from>
    <xdr:ext cx="781050" cy="485775"/>
    <xdr:grpSp>
      <xdr:nvGrpSpPr>
        <xdr:cNvPr id="2" name="Shape 2" title="Dessin"/>
        <xdr:cNvGrpSpPr/>
      </xdr:nvGrpSpPr>
      <xdr:grpSpPr>
        <a:xfrm>
          <a:off x="1865850" y="1136450"/>
          <a:ext cx="808800" cy="808800"/>
          <a:chOff x="1865850" y="1136450"/>
          <a:chExt cx="808800" cy="808800"/>
        </a:xfrm>
      </xdr:grpSpPr>
      <xdr:cxnSp>
        <xdr:nvCxnSpPr>
          <xdr:cNvPr id="5" name="Shape 5"/>
          <xdr:cNvCxnSpPr/>
        </xdr:nvCxnSpPr>
        <xdr:spPr>
          <a:xfrm flipH="1" rot="10800000">
            <a:off x="1865850" y="1136450"/>
            <a:ext cx="808800" cy="808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14</xdr:col>
      <xdr:colOff>85725</xdr:colOff>
      <xdr:row>7</xdr:row>
      <xdr:rowOff>228600</xdr:rowOff>
    </xdr:from>
    <xdr:ext cx="762000" cy="485775"/>
    <xdr:grpSp>
      <xdr:nvGrpSpPr>
        <xdr:cNvPr id="2" name="Shape 2" title="Dessin"/>
        <xdr:cNvGrpSpPr/>
      </xdr:nvGrpSpPr>
      <xdr:grpSpPr>
        <a:xfrm>
          <a:off x="1587950" y="1424300"/>
          <a:ext cx="699600" cy="699600"/>
          <a:chOff x="1587950" y="1424300"/>
          <a:chExt cx="699600" cy="699600"/>
        </a:xfrm>
      </xdr:grpSpPr>
      <xdr:cxnSp>
        <xdr:nvCxnSpPr>
          <xdr:cNvPr id="6" name="Shape 6"/>
          <xdr:cNvCxnSpPr/>
        </xdr:nvCxnSpPr>
        <xdr:spPr>
          <a:xfrm flipH="1" rot="10800000">
            <a:off x="1587950" y="1424300"/>
            <a:ext cx="699600" cy="6996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14</xdr:col>
      <xdr:colOff>85725</xdr:colOff>
      <xdr:row>9</xdr:row>
      <xdr:rowOff>228600</xdr:rowOff>
    </xdr:from>
    <xdr:ext cx="762000" cy="485775"/>
    <xdr:grpSp>
      <xdr:nvGrpSpPr>
        <xdr:cNvPr id="2" name="Shape 2" title="Dessin"/>
        <xdr:cNvGrpSpPr/>
      </xdr:nvGrpSpPr>
      <xdr:grpSpPr>
        <a:xfrm>
          <a:off x="2064350" y="774200"/>
          <a:ext cx="873300" cy="873300"/>
          <a:chOff x="2064350" y="774200"/>
          <a:chExt cx="873300" cy="873300"/>
        </a:xfrm>
      </xdr:grpSpPr>
      <xdr:cxnSp>
        <xdr:nvCxnSpPr>
          <xdr:cNvPr id="7" name="Shape 7"/>
          <xdr:cNvCxnSpPr/>
        </xdr:nvCxnSpPr>
        <xdr:spPr>
          <a:xfrm flipH="1" rot="10800000">
            <a:off x="2064350" y="774200"/>
            <a:ext cx="873300" cy="873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14</xdr:col>
      <xdr:colOff>85725</xdr:colOff>
      <xdr:row>11</xdr:row>
      <xdr:rowOff>228600</xdr:rowOff>
    </xdr:from>
    <xdr:ext cx="762000" cy="485775"/>
    <xdr:grpSp>
      <xdr:nvGrpSpPr>
        <xdr:cNvPr id="2" name="Shape 2" title="Dessin"/>
        <xdr:cNvGrpSpPr/>
      </xdr:nvGrpSpPr>
      <xdr:grpSpPr>
        <a:xfrm>
          <a:off x="1816225" y="2228150"/>
          <a:ext cx="1156200" cy="1156200"/>
          <a:chOff x="1816225" y="2228150"/>
          <a:chExt cx="1156200" cy="1156200"/>
        </a:xfrm>
      </xdr:grpSpPr>
      <xdr:cxnSp>
        <xdr:nvCxnSpPr>
          <xdr:cNvPr id="8" name="Shape 8"/>
          <xdr:cNvCxnSpPr/>
        </xdr:nvCxnSpPr>
        <xdr:spPr>
          <a:xfrm flipH="1" rot="10800000">
            <a:off x="1816225" y="2228150"/>
            <a:ext cx="1156200" cy="1156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14</xdr:col>
      <xdr:colOff>85725</xdr:colOff>
      <xdr:row>13</xdr:row>
      <xdr:rowOff>228600</xdr:rowOff>
    </xdr:from>
    <xdr:ext cx="762000" cy="485775"/>
    <xdr:grpSp>
      <xdr:nvGrpSpPr>
        <xdr:cNvPr id="2" name="Shape 2" title="Dessin"/>
        <xdr:cNvGrpSpPr/>
      </xdr:nvGrpSpPr>
      <xdr:grpSpPr>
        <a:xfrm>
          <a:off x="2411725" y="1548350"/>
          <a:ext cx="873300" cy="873300"/>
          <a:chOff x="2411725" y="1548350"/>
          <a:chExt cx="873300" cy="873300"/>
        </a:xfrm>
      </xdr:grpSpPr>
      <xdr:cxnSp>
        <xdr:nvCxnSpPr>
          <xdr:cNvPr id="9" name="Shape 9"/>
          <xdr:cNvCxnSpPr/>
        </xdr:nvCxnSpPr>
        <xdr:spPr>
          <a:xfrm flipH="1" rot="10800000">
            <a:off x="2411725" y="1548350"/>
            <a:ext cx="873300" cy="873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14</xdr:col>
      <xdr:colOff>85725</xdr:colOff>
      <xdr:row>15</xdr:row>
      <xdr:rowOff>228600</xdr:rowOff>
    </xdr:from>
    <xdr:ext cx="762000" cy="485775"/>
    <xdr:grpSp>
      <xdr:nvGrpSpPr>
        <xdr:cNvPr id="2" name="Shape 2" title="Dessin"/>
        <xdr:cNvGrpSpPr/>
      </xdr:nvGrpSpPr>
      <xdr:grpSpPr>
        <a:xfrm>
          <a:off x="2044500" y="1349900"/>
          <a:ext cx="962700" cy="893100"/>
          <a:chOff x="2044500" y="1349900"/>
          <a:chExt cx="962700" cy="893100"/>
        </a:xfrm>
      </xdr:grpSpPr>
      <xdr:cxnSp>
        <xdr:nvCxnSpPr>
          <xdr:cNvPr id="10" name="Shape 10"/>
          <xdr:cNvCxnSpPr/>
        </xdr:nvCxnSpPr>
        <xdr:spPr>
          <a:xfrm flipH="1" rot="10800000">
            <a:off x="2044500" y="1349900"/>
            <a:ext cx="962700" cy="8931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14</xdr:col>
      <xdr:colOff>85725</xdr:colOff>
      <xdr:row>17</xdr:row>
      <xdr:rowOff>228600</xdr:rowOff>
    </xdr:from>
    <xdr:ext cx="762000" cy="485775"/>
    <xdr:grpSp>
      <xdr:nvGrpSpPr>
        <xdr:cNvPr id="2" name="Shape 2" title="Dessin"/>
        <xdr:cNvGrpSpPr/>
      </xdr:nvGrpSpPr>
      <xdr:grpSpPr>
        <a:xfrm>
          <a:off x="2540725" y="1468825"/>
          <a:ext cx="823800" cy="823800"/>
          <a:chOff x="2540725" y="1468825"/>
          <a:chExt cx="823800" cy="823800"/>
        </a:xfrm>
      </xdr:grpSpPr>
      <xdr:cxnSp>
        <xdr:nvCxnSpPr>
          <xdr:cNvPr id="11" name="Shape 11"/>
          <xdr:cNvCxnSpPr/>
        </xdr:nvCxnSpPr>
        <xdr:spPr>
          <a:xfrm flipH="1" rot="10800000">
            <a:off x="2540725" y="1468825"/>
            <a:ext cx="823800" cy="823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14</xdr:col>
      <xdr:colOff>85725</xdr:colOff>
      <xdr:row>19</xdr:row>
      <xdr:rowOff>228600</xdr:rowOff>
    </xdr:from>
    <xdr:ext cx="762000" cy="485775"/>
    <xdr:grpSp>
      <xdr:nvGrpSpPr>
        <xdr:cNvPr id="2" name="Shape 2" title="Dessin"/>
        <xdr:cNvGrpSpPr/>
      </xdr:nvGrpSpPr>
      <xdr:grpSpPr>
        <a:xfrm>
          <a:off x="2123900" y="1339800"/>
          <a:ext cx="1310100" cy="1310100"/>
          <a:chOff x="2123900" y="1339800"/>
          <a:chExt cx="1310100" cy="1310100"/>
        </a:xfrm>
      </xdr:grpSpPr>
      <xdr:cxnSp>
        <xdr:nvCxnSpPr>
          <xdr:cNvPr id="12" name="Shape 12"/>
          <xdr:cNvCxnSpPr/>
        </xdr:nvCxnSpPr>
        <xdr:spPr>
          <a:xfrm flipH="1" rot="10800000">
            <a:off x="2123900" y="1339800"/>
            <a:ext cx="1310100" cy="13101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0</xdr:col>
      <xdr:colOff>9525</xdr:colOff>
      <xdr:row>6</xdr:row>
      <xdr:rowOff>0</xdr:rowOff>
    </xdr:from>
    <xdr:ext cx="800100" cy="485775"/>
    <xdr:grpSp>
      <xdr:nvGrpSpPr>
        <xdr:cNvPr id="2" name="Shape 2" title="Dessin"/>
        <xdr:cNvGrpSpPr/>
      </xdr:nvGrpSpPr>
      <xdr:grpSpPr>
        <a:xfrm>
          <a:off x="1975025" y="610500"/>
          <a:ext cx="1196100" cy="1195800"/>
          <a:chOff x="1975025" y="610500"/>
          <a:chExt cx="1196100" cy="1195800"/>
        </a:xfrm>
      </xdr:grpSpPr>
      <xdr:cxnSp>
        <xdr:nvCxnSpPr>
          <xdr:cNvPr id="13" name="Shape 13"/>
          <xdr:cNvCxnSpPr/>
        </xdr:nvCxnSpPr>
        <xdr:spPr>
          <a:xfrm flipH="1" rot="10800000">
            <a:off x="1975025" y="610500"/>
            <a:ext cx="1196100" cy="1195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0</xdr:col>
      <xdr:colOff>9525</xdr:colOff>
      <xdr:row>8</xdr:row>
      <xdr:rowOff>-19050</xdr:rowOff>
    </xdr:from>
    <xdr:ext cx="800100" cy="485775"/>
    <xdr:grpSp>
      <xdr:nvGrpSpPr>
        <xdr:cNvPr id="2" name="Shape 2" title="Dessin"/>
        <xdr:cNvGrpSpPr/>
      </xdr:nvGrpSpPr>
      <xdr:grpSpPr>
        <a:xfrm>
          <a:off x="1746750" y="1518600"/>
          <a:ext cx="1012200" cy="1012200"/>
          <a:chOff x="1746750" y="1518600"/>
          <a:chExt cx="1012200" cy="1012200"/>
        </a:xfrm>
      </xdr:grpSpPr>
      <xdr:cxnSp>
        <xdr:nvCxnSpPr>
          <xdr:cNvPr id="14" name="Shape 14"/>
          <xdr:cNvCxnSpPr/>
        </xdr:nvCxnSpPr>
        <xdr:spPr>
          <a:xfrm flipH="1" rot="10800000">
            <a:off x="1746750" y="1518600"/>
            <a:ext cx="1012200" cy="1012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0</xdr:col>
      <xdr:colOff>9525</xdr:colOff>
      <xdr:row>0</xdr:row>
      <xdr:rowOff>2181225</xdr:rowOff>
    </xdr:from>
    <xdr:ext cx="800100" cy="485775"/>
    <xdr:grpSp>
      <xdr:nvGrpSpPr>
        <xdr:cNvPr id="2" name="Shape 2" title="Dessin"/>
        <xdr:cNvGrpSpPr/>
      </xdr:nvGrpSpPr>
      <xdr:grpSpPr>
        <a:xfrm>
          <a:off x="1707050" y="1553350"/>
          <a:ext cx="1196100" cy="1195800"/>
          <a:chOff x="1707050" y="1553350"/>
          <a:chExt cx="1196100" cy="1195800"/>
        </a:xfrm>
      </xdr:grpSpPr>
      <xdr:cxnSp>
        <xdr:nvCxnSpPr>
          <xdr:cNvPr id="15" name="Shape 15"/>
          <xdr:cNvCxnSpPr/>
        </xdr:nvCxnSpPr>
        <xdr:spPr>
          <a:xfrm flipH="1" rot="10800000">
            <a:off x="1707050" y="1553350"/>
            <a:ext cx="1196100" cy="1195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0</xdr:col>
      <xdr:colOff>9525</xdr:colOff>
      <xdr:row>11</xdr:row>
      <xdr:rowOff>219075</xdr:rowOff>
    </xdr:from>
    <xdr:ext cx="800100" cy="485775"/>
    <xdr:grpSp>
      <xdr:nvGrpSpPr>
        <xdr:cNvPr id="2" name="Shape 2" title="Dessin"/>
        <xdr:cNvGrpSpPr/>
      </xdr:nvGrpSpPr>
      <xdr:grpSpPr>
        <a:xfrm>
          <a:off x="1260450" y="788950"/>
          <a:ext cx="1235700" cy="1235700"/>
          <a:chOff x="1260450" y="788950"/>
          <a:chExt cx="1235700" cy="1235700"/>
        </a:xfrm>
      </xdr:grpSpPr>
      <xdr:cxnSp>
        <xdr:nvCxnSpPr>
          <xdr:cNvPr id="16" name="Shape 16"/>
          <xdr:cNvCxnSpPr/>
        </xdr:nvCxnSpPr>
        <xdr:spPr>
          <a:xfrm flipH="1" rot="10800000">
            <a:off x="1260450" y="788950"/>
            <a:ext cx="1235700" cy="1235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0</xdr:col>
      <xdr:colOff>9525</xdr:colOff>
      <xdr:row>13</xdr:row>
      <xdr:rowOff>228600</xdr:rowOff>
    </xdr:from>
    <xdr:ext cx="800100" cy="485775"/>
    <xdr:grpSp>
      <xdr:nvGrpSpPr>
        <xdr:cNvPr id="2" name="Shape 2" title="Dessin"/>
        <xdr:cNvGrpSpPr/>
      </xdr:nvGrpSpPr>
      <xdr:grpSpPr>
        <a:xfrm>
          <a:off x="1925400" y="1379625"/>
          <a:ext cx="952800" cy="873300"/>
          <a:chOff x="1925400" y="1379625"/>
          <a:chExt cx="952800" cy="873300"/>
        </a:xfrm>
      </xdr:grpSpPr>
      <xdr:cxnSp>
        <xdr:nvCxnSpPr>
          <xdr:cNvPr id="17" name="Shape 17"/>
          <xdr:cNvCxnSpPr/>
        </xdr:nvCxnSpPr>
        <xdr:spPr>
          <a:xfrm flipH="1" rot="10800000">
            <a:off x="1925400" y="1379625"/>
            <a:ext cx="952800" cy="873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0</xdr:col>
      <xdr:colOff>9525</xdr:colOff>
      <xdr:row>15</xdr:row>
      <xdr:rowOff>228600</xdr:rowOff>
    </xdr:from>
    <xdr:ext cx="800100" cy="485775"/>
    <xdr:grpSp>
      <xdr:nvGrpSpPr>
        <xdr:cNvPr id="2" name="Shape 2" title="Dessin"/>
        <xdr:cNvGrpSpPr/>
      </xdr:nvGrpSpPr>
      <xdr:grpSpPr>
        <a:xfrm>
          <a:off x="1965100" y="1205875"/>
          <a:ext cx="908100" cy="908100"/>
          <a:chOff x="1965100" y="1205875"/>
          <a:chExt cx="908100" cy="908100"/>
        </a:xfrm>
      </xdr:grpSpPr>
      <xdr:cxnSp>
        <xdr:nvCxnSpPr>
          <xdr:cNvPr id="18" name="Shape 18"/>
          <xdr:cNvCxnSpPr/>
        </xdr:nvCxnSpPr>
        <xdr:spPr>
          <a:xfrm flipH="1" rot="10800000">
            <a:off x="1965100" y="1205875"/>
            <a:ext cx="908100" cy="9081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0</xdr:col>
      <xdr:colOff>9525</xdr:colOff>
      <xdr:row>17</xdr:row>
      <xdr:rowOff>228600</xdr:rowOff>
    </xdr:from>
    <xdr:ext cx="790575" cy="485775"/>
    <xdr:grpSp>
      <xdr:nvGrpSpPr>
        <xdr:cNvPr id="2" name="Shape 2" title="Dessin"/>
        <xdr:cNvGrpSpPr/>
      </xdr:nvGrpSpPr>
      <xdr:grpSpPr>
        <a:xfrm>
          <a:off x="1518475" y="1334900"/>
          <a:ext cx="1156200" cy="1156200"/>
          <a:chOff x="1518475" y="1334900"/>
          <a:chExt cx="1156200" cy="1156200"/>
        </a:xfrm>
      </xdr:grpSpPr>
      <xdr:cxnSp>
        <xdr:nvCxnSpPr>
          <xdr:cNvPr id="19" name="Shape 19"/>
          <xdr:cNvCxnSpPr/>
        </xdr:nvCxnSpPr>
        <xdr:spPr>
          <a:xfrm flipH="1" rot="10800000">
            <a:off x="1518475" y="1334900"/>
            <a:ext cx="1156200" cy="1156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0</xdr:col>
      <xdr:colOff>0</xdr:colOff>
      <xdr:row>19</xdr:row>
      <xdr:rowOff>228600</xdr:rowOff>
    </xdr:from>
    <xdr:ext cx="809625" cy="485775"/>
    <xdr:grpSp>
      <xdr:nvGrpSpPr>
        <xdr:cNvPr id="2" name="Shape 2" title="Dessin"/>
        <xdr:cNvGrpSpPr/>
      </xdr:nvGrpSpPr>
      <xdr:grpSpPr>
        <a:xfrm>
          <a:off x="2024650" y="977750"/>
          <a:ext cx="967800" cy="967500"/>
          <a:chOff x="2024650" y="977750"/>
          <a:chExt cx="967800" cy="967500"/>
        </a:xfrm>
      </xdr:grpSpPr>
      <xdr:cxnSp>
        <xdr:nvCxnSpPr>
          <xdr:cNvPr id="20" name="Shape 20"/>
          <xdr:cNvCxnSpPr/>
        </xdr:nvCxnSpPr>
        <xdr:spPr>
          <a:xfrm flipH="1" rot="10800000">
            <a:off x="2024650" y="977750"/>
            <a:ext cx="967800" cy="9675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381000</xdr:colOff>
      <xdr:row>3</xdr:row>
      <xdr:rowOff>228600</xdr:rowOff>
    </xdr:from>
    <xdr:ext cx="771525" cy="485775"/>
    <xdr:grpSp>
      <xdr:nvGrpSpPr>
        <xdr:cNvPr id="2" name="Shape 2" title="Dessin"/>
        <xdr:cNvGrpSpPr/>
      </xdr:nvGrpSpPr>
      <xdr:grpSpPr>
        <a:xfrm>
          <a:off x="2044500" y="2645950"/>
          <a:ext cx="1433400" cy="827700"/>
          <a:chOff x="2044500" y="2645950"/>
          <a:chExt cx="1433400" cy="827700"/>
        </a:xfrm>
      </xdr:grpSpPr>
      <xdr:cxnSp>
        <xdr:nvCxnSpPr>
          <xdr:cNvPr id="21" name="Shape 21"/>
          <xdr:cNvCxnSpPr/>
        </xdr:nvCxnSpPr>
        <xdr:spPr>
          <a:xfrm flipH="1" rot="10800000">
            <a:off x="2044500" y="2645950"/>
            <a:ext cx="1433400" cy="827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381000</xdr:colOff>
      <xdr:row>5</xdr:row>
      <xdr:rowOff>228600</xdr:rowOff>
    </xdr:from>
    <xdr:ext cx="771525" cy="485775"/>
    <xdr:grpSp>
      <xdr:nvGrpSpPr>
        <xdr:cNvPr id="2" name="Shape 2" title="Dessin"/>
        <xdr:cNvGrpSpPr/>
      </xdr:nvGrpSpPr>
      <xdr:grpSpPr>
        <a:xfrm>
          <a:off x="1994875" y="1275500"/>
          <a:ext cx="967800" cy="967500"/>
          <a:chOff x="1994875" y="1275500"/>
          <a:chExt cx="967800" cy="967500"/>
        </a:xfrm>
      </xdr:grpSpPr>
      <xdr:cxnSp>
        <xdr:nvCxnSpPr>
          <xdr:cNvPr id="22" name="Shape 22"/>
          <xdr:cNvCxnSpPr/>
        </xdr:nvCxnSpPr>
        <xdr:spPr>
          <a:xfrm flipH="1" rot="10800000">
            <a:off x="1994875" y="1275500"/>
            <a:ext cx="967800" cy="9675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381000</xdr:colOff>
      <xdr:row>7</xdr:row>
      <xdr:rowOff>228600</xdr:rowOff>
    </xdr:from>
    <xdr:ext cx="771525" cy="485775"/>
    <xdr:grpSp>
      <xdr:nvGrpSpPr>
        <xdr:cNvPr id="2" name="Shape 2" title="Dessin"/>
        <xdr:cNvGrpSpPr/>
      </xdr:nvGrpSpPr>
      <xdr:grpSpPr>
        <a:xfrm>
          <a:off x="1399400" y="1195825"/>
          <a:ext cx="1096800" cy="1096800"/>
          <a:chOff x="1399400" y="1195825"/>
          <a:chExt cx="1096800" cy="1096800"/>
        </a:xfrm>
      </xdr:grpSpPr>
      <xdr:cxnSp>
        <xdr:nvCxnSpPr>
          <xdr:cNvPr id="23" name="Shape 23"/>
          <xdr:cNvCxnSpPr/>
        </xdr:nvCxnSpPr>
        <xdr:spPr>
          <a:xfrm flipH="1" rot="10800000">
            <a:off x="1399400" y="1195825"/>
            <a:ext cx="1096800" cy="1096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381000</xdr:colOff>
      <xdr:row>9</xdr:row>
      <xdr:rowOff>228600</xdr:rowOff>
    </xdr:from>
    <xdr:ext cx="771525" cy="485775"/>
    <xdr:grpSp>
      <xdr:nvGrpSpPr>
        <xdr:cNvPr id="2" name="Shape 2" title="Dessin"/>
        <xdr:cNvGrpSpPr/>
      </xdr:nvGrpSpPr>
      <xdr:grpSpPr>
        <a:xfrm>
          <a:off x="2064350" y="1359775"/>
          <a:ext cx="1121400" cy="1121400"/>
          <a:chOff x="2064350" y="1359775"/>
          <a:chExt cx="1121400" cy="1121400"/>
        </a:xfrm>
      </xdr:grpSpPr>
      <xdr:cxnSp>
        <xdr:nvCxnSpPr>
          <xdr:cNvPr id="24" name="Shape 24"/>
          <xdr:cNvCxnSpPr/>
        </xdr:nvCxnSpPr>
        <xdr:spPr>
          <a:xfrm flipH="1" rot="10800000">
            <a:off x="2064350" y="1359775"/>
            <a:ext cx="1121400" cy="1121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361950</xdr:colOff>
      <xdr:row>11</xdr:row>
      <xdr:rowOff>228600</xdr:rowOff>
    </xdr:from>
    <xdr:ext cx="790575" cy="485775"/>
    <xdr:grpSp>
      <xdr:nvGrpSpPr>
        <xdr:cNvPr id="2" name="Shape 2" title="Dessin"/>
        <xdr:cNvGrpSpPr/>
      </xdr:nvGrpSpPr>
      <xdr:grpSpPr>
        <a:xfrm>
          <a:off x="1349775" y="650175"/>
          <a:ext cx="947700" cy="947700"/>
          <a:chOff x="1349775" y="650175"/>
          <a:chExt cx="947700" cy="947700"/>
        </a:xfrm>
      </xdr:grpSpPr>
      <xdr:cxnSp>
        <xdr:nvCxnSpPr>
          <xdr:cNvPr id="25" name="Shape 25"/>
          <xdr:cNvCxnSpPr/>
        </xdr:nvCxnSpPr>
        <xdr:spPr>
          <a:xfrm flipH="1" rot="10800000">
            <a:off x="1349775" y="650175"/>
            <a:ext cx="947700" cy="947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381000</xdr:colOff>
      <xdr:row>13</xdr:row>
      <xdr:rowOff>228600</xdr:rowOff>
    </xdr:from>
    <xdr:ext cx="771525" cy="485775"/>
    <xdr:grpSp>
      <xdr:nvGrpSpPr>
        <xdr:cNvPr id="2" name="Shape 2" title="Dessin"/>
        <xdr:cNvGrpSpPr/>
      </xdr:nvGrpSpPr>
      <xdr:grpSpPr>
        <a:xfrm>
          <a:off x="1508550" y="585575"/>
          <a:ext cx="1091700" cy="1091700"/>
          <a:chOff x="1508550" y="585575"/>
          <a:chExt cx="1091700" cy="1091700"/>
        </a:xfrm>
      </xdr:grpSpPr>
      <xdr:cxnSp>
        <xdr:nvCxnSpPr>
          <xdr:cNvPr id="26" name="Shape 26"/>
          <xdr:cNvCxnSpPr/>
        </xdr:nvCxnSpPr>
        <xdr:spPr>
          <a:xfrm flipH="1" rot="10800000">
            <a:off x="1508550" y="585575"/>
            <a:ext cx="1091700" cy="1091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381000</xdr:colOff>
      <xdr:row>15</xdr:row>
      <xdr:rowOff>228600</xdr:rowOff>
    </xdr:from>
    <xdr:ext cx="771525" cy="485775"/>
    <xdr:grpSp>
      <xdr:nvGrpSpPr>
        <xdr:cNvPr id="2" name="Shape 2" title="Dessin"/>
        <xdr:cNvGrpSpPr/>
      </xdr:nvGrpSpPr>
      <xdr:grpSpPr>
        <a:xfrm>
          <a:off x="1955175" y="1374500"/>
          <a:ext cx="1116600" cy="1116600"/>
          <a:chOff x="1955175" y="1374500"/>
          <a:chExt cx="1116600" cy="1116600"/>
        </a:xfrm>
      </xdr:grpSpPr>
      <xdr:cxnSp>
        <xdr:nvCxnSpPr>
          <xdr:cNvPr id="27" name="Shape 27"/>
          <xdr:cNvCxnSpPr/>
        </xdr:nvCxnSpPr>
        <xdr:spPr>
          <a:xfrm flipH="1" rot="10800000">
            <a:off x="1955175" y="1374500"/>
            <a:ext cx="1116600" cy="11166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371475</xdr:colOff>
      <xdr:row>17</xdr:row>
      <xdr:rowOff>228600</xdr:rowOff>
    </xdr:from>
    <xdr:ext cx="771525" cy="485775"/>
    <xdr:grpSp>
      <xdr:nvGrpSpPr>
        <xdr:cNvPr id="2" name="Shape 2" title="Dessin"/>
        <xdr:cNvGrpSpPr/>
      </xdr:nvGrpSpPr>
      <xdr:grpSpPr>
        <a:xfrm>
          <a:off x="2034575" y="927875"/>
          <a:ext cx="1106700" cy="1106700"/>
          <a:chOff x="2034575" y="927875"/>
          <a:chExt cx="1106700" cy="1106700"/>
        </a:xfrm>
      </xdr:grpSpPr>
      <xdr:cxnSp>
        <xdr:nvCxnSpPr>
          <xdr:cNvPr id="28" name="Shape 28"/>
          <xdr:cNvCxnSpPr/>
        </xdr:nvCxnSpPr>
        <xdr:spPr>
          <a:xfrm flipH="1" rot="10800000">
            <a:off x="2034575" y="927875"/>
            <a:ext cx="1106700" cy="1106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371475</xdr:colOff>
      <xdr:row>19</xdr:row>
      <xdr:rowOff>228600</xdr:rowOff>
    </xdr:from>
    <xdr:ext cx="771525" cy="485775"/>
    <xdr:grpSp>
      <xdr:nvGrpSpPr>
        <xdr:cNvPr id="2" name="Shape 2" title="Dessin"/>
        <xdr:cNvGrpSpPr/>
      </xdr:nvGrpSpPr>
      <xdr:grpSpPr>
        <a:xfrm>
          <a:off x="1260450" y="595600"/>
          <a:ext cx="1012200" cy="1012200"/>
          <a:chOff x="1260450" y="595600"/>
          <a:chExt cx="1012200" cy="1012200"/>
        </a:xfrm>
      </xdr:grpSpPr>
      <xdr:cxnSp>
        <xdr:nvCxnSpPr>
          <xdr:cNvPr id="29" name="Shape 29"/>
          <xdr:cNvCxnSpPr/>
        </xdr:nvCxnSpPr>
        <xdr:spPr>
          <a:xfrm flipH="1" rot="10800000">
            <a:off x="1260450" y="595600"/>
            <a:ext cx="1012200" cy="1012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3</xdr:row>
      <xdr:rowOff>228600</xdr:rowOff>
    </xdr:from>
    <xdr:ext cx="771525" cy="485775"/>
    <xdr:grpSp>
      <xdr:nvGrpSpPr>
        <xdr:cNvPr id="2" name="Shape 2" title="Dessin"/>
        <xdr:cNvGrpSpPr/>
      </xdr:nvGrpSpPr>
      <xdr:grpSpPr>
        <a:xfrm>
          <a:off x="1915475" y="1195850"/>
          <a:ext cx="1225800" cy="1225800"/>
          <a:chOff x="1915475" y="1195850"/>
          <a:chExt cx="1225800" cy="1225800"/>
        </a:xfrm>
      </xdr:grpSpPr>
      <xdr:cxnSp>
        <xdr:nvCxnSpPr>
          <xdr:cNvPr id="30" name="Shape 30"/>
          <xdr:cNvCxnSpPr/>
        </xdr:nvCxnSpPr>
        <xdr:spPr>
          <a:xfrm flipH="1" rot="10800000">
            <a:off x="1915475" y="1195850"/>
            <a:ext cx="1225800" cy="1225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5</xdr:row>
      <xdr:rowOff>228600</xdr:rowOff>
    </xdr:from>
    <xdr:ext cx="781050" cy="485775"/>
    <xdr:grpSp>
      <xdr:nvGrpSpPr>
        <xdr:cNvPr id="2" name="Shape 2" title="Dessin"/>
        <xdr:cNvGrpSpPr/>
      </xdr:nvGrpSpPr>
      <xdr:grpSpPr>
        <a:xfrm>
          <a:off x="2223150" y="908175"/>
          <a:ext cx="1166100" cy="1166100"/>
          <a:chOff x="2223150" y="908175"/>
          <a:chExt cx="1166100" cy="1166100"/>
        </a:xfrm>
      </xdr:grpSpPr>
      <xdr:cxnSp>
        <xdr:nvCxnSpPr>
          <xdr:cNvPr id="31" name="Shape 31"/>
          <xdr:cNvCxnSpPr/>
        </xdr:nvCxnSpPr>
        <xdr:spPr>
          <a:xfrm flipH="1" rot="10800000">
            <a:off x="2223150" y="908175"/>
            <a:ext cx="1166100" cy="11661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7</xdr:row>
      <xdr:rowOff>228600</xdr:rowOff>
    </xdr:from>
    <xdr:ext cx="781050" cy="485775"/>
    <xdr:grpSp>
      <xdr:nvGrpSpPr>
        <xdr:cNvPr id="2" name="Shape 2" title="Dessin"/>
        <xdr:cNvGrpSpPr/>
      </xdr:nvGrpSpPr>
      <xdr:grpSpPr>
        <a:xfrm>
          <a:off x="1756675" y="1111475"/>
          <a:ext cx="1042200" cy="1042200"/>
          <a:chOff x="1756675" y="1111475"/>
          <a:chExt cx="1042200" cy="1042200"/>
        </a:xfrm>
      </xdr:grpSpPr>
      <xdr:cxnSp>
        <xdr:nvCxnSpPr>
          <xdr:cNvPr id="32" name="Shape 32"/>
          <xdr:cNvCxnSpPr/>
        </xdr:nvCxnSpPr>
        <xdr:spPr>
          <a:xfrm flipH="1" rot="10800000">
            <a:off x="1756675" y="1111475"/>
            <a:ext cx="1042200" cy="1042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9</xdr:row>
      <xdr:rowOff>228600</xdr:rowOff>
    </xdr:from>
    <xdr:ext cx="781050" cy="485775"/>
    <xdr:grpSp>
      <xdr:nvGrpSpPr>
        <xdr:cNvPr id="2" name="Shape 2" title="Dessin"/>
        <xdr:cNvGrpSpPr/>
      </xdr:nvGrpSpPr>
      <xdr:grpSpPr>
        <a:xfrm>
          <a:off x="2163600" y="1503500"/>
          <a:ext cx="1106700" cy="1106700"/>
          <a:chOff x="2163600" y="1503500"/>
          <a:chExt cx="1106700" cy="1106700"/>
        </a:xfrm>
      </xdr:grpSpPr>
      <xdr:cxnSp>
        <xdr:nvCxnSpPr>
          <xdr:cNvPr id="33" name="Shape 33"/>
          <xdr:cNvCxnSpPr/>
        </xdr:nvCxnSpPr>
        <xdr:spPr>
          <a:xfrm flipH="1" rot="10800000">
            <a:off x="2163600" y="1503500"/>
            <a:ext cx="1106700" cy="1106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11</xdr:row>
      <xdr:rowOff>228600</xdr:rowOff>
    </xdr:from>
    <xdr:ext cx="781050" cy="485775"/>
    <xdr:grpSp>
      <xdr:nvGrpSpPr>
        <xdr:cNvPr id="2" name="Shape 2" title="Dessin"/>
        <xdr:cNvGrpSpPr/>
      </xdr:nvGrpSpPr>
      <xdr:grpSpPr>
        <a:xfrm>
          <a:off x="2054425" y="1220850"/>
          <a:ext cx="1002300" cy="1002300"/>
          <a:chOff x="2054425" y="1220850"/>
          <a:chExt cx="1002300" cy="1002300"/>
        </a:xfrm>
      </xdr:grpSpPr>
      <xdr:cxnSp>
        <xdr:nvCxnSpPr>
          <xdr:cNvPr id="34" name="Shape 34"/>
          <xdr:cNvCxnSpPr/>
        </xdr:nvCxnSpPr>
        <xdr:spPr>
          <a:xfrm flipH="1" rot="10800000">
            <a:off x="2054425" y="1220850"/>
            <a:ext cx="1002300" cy="1002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13</xdr:row>
      <xdr:rowOff>228600</xdr:rowOff>
    </xdr:from>
    <xdr:ext cx="781050" cy="485775"/>
    <xdr:grpSp>
      <xdr:nvGrpSpPr>
        <xdr:cNvPr id="2" name="Shape 2" title="Dessin"/>
        <xdr:cNvGrpSpPr/>
      </xdr:nvGrpSpPr>
      <xdr:grpSpPr>
        <a:xfrm>
          <a:off x="3185850" y="2213150"/>
          <a:ext cx="1052100" cy="1052100"/>
          <a:chOff x="3185850" y="2213150"/>
          <a:chExt cx="1052100" cy="1052100"/>
        </a:xfrm>
      </xdr:grpSpPr>
      <xdr:cxnSp>
        <xdr:nvCxnSpPr>
          <xdr:cNvPr id="35" name="Shape 35"/>
          <xdr:cNvCxnSpPr/>
        </xdr:nvCxnSpPr>
        <xdr:spPr>
          <a:xfrm flipH="1" rot="10800000">
            <a:off x="3185850" y="2213150"/>
            <a:ext cx="1052100" cy="10521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15</xdr:row>
      <xdr:rowOff>228600</xdr:rowOff>
    </xdr:from>
    <xdr:ext cx="781050" cy="485775"/>
    <xdr:grpSp>
      <xdr:nvGrpSpPr>
        <xdr:cNvPr id="2" name="Shape 2" title="Dessin"/>
        <xdr:cNvGrpSpPr/>
      </xdr:nvGrpSpPr>
      <xdr:grpSpPr>
        <a:xfrm>
          <a:off x="2451400" y="1553325"/>
          <a:ext cx="947700" cy="947700"/>
          <a:chOff x="2451400" y="1553325"/>
          <a:chExt cx="947700" cy="947700"/>
        </a:xfrm>
      </xdr:grpSpPr>
      <xdr:cxnSp>
        <xdr:nvCxnSpPr>
          <xdr:cNvPr id="36" name="Shape 36"/>
          <xdr:cNvCxnSpPr/>
        </xdr:nvCxnSpPr>
        <xdr:spPr>
          <a:xfrm flipH="1" rot="10800000">
            <a:off x="2451400" y="1553325"/>
            <a:ext cx="947700" cy="947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17</xdr:row>
      <xdr:rowOff>228600</xdr:rowOff>
    </xdr:from>
    <xdr:ext cx="781050" cy="485775"/>
    <xdr:grpSp>
      <xdr:nvGrpSpPr>
        <xdr:cNvPr id="2" name="Shape 2" title="Dessin"/>
        <xdr:cNvGrpSpPr/>
      </xdr:nvGrpSpPr>
      <xdr:grpSpPr>
        <a:xfrm>
          <a:off x="1925400" y="1513675"/>
          <a:ext cx="1325100" cy="1324800"/>
          <a:chOff x="1925400" y="1513675"/>
          <a:chExt cx="1325100" cy="1324800"/>
        </a:xfrm>
      </xdr:grpSpPr>
      <xdr:cxnSp>
        <xdr:nvCxnSpPr>
          <xdr:cNvPr id="37" name="Shape 37"/>
          <xdr:cNvCxnSpPr/>
        </xdr:nvCxnSpPr>
        <xdr:spPr>
          <a:xfrm flipH="1" rot="10800000">
            <a:off x="1925400" y="1513675"/>
            <a:ext cx="1325100" cy="1324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19</xdr:row>
      <xdr:rowOff>228600</xdr:rowOff>
    </xdr:from>
    <xdr:ext cx="781050" cy="485775"/>
    <xdr:grpSp>
      <xdr:nvGrpSpPr>
        <xdr:cNvPr id="2" name="Shape 2" title="Dessin"/>
        <xdr:cNvGrpSpPr/>
      </xdr:nvGrpSpPr>
      <xdr:grpSpPr>
        <a:xfrm>
          <a:off x="2709450" y="2267850"/>
          <a:ext cx="1285200" cy="1285200"/>
          <a:chOff x="2709450" y="2267850"/>
          <a:chExt cx="1285200" cy="1285200"/>
        </a:xfrm>
      </xdr:grpSpPr>
      <xdr:cxnSp>
        <xdr:nvCxnSpPr>
          <xdr:cNvPr id="38" name="Shape 38"/>
          <xdr:cNvCxnSpPr/>
        </xdr:nvCxnSpPr>
        <xdr:spPr>
          <a:xfrm flipH="1" rot="10800000">
            <a:off x="2709450" y="2267850"/>
            <a:ext cx="1285200" cy="1285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0</xdr:row>
      <xdr:rowOff>0</xdr:rowOff>
    </xdr:from>
    <xdr:ext cx="781050" cy="485775"/>
    <xdr:grpSp>
      <xdr:nvGrpSpPr>
        <xdr:cNvPr id="2" name="Shape 2" title="Dessin"/>
        <xdr:cNvGrpSpPr/>
      </xdr:nvGrpSpPr>
      <xdr:grpSpPr>
        <a:xfrm>
          <a:off x="2530800" y="1339950"/>
          <a:ext cx="1250400" cy="1250400"/>
          <a:chOff x="2530800" y="1339950"/>
          <a:chExt cx="1250400" cy="1250400"/>
        </a:xfrm>
      </xdr:grpSpPr>
      <xdr:cxnSp>
        <xdr:nvCxnSpPr>
          <xdr:cNvPr id="39" name="Shape 39"/>
          <xdr:cNvCxnSpPr/>
        </xdr:nvCxnSpPr>
        <xdr:spPr>
          <a:xfrm flipH="1" rot="10800000">
            <a:off x="2530800" y="1339950"/>
            <a:ext cx="1250400" cy="1250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2</xdr:row>
      <xdr:rowOff>228600</xdr:rowOff>
    </xdr:from>
    <xdr:ext cx="781050" cy="485775"/>
    <xdr:grpSp>
      <xdr:nvGrpSpPr>
        <xdr:cNvPr id="2" name="Shape 2" title="Dessin"/>
        <xdr:cNvGrpSpPr/>
      </xdr:nvGrpSpPr>
      <xdr:grpSpPr>
        <a:xfrm>
          <a:off x="1310075" y="1250650"/>
          <a:ext cx="1131300" cy="1131300"/>
          <a:chOff x="1310075" y="1250650"/>
          <a:chExt cx="1131300" cy="1131300"/>
        </a:xfrm>
      </xdr:grpSpPr>
      <xdr:cxnSp>
        <xdr:nvCxnSpPr>
          <xdr:cNvPr id="40" name="Shape 40"/>
          <xdr:cNvCxnSpPr/>
        </xdr:nvCxnSpPr>
        <xdr:spPr>
          <a:xfrm flipH="1" rot="10800000">
            <a:off x="1310075" y="1250650"/>
            <a:ext cx="1131300" cy="1131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4</xdr:row>
      <xdr:rowOff>228600</xdr:rowOff>
    </xdr:from>
    <xdr:ext cx="781050" cy="485775"/>
    <xdr:grpSp>
      <xdr:nvGrpSpPr>
        <xdr:cNvPr id="2" name="Shape 2" title="Dessin"/>
        <xdr:cNvGrpSpPr/>
      </xdr:nvGrpSpPr>
      <xdr:grpSpPr>
        <a:xfrm>
          <a:off x="2133825" y="1369475"/>
          <a:ext cx="903300" cy="903300"/>
          <a:chOff x="2133825" y="1369475"/>
          <a:chExt cx="903300" cy="903300"/>
        </a:xfrm>
      </xdr:grpSpPr>
      <xdr:cxnSp>
        <xdr:nvCxnSpPr>
          <xdr:cNvPr id="41" name="Shape 41"/>
          <xdr:cNvCxnSpPr/>
        </xdr:nvCxnSpPr>
        <xdr:spPr>
          <a:xfrm flipH="1" rot="10800000">
            <a:off x="2133825" y="1369475"/>
            <a:ext cx="903300" cy="903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6</xdr:row>
      <xdr:rowOff>228600</xdr:rowOff>
    </xdr:from>
    <xdr:ext cx="771525" cy="485775"/>
    <xdr:grpSp>
      <xdr:nvGrpSpPr>
        <xdr:cNvPr id="2" name="Shape 2" title="Dessin"/>
        <xdr:cNvGrpSpPr/>
      </xdr:nvGrpSpPr>
      <xdr:grpSpPr>
        <a:xfrm>
          <a:off x="2223150" y="1190950"/>
          <a:ext cx="833700" cy="833700"/>
          <a:chOff x="2223150" y="1190950"/>
          <a:chExt cx="833700" cy="833700"/>
        </a:xfrm>
      </xdr:grpSpPr>
      <xdr:cxnSp>
        <xdr:nvCxnSpPr>
          <xdr:cNvPr id="42" name="Shape 42"/>
          <xdr:cNvCxnSpPr/>
        </xdr:nvCxnSpPr>
        <xdr:spPr>
          <a:xfrm flipH="1" rot="10800000">
            <a:off x="2223150" y="1190950"/>
            <a:ext cx="833700" cy="833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8</xdr:row>
      <xdr:rowOff>228600</xdr:rowOff>
    </xdr:from>
    <xdr:ext cx="781050" cy="485775"/>
    <xdr:grpSp>
      <xdr:nvGrpSpPr>
        <xdr:cNvPr id="2" name="Shape 2" title="Dessin"/>
        <xdr:cNvGrpSpPr/>
      </xdr:nvGrpSpPr>
      <xdr:grpSpPr>
        <a:xfrm>
          <a:off x="1955175" y="1895725"/>
          <a:ext cx="883200" cy="883200"/>
          <a:chOff x="1955175" y="1895725"/>
          <a:chExt cx="883200" cy="883200"/>
        </a:xfrm>
      </xdr:grpSpPr>
      <xdr:cxnSp>
        <xdr:nvCxnSpPr>
          <xdr:cNvPr id="43" name="Shape 43"/>
          <xdr:cNvCxnSpPr/>
        </xdr:nvCxnSpPr>
        <xdr:spPr>
          <a:xfrm flipH="1" rot="10800000">
            <a:off x="1955175" y="1895725"/>
            <a:ext cx="883200" cy="883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10</xdr:row>
      <xdr:rowOff>228600</xdr:rowOff>
    </xdr:from>
    <xdr:ext cx="781050" cy="485775"/>
    <xdr:grpSp>
      <xdr:nvGrpSpPr>
        <xdr:cNvPr id="2" name="Shape 2" title="Dessin"/>
        <xdr:cNvGrpSpPr/>
      </xdr:nvGrpSpPr>
      <xdr:grpSpPr>
        <a:xfrm>
          <a:off x="1726900" y="1811275"/>
          <a:ext cx="1027200" cy="1027200"/>
          <a:chOff x="1726900" y="1811275"/>
          <a:chExt cx="1027200" cy="1027200"/>
        </a:xfrm>
      </xdr:grpSpPr>
      <xdr:cxnSp>
        <xdr:nvCxnSpPr>
          <xdr:cNvPr id="44" name="Shape 44"/>
          <xdr:cNvCxnSpPr/>
        </xdr:nvCxnSpPr>
        <xdr:spPr>
          <a:xfrm flipH="1" rot="10800000">
            <a:off x="1726900" y="1811275"/>
            <a:ext cx="1027200" cy="1027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12</xdr:row>
      <xdr:rowOff>228600</xdr:rowOff>
    </xdr:from>
    <xdr:ext cx="781050" cy="485775"/>
    <xdr:grpSp>
      <xdr:nvGrpSpPr>
        <xdr:cNvPr id="2" name="Shape 2" title="Dessin"/>
        <xdr:cNvGrpSpPr/>
      </xdr:nvGrpSpPr>
      <xdr:grpSpPr>
        <a:xfrm>
          <a:off x="1945250" y="1632650"/>
          <a:ext cx="1037100" cy="1037100"/>
          <a:chOff x="1945250" y="1632650"/>
          <a:chExt cx="1037100" cy="1037100"/>
        </a:xfrm>
      </xdr:grpSpPr>
      <xdr:cxnSp>
        <xdr:nvCxnSpPr>
          <xdr:cNvPr id="104" name="Shape 104"/>
          <xdr:cNvCxnSpPr/>
        </xdr:nvCxnSpPr>
        <xdr:spPr>
          <a:xfrm flipH="1" rot="10800000">
            <a:off x="1945250" y="1632650"/>
            <a:ext cx="1037100" cy="10371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14</xdr:row>
      <xdr:rowOff>228600</xdr:rowOff>
    </xdr:from>
    <xdr:ext cx="781050" cy="485775"/>
    <xdr:grpSp>
      <xdr:nvGrpSpPr>
        <xdr:cNvPr id="2" name="Shape 2" title="Dessin"/>
        <xdr:cNvGrpSpPr/>
      </xdr:nvGrpSpPr>
      <xdr:grpSpPr>
        <a:xfrm>
          <a:off x="2183450" y="1543325"/>
          <a:ext cx="918000" cy="918000"/>
          <a:chOff x="2183450" y="1543325"/>
          <a:chExt cx="918000" cy="918000"/>
        </a:xfrm>
      </xdr:grpSpPr>
      <xdr:cxnSp>
        <xdr:nvCxnSpPr>
          <xdr:cNvPr id="45" name="Shape 45"/>
          <xdr:cNvCxnSpPr/>
        </xdr:nvCxnSpPr>
        <xdr:spPr>
          <a:xfrm flipH="1" rot="10800000">
            <a:off x="2183450" y="1543325"/>
            <a:ext cx="918000" cy="9180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16</xdr:row>
      <xdr:rowOff>228600</xdr:rowOff>
    </xdr:from>
    <xdr:ext cx="781050" cy="485775"/>
    <xdr:grpSp>
      <xdr:nvGrpSpPr>
        <xdr:cNvPr id="2" name="Shape 2" title="Dessin"/>
        <xdr:cNvGrpSpPr/>
      </xdr:nvGrpSpPr>
      <xdr:grpSpPr>
        <a:xfrm>
          <a:off x="2094125" y="1692150"/>
          <a:ext cx="1017300" cy="1017300"/>
          <a:chOff x="2094125" y="1692150"/>
          <a:chExt cx="1017300" cy="1017300"/>
        </a:xfrm>
      </xdr:grpSpPr>
      <xdr:cxnSp>
        <xdr:nvCxnSpPr>
          <xdr:cNvPr id="46" name="Shape 46"/>
          <xdr:cNvCxnSpPr/>
        </xdr:nvCxnSpPr>
        <xdr:spPr>
          <a:xfrm flipH="1" rot="10800000">
            <a:off x="2094125" y="1692150"/>
            <a:ext cx="1017300" cy="1017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381000</xdr:colOff>
      <xdr:row>18</xdr:row>
      <xdr:rowOff>228600</xdr:rowOff>
    </xdr:from>
    <xdr:ext cx="781050" cy="485775"/>
    <xdr:grpSp>
      <xdr:nvGrpSpPr>
        <xdr:cNvPr id="2" name="Shape 2" title="Dessin"/>
        <xdr:cNvGrpSpPr/>
      </xdr:nvGrpSpPr>
      <xdr:grpSpPr>
        <a:xfrm>
          <a:off x="1677275" y="2128800"/>
          <a:ext cx="1235700" cy="1235700"/>
          <a:chOff x="1677275" y="2128800"/>
          <a:chExt cx="1235700" cy="1235700"/>
        </a:xfrm>
      </xdr:grpSpPr>
      <xdr:cxnSp>
        <xdr:nvCxnSpPr>
          <xdr:cNvPr id="47" name="Shape 47"/>
          <xdr:cNvCxnSpPr/>
        </xdr:nvCxnSpPr>
        <xdr:spPr>
          <a:xfrm flipH="1" rot="10800000">
            <a:off x="1677275" y="2128800"/>
            <a:ext cx="1235700" cy="1235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7</xdr:col>
      <xdr:colOff>371475</xdr:colOff>
      <xdr:row>20</xdr:row>
      <xdr:rowOff>228600</xdr:rowOff>
    </xdr:from>
    <xdr:ext cx="781050" cy="485775"/>
    <xdr:grpSp>
      <xdr:nvGrpSpPr>
        <xdr:cNvPr id="2" name="Shape 2" title="Dessin"/>
        <xdr:cNvGrpSpPr/>
      </xdr:nvGrpSpPr>
      <xdr:grpSpPr>
        <a:xfrm>
          <a:off x="2401800" y="1399250"/>
          <a:ext cx="1151400" cy="1151400"/>
          <a:chOff x="2401800" y="1399250"/>
          <a:chExt cx="1151400" cy="1151400"/>
        </a:xfrm>
      </xdr:grpSpPr>
      <xdr:cxnSp>
        <xdr:nvCxnSpPr>
          <xdr:cNvPr id="48" name="Shape 48"/>
          <xdr:cNvCxnSpPr/>
        </xdr:nvCxnSpPr>
        <xdr:spPr>
          <a:xfrm flipH="1" rot="10800000">
            <a:off x="2401800" y="1399250"/>
            <a:ext cx="1151400" cy="1151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381000</xdr:colOff>
      <xdr:row>2</xdr:row>
      <xdr:rowOff>228600</xdr:rowOff>
    </xdr:from>
    <xdr:ext cx="762000" cy="485775"/>
    <xdr:grpSp>
      <xdr:nvGrpSpPr>
        <xdr:cNvPr id="2" name="Shape 2" title="Dessin"/>
        <xdr:cNvGrpSpPr/>
      </xdr:nvGrpSpPr>
      <xdr:grpSpPr>
        <a:xfrm>
          <a:off x="2233075" y="1017300"/>
          <a:ext cx="1265400" cy="1265400"/>
          <a:chOff x="2233075" y="1017300"/>
          <a:chExt cx="1265400" cy="1265400"/>
        </a:xfrm>
      </xdr:grpSpPr>
      <xdr:cxnSp>
        <xdr:nvCxnSpPr>
          <xdr:cNvPr id="49" name="Shape 49"/>
          <xdr:cNvCxnSpPr/>
        </xdr:nvCxnSpPr>
        <xdr:spPr>
          <a:xfrm flipH="1" rot="10800000">
            <a:off x="2233075" y="1017300"/>
            <a:ext cx="1265400" cy="1265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381000</xdr:colOff>
      <xdr:row>0</xdr:row>
      <xdr:rowOff>0</xdr:rowOff>
    </xdr:from>
    <xdr:ext cx="790575" cy="485775"/>
    <xdr:grpSp>
      <xdr:nvGrpSpPr>
        <xdr:cNvPr id="2" name="Shape 2" title="Dessin"/>
        <xdr:cNvGrpSpPr/>
      </xdr:nvGrpSpPr>
      <xdr:grpSpPr>
        <a:xfrm>
          <a:off x="2292625" y="1756600"/>
          <a:ext cx="1052100" cy="1052100"/>
          <a:chOff x="2292625" y="1756600"/>
          <a:chExt cx="1052100" cy="1052100"/>
        </a:xfrm>
      </xdr:grpSpPr>
      <xdr:cxnSp>
        <xdr:nvCxnSpPr>
          <xdr:cNvPr id="50" name="Shape 50"/>
          <xdr:cNvCxnSpPr/>
        </xdr:nvCxnSpPr>
        <xdr:spPr>
          <a:xfrm flipH="1" rot="10800000">
            <a:off x="2292625" y="1756600"/>
            <a:ext cx="1052100" cy="10521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381000</xdr:colOff>
      <xdr:row>4</xdr:row>
      <xdr:rowOff>228600</xdr:rowOff>
    </xdr:from>
    <xdr:ext cx="762000" cy="485775"/>
    <xdr:grpSp>
      <xdr:nvGrpSpPr>
        <xdr:cNvPr id="2" name="Shape 2" title="Dessin"/>
        <xdr:cNvGrpSpPr/>
      </xdr:nvGrpSpPr>
      <xdr:grpSpPr>
        <a:xfrm>
          <a:off x="1885700" y="843500"/>
          <a:ext cx="1161300" cy="1161300"/>
          <a:chOff x="1885700" y="843500"/>
          <a:chExt cx="1161300" cy="1161300"/>
        </a:xfrm>
      </xdr:grpSpPr>
      <xdr:cxnSp>
        <xdr:nvCxnSpPr>
          <xdr:cNvPr id="51" name="Shape 51"/>
          <xdr:cNvCxnSpPr/>
        </xdr:nvCxnSpPr>
        <xdr:spPr>
          <a:xfrm flipH="1" rot="10800000">
            <a:off x="1885700" y="843500"/>
            <a:ext cx="1161300" cy="1161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381000</xdr:colOff>
      <xdr:row>6</xdr:row>
      <xdr:rowOff>228600</xdr:rowOff>
    </xdr:from>
    <xdr:ext cx="762000" cy="485775"/>
    <xdr:grpSp>
      <xdr:nvGrpSpPr>
        <xdr:cNvPr id="2" name="Shape 2" title="Dessin"/>
        <xdr:cNvGrpSpPr/>
      </xdr:nvGrpSpPr>
      <xdr:grpSpPr>
        <a:xfrm>
          <a:off x="1984950" y="908150"/>
          <a:ext cx="1037100" cy="1037100"/>
          <a:chOff x="1984950" y="908150"/>
          <a:chExt cx="1037100" cy="1037100"/>
        </a:xfrm>
      </xdr:grpSpPr>
      <xdr:cxnSp>
        <xdr:nvCxnSpPr>
          <xdr:cNvPr id="52" name="Shape 52"/>
          <xdr:cNvCxnSpPr/>
        </xdr:nvCxnSpPr>
        <xdr:spPr>
          <a:xfrm flipH="1" rot="10800000">
            <a:off x="1984950" y="908150"/>
            <a:ext cx="1037100" cy="10371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381000</xdr:colOff>
      <xdr:row>8</xdr:row>
      <xdr:rowOff>238125</xdr:rowOff>
    </xdr:from>
    <xdr:ext cx="762000" cy="476250"/>
    <xdr:grpSp>
      <xdr:nvGrpSpPr>
        <xdr:cNvPr id="2" name="Shape 2" title="Dessin"/>
        <xdr:cNvGrpSpPr/>
      </xdr:nvGrpSpPr>
      <xdr:grpSpPr>
        <a:xfrm>
          <a:off x="1816225" y="798975"/>
          <a:ext cx="1037100" cy="1037100"/>
          <a:chOff x="1816225" y="798975"/>
          <a:chExt cx="1037100" cy="1037100"/>
        </a:xfrm>
      </xdr:grpSpPr>
      <xdr:cxnSp>
        <xdr:nvCxnSpPr>
          <xdr:cNvPr id="53" name="Shape 53"/>
          <xdr:cNvCxnSpPr/>
        </xdr:nvCxnSpPr>
        <xdr:spPr>
          <a:xfrm flipH="1" rot="10800000">
            <a:off x="1816225" y="798975"/>
            <a:ext cx="1037100" cy="10371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381000</xdr:colOff>
      <xdr:row>10</xdr:row>
      <xdr:rowOff>228600</xdr:rowOff>
    </xdr:from>
    <xdr:ext cx="762000" cy="485775"/>
    <xdr:grpSp>
      <xdr:nvGrpSpPr>
        <xdr:cNvPr id="2" name="Shape 2" title="Dessin"/>
        <xdr:cNvGrpSpPr/>
      </xdr:nvGrpSpPr>
      <xdr:grpSpPr>
        <a:xfrm>
          <a:off x="2044500" y="1453975"/>
          <a:ext cx="1265400" cy="1265400"/>
          <a:chOff x="2044500" y="1453975"/>
          <a:chExt cx="1265400" cy="1265400"/>
        </a:xfrm>
      </xdr:grpSpPr>
      <xdr:cxnSp>
        <xdr:nvCxnSpPr>
          <xdr:cNvPr id="54" name="Shape 54"/>
          <xdr:cNvCxnSpPr/>
        </xdr:nvCxnSpPr>
        <xdr:spPr>
          <a:xfrm flipH="1" rot="10800000">
            <a:off x="2044500" y="1453975"/>
            <a:ext cx="1265400" cy="1265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381000</xdr:colOff>
      <xdr:row>12</xdr:row>
      <xdr:rowOff>228600</xdr:rowOff>
    </xdr:from>
    <xdr:ext cx="762000" cy="485775"/>
    <xdr:grpSp>
      <xdr:nvGrpSpPr>
        <xdr:cNvPr id="2" name="Shape 2" title="Dessin"/>
        <xdr:cNvGrpSpPr/>
      </xdr:nvGrpSpPr>
      <xdr:grpSpPr>
        <a:xfrm>
          <a:off x="2322400" y="1444000"/>
          <a:ext cx="1126500" cy="1126500"/>
          <a:chOff x="2322400" y="1444000"/>
          <a:chExt cx="1126500" cy="1126500"/>
        </a:xfrm>
      </xdr:grpSpPr>
      <xdr:cxnSp>
        <xdr:nvCxnSpPr>
          <xdr:cNvPr id="55" name="Shape 55"/>
          <xdr:cNvCxnSpPr/>
        </xdr:nvCxnSpPr>
        <xdr:spPr>
          <a:xfrm flipH="1" rot="10800000">
            <a:off x="2322400" y="1444000"/>
            <a:ext cx="1126500" cy="11265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381000</xdr:colOff>
      <xdr:row>14</xdr:row>
      <xdr:rowOff>228600</xdr:rowOff>
    </xdr:from>
    <xdr:ext cx="762000" cy="485775"/>
    <xdr:grpSp>
      <xdr:nvGrpSpPr>
        <xdr:cNvPr id="2" name="Shape 2" title="Dessin"/>
        <xdr:cNvGrpSpPr/>
      </xdr:nvGrpSpPr>
      <xdr:grpSpPr>
        <a:xfrm>
          <a:off x="2411725" y="1573050"/>
          <a:ext cx="1136400" cy="1136400"/>
          <a:chOff x="2411725" y="1573050"/>
          <a:chExt cx="1136400" cy="1136400"/>
        </a:xfrm>
      </xdr:grpSpPr>
      <xdr:cxnSp>
        <xdr:nvCxnSpPr>
          <xdr:cNvPr id="105" name="Shape 105"/>
          <xdr:cNvCxnSpPr/>
        </xdr:nvCxnSpPr>
        <xdr:spPr>
          <a:xfrm flipH="1" rot="10800000">
            <a:off x="2411725" y="1573050"/>
            <a:ext cx="1136400" cy="1136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381000</xdr:colOff>
      <xdr:row>16</xdr:row>
      <xdr:rowOff>228600</xdr:rowOff>
    </xdr:from>
    <xdr:ext cx="762000" cy="485775"/>
    <xdr:grpSp>
      <xdr:nvGrpSpPr>
        <xdr:cNvPr id="2" name="Shape 2" title="Dessin"/>
        <xdr:cNvGrpSpPr/>
      </xdr:nvGrpSpPr>
      <xdr:grpSpPr>
        <a:xfrm>
          <a:off x="2570500" y="1503650"/>
          <a:ext cx="1285200" cy="1285200"/>
          <a:chOff x="2570500" y="1503650"/>
          <a:chExt cx="1285200" cy="1285200"/>
        </a:xfrm>
      </xdr:grpSpPr>
      <xdr:cxnSp>
        <xdr:nvCxnSpPr>
          <xdr:cNvPr id="56" name="Shape 56"/>
          <xdr:cNvCxnSpPr/>
        </xdr:nvCxnSpPr>
        <xdr:spPr>
          <a:xfrm flipH="1" rot="10800000">
            <a:off x="2570500" y="1503650"/>
            <a:ext cx="1285200" cy="1285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381000</xdr:colOff>
      <xdr:row>18</xdr:row>
      <xdr:rowOff>228600</xdr:rowOff>
    </xdr:from>
    <xdr:ext cx="762000" cy="485775"/>
    <xdr:grpSp>
      <xdr:nvGrpSpPr>
        <xdr:cNvPr id="2" name="Shape 2" title="Dessin"/>
        <xdr:cNvGrpSpPr/>
      </xdr:nvGrpSpPr>
      <xdr:grpSpPr>
        <a:xfrm>
          <a:off x="2520875" y="2114050"/>
          <a:ext cx="1230600" cy="1230600"/>
          <a:chOff x="2520875" y="2114050"/>
          <a:chExt cx="1230600" cy="1230600"/>
        </a:xfrm>
      </xdr:grpSpPr>
      <xdr:cxnSp>
        <xdr:nvCxnSpPr>
          <xdr:cNvPr id="57" name="Shape 57"/>
          <xdr:cNvCxnSpPr/>
        </xdr:nvCxnSpPr>
        <xdr:spPr>
          <a:xfrm flipH="1" rot="10800000">
            <a:off x="2520875" y="2114050"/>
            <a:ext cx="1230600" cy="12306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21</xdr:col>
      <xdr:colOff>390525</xdr:colOff>
      <xdr:row>20</xdr:row>
      <xdr:rowOff>228600</xdr:rowOff>
    </xdr:from>
    <xdr:ext cx="752475" cy="485775"/>
    <xdr:grpSp>
      <xdr:nvGrpSpPr>
        <xdr:cNvPr id="2" name="Shape 2" title="Dessin"/>
        <xdr:cNvGrpSpPr/>
      </xdr:nvGrpSpPr>
      <xdr:grpSpPr>
        <a:xfrm>
          <a:off x="1955175" y="1270425"/>
          <a:ext cx="1230600" cy="1230600"/>
          <a:chOff x="1955175" y="1270425"/>
          <a:chExt cx="1230600" cy="1230600"/>
        </a:xfrm>
      </xdr:grpSpPr>
      <xdr:cxnSp>
        <xdr:nvCxnSpPr>
          <xdr:cNvPr id="58" name="Shape 58"/>
          <xdr:cNvCxnSpPr/>
        </xdr:nvCxnSpPr>
        <xdr:spPr>
          <a:xfrm flipH="1" rot="10800000">
            <a:off x="1955175" y="1270425"/>
            <a:ext cx="1230600" cy="12306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19</xdr:col>
      <xdr:colOff>381000</xdr:colOff>
      <xdr:row>1</xdr:row>
      <xdr:rowOff>228600</xdr:rowOff>
    </xdr:from>
    <xdr:ext cx="781050" cy="485775"/>
    <xdr:grpSp>
      <xdr:nvGrpSpPr>
        <xdr:cNvPr id="2" name="Shape 2" title="Dessin"/>
        <xdr:cNvGrpSpPr/>
      </xdr:nvGrpSpPr>
      <xdr:grpSpPr>
        <a:xfrm>
          <a:off x="2778925" y="248100"/>
          <a:ext cx="714600" cy="714600"/>
          <a:chOff x="2778925" y="248100"/>
          <a:chExt cx="714600" cy="714600"/>
        </a:xfrm>
      </xdr:grpSpPr>
      <xdr:cxnSp>
        <xdr:nvCxnSpPr>
          <xdr:cNvPr id="59" name="Shape 59"/>
          <xdr:cNvCxnSpPr/>
        </xdr:nvCxnSpPr>
        <xdr:spPr>
          <a:xfrm flipH="1" rot="10800000">
            <a:off x="2778925" y="248100"/>
            <a:ext cx="714600" cy="7146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5</xdr:col>
      <xdr:colOff>371475</xdr:colOff>
      <xdr:row>1</xdr:row>
      <xdr:rowOff>228600</xdr:rowOff>
    </xdr:from>
    <xdr:ext cx="781050" cy="485775"/>
    <xdr:grpSp>
      <xdr:nvGrpSpPr>
        <xdr:cNvPr id="2" name="Shape 2" title="Dessin"/>
        <xdr:cNvGrpSpPr/>
      </xdr:nvGrpSpPr>
      <xdr:grpSpPr>
        <a:xfrm>
          <a:off x="2183450" y="575575"/>
          <a:ext cx="694800" cy="694800"/>
          <a:chOff x="2183450" y="575575"/>
          <a:chExt cx="694800" cy="694800"/>
        </a:xfrm>
      </xdr:grpSpPr>
      <xdr:cxnSp>
        <xdr:nvCxnSpPr>
          <xdr:cNvPr id="60" name="Shape 60"/>
          <xdr:cNvCxnSpPr/>
        </xdr:nvCxnSpPr>
        <xdr:spPr>
          <a:xfrm flipH="1" rot="10800000">
            <a:off x="2183450" y="575575"/>
            <a:ext cx="694800" cy="694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371475</xdr:colOff>
      <xdr:row>1</xdr:row>
      <xdr:rowOff>228600</xdr:rowOff>
    </xdr:from>
    <xdr:ext cx="790575" cy="476250"/>
    <xdr:grpSp>
      <xdr:nvGrpSpPr>
        <xdr:cNvPr id="2" name="Shape 2" title="Dessin"/>
        <xdr:cNvGrpSpPr/>
      </xdr:nvGrpSpPr>
      <xdr:grpSpPr>
        <a:xfrm>
          <a:off x="1875775" y="2337250"/>
          <a:ext cx="1136400" cy="1136400"/>
          <a:chOff x="1875775" y="2337250"/>
          <a:chExt cx="1136400" cy="1136400"/>
        </a:xfrm>
      </xdr:grpSpPr>
      <xdr:cxnSp>
        <xdr:nvCxnSpPr>
          <xdr:cNvPr id="61" name="Shape 61"/>
          <xdr:cNvCxnSpPr/>
        </xdr:nvCxnSpPr>
        <xdr:spPr>
          <a:xfrm flipH="1" rot="10800000">
            <a:off x="1875775" y="2337250"/>
            <a:ext cx="1136400" cy="1136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371475</xdr:colOff>
      <xdr:row>5</xdr:row>
      <xdr:rowOff>228600</xdr:rowOff>
    </xdr:from>
    <xdr:ext cx="790575" cy="485775"/>
    <xdr:grpSp>
      <xdr:nvGrpSpPr>
        <xdr:cNvPr id="2" name="Shape 2" title="Dessin"/>
        <xdr:cNvGrpSpPr/>
      </xdr:nvGrpSpPr>
      <xdr:grpSpPr>
        <a:xfrm>
          <a:off x="2540725" y="1434250"/>
          <a:ext cx="947700" cy="947700"/>
          <a:chOff x="2540725" y="1434250"/>
          <a:chExt cx="947700" cy="947700"/>
        </a:xfrm>
      </xdr:grpSpPr>
      <xdr:cxnSp>
        <xdr:nvCxnSpPr>
          <xdr:cNvPr id="62" name="Shape 62"/>
          <xdr:cNvCxnSpPr/>
        </xdr:nvCxnSpPr>
        <xdr:spPr>
          <a:xfrm flipH="1" rot="10800000">
            <a:off x="2540725" y="1434250"/>
            <a:ext cx="947700" cy="947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371475</xdr:colOff>
      <xdr:row>7</xdr:row>
      <xdr:rowOff>228600</xdr:rowOff>
    </xdr:from>
    <xdr:ext cx="790575" cy="485775"/>
    <xdr:grpSp>
      <xdr:nvGrpSpPr>
        <xdr:cNvPr id="2" name="Shape 2" title="Dessin"/>
        <xdr:cNvGrpSpPr/>
      </xdr:nvGrpSpPr>
      <xdr:grpSpPr>
        <a:xfrm>
          <a:off x="1975025" y="1121550"/>
          <a:ext cx="1101600" cy="1101600"/>
          <a:chOff x="1975025" y="1121550"/>
          <a:chExt cx="1101600" cy="1101600"/>
        </a:xfrm>
      </xdr:grpSpPr>
      <xdr:cxnSp>
        <xdr:nvCxnSpPr>
          <xdr:cNvPr id="63" name="Shape 63"/>
          <xdr:cNvCxnSpPr/>
        </xdr:nvCxnSpPr>
        <xdr:spPr>
          <a:xfrm flipH="1" rot="10800000">
            <a:off x="1975025" y="1121550"/>
            <a:ext cx="1101600" cy="11016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371475</xdr:colOff>
      <xdr:row>9</xdr:row>
      <xdr:rowOff>228600</xdr:rowOff>
    </xdr:from>
    <xdr:ext cx="790575" cy="485775"/>
    <xdr:grpSp>
      <xdr:nvGrpSpPr>
        <xdr:cNvPr id="2" name="Shape 2" title="Dessin"/>
        <xdr:cNvGrpSpPr/>
      </xdr:nvGrpSpPr>
      <xdr:grpSpPr>
        <a:xfrm>
          <a:off x="1597875" y="2014750"/>
          <a:ext cx="1091700" cy="1091700"/>
          <a:chOff x="1597875" y="2014750"/>
          <a:chExt cx="1091700" cy="1091700"/>
        </a:xfrm>
      </xdr:grpSpPr>
      <xdr:cxnSp>
        <xdr:nvCxnSpPr>
          <xdr:cNvPr id="64" name="Shape 64"/>
          <xdr:cNvCxnSpPr/>
        </xdr:nvCxnSpPr>
        <xdr:spPr>
          <a:xfrm flipH="1" rot="10800000">
            <a:off x="1597875" y="2014750"/>
            <a:ext cx="1091700" cy="1091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371475</xdr:colOff>
      <xdr:row>11</xdr:row>
      <xdr:rowOff>228600</xdr:rowOff>
    </xdr:from>
    <xdr:ext cx="790575" cy="485775"/>
    <xdr:grpSp>
      <xdr:nvGrpSpPr>
        <xdr:cNvPr id="2" name="Shape 2" title="Dessin"/>
        <xdr:cNvGrpSpPr/>
      </xdr:nvGrpSpPr>
      <xdr:grpSpPr>
        <a:xfrm>
          <a:off x="1776525" y="1493600"/>
          <a:ext cx="997500" cy="997500"/>
          <a:chOff x="1776525" y="1493600"/>
          <a:chExt cx="997500" cy="997500"/>
        </a:xfrm>
      </xdr:grpSpPr>
      <xdr:cxnSp>
        <xdr:nvCxnSpPr>
          <xdr:cNvPr id="65" name="Shape 65"/>
          <xdr:cNvCxnSpPr/>
        </xdr:nvCxnSpPr>
        <xdr:spPr>
          <a:xfrm flipH="1" rot="10800000">
            <a:off x="1776525" y="1493600"/>
            <a:ext cx="997500" cy="9975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371475</xdr:colOff>
      <xdr:row>13</xdr:row>
      <xdr:rowOff>219075</xdr:rowOff>
    </xdr:from>
    <xdr:ext cx="790575" cy="485775"/>
    <xdr:grpSp>
      <xdr:nvGrpSpPr>
        <xdr:cNvPr id="2" name="Shape 2" title="Dessin"/>
        <xdr:cNvGrpSpPr/>
      </xdr:nvGrpSpPr>
      <xdr:grpSpPr>
        <a:xfrm>
          <a:off x="1925400" y="932950"/>
          <a:ext cx="972600" cy="972600"/>
          <a:chOff x="1925400" y="932950"/>
          <a:chExt cx="972600" cy="972600"/>
        </a:xfrm>
      </xdr:grpSpPr>
      <xdr:cxnSp>
        <xdr:nvCxnSpPr>
          <xdr:cNvPr id="66" name="Shape 66"/>
          <xdr:cNvCxnSpPr/>
        </xdr:nvCxnSpPr>
        <xdr:spPr>
          <a:xfrm flipH="1" rot="10800000">
            <a:off x="1925400" y="932950"/>
            <a:ext cx="972600" cy="9726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371475</xdr:colOff>
      <xdr:row>15</xdr:row>
      <xdr:rowOff>228600</xdr:rowOff>
    </xdr:from>
    <xdr:ext cx="790575" cy="485775"/>
    <xdr:grpSp>
      <xdr:nvGrpSpPr>
        <xdr:cNvPr id="2" name="Shape 2" title="Dessin"/>
        <xdr:cNvGrpSpPr/>
      </xdr:nvGrpSpPr>
      <xdr:grpSpPr>
        <a:xfrm>
          <a:off x="1935325" y="1091850"/>
          <a:ext cx="1131300" cy="1131300"/>
          <a:chOff x="1935325" y="1091850"/>
          <a:chExt cx="1131300" cy="1131300"/>
        </a:xfrm>
      </xdr:grpSpPr>
      <xdr:cxnSp>
        <xdr:nvCxnSpPr>
          <xdr:cNvPr id="67" name="Shape 67"/>
          <xdr:cNvCxnSpPr/>
        </xdr:nvCxnSpPr>
        <xdr:spPr>
          <a:xfrm flipH="1" rot="10800000">
            <a:off x="1935325" y="1091850"/>
            <a:ext cx="1131300" cy="1131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371475</xdr:colOff>
      <xdr:row>17</xdr:row>
      <xdr:rowOff>228600</xdr:rowOff>
    </xdr:from>
    <xdr:ext cx="800100" cy="476250"/>
    <xdr:grpSp>
      <xdr:nvGrpSpPr>
        <xdr:cNvPr id="2" name="Shape 2" title="Dessin"/>
        <xdr:cNvGrpSpPr/>
      </xdr:nvGrpSpPr>
      <xdr:grpSpPr>
        <a:xfrm>
          <a:off x="2104050" y="1449050"/>
          <a:ext cx="972600" cy="972600"/>
          <a:chOff x="2104050" y="1449050"/>
          <a:chExt cx="972600" cy="972600"/>
        </a:xfrm>
      </xdr:grpSpPr>
      <xdr:cxnSp>
        <xdr:nvCxnSpPr>
          <xdr:cNvPr id="68" name="Shape 68"/>
          <xdr:cNvCxnSpPr/>
        </xdr:nvCxnSpPr>
        <xdr:spPr>
          <a:xfrm flipH="1" rot="10800000">
            <a:off x="2104050" y="1449050"/>
            <a:ext cx="972600" cy="9726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371475</xdr:colOff>
      <xdr:row>19</xdr:row>
      <xdr:rowOff>228600</xdr:rowOff>
    </xdr:from>
    <xdr:ext cx="781050" cy="476250"/>
    <xdr:grpSp>
      <xdr:nvGrpSpPr>
        <xdr:cNvPr id="2" name="Shape 2" title="Dessin"/>
        <xdr:cNvGrpSpPr/>
      </xdr:nvGrpSpPr>
      <xdr:grpSpPr>
        <a:xfrm>
          <a:off x="2461325" y="818750"/>
          <a:ext cx="1007400" cy="1007400"/>
          <a:chOff x="2461325" y="818750"/>
          <a:chExt cx="1007400" cy="1007400"/>
        </a:xfrm>
      </xdr:grpSpPr>
      <xdr:cxnSp>
        <xdr:nvCxnSpPr>
          <xdr:cNvPr id="69" name="Shape 69"/>
          <xdr:cNvCxnSpPr/>
        </xdr:nvCxnSpPr>
        <xdr:spPr>
          <a:xfrm flipH="1" rot="10800000">
            <a:off x="2461325" y="818750"/>
            <a:ext cx="1007400" cy="1007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371475</xdr:colOff>
      <xdr:row>3</xdr:row>
      <xdr:rowOff>247650</xdr:rowOff>
    </xdr:from>
    <xdr:ext cx="790575" cy="466725"/>
    <xdr:grpSp>
      <xdr:nvGrpSpPr>
        <xdr:cNvPr id="2" name="Shape 2" title="Dessin"/>
        <xdr:cNvGrpSpPr/>
      </xdr:nvGrpSpPr>
      <xdr:grpSpPr>
        <a:xfrm>
          <a:off x="1548250" y="1245425"/>
          <a:ext cx="967800" cy="967800"/>
          <a:chOff x="1548250" y="1245425"/>
          <a:chExt cx="967800" cy="967800"/>
        </a:xfrm>
      </xdr:grpSpPr>
      <xdr:cxnSp>
        <xdr:nvCxnSpPr>
          <xdr:cNvPr id="70" name="Shape 70"/>
          <xdr:cNvCxnSpPr/>
        </xdr:nvCxnSpPr>
        <xdr:spPr>
          <a:xfrm flipH="1" rot="10800000">
            <a:off x="1548250" y="1245425"/>
            <a:ext cx="967800" cy="967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1</xdr:row>
      <xdr:rowOff>228600</xdr:rowOff>
    </xdr:from>
    <xdr:ext cx="790575" cy="485775"/>
    <xdr:grpSp>
      <xdr:nvGrpSpPr>
        <xdr:cNvPr id="2" name="Shape 2" title="Dessin"/>
        <xdr:cNvGrpSpPr/>
      </xdr:nvGrpSpPr>
      <xdr:grpSpPr>
        <a:xfrm>
          <a:off x="1513200" y="924375"/>
          <a:ext cx="739800" cy="739800"/>
          <a:chOff x="1513200" y="924375"/>
          <a:chExt cx="739800" cy="739800"/>
        </a:xfrm>
      </xdr:grpSpPr>
      <xdr:cxnSp>
        <xdr:nvCxnSpPr>
          <xdr:cNvPr id="71" name="Shape 71"/>
          <xdr:cNvCxnSpPr/>
        </xdr:nvCxnSpPr>
        <xdr:spPr>
          <a:xfrm flipH="1" rot="10800000">
            <a:off x="1513200" y="924375"/>
            <a:ext cx="739800" cy="739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3</xdr:row>
      <xdr:rowOff>228600</xdr:rowOff>
    </xdr:from>
    <xdr:ext cx="790575" cy="485775"/>
    <xdr:grpSp>
      <xdr:nvGrpSpPr>
        <xdr:cNvPr id="2" name="Shape 2" title="Dessin"/>
        <xdr:cNvGrpSpPr/>
      </xdr:nvGrpSpPr>
      <xdr:grpSpPr>
        <a:xfrm>
          <a:off x="1332000" y="919250"/>
          <a:ext cx="724800" cy="724800"/>
          <a:chOff x="1332000" y="919250"/>
          <a:chExt cx="724800" cy="724800"/>
        </a:xfrm>
      </xdr:grpSpPr>
      <xdr:cxnSp>
        <xdr:nvCxnSpPr>
          <xdr:cNvPr id="103" name="Shape 103"/>
          <xdr:cNvCxnSpPr/>
        </xdr:nvCxnSpPr>
        <xdr:spPr>
          <a:xfrm flipH="1" rot="10800000">
            <a:off x="1332000" y="919250"/>
            <a:ext cx="724800" cy="724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5</xdr:row>
      <xdr:rowOff>228600</xdr:rowOff>
    </xdr:from>
    <xdr:ext cx="781050" cy="485775"/>
    <xdr:grpSp>
      <xdr:nvGrpSpPr>
        <xdr:cNvPr id="2" name="Shape 2" title="Dessin"/>
        <xdr:cNvGrpSpPr/>
      </xdr:nvGrpSpPr>
      <xdr:grpSpPr>
        <a:xfrm>
          <a:off x="2120125" y="852175"/>
          <a:ext cx="613500" cy="613500"/>
          <a:chOff x="2120125" y="852175"/>
          <a:chExt cx="613500" cy="613500"/>
        </a:xfrm>
      </xdr:grpSpPr>
      <xdr:cxnSp>
        <xdr:nvCxnSpPr>
          <xdr:cNvPr id="72" name="Shape 72"/>
          <xdr:cNvCxnSpPr/>
        </xdr:nvCxnSpPr>
        <xdr:spPr>
          <a:xfrm flipH="1" rot="10800000">
            <a:off x="2120125" y="852175"/>
            <a:ext cx="613500" cy="6135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7</xdr:row>
      <xdr:rowOff>228600</xdr:rowOff>
    </xdr:from>
    <xdr:ext cx="790575" cy="485775"/>
    <xdr:grpSp>
      <xdr:nvGrpSpPr>
        <xdr:cNvPr id="2" name="Shape 2" title="Dessin"/>
        <xdr:cNvGrpSpPr/>
      </xdr:nvGrpSpPr>
      <xdr:grpSpPr>
        <a:xfrm>
          <a:off x="2191700" y="908475"/>
          <a:ext cx="751500" cy="751500"/>
          <a:chOff x="2191700" y="908475"/>
          <a:chExt cx="751500" cy="751500"/>
        </a:xfrm>
      </xdr:grpSpPr>
      <xdr:cxnSp>
        <xdr:nvCxnSpPr>
          <xdr:cNvPr id="73" name="Shape 73"/>
          <xdr:cNvCxnSpPr/>
        </xdr:nvCxnSpPr>
        <xdr:spPr>
          <a:xfrm flipH="1" rot="10800000">
            <a:off x="2191700" y="908475"/>
            <a:ext cx="751500" cy="7515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9</xdr:row>
      <xdr:rowOff>228600</xdr:rowOff>
    </xdr:from>
    <xdr:ext cx="790575" cy="485775"/>
    <xdr:grpSp>
      <xdr:nvGrpSpPr>
        <xdr:cNvPr id="2" name="Shape 2" title="Dessin"/>
        <xdr:cNvGrpSpPr/>
      </xdr:nvGrpSpPr>
      <xdr:grpSpPr>
        <a:xfrm>
          <a:off x="1332750" y="1491325"/>
          <a:ext cx="628800" cy="628800"/>
          <a:chOff x="1332750" y="1491325"/>
          <a:chExt cx="628800" cy="628800"/>
        </a:xfrm>
      </xdr:grpSpPr>
      <xdr:cxnSp>
        <xdr:nvCxnSpPr>
          <xdr:cNvPr id="74" name="Shape 74"/>
          <xdr:cNvCxnSpPr/>
        </xdr:nvCxnSpPr>
        <xdr:spPr>
          <a:xfrm flipH="1" rot="10800000">
            <a:off x="1332750" y="1491325"/>
            <a:ext cx="628800" cy="628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11</xdr:row>
      <xdr:rowOff>228600</xdr:rowOff>
    </xdr:from>
    <xdr:ext cx="790575" cy="485775"/>
    <xdr:grpSp>
      <xdr:nvGrpSpPr>
        <xdr:cNvPr id="2" name="Shape 2" title="Dessin"/>
        <xdr:cNvGrpSpPr/>
      </xdr:nvGrpSpPr>
      <xdr:grpSpPr>
        <a:xfrm>
          <a:off x="2150800" y="872600"/>
          <a:ext cx="603300" cy="603300"/>
          <a:chOff x="2150800" y="872600"/>
          <a:chExt cx="603300" cy="603300"/>
        </a:xfrm>
      </xdr:grpSpPr>
      <xdr:cxnSp>
        <xdr:nvCxnSpPr>
          <xdr:cNvPr id="75" name="Shape 75"/>
          <xdr:cNvCxnSpPr/>
        </xdr:nvCxnSpPr>
        <xdr:spPr>
          <a:xfrm flipH="1" rot="10800000">
            <a:off x="2150800" y="872600"/>
            <a:ext cx="603300" cy="6033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13</xdr:row>
      <xdr:rowOff>228600</xdr:rowOff>
    </xdr:from>
    <xdr:ext cx="790575" cy="485775"/>
    <xdr:grpSp>
      <xdr:nvGrpSpPr>
        <xdr:cNvPr id="2" name="Shape 2" title="Dessin"/>
        <xdr:cNvGrpSpPr/>
      </xdr:nvGrpSpPr>
      <xdr:grpSpPr>
        <a:xfrm>
          <a:off x="2324625" y="632300"/>
          <a:ext cx="608400" cy="608400"/>
          <a:chOff x="2324625" y="632300"/>
          <a:chExt cx="608400" cy="608400"/>
        </a:xfrm>
      </xdr:grpSpPr>
      <xdr:cxnSp>
        <xdr:nvCxnSpPr>
          <xdr:cNvPr id="76" name="Shape 76"/>
          <xdr:cNvCxnSpPr/>
        </xdr:nvCxnSpPr>
        <xdr:spPr>
          <a:xfrm flipH="1" rot="10800000">
            <a:off x="2324625" y="632300"/>
            <a:ext cx="608400" cy="608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15</xdr:row>
      <xdr:rowOff>228600</xdr:rowOff>
    </xdr:from>
    <xdr:ext cx="790575" cy="485775"/>
    <xdr:grpSp>
      <xdr:nvGrpSpPr>
        <xdr:cNvPr id="2" name="Shape 2" title="Dessin"/>
        <xdr:cNvGrpSpPr/>
      </xdr:nvGrpSpPr>
      <xdr:grpSpPr>
        <a:xfrm>
          <a:off x="1946275" y="831725"/>
          <a:ext cx="736200" cy="736200"/>
          <a:chOff x="1946275" y="831725"/>
          <a:chExt cx="736200" cy="736200"/>
        </a:xfrm>
      </xdr:grpSpPr>
      <xdr:cxnSp>
        <xdr:nvCxnSpPr>
          <xdr:cNvPr id="77" name="Shape 77"/>
          <xdr:cNvCxnSpPr/>
        </xdr:nvCxnSpPr>
        <xdr:spPr>
          <a:xfrm flipH="1" rot="10800000">
            <a:off x="1946275" y="831725"/>
            <a:ext cx="736200" cy="736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17</xdr:row>
      <xdr:rowOff>228600</xdr:rowOff>
    </xdr:from>
    <xdr:ext cx="790575" cy="485775"/>
    <xdr:grpSp>
      <xdr:nvGrpSpPr>
        <xdr:cNvPr id="2" name="Shape 2" title="Dessin"/>
        <xdr:cNvGrpSpPr/>
      </xdr:nvGrpSpPr>
      <xdr:grpSpPr>
        <a:xfrm>
          <a:off x="2324625" y="959375"/>
          <a:ext cx="669900" cy="669900"/>
          <a:chOff x="2324625" y="959375"/>
          <a:chExt cx="669900" cy="669900"/>
        </a:xfrm>
      </xdr:grpSpPr>
      <xdr:cxnSp>
        <xdr:nvCxnSpPr>
          <xdr:cNvPr id="78" name="Shape 78"/>
          <xdr:cNvCxnSpPr/>
        </xdr:nvCxnSpPr>
        <xdr:spPr>
          <a:xfrm flipH="1" rot="10800000">
            <a:off x="2324625" y="959375"/>
            <a:ext cx="669900" cy="6699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17</xdr:col>
      <xdr:colOff>381000</xdr:colOff>
      <xdr:row>19</xdr:row>
      <xdr:rowOff>228600</xdr:rowOff>
    </xdr:from>
    <xdr:ext cx="800100" cy="485775"/>
    <xdr:grpSp>
      <xdr:nvGrpSpPr>
        <xdr:cNvPr id="2" name="Shape 2" title="Dessin"/>
        <xdr:cNvGrpSpPr/>
      </xdr:nvGrpSpPr>
      <xdr:grpSpPr>
        <a:xfrm>
          <a:off x="2099675" y="1010650"/>
          <a:ext cx="843600" cy="843600"/>
          <a:chOff x="2099675" y="1010650"/>
          <a:chExt cx="843600" cy="843600"/>
        </a:xfrm>
      </xdr:grpSpPr>
      <xdr:cxnSp>
        <xdr:nvCxnSpPr>
          <xdr:cNvPr id="79" name="Shape 79"/>
          <xdr:cNvCxnSpPr/>
        </xdr:nvCxnSpPr>
        <xdr:spPr>
          <a:xfrm flipH="1" rot="10800000">
            <a:off x="2099675" y="1010650"/>
            <a:ext cx="843600" cy="8436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0</xdr:col>
      <xdr:colOff>19050</xdr:colOff>
      <xdr:row>1</xdr:row>
      <xdr:rowOff>228600</xdr:rowOff>
    </xdr:from>
    <xdr:ext cx="790575" cy="485775"/>
    <xdr:grpSp>
      <xdr:nvGrpSpPr>
        <xdr:cNvPr id="2" name="Shape 2" title="Dessin"/>
        <xdr:cNvGrpSpPr/>
      </xdr:nvGrpSpPr>
      <xdr:grpSpPr>
        <a:xfrm>
          <a:off x="1588375" y="1470650"/>
          <a:ext cx="659700" cy="659700"/>
          <a:chOff x="1588375" y="1470650"/>
          <a:chExt cx="659700" cy="659700"/>
        </a:xfrm>
      </xdr:grpSpPr>
      <xdr:cxnSp>
        <xdr:nvCxnSpPr>
          <xdr:cNvPr id="80" name="Shape 80"/>
          <xdr:cNvCxnSpPr/>
        </xdr:nvCxnSpPr>
        <xdr:spPr>
          <a:xfrm flipH="1" rot="10800000">
            <a:off x="1588375" y="1470650"/>
            <a:ext cx="659700" cy="6597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0</xdr:col>
      <xdr:colOff>0</xdr:colOff>
      <xdr:row>3</xdr:row>
      <xdr:rowOff>219075</xdr:rowOff>
    </xdr:from>
    <xdr:ext cx="809625" cy="485775"/>
    <xdr:grpSp>
      <xdr:nvGrpSpPr>
        <xdr:cNvPr id="2" name="Shape 2" title="Dessin"/>
        <xdr:cNvGrpSpPr/>
      </xdr:nvGrpSpPr>
      <xdr:grpSpPr>
        <a:xfrm>
          <a:off x="1547475" y="749825"/>
          <a:ext cx="695400" cy="695400"/>
          <a:chOff x="1547475" y="749825"/>
          <a:chExt cx="695400" cy="695400"/>
        </a:xfrm>
      </xdr:grpSpPr>
      <xdr:cxnSp>
        <xdr:nvCxnSpPr>
          <xdr:cNvPr id="81" name="Shape 81"/>
          <xdr:cNvCxnSpPr/>
        </xdr:nvCxnSpPr>
        <xdr:spPr>
          <a:xfrm flipH="1" rot="10800000">
            <a:off x="1547475" y="749825"/>
            <a:ext cx="695400" cy="695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3</xdr:row>
      <xdr:rowOff>47625</xdr:rowOff>
    </xdr:from>
    <xdr:ext cx="4562475" cy="4448175"/>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14</xdr:row>
      <xdr:rowOff>0</xdr:rowOff>
    </xdr:from>
    <xdr:ext cx="5248275" cy="3238500"/>
    <xdr:graphicFrame>
      <xdr:nvGraphicFramePr>
        <xdr:cNvPr id="2" name="Chart 2"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657225</xdr:colOff>
      <xdr:row>4</xdr:row>
      <xdr:rowOff>0</xdr:rowOff>
    </xdr:from>
    <xdr:ext cx="5048250" cy="5162550"/>
    <xdr:graphicFrame>
      <xdr:nvGraphicFramePr>
        <xdr:cNvPr id="3" name="Chart 3"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742950</xdr:colOff>
      <xdr:row>14</xdr:row>
      <xdr:rowOff>190500</xdr:rowOff>
    </xdr:from>
    <xdr:ext cx="4343400" cy="2400300"/>
    <xdr:sp>
      <xdr:nvSpPr>
        <xdr:cNvPr id="106" name="Shape 106"/>
        <xdr:cNvSpPr/>
      </xdr:nvSpPr>
      <xdr:spPr>
        <a:xfrm>
          <a:off x="370950" y="667700"/>
          <a:ext cx="2893800" cy="1904100"/>
        </a:xfrm>
        <a:prstGeom prst="rect">
          <a:avLst/>
        </a:prstGeom>
        <a:noFill/>
        <a:ln cap="flat" cmpd="sng" w="28575">
          <a:solidFill>
            <a:srgbClr val="45818E"/>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457200</xdr:colOff>
      <xdr:row>28</xdr:row>
      <xdr:rowOff>47625</xdr:rowOff>
    </xdr:from>
    <xdr:ext cx="4343400" cy="190500"/>
    <xdr:sp>
      <xdr:nvSpPr>
        <xdr:cNvPr id="107" name="Shape 107"/>
        <xdr:cNvSpPr/>
      </xdr:nvSpPr>
      <xdr:spPr>
        <a:xfrm>
          <a:off x="943575" y="596125"/>
          <a:ext cx="3589200" cy="35790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600075</xdr:colOff>
      <xdr:row>4</xdr:row>
      <xdr:rowOff>0</xdr:rowOff>
    </xdr:from>
    <xdr:ext cx="5105400" cy="5162550"/>
    <xdr:pic>
      <xdr:nvPicPr>
        <xdr:cNvPr id="0" name="image2.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xdr:row>
      <xdr:rowOff>0</xdr:rowOff>
    </xdr:from>
    <xdr:ext cx="5248275" cy="3238500"/>
    <xdr:graphicFrame>
      <xdr:nvGraphicFramePr>
        <xdr:cNvPr id="4" name="Chart 4"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457200</xdr:colOff>
      <xdr:row>29</xdr:row>
      <xdr:rowOff>47625</xdr:rowOff>
    </xdr:from>
    <xdr:ext cx="4343400" cy="190500"/>
    <xdr:sp>
      <xdr:nvSpPr>
        <xdr:cNvPr id="107" name="Shape 107"/>
        <xdr:cNvSpPr/>
      </xdr:nvSpPr>
      <xdr:spPr>
        <a:xfrm>
          <a:off x="943575" y="596125"/>
          <a:ext cx="3589200" cy="35790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771525</xdr:colOff>
      <xdr:row>16</xdr:row>
      <xdr:rowOff>19050</xdr:rowOff>
    </xdr:from>
    <xdr:ext cx="4210050" cy="2352675"/>
    <xdr:grpSp>
      <xdr:nvGrpSpPr>
        <xdr:cNvPr id="2" name="Shape 2" title="Dessin"/>
        <xdr:cNvGrpSpPr/>
      </xdr:nvGrpSpPr>
      <xdr:grpSpPr>
        <a:xfrm>
          <a:off x="1209100" y="1807875"/>
          <a:ext cx="4192400" cy="2334850"/>
          <a:chOff x="1209100" y="1807875"/>
          <a:chExt cx="4192400" cy="2334850"/>
        </a:xfrm>
      </xdr:grpSpPr>
      <xdr:cxnSp>
        <xdr:nvCxnSpPr>
          <xdr:cNvPr id="108" name="Shape 108"/>
          <xdr:cNvCxnSpPr/>
        </xdr:nvCxnSpPr>
        <xdr:spPr>
          <a:xfrm flipH="1" rot="10800000">
            <a:off x="1209100" y="3015925"/>
            <a:ext cx="10200" cy="1126800"/>
          </a:xfrm>
          <a:prstGeom prst="straightConnector1">
            <a:avLst/>
          </a:prstGeom>
          <a:noFill/>
          <a:ln cap="flat" cmpd="sng" w="19050">
            <a:solidFill>
              <a:srgbClr val="FF0000"/>
            </a:solidFill>
            <a:prstDash val="solid"/>
            <a:round/>
            <a:headEnd len="med" w="med" type="none"/>
            <a:tailEnd len="med" w="med" type="none"/>
          </a:ln>
        </xdr:spPr>
      </xdr:cxnSp>
      <xdr:cxnSp>
        <xdr:nvCxnSpPr>
          <xdr:cNvPr id="109" name="Shape 109"/>
          <xdr:cNvCxnSpPr/>
        </xdr:nvCxnSpPr>
        <xdr:spPr>
          <a:xfrm flipH="1" rot="10800000">
            <a:off x="1229400" y="1807875"/>
            <a:ext cx="2639400" cy="1208100"/>
          </a:xfrm>
          <a:prstGeom prst="straightConnector1">
            <a:avLst/>
          </a:prstGeom>
          <a:noFill/>
          <a:ln cap="flat" cmpd="sng" w="19050">
            <a:solidFill>
              <a:srgbClr val="FF0000"/>
            </a:solidFill>
            <a:prstDash val="solid"/>
            <a:round/>
            <a:headEnd len="med" w="med" type="none"/>
            <a:tailEnd len="med" w="med" type="none"/>
          </a:ln>
        </xdr:spPr>
      </xdr:cxnSp>
      <xdr:cxnSp>
        <xdr:nvCxnSpPr>
          <xdr:cNvPr id="110" name="Shape 110"/>
          <xdr:cNvCxnSpPr/>
        </xdr:nvCxnSpPr>
        <xdr:spPr>
          <a:xfrm>
            <a:off x="3868800" y="1807875"/>
            <a:ext cx="1532700" cy="0"/>
          </a:xfrm>
          <a:prstGeom prst="straightConnector1">
            <a:avLst/>
          </a:prstGeom>
          <a:noFill/>
          <a:ln cap="flat" cmpd="sng" w="19050">
            <a:solidFill>
              <a:srgbClr val="FF0000"/>
            </a:solidFill>
            <a:prstDash val="solid"/>
            <a:round/>
            <a:headEnd len="med" w="med" type="none"/>
            <a:tailEnd len="med" w="med" type="none"/>
          </a:ln>
        </xdr:spPr>
      </xdr:cxnSp>
      <xdr:cxnSp>
        <xdr:nvCxnSpPr>
          <xdr:cNvPr id="111" name="Shape 111"/>
          <xdr:cNvCxnSpPr/>
        </xdr:nvCxnSpPr>
        <xdr:spPr>
          <a:xfrm>
            <a:off x="5393350" y="1812300"/>
            <a:ext cx="0" cy="2290500"/>
          </a:xfrm>
          <a:prstGeom prst="straightConnector1">
            <a:avLst/>
          </a:prstGeom>
          <a:noFill/>
          <a:ln cap="flat" cmpd="sng" w="19050">
            <a:solidFill>
              <a:srgbClr val="FF0000"/>
            </a:solidFill>
            <a:prstDash val="solid"/>
            <a:round/>
            <a:headEnd len="med" w="med" type="none"/>
            <a:tailEnd len="med" w="med" type="none"/>
          </a:ln>
        </xdr:spPr>
      </xdr:cxn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323850</xdr:colOff>
      <xdr:row>32</xdr:row>
      <xdr:rowOff>180975</xdr:rowOff>
    </xdr:from>
    <xdr:ext cx="5838825" cy="2952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open?id=1CD8gElm2eIWqvcc28HXxKBx5Kiu-HcaF&amp;usp=drive_f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ngdc.noaa.gov/geomag/calculators/magcalc.shtm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ngdc.noaa.gov/geomag/calculators/magcalc.shtml?"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75"/>
  <cols>
    <col customWidth="1" min="1" max="1" width="43.0"/>
    <col customWidth="1" min="2" max="14" width="5.86"/>
    <col customWidth="1" min="15" max="15" width="1.43"/>
    <col customWidth="1" min="16" max="26" width="5.86"/>
    <col customWidth="1" min="27" max="27" width="3.0"/>
    <col customWidth="1" min="28" max="28" width="8.71"/>
  </cols>
  <sheetData>
    <row r="1" ht="225.0" customHeight="1">
      <c r="A1" s="1"/>
      <c r="B1" s="1"/>
      <c r="C1" s="1"/>
      <c r="D1" s="1"/>
      <c r="E1" s="1"/>
      <c r="F1" s="1"/>
      <c r="G1" s="1"/>
      <c r="H1" s="1"/>
      <c r="I1" s="2"/>
      <c r="J1" s="3"/>
      <c r="K1" s="4"/>
      <c r="L1" s="4"/>
      <c r="M1" s="4"/>
      <c r="N1" s="4"/>
      <c r="O1" s="1"/>
      <c r="P1" s="1"/>
      <c r="Q1" s="1"/>
      <c r="R1" s="1"/>
      <c r="S1" s="1"/>
      <c r="T1" s="1"/>
      <c r="U1" s="1"/>
      <c r="V1" s="1"/>
      <c r="W1" s="2"/>
      <c r="X1" s="3"/>
      <c r="Y1" s="4"/>
      <c r="Z1" s="4"/>
      <c r="AA1" s="4"/>
      <c r="AB1" s="4"/>
    </row>
    <row r="2" ht="18.75" customHeight="1">
      <c r="A2" s="1"/>
      <c r="B2" s="5" t="s">
        <v>0</v>
      </c>
      <c r="I2" s="6" t="s">
        <v>1</v>
      </c>
      <c r="J2" s="7"/>
      <c r="K2" s="8" t="s">
        <v>2</v>
      </c>
      <c r="L2" s="9"/>
      <c r="M2" s="9"/>
      <c r="N2" s="10"/>
      <c r="O2" s="1"/>
      <c r="P2" s="5" t="s">
        <v>0</v>
      </c>
      <c r="W2" s="6" t="s">
        <v>1</v>
      </c>
      <c r="X2" s="7"/>
      <c r="Y2" s="11" t="s">
        <v>2</v>
      </c>
      <c r="Z2" s="9"/>
      <c r="AA2" s="9"/>
      <c r="AB2" s="10"/>
    </row>
    <row r="3" ht="18.75" customHeight="1">
      <c r="A3" s="2"/>
      <c r="B3" s="12" t="s">
        <v>3</v>
      </c>
      <c r="C3" s="13"/>
      <c r="D3" s="14" t="s">
        <v>4</v>
      </c>
      <c r="E3" s="15" t="s">
        <v>5</v>
      </c>
      <c r="F3" s="16"/>
      <c r="G3" s="17" t="s">
        <v>6</v>
      </c>
      <c r="H3" s="18"/>
      <c r="I3" s="19"/>
      <c r="J3" s="20" t="s">
        <v>7</v>
      </c>
      <c r="K3" s="21" t="s">
        <v>8</v>
      </c>
      <c r="L3" s="22"/>
      <c r="M3" s="23"/>
      <c r="N3" s="24"/>
      <c r="O3" s="1"/>
      <c r="P3" s="25" t="s">
        <v>3</v>
      </c>
      <c r="Q3" s="13"/>
      <c r="R3" s="14" t="s">
        <v>4</v>
      </c>
      <c r="S3" s="15" t="s">
        <v>5</v>
      </c>
      <c r="T3" s="16"/>
      <c r="U3" s="17" t="s">
        <v>6</v>
      </c>
      <c r="V3" s="18"/>
      <c r="W3" s="26"/>
      <c r="X3" s="27" t="s">
        <v>7</v>
      </c>
      <c r="Y3" s="28" t="s">
        <v>8</v>
      </c>
      <c r="AA3" s="29"/>
      <c r="AB3" s="30"/>
    </row>
    <row r="4" ht="18.75" customHeight="1">
      <c r="A4" s="4"/>
      <c r="B4" s="31"/>
      <c r="C4" s="32" t="s">
        <v>9</v>
      </c>
      <c r="D4" s="33" t="s">
        <v>10</v>
      </c>
      <c r="E4" s="34"/>
      <c r="F4" s="35" t="s">
        <v>11</v>
      </c>
      <c r="G4" s="36"/>
      <c r="H4" s="37" t="s">
        <v>12</v>
      </c>
      <c r="I4" s="38" t="s">
        <v>13</v>
      </c>
      <c r="J4" s="39"/>
      <c r="K4" s="40" t="s">
        <v>14</v>
      </c>
      <c r="N4" s="30"/>
      <c r="O4" s="1"/>
      <c r="P4" s="31"/>
      <c r="Q4" s="32" t="s">
        <v>9</v>
      </c>
      <c r="R4" s="33" t="s">
        <v>10</v>
      </c>
      <c r="S4" s="34"/>
      <c r="T4" s="35" t="s">
        <v>11</v>
      </c>
      <c r="U4" s="36"/>
      <c r="V4" s="41" t="s">
        <v>12</v>
      </c>
      <c r="W4" s="42"/>
      <c r="X4" s="39"/>
      <c r="Y4" s="43"/>
      <c r="Z4" s="9"/>
      <c r="AA4" s="9"/>
      <c r="AB4" s="10"/>
    </row>
    <row r="5" ht="18.75" customHeight="1">
      <c r="A5" s="44"/>
      <c r="B5" s="45">
        <v>252.0</v>
      </c>
      <c r="C5" s="46"/>
      <c r="D5" s="47">
        <v>6.0</v>
      </c>
      <c r="E5" s="48">
        <v>1000.0</v>
      </c>
      <c r="F5" s="49"/>
      <c r="G5" s="50">
        <v>3.6</v>
      </c>
      <c r="H5" s="39"/>
      <c r="I5" s="51"/>
      <c r="J5" s="52"/>
      <c r="K5" s="53" t="s">
        <v>15</v>
      </c>
      <c r="L5" s="22"/>
      <c r="M5" s="54">
        <v>122.955</v>
      </c>
      <c r="N5" s="24"/>
      <c r="O5" s="1"/>
      <c r="P5" s="45">
        <v>62.0</v>
      </c>
      <c r="Q5" s="46"/>
      <c r="R5" s="55">
        <v>8.8</v>
      </c>
      <c r="S5" s="48">
        <v>1400.0</v>
      </c>
      <c r="T5" s="56"/>
      <c r="U5" s="57">
        <v>5.28</v>
      </c>
      <c r="V5" s="46"/>
      <c r="W5" s="51"/>
      <c r="X5" s="52"/>
      <c r="Y5" s="53" t="s">
        <v>16</v>
      </c>
      <c r="Z5" s="22"/>
      <c r="AA5" s="54"/>
      <c r="AB5" s="24"/>
    </row>
    <row r="6" ht="18.75" customHeight="1">
      <c r="A6" s="1"/>
      <c r="B6" s="51"/>
      <c r="C6" s="58">
        <v>254.37335689559904</v>
      </c>
      <c r="D6" s="59">
        <v>97.83979947028652</v>
      </c>
      <c r="E6" s="51"/>
      <c r="F6" s="60">
        <v>1400.0</v>
      </c>
      <c r="G6" s="52"/>
      <c r="H6" s="61" t="s">
        <v>17</v>
      </c>
      <c r="I6" s="42"/>
      <c r="J6" s="39"/>
      <c r="K6" s="62"/>
      <c r="L6" s="9"/>
      <c r="M6" s="9"/>
      <c r="N6" s="10"/>
      <c r="O6" s="1"/>
      <c r="P6" s="51"/>
      <c r="Q6" s="58">
        <v>58.122762663651166</v>
      </c>
      <c r="R6" s="63">
        <v>97.20575999924102</v>
      </c>
      <c r="S6" s="64"/>
      <c r="T6" s="65">
        <v>1500.0</v>
      </c>
      <c r="U6" s="51"/>
      <c r="V6" s="66" t="s">
        <v>18</v>
      </c>
      <c r="W6" s="42"/>
      <c r="X6" s="39"/>
      <c r="Y6" s="40"/>
      <c r="AB6" s="30"/>
    </row>
    <row r="7" ht="18.75" customHeight="1">
      <c r="A7" s="44"/>
      <c r="B7" s="45">
        <v>222.0</v>
      </c>
      <c r="C7" s="46"/>
      <c r="D7" s="47">
        <v>3.1</v>
      </c>
      <c r="E7" s="48">
        <v>1400.0</v>
      </c>
      <c r="F7" s="49"/>
      <c r="G7" s="50">
        <v>1.86</v>
      </c>
      <c r="H7" s="39"/>
      <c r="I7" s="51"/>
      <c r="J7" s="52"/>
      <c r="K7" s="53" t="s">
        <v>19</v>
      </c>
      <c r="L7" s="22"/>
      <c r="M7" s="67"/>
      <c r="N7" s="24"/>
      <c r="O7" s="1"/>
      <c r="P7" s="68"/>
      <c r="Q7" s="46"/>
      <c r="R7" s="69"/>
      <c r="S7" s="70"/>
      <c r="T7" s="56"/>
      <c r="U7" s="57"/>
      <c r="V7" s="46"/>
      <c r="W7" s="51"/>
      <c r="X7" s="52"/>
      <c r="Y7" s="53" t="s">
        <v>15</v>
      </c>
      <c r="Z7" s="22"/>
      <c r="AA7" s="67"/>
      <c r="AB7" s="24"/>
    </row>
    <row r="8" ht="18.75" customHeight="1">
      <c r="A8" s="1"/>
      <c r="B8" s="51"/>
      <c r="C8" s="58">
        <v>228.4961866013993</v>
      </c>
      <c r="D8" s="59">
        <v>97.20575999924102</v>
      </c>
      <c r="E8" s="51"/>
      <c r="F8" s="60">
        <v>1300.0</v>
      </c>
      <c r="G8" s="52"/>
      <c r="H8" s="61" t="s">
        <v>20</v>
      </c>
      <c r="I8" s="42"/>
      <c r="J8" s="39"/>
      <c r="K8" s="43" t="s">
        <v>21</v>
      </c>
      <c r="L8" s="9"/>
      <c r="M8" s="9"/>
      <c r="N8" s="10"/>
      <c r="O8" s="1"/>
      <c r="P8" s="51"/>
      <c r="Q8" s="66"/>
      <c r="R8" s="63"/>
      <c r="S8" s="64"/>
      <c r="T8" s="71"/>
      <c r="U8" s="51"/>
      <c r="V8" s="58"/>
      <c r="W8" s="42"/>
      <c r="X8" s="39"/>
      <c r="Y8" s="72"/>
      <c r="AB8" s="30"/>
    </row>
    <row r="9" ht="18.75" customHeight="1">
      <c r="A9" s="44"/>
      <c r="B9" s="45">
        <v>189.0</v>
      </c>
      <c r="C9" s="46"/>
      <c r="D9" s="47">
        <v>8.2</v>
      </c>
      <c r="E9" s="48">
        <v>1900.0</v>
      </c>
      <c r="F9" s="49"/>
      <c r="G9" s="50">
        <v>4.919999999999999</v>
      </c>
      <c r="H9" s="39"/>
      <c r="I9" s="51"/>
      <c r="J9" s="52"/>
      <c r="K9" s="53" t="s">
        <v>16</v>
      </c>
      <c r="L9" s="22"/>
      <c r="M9" s="54">
        <v>123.835</v>
      </c>
      <c r="N9" s="24"/>
      <c r="O9" s="1"/>
      <c r="P9" s="68"/>
      <c r="Q9" s="46"/>
      <c r="R9" s="69"/>
      <c r="S9" s="70"/>
      <c r="T9" s="56"/>
      <c r="U9" s="57"/>
      <c r="V9" s="46"/>
      <c r="W9" s="51"/>
      <c r="X9" s="52"/>
      <c r="Y9" s="73"/>
      <c r="Z9" s="22"/>
      <c r="AA9" s="67"/>
      <c r="AB9" s="24"/>
    </row>
    <row r="10" ht="18.75" customHeight="1">
      <c r="A10" s="1"/>
      <c r="B10" s="51"/>
      <c r="C10" s="58">
        <v>198.00401147475307</v>
      </c>
      <c r="D10" s="59">
        <v>96.42467385716066</v>
      </c>
      <c r="E10" s="51"/>
      <c r="F10" s="60">
        <v>1300.0</v>
      </c>
      <c r="G10" s="52"/>
      <c r="H10" s="61" t="s">
        <v>22</v>
      </c>
      <c r="I10" s="42"/>
      <c r="J10" s="39"/>
      <c r="K10" s="62"/>
      <c r="L10" s="9"/>
      <c r="M10" s="9"/>
      <c r="N10" s="10"/>
      <c r="O10" s="1"/>
      <c r="P10" s="51"/>
      <c r="Q10" s="66"/>
      <c r="R10" s="63"/>
      <c r="S10" s="64"/>
      <c r="T10" s="71"/>
      <c r="U10" s="51"/>
      <c r="V10" s="58"/>
      <c r="W10" s="42"/>
      <c r="X10" s="39"/>
      <c r="Y10" s="72"/>
      <c r="AB10" s="30"/>
    </row>
    <row r="11" ht="18.75" customHeight="1">
      <c r="A11" s="44"/>
      <c r="B11" s="45">
        <v>189.0</v>
      </c>
      <c r="C11" s="46"/>
      <c r="D11" s="47">
        <v>11.0</v>
      </c>
      <c r="E11" s="48">
        <v>1900.0</v>
      </c>
      <c r="F11" s="49"/>
      <c r="G11" s="50">
        <v>6.6</v>
      </c>
      <c r="H11" s="39"/>
      <c r="I11" s="51"/>
      <c r="J11" s="52"/>
      <c r="K11" s="53" t="s">
        <v>23</v>
      </c>
      <c r="L11" s="22"/>
      <c r="M11" s="67"/>
      <c r="N11" s="24"/>
      <c r="O11" s="1"/>
      <c r="P11" s="68"/>
      <c r="Q11" s="46"/>
      <c r="R11" s="69"/>
      <c r="S11" s="70"/>
      <c r="T11" s="56"/>
      <c r="U11" s="57"/>
      <c r="V11" s="46"/>
      <c r="W11" s="51"/>
      <c r="X11" s="52"/>
      <c r="Y11" s="73"/>
      <c r="Z11" s="22"/>
      <c r="AA11" s="67"/>
      <c r="AB11" s="24"/>
    </row>
    <row r="12" ht="18.75" customHeight="1">
      <c r="A12" s="1"/>
      <c r="B12" s="51"/>
      <c r="C12" s="58">
        <v>198.00401147475307</v>
      </c>
      <c r="D12" s="59">
        <v>96.42467385716066</v>
      </c>
      <c r="E12" s="51"/>
      <c r="F12" s="60">
        <v>1400.0</v>
      </c>
      <c r="G12" s="52"/>
      <c r="H12" s="61" t="s">
        <v>24</v>
      </c>
      <c r="I12" s="42"/>
      <c r="J12" s="39"/>
      <c r="K12" s="43" t="s">
        <v>25</v>
      </c>
      <c r="L12" s="9"/>
      <c r="M12" s="9"/>
      <c r="N12" s="10"/>
      <c r="O12" s="1"/>
      <c r="P12" s="51"/>
      <c r="Q12" s="66"/>
      <c r="R12" s="63"/>
      <c r="S12" s="64"/>
      <c r="T12" s="71"/>
      <c r="U12" s="51"/>
      <c r="V12" s="58"/>
      <c r="W12" s="42"/>
      <c r="X12" s="39"/>
      <c r="Y12" s="72"/>
      <c r="AB12" s="30"/>
    </row>
    <row r="13" ht="18.75" customHeight="1">
      <c r="A13" s="44"/>
      <c r="B13" s="45">
        <v>206.0</v>
      </c>
      <c r="C13" s="46"/>
      <c r="D13" s="47">
        <v>11.0</v>
      </c>
      <c r="E13" s="48">
        <v>1900.0</v>
      </c>
      <c r="F13" s="49"/>
      <c r="G13" s="50">
        <v>6.6</v>
      </c>
      <c r="H13" s="39"/>
      <c r="I13" s="51"/>
      <c r="J13" s="52"/>
      <c r="K13" s="53" t="s">
        <v>26</v>
      </c>
      <c r="L13" s="22"/>
      <c r="M13" s="54">
        <v>119.205</v>
      </c>
      <c r="N13" s="24"/>
      <c r="O13" s="1"/>
      <c r="P13" s="68"/>
      <c r="Q13" s="46"/>
      <c r="R13" s="69"/>
      <c r="S13" s="70"/>
      <c r="T13" s="56"/>
      <c r="U13" s="57"/>
      <c r="V13" s="46"/>
      <c r="W13" s="51"/>
      <c r="X13" s="52"/>
      <c r="Y13" s="73"/>
      <c r="Z13" s="22"/>
      <c r="AA13" s="67"/>
      <c r="AB13" s="24"/>
    </row>
    <row r="14" ht="18.75" customHeight="1">
      <c r="A14" s="1"/>
      <c r="B14" s="51"/>
      <c r="C14" s="58">
        <v>214.04432531845708</v>
      </c>
      <c r="D14" s="59">
        <v>96.42467385716066</v>
      </c>
      <c r="E14" s="51"/>
      <c r="F14" s="60">
        <v>1300.0</v>
      </c>
      <c r="G14" s="52"/>
      <c r="H14" s="61" t="s">
        <v>27</v>
      </c>
      <c r="I14" s="42"/>
      <c r="J14" s="39"/>
      <c r="K14" s="43" t="s">
        <v>28</v>
      </c>
      <c r="L14" s="9"/>
      <c r="M14" s="9"/>
      <c r="N14" s="10"/>
      <c r="O14" s="1"/>
      <c r="P14" s="51"/>
      <c r="Q14" s="66"/>
      <c r="R14" s="63"/>
      <c r="S14" s="64"/>
      <c r="T14" s="71"/>
      <c r="U14" s="51"/>
      <c r="V14" s="58"/>
      <c r="W14" s="42"/>
      <c r="X14" s="39"/>
      <c r="Y14" s="72"/>
      <c r="AB14" s="30"/>
    </row>
    <row r="15" ht="18.75" customHeight="1">
      <c r="A15" s="44"/>
      <c r="B15" s="45">
        <v>312.0</v>
      </c>
      <c r="C15" s="46"/>
      <c r="D15" s="47">
        <v>2.8</v>
      </c>
      <c r="E15" s="48">
        <v>1900.0</v>
      </c>
      <c r="F15" s="49"/>
      <c r="G15" s="50">
        <v>1.68</v>
      </c>
      <c r="H15" s="39"/>
      <c r="I15" s="51"/>
      <c r="J15" s="52"/>
      <c r="K15" s="53" t="s">
        <v>29</v>
      </c>
      <c r="L15" s="22"/>
      <c r="M15" s="54">
        <v>118.8</v>
      </c>
      <c r="N15" s="24"/>
      <c r="O15" s="1"/>
      <c r="P15" s="68"/>
      <c r="Q15" s="46"/>
      <c r="R15" s="69"/>
      <c r="S15" s="70"/>
      <c r="T15" s="56"/>
      <c r="U15" s="57"/>
      <c r="V15" s="46"/>
      <c r="W15" s="51"/>
      <c r="X15" s="52"/>
      <c r="Y15" s="73"/>
      <c r="Z15" s="22"/>
      <c r="AA15" s="67"/>
      <c r="AB15" s="24"/>
    </row>
    <row r="16" ht="18.75" customHeight="1">
      <c r="A16" s="1"/>
      <c r="B16" s="51"/>
      <c r="C16" s="58">
        <v>305.5038133986007</v>
      </c>
      <c r="D16" s="59">
        <v>96.42467385716066</v>
      </c>
      <c r="E16" s="51"/>
      <c r="F16" s="60">
        <v>1300.0</v>
      </c>
      <c r="G16" s="52"/>
      <c r="H16" s="61" t="s">
        <v>30</v>
      </c>
      <c r="I16" s="42"/>
      <c r="J16" s="39"/>
      <c r="K16" s="74"/>
      <c r="L16" s="9"/>
      <c r="M16" s="9"/>
      <c r="N16" s="10"/>
      <c r="O16" s="1"/>
      <c r="P16" s="51"/>
      <c r="Q16" s="66"/>
      <c r="R16" s="63"/>
      <c r="S16" s="64"/>
      <c r="T16" s="71"/>
      <c r="U16" s="51"/>
      <c r="V16" s="58"/>
      <c r="W16" s="42"/>
      <c r="X16" s="39"/>
      <c r="Y16" s="72"/>
      <c r="AB16" s="30"/>
    </row>
    <row r="17" ht="18.75" customHeight="1">
      <c r="A17" s="44"/>
      <c r="B17" s="45">
        <v>340.0</v>
      </c>
      <c r="C17" s="46"/>
      <c r="D17" s="47">
        <v>14.0</v>
      </c>
      <c r="E17" s="48">
        <v>1900.0</v>
      </c>
      <c r="F17" s="49"/>
      <c r="G17" s="50">
        <v>8.4</v>
      </c>
      <c r="H17" s="39"/>
      <c r="I17" s="51"/>
      <c r="J17" s="52"/>
      <c r="K17" s="53" t="s">
        <v>31</v>
      </c>
      <c r="L17" s="22"/>
      <c r="M17" s="54"/>
      <c r="N17" s="24"/>
      <c r="O17" s="1"/>
      <c r="P17" s="68"/>
      <c r="Q17" s="46"/>
      <c r="R17" s="69"/>
      <c r="S17" s="70"/>
      <c r="T17" s="56"/>
      <c r="U17" s="57"/>
      <c r="V17" s="46"/>
      <c r="W17" s="51"/>
      <c r="X17" s="52"/>
      <c r="Y17" s="73"/>
      <c r="Z17" s="22"/>
      <c r="AA17" s="67"/>
      <c r="AB17" s="24"/>
    </row>
    <row r="18" ht="18.75" customHeight="1">
      <c r="A18" s="1"/>
      <c r="B18" s="51"/>
      <c r="C18" s="58">
        <v>331.1986708647275</v>
      </c>
      <c r="D18" s="59">
        <v>96.42467385716066</v>
      </c>
      <c r="E18" s="51"/>
      <c r="F18" s="60">
        <v>1600.0</v>
      </c>
      <c r="G18" s="52"/>
      <c r="H18" s="61" t="s">
        <v>32</v>
      </c>
      <c r="I18" s="42"/>
      <c r="J18" s="39"/>
      <c r="K18" s="43" t="s">
        <v>33</v>
      </c>
      <c r="L18" s="9"/>
      <c r="M18" s="9"/>
      <c r="N18" s="10"/>
      <c r="O18" s="1"/>
      <c r="P18" s="51"/>
      <c r="Q18" s="66"/>
      <c r="R18" s="75"/>
      <c r="S18" s="64"/>
      <c r="T18" s="71"/>
      <c r="U18" s="51"/>
      <c r="V18" s="58"/>
      <c r="W18" s="42"/>
      <c r="X18" s="39"/>
      <c r="Y18" s="72"/>
      <c r="AB18" s="30"/>
    </row>
    <row r="19" ht="18.75" customHeight="1">
      <c r="A19" s="44"/>
      <c r="B19" s="45">
        <v>78.0</v>
      </c>
      <c r="C19" s="46"/>
      <c r="D19" s="47">
        <v>2.8</v>
      </c>
      <c r="E19" s="48">
        <v>1900.0</v>
      </c>
      <c r="F19" s="49"/>
      <c r="G19" s="50">
        <v>1.68</v>
      </c>
      <c r="H19" s="39"/>
      <c r="I19" s="51"/>
      <c r="J19" s="52"/>
      <c r="K19" s="53" t="s">
        <v>34</v>
      </c>
      <c r="L19" s="22"/>
      <c r="M19" s="54">
        <v>118.205</v>
      </c>
      <c r="N19" s="24"/>
      <c r="O19" s="1"/>
      <c r="P19" s="68"/>
      <c r="Q19" s="46"/>
      <c r="R19" s="76"/>
      <c r="S19" s="70"/>
      <c r="T19" s="56"/>
      <c r="U19" s="57"/>
      <c r="V19" s="46"/>
      <c r="W19" s="51"/>
      <c r="X19" s="52"/>
      <c r="Y19" s="73"/>
      <c r="Z19" s="22"/>
      <c r="AA19" s="67"/>
      <c r="AB19" s="24"/>
    </row>
    <row r="20" ht="18.75" customHeight="1">
      <c r="A20" s="1"/>
      <c r="B20" s="51"/>
      <c r="C20" s="58">
        <v>76.56576468218385</v>
      </c>
      <c r="D20" s="59">
        <v>96.42467385716066</v>
      </c>
      <c r="E20" s="51"/>
      <c r="F20" s="60">
        <v>1400.0</v>
      </c>
      <c r="G20" s="52"/>
      <c r="H20" s="61" t="s">
        <v>35</v>
      </c>
      <c r="I20" s="42"/>
      <c r="J20" s="39"/>
      <c r="K20" s="43"/>
      <c r="L20" s="9"/>
      <c r="M20" s="9"/>
      <c r="N20" s="10"/>
      <c r="O20" s="1"/>
      <c r="P20" s="51"/>
      <c r="Q20" s="66"/>
      <c r="R20" s="75"/>
      <c r="S20" s="64"/>
      <c r="T20" s="71"/>
      <c r="U20" s="51"/>
      <c r="V20" s="58"/>
      <c r="W20" s="42"/>
      <c r="X20" s="39"/>
      <c r="Y20" s="72"/>
      <c r="AB20" s="30"/>
    </row>
    <row r="21" ht="18.75" customHeight="1">
      <c r="A21" s="44"/>
      <c r="B21" s="45">
        <v>42.0</v>
      </c>
      <c r="C21" s="46"/>
      <c r="D21" s="47">
        <v>18.0</v>
      </c>
      <c r="E21" s="48">
        <v>1900.0</v>
      </c>
      <c r="F21" s="49"/>
      <c r="G21" s="50">
        <v>10.8</v>
      </c>
      <c r="H21" s="39"/>
      <c r="I21" s="51"/>
      <c r="J21" s="52"/>
      <c r="K21" s="53" t="s">
        <v>36</v>
      </c>
      <c r="L21" s="22"/>
      <c r="M21" s="54"/>
      <c r="N21" s="24"/>
      <c r="O21" s="1"/>
      <c r="P21" s="68"/>
      <c r="Q21" s="46"/>
      <c r="R21" s="76"/>
      <c r="S21" s="70"/>
      <c r="T21" s="56"/>
      <c r="U21" s="57"/>
      <c r="V21" s="46"/>
      <c r="W21" s="51"/>
      <c r="X21" s="52"/>
      <c r="Y21" s="73"/>
      <c r="Z21" s="22"/>
      <c r="AA21" s="67"/>
      <c r="AB21" s="24"/>
    </row>
    <row r="22" ht="18.75" customHeight="1">
      <c r="A22" s="1"/>
      <c r="B22" s="51"/>
      <c r="C22" s="58">
        <v>35.503813398600684</v>
      </c>
      <c r="D22" s="59">
        <v>96.42467385716066</v>
      </c>
      <c r="E22" s="51"/>
      <c r="F22" s="60">
        <v>1300.0</v>
      </c>
      <c r="G22" s="52"/>
      <c r="H22" s="61" t="s">
        <v>37</v>
      </c>
      <c r="I22" s="42"/>
      <c r="J22" s="39"/>
      <c r="K22" s="43"/>
      <c r="L22" s="9"/>
      <c r="M22" s="9"/>
      <c r="N22" s="10"/>
      <c r="O22" s="1"/>
      <c r="P22" s="51"/>
      <c r="Q22" s="66"/>
      <c r="R22" s="75"/>
      <c r="S22" s="64"/>
      <c r="T22" s="71"/>
      <c r="U22" s="51"/>
      <c r="V22" s="58"/>
      <c r="W22" s="42"/>
      <c r="X22" s="39"/>
      <c r="Y22" s="72"/>
      <c r="AB22" s="30"/>
    </row>
    <row r="23" ht="18.75" customHeight="1">
      <c r="A23" s="44"/>
      <c r="B23" s="44"/>
      <c r="C23" s="1"/>
      <c r="D23" s="1"/>
      <c r="E23" s="44"/>
      <c r="F23" s="44"/>
      <c r="G23" s="44"/>
      <c r="H23" s="1"/>
      <c r="I23" s="51"/>
      <c r="J23" s="52"/>
      <c r="K23" s="53" t="s">
        <v>16</v>
      </c>
      <c r="L23" s="22"/>
      <c r="M23" s="54"/>
      <c r="N23" s="24"/>
      <c r="O23" s="1"/>
      <c r="P23" s="44"/>
      <c r="Q23" s="1"/>
      <c r="R23" s="1"/>
      <c r="S23" s="44"/>
      <c r="T23" s="44"/>
      <c r="U23" s="44"/>
      <c r="V23" s="1"/>
      <c r="W23" s="51"/>
      <c r="X23" s="52"/>
      <c r="Y23" s="73"/>
      <c r="Z23" s="22"/>
      <c r="AA23" s="67"/>
      <c r="AB23" s="24"/>
    </row>
    <row r="24" ht="5.25" customHeight="1">
      <c r="A24" s="1"/>
      <c r="B24" s="1"/>
      <c r="C24" s="1"/>
      <c r="D24" s="77"/>
      <c r="E24" s="77"/>
      <c r="F24" s="77"/>
      <c r="G24" s="77"/>
      <c r="H24" s="1"/>
      <c r="I24" s="1"/>
      <c r="J24" s="1"/>
      <c r="K24" s="77"/>
      <c r="L24" s="77"/>
      <c r="M24" s="77"/>
      <c r="N24" s="1"/>
      <c r="O24" s="1"/>
      <c r="P24" s="1"/>
      <c r="Q24" s="1"/>
      <c r="R24" s="77"/>
      <c r="S24" s="77"/>
      <c r="T24" s="77"/>
      <c r="U24" s="77"/>
      <c r="V24" s="1"/>
      <c r="W24" s="1"/>
      <c r="X24" s="1"/>
      <c r="Y24" s="77"/>
      <c r="Z24" s="77"/>
      <c r="AA24" s="77"/>
      <c r="AB24" s="1"/>
    </row>
    <row r="25" ht="18.75" customHeight="1">
      <c r="A25" s="78"/>
      <c r="B25" s="78"/>
      <c r="C25" s="78"/>
      <c r="D25" s="79" t="s">
        <v>38</v>
      </c>
      <c r="E25" s="79" t="s">
        <v>39</v>
      </c>
      <c r="F25" s="1"/>
      <c r="G25" s="1"/>
      <c r="H25" s="1"/>
      <c r="I25" s="80" t="s">
        <v>40</v>
      </c>
      <c r="J25" s="81"/>
      <c r="K25" s="81"/>
      <c r="L25" s="80" t="s">
        <v>41</v>
      </c>
      <c r="M25" s="82"/>
      <c r="N25" s="1"/>
      <c r="O25" s="1"/>
      <c r="P25" s="83" t="s">
        <v>42</v>
      </c>
      <c r="Q25" s="84">
        <v>1015.0</v>
      </c>
      <c r="S25" s="85" t="s">
        <v>43</v>
      </c>
      <c r="T25" s="84">
        <v>16.0</v>
      </c>
      <c r="U25" s="86" t="s">
        <v>44</v>
      </c>
      <c r="V25" s="85" t="s">
        <v>45</v>
      </c>
      <c r="W25" s="87">
        <v>9.6</v>
      </c>
      <c r="X25" s="86" t="s">
        <v>46</v>
      </c>
      <c r="Y25" s="88" t="s">
        <v>47</v>
      </c>
      <c r="Z25" s="9"/>
      <c r="AA25" s="9"/>
      <c r="AB25" s="10"/>
    </row>
    <row r="26" ht="18.75" customHeight="1">
      <c r="A26" s="86"/>
      <c r="B26" s="89" t="s">
        <v>48</v>
      </c>
      <c r="C26" s="82"/>
      <c r="D26" s="90">
        <v>0.006944444444444444</v>
      </c>
      <c r="E26" s="91">
        <v>2.2133558558558564</v>
      </c>
      <c r="F26" s="1"/>
      <c r="G26" s="92" t="s">
        <v>49</v>
      </c>
      <c r="H26" s="82"/>
      <c r="I26" s="93">
        <v>45109.0</v>
      </c>
      <c r="J26" s="81"/>
      <c r="K26" s="81"/>
      <c r="L26" s="81"/>
      <c r="M26" s="82"/>
      <c r="N26" s="1"/>
      <c r="O26" s="94"/>
      <c r="P26" s="95" t="s">
        <v>50</v>
      </c>
      <c r="Q26" s="84">
        <v>18.0</v>
      </c>
      <c r="R26" s="86" t="s">
        <v>51</v>
      </c>
      <c r="S26" s="85" t="s">
        <v>52</v>
      </c>
      <c r="T26" s="84">
        <v>267.0</v>
      </c>
      <c r="U26" s="86" t="s">
        <v>46</v>
      </c>
      <c r="V26" s="83" t="s">
        <v>53</v>
      </c>
      <c r="W26" s="84">
        <v>0.6</v>
      </c>
      <c r="Y26" s="96" t="s">
        <v>28</v>
      </c>
      <c r="Z26" s="9"/>
      <c r="AA26" s="9"/>
      <c r="AB26" s="97">
        <v>118.8</v>
      </c>
    </row>
    <row r="27" ht="18.75" customHeight="1">
      <c r="A27" s="86"/>
      <c r="B27" s="98" t="s">
        <v>54</v>
      </c>
      <c r="C27" s="82"/>
      <c r="D27" s="99">
        <v>0.03634601775503985</v>
      </c>
      <c r="E27" s="100">
        <v>11.584320657862802</v>
      </c>
      <c r="F27" s="1"/>
      <c r="G27" s="92" t="s">
        <v>55</v>
      </c>
      <c r="H27" s="82"/>
      <c r="I27" s="101">
        <v>0.5</v>
      </c>
      <c r="J27" s="102"/>
      <c r="K27" s="81"/>
      <c r="L27" s="103"/>
      <c r="M27" s="82"/>
      <c r="N27" s="1"/>
      <c r="O27" s="94"/>
      <c r="P27" s="104"/>
      <c r="Q27" s="84">
        <v>100.0</v>
      </c>
      <c r="R27" s="86" t="s">
        <v>56</v>
      </c>
      <c r="S27" s="85" t="s">
        <v>57</v>
      </c>
      <c r="T27" s="105">
        <v>13.280135135135138</v>
      </c>
      <c r="U27" s="106" t="s">
        <v>58</v>
      </c>
      <c r="V27" s="85" t="s">
        <v>59</v>
      </c>
      <c r="W27" s="107">
        <v>85.69999999999999</v>
      </c>
      <c r="X27" s="86" t="s">
        <v>60</v>
      </c>
      <c r="Y27" s="104"/>
      <c r="Z27" s="22"/>
      <c r="AA27" s="22"/>
      <c r="AB27" s="24"/>
    </row>
    <row r="28" ht="18.75" customHeight="1">
      <c r="B28" s="89" t="s">
        <v>61</v>
      </c>
      <c r="C28" s="82"/>
      <c r="D28" s="90">
        <v>0.006944444444444444</v>
      </c>
      <c r="E28" s="91">
        <v>2.2133558558558564</v>
      </c>
      <c r="F28" s="1"/>
      <c r="G28" s="92" t="s">
        <v>62</v>
      </c>
      <c r="H28" s="82"/>
      <c r="I28" s="108"/>
      <c r="J28" s="81"/>
      <c r="K28" s="81"/>
      <c r="L28" s="103"/>
      <c r="M28" s="82"/>
      <c r="N28" s="94" t="s">
        <v>63</v>
      </c>
      <c r="O28" s="94"/>
      <c r="T28" s="109"/>
      <c r="X28" s="110"/>
      <c r="Y28" s="96" t="s">
        <v>64</v>
      </c>
      <c r="Z28" s="9"/>
      <c r="AA28" s="9"/>
      <c r="AB28" s="97">
        <v>124.125</v>
      </c>
    </row>
    <row r="29" ht="18.75" customHeight="1">
      <c r="A29" s="86"/>
      <c r="B29" s="89" t="s">
        <v>65</v>
      </c>
      <c r="C29" s="82"/>
      <c r="D29" s="90">
        <v>0.013888888888888888</v>
      </c>
      <c r="E29" s="91">
        <v>4.426711711711713</v>
      </c>
      <c r="F29" s="1"/>
      <c r="G29" s="92" t="s">
        <v>66</v>
      </c>
      <c r="H29" s="82"/>
      <c r="I29" s="111">
        <v>60.0</v>
      </c>
      <c r="J29" s="112"/>
      <c r="K29" s="81"/>
      <c r="L29" s="103"/>
      <c r="M29" s="82"/>
      <c r="N29" s="94" t="s">
        <v>39</v>
      </c>
      <c r="O29" s="94"/>
      <c r="P29" s="113" t="s">
        <v>67</v>
      </c>
      <c r="Q29" s="114">
        <v>0.0</v>
      </c>
      <c r="R29" s="114">
        <v>30.0</v>
      </c>
      <c r="S29" s="114">
        <v>45.0</v>
      </c>
      <c r="T29" s="114">
        <v>60.0</v>
      </c>
      <c r="U29" s="115">
        <v>90.0</v>
      </c>
      <c r="V29" s="86" t="s">
        <v>46</v>
      </c>
      <c r="Y29" s="104"/>
      <c r="Z29" s="22"/>
      <c r="AA29" s="22"/>
      <c r="AB29" s="24"/>
    </row>
    <row r="30" ht="18.75" customHeight="1">
      <c r="A30" s="86"/>
      <c r="B30" s="89" t="s">
        <v>68</v>
      </c>
      <c r="C30" s="82"/>
      <c r="D30" s="90">
        <v>0.020833333333333332</v>
      </c>
      <c r="E30" s="91">
        <v>6.640067567567569</v>
      </c>
      <c r="F30" s="1"/>
      <c r="G30" s="92" t="s">
        <v>69</v>
      </c>
      <c r="H30" s="82"/>
      <c r="I30" s="116">
        <v>0.15644845007867203</v>
      </c>
      <c r="J30" s="117"/>
      <c r="K30" s="82"/>
      <c r="L30" s="118" t="s">
        <v>38</v>
      </c>
      <c r="N30" s="1"/>
      <c r="O30" s="94"/>
      <c r="P30" s="113" t="s">
        <v>70</v>
      </c>
      <c r="Q30" s="119">
        <v>0.0</v>
      </c>
      <c r="R30" s="119">
        <v>4.799999999999999</v>
      </c>
      <c r="S30" s="119">
        <v>6.788225099390855</v>
      </c>
      <c r="T30" s="119">
        <v>8.31384387633061</v>
      </c>
      <c r="U30" s="119">
        <v>9.6</v>
      </c>
      <c r="V30" s="86" t="s">
        <v>46</v>
      </c>
      <c r="Y30" s="96" t="s">
        <v>71</v>
      </c>
      <c r="Z30" s="9"/>
      <c r="AA30" s="9"/>
      <c r="AB30" s="97">
        <v>121.5</v>
      </c>
    </row>
    <row r="31" ht="18.75" customHeight="1">
      <c r="A31" s="120"/>
      <c r="B31" s="121" t="s">
        <v>72</v>
      </c>
      <c r="C31" s="82"/>
      <c r="D31" s="122">
        <v>0.08495712886615096</v>
      </c>
      <c r="E31" s="123">
        <v>27.077811648853796</v>
      </c>
      <c r="F31" s="1"/>
      <c r="G31" s="92" t="s">
        <v>73</v>
      </c>
      <c r="H31" s="82"/>
      <c r="I31" s="124">
        <v>0.656448450078672</v>
      </c>
      <c r="J31" s="125"/>
      <c r="K31" s="10"/>
      <c r="N31" s="126"/>
      <c r="O31" s="126"/>
      <c r="P31" s="127" t="s">
        <v>74</v>
      </c>
      <c r="Q31" s="128">
        <v>9.6</v>
      </c>
      <c r="R31" s="119">
        <v>8.31384387633061</v>
      </c>
      <c r="S31" s="119">
        <v>6.788225099390855</v>
      </c>
      <c r="T31" s="119">
        <v>4.799999999999999</v>
      </c>
      <c r="U31" s="129">
        <v>0.0</v>
      </c>
      <c r="V31" s="86" t="s">
        <v>75</v>
      </c>
      <c r="Y31" s="104"/>
      <c r="Z31" s="22"/>
      <c r="AA31" s="22"/>
      <c r="AB31" s="24"/>
    </row>
    <row r="32" ht="18.75" customHeight="1">
      <c r="A32" s="1"/>
      <c r="B32" s="1"/>
      <c r="C32" s="1"/>
      <c r="D32" s="1"/>
      <c r="E32" s="1"/>
      <c r="F32" s="1"/>
      <c r="G32" s="92" t="s">
        <v>76</v>
      </c>
      <c r="H32" s="82"/>
      <c r="I32" s="130"/>
      <c r="J32" s="131">
        <v>200.0</v>
      </c>
      <c r="K32" s="131">
        <v>370.0</v>
      </c>
      <c r="L32" s="132">
        <v>140.0</v>
      </c>
      <c r="M32" s="132">
        <v>360.0</v>
      </c>
      <c r="N32" s="94" t="s">
        <v>77</v>
      </c>
      <c r="O32" s="1"/>
      <c r="W32" s="1"/>
      <c r="AA32" s="1"/>
      <c r="AB32" s="1"/>
    </row>
    <row r="33" ht="18.75" customHeight="1">
      <c r="A33" s="1"/>
      <c r="B33" s="1"/>
      <c r="C33" s="1"/>
      <c r="D33" s="1"/>
      <c r="E33" s="1"/>
      <c r="F33" s="1"/>
      <c r="G33" s="1"/>
      <c r="H33" s="1"/>
      <c r="I33" s="1"/>
      <c r="J33" s="1"/>
      <c r="K33" s="1"/>
      <c r="L33" s="1"/>
      <c r="M33" s="1"/>
      <c r="N33" s="1"/>
      <c r="O33" s="1"/>
      <c r="W33" s="1"/>
      <c r="AA33" s="1"/>
      <c r="AB33" s="1"/>
    </row>
    <row r="34" ht="18.75" customHeight="1">
      <c r="A34" s="1"/>
      <c r="B34" s="1"/>
      <c r="C34" s="1"/>
      <c r="D34" s="1"/>
      <c r="E34" s="1"/>
      <c r="F34" s="1"/>
      <c r="G34" s="1"/>
      <c r="H34" s="1"/>
      <c r="I34" s="1"/>
      <c r="J34" s="1"/>
      <c r="K34" s="1"/>
      <c r="L34" s="1"/>
      <c r="M34" s="1"/>
      <c r="N34" s="1"/>
      <c r="O34" s="1"/>
      <c r="S34" s="1"/>
      <c r="W34" s="1"/>
      <c r="X34" s="1"/>
      <c r="Y34" s="1"/>
      <c r="Z34" s="1"/>
      <c r="AA34" s="1"/>
      <c r="AB34" s="1"/>
    </row>
    <row r="35" ht="18.75" customHeight="1">
      <c r="A35" s="1"/>
      <c r="B35" s="1"/>
      <c r="C35" s="1"/>
      <c r="D35" s="1"/>
      <c r="E35" s="1"/>
      <c r="F35" s="1"/>
      <c r="G35" s="1"/>
      <c r="H35" s="1"/>
      <c r="I35" s="1"/>
      <c r="J35" s="1"/>
      <c r="K35" s="1"/>
      <c r="L35" s="1"/>
      <c r="M35" s="1"/>
      <c r="N35" s="1"/>
      <c r="O35" s="1"/>
      <c r="S35" s="1"/>
      <c r="W35" s="133"/>
      <c r="X35" s="1"/>
      <c r="Y35" s="1"/>
      <c r="Z35" s="1"/>
      <c r="AA35" s="1"/>
      <c r="AB35" s="1"/>
    </row>
    <row r="36" ht="18.75" customHeight="1">
      <c r="A36" s="1"/>
      <c r="B36" s="1"/>
      <c r="C36" s="1"/>
      <c r="D36" s="1"/>
      <c r="E36" s="1"/>
      <c r="F36" s="1"/>
      <c r="G36" s="1"/>
      <c r="H36" s="1"/>
      <c r="I36" s="1"/>
      <c r="J36" s="1"/>
      <c r="K36" s="1"/>
      <c r="L36" s="1"/>
      <c r="M36" s="1"/>
      <c r="N36" s="1"/>
      <c r="O36" s="1"/>
      <c r="S36" s="1"/>
      <c r="T36" s="1"/>
      <c r="U36" s="1"/>
      <c r="V36" s="1"/>
      <c r="W36" s="1"/>
      <c r="X36" s="1"/>
      <c r="Y36" s="1"/>
      <c r="Z36" s="1"/>
      <c r="AA36" s="1"/>
      <c r="AB36" s="1"/>
    </row>
    <row r="37"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1"/>
      <c r="C995" s="1"/>
      <c r="D995" s="1"/>
      <c r="E995" s="1"/>
      <c r="F995" s="1"/>
      <c r="G995" s="1"/>
      <c r="H995" s="1"/>
      <c r="I995" s="1"/>
      <c r="J995" s="1"/>
      <c r="K995" s="1"/>
      <c r="L995" s="1"/>
      <c r="M995" s="1"/>
      <c r="N995" s="1"/>
      <c r="O995" s="1"/>
      <c r="T995" s="1"/>
      <c r="U995" s="1"/>
      <c r="V995" s="1"/>
      <c r="W995" s="1"/>
      <c r="X995" s="1"/>
      <c r="Y995" s="1"/>
      <c r="Z995" s="1"/>
      <c r="AA995" s="1"/>
      <c r="AB995" s="1"/>
    </row>
  </sheetData>
  <mergeCells count="101">
    <mergeCell ref="Y9:Z9"/>
    <mergeCell ref="AA9:AB9"/>
    <mergeCell ref="Y10:AB10"/>
    <mergeCell ref="Y11:Z11"/>
    <mergeCell ref="AA11:AB11"/>
    <mergeCell ref="Y12:AB12"/>
    <mergeCell ref="Y13:Z13"/>
    <mergeCell ref="AA13:AB13"/>
    <mergeCell ref="Y14:AB14"/>
    <mergeCell ref="Y15:Z15"/>
    <mergeCell ref="AA15:AB15"/>
    <mergeCell ref="Y16:AB16"/>
    <mergeCell ref="Y17:Z17"/>
    <mergeCell ref="AA17:AB17"/>
    <mergeCell ref="Y23:Z23"/>
    <mergeCell ref="AA23:AB23"/>
    <mergeCell ref="Y28:AA29"/>
    <mergeCell ref="AB28:AB29"/>
    <mergeCell ref="Y30:AA31"/>
    <mergeCell ref="AB30:AB31"/>
    <mergeCell ref="Y18:AB18"/>
    <mergeCell ref="Y19:Z19"/>
    <mergeCell ref="AA19:AB19"/>
    <mergeCell ref="Y20:AB20"/>
    <mergeCell ref="Y21:Z21"/>
    <mergeCell ref="AA21:AB21"/>
    <mergeCell ref="Y22:AB22"/>
    <mergeCell ref="K22:N22"/>
    <mergeCell ref="K23:L23"/>
    <mergeCell ref="M23:N23"/>
    <mergeCell ref="I25:K25"/>
    <mergeCell ref="L25:M25"/>
    <mergeCell ref="Y25:AB25"/>
    <mergeCell ref="B26:C26"/>
    <mergeCell ref="G26:H26"/>
    <mergeCell ref="I26:M26"/>
    <mergeCell ref="P26:P27"/>
    <mergeCell ref="Y26:AA27"/>
    <mergeCell ref="AB26:AB27"/>
    <mergeCell ref="B27:C27"/>
    <mergeCell ref="G27:H27"/>
    <mergeCell ref="G29:H29"/>
    <mergeCell ref="J29:K29"/>
    <mergeCell ref="L30:M31"/>
    <mergeCell ref="B31:C31"/>
    <mergeCell ref="G31:H31"/>
    <mergeCell ref="J31:K31"/>
    <mergeCell ref="G32:H32"/>
    <mergeCell ref="J27:K27"/>
    <mergeCell ref="L27:M27"/>
    <mergeCell ref="B28:C28"/>
    <mergeCell ref="G28:H28"/>
    <mergeCell ref="I28:K28"/>
    <mergeCell ref="L28:M28"/>
    <mergeCell ref="L29:M29"/>
    <mergeCell ref="B2:H2"/>
    <mergeCell ref="K2:N2"/>
    <mergeCell ref="P2:V2"/>
    <mergeCell ref="Y2:AB2"/>
    <mergeCell ref="K3:L3"/>
    <mergeCell ref="Y3:Z3"/>
    <mergeCell ref="AA3:AB3"/>
    <mergeCell ref="M3:N3"/>
    <mergeCell ref="K4:N4"/>
    <mergeCell ref="K5:L5"/>
    <mergeCell ref="M5:N5"/>
    <mergeCell ref="K6:N6"/>
    <mergeCell ref="K7:L7"/>
    <mergeCell ref="M7:N7"/>
    <mergeCell ref="Y4:AB4"/>
    <mergeCell ref="Y5:Z5"/>
    <mergeCell ref="AA5:AB5"/>
    <mergeCell ref="Y6:AB6"/>
    <mergeCell ref="Y7:Z7"/>
    <mergeCell ref="AA7:AB7"/>
    <mergeCell ref="Y8:AB8"/>
    <mergeCell ref="K8:N8"/>
    <mergeCell ref="K9:L9"/>
    <mergeCell ref="M9:N9"/>
    <mergeCell ref="K10:N10"/>
    <mergeCell ref="K11:L11"/>
    <mergeCell ref="M11:N11"/>
    <mergeCell ref="K12:N12"/>
    <mergeCell ref="K13:L13"/>
    <mergeCell ref="M13:N13"/>
    <mergeCell ref="K14:N14"/>
    <mergeCell ref="K15:L15"/>
    <mergeCell ref="M15:N15"/>
    <mergeCell ref="K16:N16"/>
    <mergeCell ref="K17:L17"/>
    <mergeCell ref="M17:N17"/>
    <mergeCell ref="K18:N18"/>
    <mergeCell ref="K19:L19"/>
    <mergeCell ref="M19:N19"/>
    <mergeCell ref="K20:N20"/>
    <mergeCell ref="K21:L21"/>
    <mergeCell ref="M21:N21"/>
    <mergeCell ref="B29:C29"/>
    <mergeCell ref="B30:C30"/>
    <mergeCell ref="G30:H30"/>
    <mergeCell ref="J30:K30"/>
  </mergeCells>
  <conditionalFormatting sqref="I30:J30">
    <cfRule type="cellIs" dxfId="0" priority="1" operator="lessThanOrEqual">
      <formula>D31</formula>
    </cfRule>
  </conditionalFormatting>
  <dataValidations>
    <dataValidation type="list" allowBlank="1" showDropDown="1" showErrorMessage="1" sqref="K4 Y4 K6 Y6 K8 Y8 K10 Y10 K12 Y12 K14 Y14 K16 Y16 K18 Y18 K20 Y20 K22 Y22 Y26 Y28 Y30">
      <formula1>FREQUENCES!$A:$A</formula1>
    </dataValidation>
  </dataValidations>
  <printOptions horizontalCentered="1" verticalCentered="1"/>
  <pageMargins bottom="0.19685039370078738" footer="0.0" header="0.0" left="0.19685039370078738" right="0.19685039370078738" top="0.19685039370078738"/>
  <pageSetup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34" t="s">
        <v>78</v>
      </c>
      <c r="B1" s="106" t="s">
        <v>79</v>
      </c>
      <c r="C1" s="106" t="s">
        <v>80</v>
      </c>
    </row>
    <row r="2">
      <c r="B2" s="106" t="s">
        <v>15</v>
      </c>
      <c r="C2" s="106" t="s">
        <v>81</v>
      </c>
    </row>
    <row r="3">
      <c r="B3" s="106" t="s">
        <v>82</v>
      </c>
      <c r="C3" s="106" t="s">
        <v>83</v>
      </c>
    </row>
    <row r="4">
      <c r="B4" s="106" t="s">
        <v>84</v>
      </c>
      <c r="C4" s="106" t="s">
        <v>83</v>
      </c>
    </row>
    <row r="5">
      <c r="B5" s="106" t="s">
        <v>85</v>
      </c>
      <c r="C5" s="106" t="s">
        <v>83</v>
      </c>
    </row>
    <row r="6">
      <c r="B6" s="106" t="s">
        <v>34</v>
      </c>
      <c r="C6" s="106" t="s">
        <v>81</v>
      </c>
    </row>
    <row r="7">
      <c r="B7" s="106"/>
      <c r="C7" s="106"/>
    </row>
    <row r="8">
      <c r="B8" s="106"/>
      <c r="C8" s="106"/>
    </row>
    <row r="9">
      <c r="B9" s="106"/>
      <c r="C9" s="106"/>
    </row>
    <row r="10">
      <c r="B10" s="106"/>
      <c r="C10" s="106"/>
    </row>
    <row r="11">
      <c r="B11" s="106"/>
      <c r="C11" s="106"/>
    </row>
    <row r="12">
      <c r="B12" s="106"/>
      <c r="C12" s="106"/>
    </row>
    <row r="13">
      <c r="B13" s="106"/>
      <c r="C13" s="106"/>
    </row>
    <row r="14">
      <c r="B14" s="106"/>
      <c r="C14" s="106"/>
    </row>
    <row r="15">
      <c r="B15" s="106"/>
      <c r="C15" s="106"/>
    </row>
    <row r="16">
      <c r="B16" s="106"/>
      <c r="C16" s="106"/>
    </row>
    <row r="17">
      <c r="B17" s="106"/>
      <c r="C17" s="106"/>
    </row>
  </sheetData>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4.43" defaultRowHeight="15.75"/>
  <cols>
    <col customWidth="1" min="1" max="1" width="0.43"/>
    <col customWidth="1" min="2" max="14" width="5.86"/>
    <col customWidth="1" min="15" max="15" width="1.43"/>
    <col customWidth="1" min="16" max="26" width="5.86"/>
    <col customWidth="1" min="27" max="27" width="3.0"/>
    <col customWidth="1" min="28" max="28" width="8.71"/>
  </cols>
  <sheetData>
    <row r="1" ht="1.5" customHeight="1">
      <c r="A1" s="94" t="s">
        <v>86</v>
      </c>
      <c r="B1" s="1"/>
      <c r="C1" s="1"/>
      <c r="D1" s="1"/>
      <c r="E1" s="1"/>
      <c r="F1" s="1"/>
      <c r="G1" s="1"/>
      <c r="H1" s="1"/>
      <c r="I1" s="2"/>
      <c r="J1" s="3"/>
      <c r="K1" s="4"/>
      <c r="L1" s="4"/>
      <c r="M1" s="4"/>
      <c r="N1" s="4"/>
      <c r="O1" s="1"/>
      <c r="P1" s="1"/>
      <c r="Q1" s="1"/>
      <c r="R1" s="1"/>
      <c r="S1" s="1"/>
      <c r="T1" s="1"/>
      <c r="U1" s="1"/>
      <c r="V1" s="1"/>
      <c r="W1" s="2"/>
      <c r="X1" s="3"/>
      <c r="Y1" s="4"/>
      <c r="Z1" s="4"/>
      <c r="AA1" s="4"/>
      <c r="AB1" s="4"/>
    </row>
    <row r="2" ht="18.75" customHeight="1">
      <c r="A2" s="1"/>
      <c r="B2" s="5" t="s">
        <v>87</v>
      </c>
      <c r="I2" s="6" t="s">
        <v>1</v>
      </c>
      <c r="J2" s="7"/>
      <c r="K2" s="8" t="s">
        <v>2</v>
      </c>
      <c r="L2" s="9"/>
      <c r="M2" s="9"/>
      <c r="N2" s="10"/>
      <c r="O2" s="1"/>
      <c r="P2" s="5" t="s">
        <v>88</v>
      </c>
      <c r="W2" s="6" t="s">
        <v>1</v>
      </c>
      <c r="X2" s="7"/>
      <c r="Y2" s="11" t="s">
        <v>2</v>
      </c>
      <c r="Z2" s="9"/>
      <c r="AA2" s="9"/>
      <c r="AB2" s="10"/>
    </row>
    <row r="3" ht="18.75" customHeight="1">
      <c r="A3" s="2"/>
      <c r="B3" s="12" t="s">
        <v>3</v>
      </c>
      <c r="C3" s="13"/>
      <c r="D3" s="14" t="s">
        <v>4</v>
      </c>
      <c r="E3" s="15" t="s">
        <v>5</v>
      </c>
      <c r="F3" s="16"/>
      <c r="G3" s="17" t="s">
        <v>6</v>
      </c>
      <c r="H3" s="18"/>
      <c r="I3" s="19"/>
      <c r="J3" s="20" t="s">
        <v>7</v>
      </c>
      <c r="K3" s="135" t="s">
        <v>8</v>
      </c>
      <c r="M3" s="136"/>
      <c r="N3" s="30"/>
      <c r="O3" s="1"/>
      <c r="P3" s="25" t="s">
        <v>3</v>
      </c>
      <c r="Q3" s="13"/>
      <c r="R3" s="14" t="s">
        <v>4</v>
      </c>
      <c r="S3" s="15" t="s">
        <v>5</v>
      </c>
      <c r="T3" s="16"/>
      <c r="U3" s="17" t="s">
        <v>6</v>
      </c>
      <c r="V3" s="18"/>
      <c r="W3" s="26"/>
      <c r="X3" s="27" t="s">
        <v>7</v>
      </c>
      <c r="Y3" s="135" t="s">
        <v>8</v>
      </c>
      <c r="AA3" s="29"/>
      <c r="AB3" s="30"/>
    </row>
    <row r="4" ht="18.75" customHeight="1">
      <c r="A4" s="4"/>
      <c r="B4" s="31"/>
      <c r="C4" s="32" t="s">
        <v>9</v>
      </c>
      <c r="D4" s="33" t="str">
        <f>"Vi "&amp;SpeedUnit</f>
        <v>Vi kn</v>
      </c>
      <c r="E4" s="34"/>
      <c r="F4" s="137" t="s">
        <v>89</v>
      </c>
      <c r="G4" s="36"/>
      <c r="H4" s="37" t="s">
        <v>90</v>
      </c>
      <c r="I4" s="38" t="s">
        <v>13</v>
      </c>
      <c r="J4" s="39"/>
      <c r="K4" s="138"/>
      <c r="L4" s="139"/>
      <c r="M4" s="140"/>
      <c r="N4" s="141" t="s">
        <v>14</v>
      </c>
      <c r="O4" s="1"/>
      <c r="P4" s="31"/>
      <c r="Q4" s="32" t="s">
        <v>9</v>
      </c>
      <c r="R4" s="33" t="str">
        <f>"Vi "&amp;SpeedUnit</f>
        <v>Vi kn</v>
      </c>
      <c r="S4" s="34"/>
      <c r="T4" s="35" t="s">
        <v>11</v>
      </c>
      <c r="U4" s="36"/>
      <c r="V4" s="41" t="s">
        <v>90</v>
      </c>
      <c r="W4" s="42"/>
      <c r="X4" s="39"/>
      <c r="Y4" s="138"/>
      <c r="Z4" s="139"/>
      <c r="AA4" s="140"/>
      <c r="AB4" s="141"/>
    </row>
    <row r="5" ht="18.75" customHeight="1">
      <c r="A5" s="44"/>
      <c r="B5" s="142">
        <f>'CALCULS BRANCHES'!M2</f>
        <v>252</v>
      </c>
      <c r="C5" s="46"/>
      <c r="D5" s="143">
        <f>'CALCULS BRANCHES'!F2</f>
        <v>6</v>
      </c>
      <c r="E5" s="48">
        <f>IF('CALCULS BRANCHES'!J2,CONCATENATE("FL",'CALCULS BRANCHES'!J2),'CALCULS BRANCHES'!I2)</f>
        <v>1400</v>
      </c>
      <c r="F5" s="144"/>
      <c r="G5" s="50">
        <f>'CALCULS BRANCHES'!AG2</f>
        <v>3.6</v>
      </c>
      <c r="H5" s="39"/>
      <c r="I5" s="51"/>
      <c r="J5" s="52"/>
      <c r="K5" s="53" t="str">
        <f>'CALCULS BRANCHES'!A2</f>
        <v>LFXU</v>
      </c>
      <c r="L5" s="22"/>
      <c r="M5" s="145">
        <f>IFERROR(VLOOKUP(N4,FREQUENCES!$A:$B,2,0),)</f>
        <v>122.955</v>
      </c>
      <c r="N5" s="24"/>
      <c r="O5" s="1"/>
      <c r="P5" s="142" t="str">
        <f>'CALCULS BRANCHES'!M11</f>
        <v/>
      </c>
      <c r="Q5" s="46"/>
      <c r="R5" s="55" t="str">
        <f>'CALCULS BRANCHES'!F11</f>
        <v/>
      </c>
      <c r="S5" s="48" t="str">
        <f>IF('CALCULS BRANCHES'!J11,CONCATENATE("FL",'CALCULS BRANCHES'!J11),'CALCULS BRANCHES'!I11)</f>
        <v/>
      </c>
      <c r="T5" s="146"/>
      <c r="U5" s="57" t="str">
        <f>'CALCULS BRANCHES'!AG11</f>
        <v/>
      </c>
      <c r="V5" s="46"/>
      <c r="W5" s="51"/>
      <c r="X5" s="52"/>
      <c r="Y5" s="53" t="str">
        <f>'CALCULS BRANCHES'!A11</f>
        <v/>
      </c>
      <c r="Z5" s="22"/>
      <c r="AA5" s="145" t="str">
        <f>IFERROR(VLOOKUP(AB4,FREQUENCES!$A:$B,2,0),)</f>
        <v/>
      </c>
      <c r="AB5" s="24"/>
    </row>
    <row r="6" ht="18.75" customHeight="1">
      <c r="A6" s="1"/>
      <c r="B6" s="51"/>
      <c r="C6" s="147">
        <f>'CALCULS BRANCHES'!AF2</f>
        <v>260.5793099</v>
      </c>
      <c r="D6" s="148" t="str">
        <f>IF(COUNTIF('CALCULS BRANCHES'!B2,""),"",TEXT(ROUND(CONVERT('CALCULS BRANCHES'!Y2,"kn",SpeedUnit),0),"000"))</f>
        <v>099</v>
      </c>
      <c r="E6" s="51"/>
      <c r="F6" s="149">
        <f>IF('CALCULS BRANCHES'!J2,CONCATENATE("TA",'CALCULS BRANCHES'!Q2),'CALCULS BRANCHES'!K2)</f>
        <v>1100</v>
      </c>
      <c r="G6" s="52"/>
      <c r="H6" s="150" t="str">
        <f>IF(COUNTIF('CALCULS BRANCHES'!B2,""),,ROUND('CALCULS BRANCHES'!AH2,0)&amp;" ("&amp;'CALCULS BRANCHES'!AK2&amp;")")</f>
        <v>4 (1,44)</v>
      </c>
      <c r="I6" s="42"/>
      <c r="J6" s="39"/>
      <c r="K6" s="138"/>
      <c r="L6" s="139"/>
      <c r="M6" s="151"/>
      <c r="N6" s="141"/>
      <c r="O6" s="1"/>
      <c r="P6" s="51"/>
      <c r="Q6" s="147" t="str">
        <f>'CALCULS BRANCHES'!AF11</f>
        <v/>
      </c>
      <c r="R6" s="152" t="str">
        <f>IF(COUNTIF('CALCULS BRANCHES'!B11,""),"",TEXT(ROUND(CONVERT('CALCULS BRANCHES'!Y11,"kn",SpeedUnit),0),"000"))</f>
        <v/>
      </c>
      <c r="S6" s="64"/>
      <c r="T6" s="153" t="str">
        <f>IF('CALCULS BRANCHES'!J11,IF('CALCULS BRANCHES'!I10,CONCATENATE("TA",'CALCULS BRANCHES'!Q11),CONCATENATE("TL",'CALCULS BRANCHES'!S11)),IF('CALCULS BRANCHES'!J10,CONCATENATE("TL",'CALCULS BRANCHES'!S11),'CALCULS BRANCHES'!K11))</f>
        <v/>
      </c>
      <c r="U6" s="51"/>
      <c r="V6" s="154" t="str">
        <f>IF(COUNTIF('CALCULS BRANCHES'!B11,""),,ROUND('CALCULS BRANCHES'!AH11,0)&amp;" ("&amp;ROUND('CALCULS BRANCHES'!AK11,2)&amp;")")</f>
        <v/>
      </c>
      <c r="W6" s="42"/>
      <c r="X6" s="39"/>
      <c r="Y6" s="138"/>
      <c r="Z6" s="139"/>
      <c r="AA6" s="140"/>
      <c r="AB6" s="141"/>
    </row>
    <row r="7" ht="18.75" customHeight="1">
      <c r="A7" s="44"/>
      <c r="B7" s="142">
        <f>'CALCULS BRANCHES'!M3</f>
        <v>221</v>
      </c>
      <c r="C7" s="46"/>
      <c r="D7" s="47">
        <f>'CALCULS BRANCHES'!F3</f>
        <v>3.1</v>
      </c>
      <c r="E7" s="48">
        <f>IF('CALCULS BRANCHES'!J3,CONCATENATE("FL",'CALCULS BRANCHES'!J3),'CALCULS BRANCHES'!I3)</f>
        <v>1400</v>
      </c>
      <c r="F7" s="144"/>
      <c r="G7" s="50">
        <f>'CALCULS BRANCHES'!AG3</f>
        <v>1.86</v>
      </c>
      <c r="H7" s="39"/>
      <c r="I7" s="51"/>
      <c r="J7" s="52"/>
      <c r="K7" s="53" t="str">
        <f>'CALCULS BRANCHES'!B2</f>
        <v>PTSW</v>
      </c>
      <c r="L7" s="22"/>
      <c r="M7" s="145" t="str">
        <f>IFERROR(VLOOKUP(N6,FREQUENCES!$A:$B,2,0),)</f>
        <v/>
      </c>
      <c r="N7" s="24"/>
      <c r="O7" s="1"/>
      <c r="P7" s="142" t="str">
        <f>'CALCULS BRANCHES'!M12</f>
        <v/>
      </c>
      <c r="Q7" s="46"/>
      <c r="R7" s="55" t="str">
        <f>'CALCULS BRANCHES'!F12</f>
        <v/>
      </c>
      <c r="S7" s="48" t="str">
        <f>IF('CALCULS BRANCHES'!J12,CONCATENATE("FL",'CALCULS BRANCHES'!J12),'CALCULS BRANCHES'!I12)</f>
        <v/>
      </c>
      <c r="T7" s="146"/>
      <c r="U7" s="57" t="str">
        <f>'CALCULS BRANCHES'!AG12</f>
        <v/>
      </c>
      <c r="V7" s="46"/>
      <c r="W7" s="51"/>
      <c r="X7" s="52"/>
      <c r="Y7" s="53" t="str">
        <f>'CALCULS BRANCHES'!B11</f>
        <v/>
      </c>
      <c r="Z7" s="22"/>
      <c r="AA7" s="145" t="str">
        <f>IFERROR(VLOOKUP(AB6,FREQUENCES!$A:$B,2,0),)</f>
        <v/>
      </c>
      <c r="AB7" s="24"/>
    </row>
    <row r="8" ht="18.75" customHeight="1">
      <c r="A8" s="1"/>
      <c r="B8" s="51"/>
      <c r="C8" s="147">
        <f>'CALCULS BRANCHES'!AF3</f>
        <v>228.8133358</v>
      </c>
      <c r="D8" s="148" t="str">
        <f>IF(COUNTIF('CALCULS BRANCHES'!B3,""),"",TEXT(ROUND(CONVERT('CALCULS BRANCHES'!Y3,"kn",SpeedUnit),0),"000"))</f>
        <v>099</v>
      </c>
      <c r="E8" s="51"/>
      <c r="F8" s="149">
        <f>IF('CALCULS BRANCHES'!J3,IF('CALCULS BRANCHES'!I2,CONCATENATE("TA",'CALCULS BRANCHES'!Q3),CONCATENATE("TL",'CALCULS BRANCHES'!S3)),IF('CALCULS BRANCHES'!J2,CONCATENATE("TL",'CALCULS BRANCHES'!S3),'CALCULS BRANCHES'!K3))</f>
        <v>1500</v>
      </c>
      <c r="G8" s="52"/>
      <c r="H8" s="150" t="str">
        <f>IF(COUNTIF('CALCULS BRANCHES'!B3,""),,ROUND('CALCULS BRANCHES'!AH3,0)&amp;" ("&amp;'CALCULS BRANCHES'!AK3&amp;")")</f>
        <v>2 (1,39)</v>
      </c>
      <c r="I8" s="42"/>
      <c r="J8" s="39"/>
      <c r="K8" s="138"/>
      <c r="L8" s="139"/>
      <c r="M8" s="140"/>
      <c r="N8" s="141" t="s">
        <v>21</v>
      </c>
      <c r="O8" s="1"/>
      <c r="P8" s="51"/>
      <c r="Q8" s="147" t="str">
        <f>'CALCULS BRANCHES'!AF12</f>
        <v/>
      </c>
      <c r="R8" s="152" t="str">
        <f>IF(COUNTIF('CALCULS BRANCHES'!B12,""),"",TEXT(ROUND(CONVERT('CALCULS BRANCHES'!Y12,"kn",SpeedUnit),0),"000"))</f>
        <v/>
      </c>
      <c r="S8" s="64"/>
      <c r="T8" s="153" t="str">
        <f>IF('CALCULS BRANCHES'!J12,IF('CALCULS BRANCHES'!I11,CONCATENATE("TA",'CALCULS BRANCHES'!Q12),CONCATENATE("TL",'CALCULS BRANCHES'!S12)),IF('CALCULS BRANCHES'!J11,CONCATENATE("TL",'CALCULS BRANCHES'!S12),'CALCULS BRANCHES'!K12))</f>
        <v/>
      </c>
      <c r="U8" s="51"/>
      <c r="V8" s="154" t="str">
        <f>IF(COUNTIF('CALCULS BRANCHES'!B12,""),,ROUND('CALCULS BRANCHES'!AH12,0)&amp;" ("&amp;ROUND('CALCULS BRANCHES'!AK12,2)&amp;")")</f>
        <v/>
      </c>
      <c r="W8" s="42"/>
      <c r="X8" s="39"/>
      <c r="Y8" s="138"/>
      <c r="Z8" s="139"/>
      <c r="AA8" s="140"/>
      <c r="AB8" s="141"/>
    </row>
    <row r="9" ht="18.75" customHeight="1">
      <c r="A9" s="44"/>
      <c r="B9" s="142">
        <f>'CALCULS BRANCHES'!M4</f>
        <v>189</v>
      </c>
      <c r="C9" s="46"/>
      <c r="D9" s="47">
        <f>'CALCULS BRANCHES'!F4</f>
        <v>8.2</v>
      </c>
      <c r="E9" s="48">
        <f>IF('CALCULS BRANCHES'!J4,CONCATENATE("FL",'CALCULS BRANCHES'!J4),'CALCULS BRANCHES'!I4)</f>
        <v>1400</v>
      </c>
      <c r="F9" s="144"/>
      <c r="G9" s="50">
        <f>'CALCULS BRANCHES'!AG4</f>
        <v>4.92</v>
      </c>
      <c r="H9" s="39"/>
      <c r="I9" s="51"/>
      <c r="J9" s="52"/>
      <c r="K9" s="155" t="str">
        <f>'CALCULS BRANCHES'!B3</f>
        <v>MEZER</v>
      </c>
      <c r="L9" s="22"/>
      <c r="M9" s="145">
        <f>IFERROR(VLOOKUP(N8,FREQUENCES!$A:$B,2,0),)</f>
        <v>123.835</v>
      </c>
      <c r="N9" s="24"/>
      <c r="O9" s="1"/>
      <c r="P9" s="142" t="str">
        <f>'CALCULS BRANCHES'!M13</f>
        <v/>
      </c>
      <c r="Q9" s="46"/>
      <c r="R9" s="55" t="str">
        <f>'CALCULS BRANCHES'!F13</f>
        <v/>
      </c>
      <c r="S9" s="48" t="str">
        <f>IF('CALCULS BRANCHES'!J13,CONCATENATE("FL",'CALCULS BRANCHES'!J13),'CALCULS BRANCHES'!I13)</f>
        <v/>
      </c>
      <c r="T9" s="146"/>
      <c r="U9" s="57" t="str">
        <f>'CALCULS BRANCHES'!AG13</f>
        <v/>
      </c>
      <c r="V9" s="46"/>
      <c r="W9" s="51"/>
      <c r="X9" s="52"/>
      <c r="Y9" s="53" t="str">
        <f>'CALCULS BRANCHES'!B12</f>
        <v/>
      </c>
      <c r="Z9" s="22"/>
      <c r="AA9" s="145" t="str">
        <f>IFERROR(VLOOKUP(AB8,FREQUENCES!$A:$B,2,0),)</f>
        <v/>
      </c>
      <c r="AB9" s="24"/>
    </row>
    <row r="10" ht="18.75" customHeight="1">
      <c r="A10" s="1"/>
      <c r="B10" s="51"/>
      <c r="C10" s="147">
        <f>'CALCULS BRANCHES'!AF4</f>
        <v>193.6860502</v>
      </c>
      <c r="D10" s="148" t="str">
        <f>IF(COUNTIF('CALCULS BRANCHES'!B4,""),"",TEXT(ROUND(CONVERT('CALCULS BRANCHES'!Y4,"kn",SpeedUnit),0),"000"))</f>
        <v>099</v>
      </c>
      <c r="E10" s="51"/>
      <c r="F10" s="149">
        <f>IF('CALCULS BRANCHES'!J4,IF('CALCULS BRANCHES'!I3,CONCATENATE("TA",'CALCULS BRANCHES'!Q4),CONCATENATE("TL",'CALCULS BRANCHES'!S4)),IF('CALCULS BRANCHES'!J3,CONCATENATE("TL",'CALCULS BRANCHES'!S4),'CALCULS BRANCHES'!K4))</f>
        <v>1400</v>
      </c>
      <c r="G10" s="52"/>
      <c r="H10" s="150" t="str">
        <f>IF(COUNTIF('CALCULS BRANCHES'!B4,""),,ROUND('CALCULS BRANCHES'!AH4,0)&amp;" ("&amp;'CALCULS BRANCHES'!AK4&amp;")")</f>
        <v>4 (1,28)</v>
      </c>
      <c r="I10" s="42"/>
      <c r="J10" s="39"/>
      <c r="K10" s="156"/>
      <c r="L10" s="151"/>
      <c r="M10" s="151"/>
      <c r="N10" s="157"/>
      <c r="O10" s="1"/>
      <c r="P10" s="51"/>
      <c r="Q10" s="147" t="str">
        <f>'CALCULS BRANCHES'!AF13</f>
        <v/>
      </c>
      <c r="R10" s="152" t="str">
        <f>IF(COUNTIF('CALCULS BRANCHES'!B13,""),"",TEXT(ROUND(CONVERT('CALCULS BRANCHES'!Y13,"kn",SpeedUnit),0),"000"))</f>
        <v/>
      </c>
      <c r="S10" s="64"/>
      <c r="T10" s="153" t="str">
        <f>IF('CALCULS BRANCHES'!J13,IF('CALCULS BRANCHES'!I12,CONCATENATE("TA",'CALCULS BRANCHES'!Q13),CONCATENATE("TL",'CALCULS BRANCHES'!S13)),IF('CALCULS BRANCHES'!J12,CONCATENATE("TL",'CALCULS BRANCHES'!S13),'CALCULS BRANCHES'!K13))</f>
        <v/>
      </c>
      <c r="U10" s="51"/>
      <c r="V10" s="154" t="str">
        <f>IF(COUNTIF('CALCULS BRANCHES'!B13,""),,ROUND('CALCULS BRANCHES'!AH13,0)&amp;" ("&amp;ROUND('CALCULS BRANCHES'!AK13,2)&amp;")")</f>
        <v/>
      </c>
      <c r="W10" s="42"/>
      <c r="X10" s="39"/>
      <c r="Y10" s="138"/>
      <c r="Z10" s="139"/>
      <c r="AA10" s="140"/>
      <c r="AB10" s="141"/>
    </row>
    <row r="11" ht="18.75" customHeight="1">
      <c r="A11" s="44"/>
      <c r="B11" s="142">
        <f>'CALCULS BRANCHES'!M5</f>
        <v>189</v>
      </c>
      <c r="C11" s="46"/>
      <c r="D11" s="47">
        <f>'CALCULS BRANCHES'!F5</f>
        <v>10.6</v>
      </c>
      <c r="E11" s="48">
        <f>IF('CALCULS BRANCHES'!J5,CONCATENATE("FL",'CALCULS BRANCHES'!J5),'CALCULS BRANCHES'!I5)</f>
        <v>1400</v>
      </c>
      <c r="F11" s="144"/>
      <c r="G11" s="50">
        <f>'CALCULS BRANCHES'!AG5</f>
        <v>6.36</v>
      </c>
      <c r="H11" s="39"/>
      <c r="I11" s="51"/>
      <c r="J11" s="52"/>
      <c r="K11" s="53" t="str">
        <f>'CALCULS BRANCHES'!B4</f>
        <v>N12HE</v>
      </c>
      <c r="L11" s="22"/>
      <c r="M11" s="145" t="str">
        <f>IFERROR(VLOOKUP(N10,FREQUENCES!$A:$B,2,0),)</f>
        <v/>
      </c>
      <c r="N11" s="24"/>
      <c r="O11" s="1"/>
      <c r="P11" s="142" t="str">
        <f>'CALCULS BRANCHES'!M14</f>
        <v/>
      </c>
      <c r="Q11" s="46"/>
      <c r="R11" s="55" t="str">
        <f>'CALCULS BRANCHES'!F14</f>
        <v/>
      </c>
      <c r="S11" s="48" t="str">
        <f>IF('CALCULS BRANCHES'!J14,CONCATENATE("FL",'CALCULS BRANCHES'!J14),'CALCULS BRANCHES'!I14)</f>
        <v/>
      </c>
      <c r="T11" s="146"/>
      <c r="U11" s="57" t="str">
        <f>'CALCULS BRANCHES'!AG14</f>
        <v/>
      </c>
      <c r="V11" s="46"/>
      <c r="W11" s="51"/>
      <c r="X11" s="52"/>
      <c r="Y11" s="53" t="str">
        <f>'CALCULS BRANCHES'!B13</f>
        <v/>
      </c>
      <c r="Z11" s="22"/>
      <c r="AA11" s="145" t="str">
        <f>IFERROR(VLOOKUP(AB10,FREQUENCES!$A:$B,2,0),)</f>
        <v/>
      </c>
      <c r="AB11" s="24"/>
    </row>
    <row r="12" ht="18.75" customHeight="1">
      <c r="A12" s="1"/>
      <c r="B12" s="51"/>
      <c r="C12" s="147">
        <f>'CALCULS BRANCHES'!AF5</f>
        <v>193.6860502</v>
      </c>
      <c r="D12" s="148" t="str">
        <f>IF(COUNTIF('CALCULS BRANCHES'!B5,""),"",TEXT(ROUND(CONVERT('CALCULS BRANCHES'!Y5,"kn",SpeedUnit),0),"000"))</f>
        <v>099</v>
      </c>
      <c r="E12" s="51"/>
      <c r="F12" s="149">
        <f>IF('CALCULS BRANCHES'!J5,IF('CALCULS BRANCHES'!I4,CONCATENATE("TA",'CALCULS BRANCHES'!Q5),CONCATENATE("TL",'CALCULS BRANCHES'!S5)),IF('CALCULS BRANCHES'!J4,CONCATENATE("TL",'CALCULS BRANCHES'!S5),'CALCULS BRANCHES'!K5))</f>
        <v>1500</v>
      </c>
      <c r="G12" s="52"/>
      <c r="H12" s="150" t="str">
        <f>IF(COUNTIF('CALCULS BRANCHES'!B5,""),,ROUND('CALCULS BRANCHES'!AH5,0)&amp;" ("&amp;'CALCULS BRANCHES'!AK5&amp;")")</f>
        <v>6 (1,14)</v>
      </c>
      <c r="I12" s="42"/>
      <c r="J12" s="39"/>
      <c r="K12" s="138"/>
      <c r="L12" s="139"/>
      <c r="M12" s="140"/>
      <c r="N12" s="141" t="s">
        <v>25</v>
      </c>
      <c r="O12" s="1"/>
      <c r="P12" s="51"/>
      <c r="Q12" s="147" t="str">
        <f>'CALCULS BRANCHES'!AF14</f>
        <v/>
      </c>
      <c r="R12" s="152" t="str">
        <f>IF(COUNTIF('CALCULS BRANCHES'!B14,""),"",TEXT(ROUND(CONVERT('CALCULS BRANCHES'!Y14,"kn",SpeedUnit),0),"000"))</f>
        <v/>
      </c>
      <c r="S12" s="64"/>
      <c r="T12" s="153" t="str">
        <f>IF('CALCULS BRANCHES'!J14,IF('CALCULS BRANCHES'!I13,CONCATENATE("TA",'CALCULS BRANCHES'!Q14),CONCATENATE("TL",'CALCULS BRANCHES'!S14)),IF('CALCULS BRANCHES'!J13,CONCATENATE("TL",'CALCULS BRANCHES'!S14),'CALCULS BRANCHES'!K14))</f>
        <v/>
      </c>
      <c r="U12" s="51"/>
      <c r="V12" s="154" t="str">
        <f>IF(COUNTIF('CALCULS BRANCHES'!B14,""),,ROUND('CALCULS BRANCHES'!AH14,0)&amp;" ("&amp;ROUND('CALCULS BRANCHES'!AK14,2)&amp;")")</f>
        <v/>
      </c>
      <c r="W12" s="42"/>
      <c r="X12" s="39"/>
      <c r="Y12" s="138"/>
      <c r="Z12" s="139"/>
      <c r="AA12" s="140"/>
      <c r="AB12" s="141"/>
    </row>
    <row r="13" ht="18.75" customHeight="1">
      <c r="A13" s="44"/>
      <c r="B13" s="142">
        <f>'CALCULS BRANCHES'!M6</f>
        <v>206</v>
      </c>
      <c r="C13" s="46"/>
      <c r="D13" s="47">
        <f>'CALCULS BRANCHES'!F6</f>
        <v>11.3</v>
      </c>
      <c r="E13" s="48">
        <f>IF('CALCULS BRANCHES'!J6,CONCATENATE("FL",'CALCULS BRANCHES'!J6),'CALCULS BRANCHES'!I6)</f>
        <v>1900</v>
      </c>
      <c r="F13" s="144"/>
      <c r="G13" s="50">
        <f>'CALCULS BRANCHES'!AG6</f>
        <v>6.78</v>
      </c>
      <c r="H13" s="39"/>
      <c r="I13" s="51"/>
      <c r="J13" s="52"/>
      <c r="K13" s="53" t="str">
        <f>'CALCULS BRANCHES'!B5</f>
        <v>EPR</v>
      </c>
      <c r="L13" s="22"/>
      <c r="M13" s="145">
        <f>IFERROR(VLOOKUP(N12,FREQUENCES!$A:$B,2,0),)</f>
        <v>119.205</v>
      </c>
      <c r="N13" s="24"/>
      <c r="O13" s="1"/>
      <c r="P13" s="142" t="str">
        <f>'CALCULS BRANCHES'!M15</f>
        <v/>
      </c>
      <c r="Q13" s="46"/>
      <c r="R13" s="55" t="str">
        <f>'CALCULS BRANCHES'!F15</f>
        <v/>
      </c>
      <c r="S13" s="48" t="str">
        <f>IF('CALCULS BRANCHES'!J15,CONCATENATE("FL",'CALCULS BRANCHES'!J15),'CALCULS BRANCHES'!I15)</f>
        <v/>
      </c>
      <c r="T13" s="146"/>
      <c r="U13" s="57" t="str">
        <f>'CALCULS BRANCHES'!AG15</f>
        <v/>
      </c>
      <c r="V13" s="46"/>
      <c r="W13" s="51"/>
      <c r="X13" s="52"/>
      <c r="Y13" s="53" t="str">
        <f>'CALCULS BRANCHES'!B14</f>
        <v/>
      </c>
      <c r="Z13" s="22"/>
      <c r="AA13" s="145" t="str">
        <f>IFERROR(VLOOKUP(AB12,FREQUENCES!$A:$B,2,0),)</f>
        <v/>
      </c>
      <c r="AB13" s="24"/>
    </row>
    <row r="14" ht="18.75" customHeight="1">
      <c r="A14" s="1"/>
      <c r="B14" s="51"/>
      <c r="C14" s="147">
        <f>'CALCULS BRANCHES'!AF6</f>
        <v>212.5982417</v>
      </c>
      <c r="D14" s="148" t="str">
        <f>IF(COUNTIF('CALCULS BRANCHES'!B6,""),"",TEXT(ROUND(CONVERT('CALCULS BRANCHES'!Y6,"kn",SpeedUnit),0),"000"))</f>
        <v>098</v>
      </c>
      <c r="E14" s="51"/>
      <c r="F14" s="149">
        <f>IF('CALCULS BRANCHES'!J6,IF('CALCULS BRANCHES'!I5,CONCATENATE("TA",'CALCULS BRANCHES'!Q6),CONCATENATE("TL",'CALCULS BRANCHES'!S6)),IF('CALCULS BRANCHES'!J5,CONCATENATE("TL",'CALCULS BRANCHES'!S6),'CALCULS BRANCHES'!K6))</f>
        <v>1400</v>
      </c>
      <c r="G14" s="52"/>
      <c r="H14" s="150" t="str">
        <f>IF(COUNTIF('CALCULS BRANCHES'!B6,""),,ROUND('CALCULS BRANCHES'!AH6,0)&amp;" ("&amp;ROUND('CALCULS BRANCHES'!AK6,2)&amp;")")</f>
        <v>6 (0,59)</v>
      </c>
      <c r="I14" s="42"/>
      <c r="J14" s="39"/>
      <c r="K14" s="138"/>
      <c r="L14" s="139"/>
      <c r="M14" s="140"/>
      <c r="N14" s="141"/>
      <c r="O14" s="1"/>
      <c r="P14" s="51"/>
      <c r="Q14" s="147" t="str">
        <f>'CALCULS BRANCHES'!AF15</f>
        <v/>
      </c>
      <c r="R14" s="152" t="str">
        <f>IF(COUNTIF('CALCULS BRANCHES'!B15,""),"",TEXT(ROUND(CONVERT('CALCULS BRANCHES'!Y15,"kn",SpeedUnit),0),"000"))</f>
        <v/>
      </c>
      <c r="S14" s="64"/>
      <c r="T14" s="153" t="str">
        <f>IF('CALCULS BRANCHES'!J15,IF('CALCULS BRANCHES'!I14,CONCATENATE("TA",'CALCULS BRANCHES'!Q15),CONCATENATE("TL",'CALCULS BRANCHES'!S15)),IF('CALCULS BRANCHES'!J14,CONCATENATE("TL",'CALCULS BRANCHES'!S15),'CALCULS BRANCHES'!K15))</f>
        <v/>
      </c>
      <c r="U14" s="51"/>
      <c r="V14" s="154" t="str">
        <f>IF(COUNTIF('CALCULS BRANCHES'!B15,""),,ROUND('CALCULS BRANCHES'!AH15,0)&amp;" ("&amp;ROUND('CALCULS BRANCHES'!AK15,2)&amp;")")</f>
        <v/>
      </c>
      <c r="W14" s="42"/>
      <c r="X14" s="39"/>
      <c r="Y14" s="138"/>
      <c r="Z14" s="139"/>
      <c r="AA14" s="140"/>
      <c r="AB14" s="141"/>
    </row>
    <row r="15" ht="18.75" customHeight="1">
      <c r="A15" s="44"/>
      <c r="B15" s="142">
        <f>'CALCULS BRANCHES'!M7</f>
        <v>335</v>
      </c>
      <c r="C15" s="46"/>
      <c r="D15" s="47">
        <f>'CALCULS BRANCHES'!F7</f>
        <v>16.2</v>
      </c>
      <c r="E15" s="48">
        <f>IF('CALCULS BRANCHES'!J7,CONCATENATE("FL",'CALCULS BRANCHES'!J7),'CALCULS BRANCHES'!I7)</f>
        <v>1900</v>
      </c>
      <c r="F15" s="144"/>
      <c r="G15" s="50">
        <f>'CALCULS BRANCHES'!AG7</f>
        <v>9.72</v>
      </c>
      <c r="H15" s="39"/>
      <c r="I15" s="51"/>
      <c r="J15" s="52"/>
      <c r="K15" s="53" t="str">
        <f>'CALCULS BRANCHES'!B6</f>
        <v>LFOR</v>
      </c>
      <c r="L15" s="22"/>
      <c r="M15" s="145" t="str">
        <f>IFERROR(VLOOKUP(N14,FREQUENCES!$A:$B,2,0),)</f>
        <v/>
      </c>
      <c r="N15" s="24"/>
      <c r="O15" s="1"/>
      <c r="P15" s="142" t="str">
        <f>'CALCULS BRANCHES'!M16</f>
        <v/>
      </c>
      <c r="Q15" s="46"/>
      <c r="R15" s="55" t="str">
        <f>'CALCULS BRANCHES'!F16</f>
        <v/>
      </c>
      <c r="S15" s="48" t="str">
        <f>IF('CALCULS BRANCHES'!J16,CONCATENATE("FL",'CALCULS BRANCHES'!J16),'CALCULS BRANCHES'!I16)</f>
        <v/>
      </c>
      <c r="T15" s="146"/>
      <c r="U15" s="57" t="str">
        <f>'CALCULS BRANCHES'!AG16</f>
        <v/>
      </c>
      <c r="V15" s="46"/>
      <c r="W15" s="51"/>
      <c r="X15" s="52"/>
      <c r="Y15" s="53" t="str">
        <f>'CALCULS BRANCHES'!B15</f>
        <v/>
      </c>
      <c r="Z15" s="22"/>
      <c r="AA15" s="145" t="str">
        <f>IFERROR(VLOOKUP(AB14,FREQUENCES!$A:$B,2,0),)</f>
        <v/>
      </c>
      <c r="AB15" s="24"/>
    </row>
    <row r="16" ht="18.75" customHeight="1">
      <c r="A16" s="1"/>
      <c r="B16" s="51"/>
      <c r="C16" s="147">
        <f>'CALCULS BRANCHES'!AF7</f>
        <v>335.1499926</v>
      </c>
      <c r="D16" s="148" t="str">
        <f>IF(COUNTIF('CALCULS BRANCHES'!B7,""),"",TEXT(ROUND(CONVERT('CALCULS BRANCHES'!Y7,"kn",SpeedUnit),0),"000"))</f>
        <v>098</v>
      </c>
      <c r="E16" s="51"/>
      <c r="F16" s="149">
        <f>IF('CALCULS BRANCHES'!J7,IF('CALCULS BRANCHES'!I6,CONCATENATE("TA",'CALCULS BRANCHES'!Q7),CONCATENATE("TL",'CALCULS BRANCHES'!S7)),IF('CALCULS BRANCHES'!J6,CONCATENATE("TL",'CALCULS BRANCHES'!S7),'CALCULS BRANCHES'!K7))</f>
        <v>1500</v>
      </c>
      <c r="G16" s="52"/>
      <c r="H16" s="150" t="str">
        <f>IF(COUNTIF('CALCULS BRANCHES'!B7,""),,ROUND('CALCULS BRANCHES'!AH7,0)&amp;" ("&amp;ROUND('CALCULS BRANCHES'!AK7,2)&amp;")")</f>
        <v>11 (0,3)</v>
      </c>
      <c r="I16" s="42"/>
      <c r="J16" s="39"/>
      <c r="K16" s="138"/>
      <c r="L16" s="139"/>
      <c r="M16" s="151"/>
      <c r="N16" s="157"/>
      <c r="O16" s="1"/>
      <c r="P16" s="51"/>
      <c r="Q16" s="147" t="str">
        <f>'CALCULS BRANCHES'!AF16</f>
        <v/>
      </c>
      <c r="R16" s="152" t="str">
        <f>IF(COUNTIF('CALCULS BRANCHES'!B16,""),"",TEXT(ROUND(CONVERT('CALCULS BRANCHES'!Y16,"kn",SpeedUnit),0),"000"))</f>
        <v/>
      </c>
      <c r="S16" s="64"/>
      <c r="T16" s="153" t="str">
        <f>IF('CALCULS BRANCHES'!J16,IF('CALCULS BRANCHES'!I15,CONCATENATE("TA",'CALCULS BRANCHES'!Q16),CONCATENATE("TL",'CALCULS BRANCHES'!S16)),IF('CALCULS BRANCHES'!J15,CONCATENATE("TL",'CALCULS BRANCHES'!S16),'CALCULS BRANCHES'!K16))</f>
        <v/>
      </c>
      <c r="U16" s="51"/>
      <c r="V16" s="154" t="str">
        <f>IF(COUNTIF('CALCULS BRANCHES'!B16,""),,ROUND('CALCULS BRANCHES'!AH16,0)&amp;" ("&amp;ROUND('CALCULS BRANCHES'!AK16,2)&amp;")")</f>
        <v/>
      </c>
      <c r="W16" s="42"/>
      <c r="X16" s="39"/>
      <c r="Y16" s="138"/>
      <c r="Z16" s="139"/>
      <c r="AA16" s="140"/>
      <c r="AB16" s="141"/>
    </row>
    <row r="17" ht="18.75" customHeight="1">
      <c r="A17" s="44"/>
      <c r="B17" s="142" t="str">
        <f>'CALCULS BRANCHES'!M8</f>
        <v/>
      </c>
      <c r="C17" s="46"/>
      <c r="D17" s="47" t="str">
        <f>'CALCULS BRANCHES'!F8</f>
        <v/>
      </c>
      <c r="E17" s="48" t="str">
        <f>IF('CALCULS BRANCHES'!J8,CONCATENATE("FL",'CALCULS BRANCHES'!J8),'CALCULS BRANCHES'!I8)</f>
        <v/>
      </c>
      <c r="F17" s="144"/>
      <c r="G17" s="50" t="str">
        <f>'CALCULS BRANCHES'!AG8</f>
        <v/>
      </c>
      <c r="H17" s="39"/>
      <c r="I17" s="51"/>
      <c r="J17" s="52"/>
      <c r="K17" s="53" t="str">
        <f>'CALCULS BRANCHES'!B7</f>
        <v>LFON</v>
      </c>
      <c r="L17" s="22"/>
      <c r="M17" s="145" t="str">
        <f>IFERROR(VLOOKUP(N16,FREQUENCES!$A:$B,2,0),)</f>
        <v/>
      </c>
      <c r="N17" s="24"/>
      <c r="O17" s="1"/>
      <c r="P17" s="142" t="str">
        <f>'CALCULS BRANCHES'!M17</f>
        <v/>
      </c>
      <c r="Q17" s="46"/>
      <c r="R17" s="55" t="str">
        <f>'CALCULS BRANCHES'!F17</f>
        <v/>
      </c>
      <c r="S17" s="48" t="str">
        <f>IF('CALCULS BRANCHES'!J17,CONCATENATE("FL",'CALCULS BRANCHES'!J17),'CALCULS BRANCHES'!I17)</f>
        <v/>
      </c>
      <c r="T17" s="146"/>
      <c r="U17" s="57" t="str">
        <f>'CALCULS BRANCHES'!AG17</f>
        <v/>
      </c>
      <c r="V17" s="46"/>
      <c r="W17" s="51"/>
      <c r="X17" s="52"/>
      <c r="Y17" s="53" t="str">
        <f>'CALCULS BRANCHES'!B16</f>
        <v/>
      </c>
      <c r="Z17" s="22"/>
      <c r="AA17" s="145" t="str">
        <f>IFERROR(VLOOKUP(AB16,FREQUENCES!$A:$B,2,0),)</f>
        <v/>
      </c>
      <c r="AB17" s="24"/>
    </row>
    <row r="18" ht="18.75" customHeight="1">
      <c r="A18" s="1"/>
      <c r="B18" s="51"/>
      <c r="C18" s="147" t="str">
        <f>'CALCULS BRANCHES'!AF8</f>
        <v/>
      </c>
      <c r="D18" s="148" t="str">
        <f>IF(COUNTIF('CALCULS BRANCHES'!B8,""),"",TEXT(ROUND(CONVERT('CALCULS BRANCHES'!Y8,"kn",SpeedUnit),0),"000"))</f>
        <v/>
      </c>
      <c r="E18" s="51"/>
      <c r="F18" s="149" t="str">
        <f>IF('CALCULS BRANCHES'!J8,IF('CALCULS BRANCHES'!I7,CONCATENATE("TA",'CALCULS BRANCHES'!Q8),CONCATENATE("TL",'CALCULS BRANCHES'!S8)),IF('CALCULS BRANCHES'!J7,CONCATENATE("TL",'CALCULS BRANCHES'!S8),'CALCULS BRANCHES'!K8))</f>
        <v/>
      </c>
      <c r="G18" s="52"/>
      <c r="H18" s="150" t="str">
        <f>IF(COUNTIF('CALCULS BRANCHES'!B8,""),,ROUND('CALCULS BRANCHES'!AH8,0)&amp;" ("&amp;ROUND('CALCULS BRANCHES'!AK8,2)&amp;")")</f>
        <v/>
      </c>
      <c r="I18" s="42"/>
      <c r="J18" s="39"/>
      <c r="K18" s="138"/>
      <c r="L18" s="139"/>
      <c r="M18" s="140"/>
      <c r="N18" s="141"/>
      <c r="O18" s="1"/>
      <c r="P18" s="51"/>
      <c r="Q18" s="147" t="str">
        <f>'CALCULS BRANCHES'!AF17</f>
        <v/>
      </c>
      <c r="R18" s="152" t="str">
        <f>IF(COUNTIF('CALCULS BRANCHES'!B17,""),"",TEXT(ROUND(CONVERT('CALCULS BRANCHES'!Y17,"kn",SpeedUnit),0),"000"))</f>
        <v/>
      </c>
      <c r="S18" s="64"/>
      <c r="T18" s="153" t="str">
        <f>IF('CALCULS BRANCHES'!J17,IF('CALCULS BRANCHES'!I16,CONCATENATE("TA",'CALCULS BRANCHES'!Q17),CONCATENATE("TL",'CALCULS BRANCHES'!S17)),IF('CALCULS BRANCHES'!J16,CONCATENATE("TL",'CALCULS BRANCHES'!S17),'CALCULS BRANCHES'!K17))</f>
        <v/>
      </c>
      <c r="U18" s="51"/>
      <c r="V18" s="154" t="str">
        <f>IF(COUNTIF('CALCULS BRANCHES'!B17,""),,ROUND('CALCULS BRANCHES'!AH17,0)&amp;" ("&amp;ROUND('CALCULS BRANCHES'!AK17,2)&amp;")")</f>
        <v/>
      </c>
      <c r="W18" s="42"/>
      <c r="X18" s="39"/>
      <c r="Y18" s="138"/>
      <c r="Z18" s="139"/>
      <c r="AA18" s="140"/>
      <c r="AB18" s="141"/>
    </row>
    <row r="19" ht="18.75" customHeight="1">
      <c r="A19" s="44"/>
      <c r="B19" s="142" t="str">
        <f>'CALCULS BRANCHES'!M9</f>
        <v/>
      </c>
      <c r="C19" s="46"/>
      <c r="D19" s="47" t="str">
        <f>'CALCULS BRANCHES'!F9</f>
        <v/>
      </c>
      <c r="E19" s="48" t="str">
        <f>IF('CALCULS BRANCHES'!J9,CONCATENATE("FL",'CALCULS BRANCHES'!J9),'CALCULS BRANCHES'!I9)</f>
        <v/>
      </c>
      <c r="F19" s="144"/>
      <c r="G19" s="50" t="str">
        <f>'CALCULS BRANCHES'!AG9</f>
        <v/>
      </c>
      <c r="H19" s="39"/>
      <c r="I19" s="51"/>
      <c r="J19" s="52"/>
      <c r="K19" s="53" t="str">
        <f>'CALCULS BRANCHES'!B8</f>
        <v/>
      </c>
      <c r="L19" s="22"/>
      <c r="M19" s="145" t="str">
        <f>IFERROR(VLOOKUP(N18,FREQUENCES!$A:$B,2,0),)</f>
        <v/>
      </c>
      <c r="N19" s="24"/>
      <c r="O19" s="1"/>
      <c r="P19" s="142" t="str">
        <f>'CALCULS BRANCHES'!M18</f>
        <v/>
      </c>
      <c r="Q19" s="46"/>
      <c r="R19" s="158" t="str">
        <f>'CALCULS BRANCHES'!F18</f>
        <v/>
      </c>
      <c r="S19" s="48" t="str">
        <f>IF('CALCULS BRANCHES'!J18,CONCATENATE("FL",'CALCULS BRANCHES'!J18),'CALCULS BRANCHES'!I18)</f>
        <v/>
      </c>
      <c r="T19" s="146"/>
      <c r="U19" s="57" t="str">
        <f>'CALCULS BRANCHES'!AG18</f>
        <v/>
      </c>
      <c r="V19" s="46"/>
      <c r="W19" s="51"/>
      <c r="X19" s="52"/>
      <c r="Y19" s="53" t="str">
        <f>'CALCULS BRANCHES'!B17</f>
        <v/>
      </c>
      <c r="Z19" s="22"/>
      <c r="AA19" s="145" t="str">
        <f>IFERROR(VLOOKUP(AB18,FREQUENCES!$A:$B,2,0),)</f>
        <v/>
      </c>
      <c r="AB19" s="24"/>
    </row>
    <row r="20" ht="18.75" customHeight="1">
      <c r="A20" s="1"/>
      <c r="B20" s="51"/>
      <c r="C20" s="147" t="str">
        <f>'CALCULS BRANCHES'!AF9</f>
        <v/>
      </c>
      <c r="D20" s="148" t="str">
        <f>IF(COUNTIF('CALCULS BRANCHES'!B9,""),"",TEXT(ROUND(CONVERT('CALCULS BRANCHES'!Y9,"kn",SpeedUnit),0),"000"))</f>
        <v/>
      </c>
      <c r="E20" s="51"/>
      <c r="F20" s="149" t="str">
        <f>IF('CALCULS BRANCHES'!J9,IF('CALCULS BRANCHES'!I8,CONCATENATE("TA",'CALCULS BRANCHES'!Q9),CONCATENATE("TL",'CALCULS BRANCHES'!S9)),IF('CALCULS BRANCHES'!J8,CONCATENATE("TL",'CALCULS BRANCHES'!S9),'CALCULS BRANCHES'!K9))</f>
        <v/>
      </c>
      <c r="G20" s="52"/>
      <c r="H20" s="150" t="str">
        <f>IF(COUNTIF('CALCULS BRANCHES'!B9,""),,ROUND('CALCULS BRANCHES'!AH9,0)&amp;" ("&amp;ROUND('CALCULS BRANCHES'!AK9,2)&amp;")")</f>
        <v/>
      </c>
      <c r="I20" s="42"/>
      <c r="J20" s="39"/>
      <c r="K20" s="138"/>
      <c r="L20" s="139"/>
      <c r="M20" s="140"/>
      <c r="N20" s="141"/>
      <c r="O20" s="1"/>
      <c r="P20" s="51"/>
      <c r="Q20" s="147" t="str">
        <f>'CALCULS BRANCHES'!AF18</f>
        <v/>
      </c>
      <c r="R20" s="152" t="str">
        <f>IF(COUNTIF('CALCULS BRANCHES'!B18,""),"",TEXT(ROUND(CONVERT('CALCULS BRANCHES'!Y18,"kn",SpeedUnit),0),"000"))</f>
        <v/>
      </c>
      <c r="S20" s="64"/>
      <c r="T20" s="153" t="str">
        <f>IF('CALCULS BRANCHES'!J18,IF('CALCULS BRANCHES'!I17,CONCATENATE("TA",'CALCULS BRANCHES'!Q18),CONCATENATE("TL",'CALCULS BRANCHES'!S18)),IF('CALCULS BRANCHES'!J17,CONCATENATE("TL",'CALCULS BRANCHES'!S18),'CALCULS BRANCHES'!K18))</f>
        <v/>
      </c>
      <c r="U20" s="51"/>
      <c r="V20" s="154" t="str">
        <f>IF(COUNTIF('CALCULS BRANCHES'!B18,""),,ROUND('CALCULS BRANCHES'!AH18,0)&amp;" ("&amp;ROUND('CALCULS BRANCHES'!AK18,2)&amp;")")</f>
        <v/>
      </c>
      <c r="W20" s="42"/>
      <c r="X20" s="39"/>
      <c r="Y20" s="159"/>
      <c r="Z20" s="139"/>
      <c r="AA20" s="140"/>
      <c r="AB20" s="141"/>
    </row>
    <row r="21" ht="18.75" customHeight="1">
      <c r="A21" s="44"/>
      <c r="B21" s="142" t="str">
        <f>'CALCULS BRANCHES'!M10</f>
        <v/>
      </c>
      <c r="C21" s="46"/>
      <c r="D21" s="47" t="str">
        <f>'CALCULS BRANCHES'!F10</f>
        <v/>
      </c>
      <c r="E21" s="48" t="str">
        <f>IF('CALCULS BRANCHES'!J10,CONCATENATE("FL",'CALCULS BRANCHES'!J10),'CALCULS BRANCHES'!I10)</f>
        <v/>
      </c>
      <c r="F21" s="144"/>
      <c r="G21" s="50" t="str">
        <f>'CALCULS BRANCHES'!AG10</f>
        <v/>
      </c>
      <c r="H21" s="39"/>
      <c r="I21" s="51"/>
      <c r="J21" s="52"/>
      <c r="K21" s="53" t="str">
        <f>'CALCULS BRANCHES'!B9</f>
        <v/>
      </c>
      <c r="L21" s="22"/>
      <c r="M21" s="145" t="str">
        <f>IFERROR(VLOOKUP(N20,FREQUENCES!$A:$B,2,0),)</f>
        <v/>
      </c>
      <c r="N21" s="24"/>
      <c r="O21" s="1"/>
      <c r="P21" s="142" t="str">
        <f>'CALCULS BRANCHES'!M19</f>
        <v/>
      </c>
      <c r="Q21" s="46"/>
      <c r="R21" s="158" t="str">
        <f>'CALCULS BRANCHES'!F19</f>
        <v/>
      </c>
      <c r="S21" s="48" t="str">
        <f>IF('CALCULS BRANCHES'!J19,CONCATENATE("FL",'CALCULS BRANCHES'!J19),'CALCULS BRANCHES'!I19)</f>
        <v/>
      </c>
      <c r="T21" s="146"/>
      <c r="U21" s="57" t="str">
        <f>'CALCULS BRANCHES'!AG19</f>
        <v/>
      </c>
      <c r="V21" s="46"/>
      <c r="W21" s="51"/>
      <c r="X21" s="52"/>
      <c r="Y21" s="53" t="str">
        <f>'CALCULS BRANCHES'!B18</f>
        <v/>
      </c>
      <c r="Z21" s="22"/>
      <c r="AA21" s="145" t="str">
        <f>IFERROR(VLOOKUP(AB20,FREQUENCES!$A:$B,2,0),)</f>
        <v/>
      </c>
      <c r="AB21" s="24"/>
    </row>
    <row r="22" ht="18.75" customHeight="1">
      <c r="A22" s="1"/>
      <c r="B22" s="51"/>
      <c r="C22" s="147" t="str">
        <f>'CALCULS BRANCHES'!AF10</f>
        <v/>
      </c>
      <c r="D22" s="148" t="str">
        <f>IF(COUNTIF('CALCULS BRANCHES'!B10,""),"",TEXT(ROUND(CONVERT('CALCULS BRANCHES'!Y10,"kn",SpeedUnit),0),"000"))</f>
        <v/>
      </c>
      <c r="E22" s="51"/>
      <c r="F22" s="149" t="str">
        <f>IF('CALCULS BRANCHES'!J10,IF('CALCULS BRANCHES'!I9,CONCATENATE("TA",'CALCULS BRANCHES'!Q10),CONCATENATE("TL",'CALCULS BRANCHES'!S10)),IF('CALCULS BRANCHES'!J9,CONCATENATE("TL",'CALCULS BRANCHES'!S10),'CALCULS BRANCHES'!K10))</f>
        <v/>
      </c>
      <c r="G22" s="52"/>
      <c r="H22" s="150" t="str">
        <f>IF(COUNTIF('CALCULS BRANCHES'!B10,""),,ROUND('CALCULS BRANCHES'!AH10,0)&amp;" ("&amp;ROUND('CALCULS BRANCHES'!AK10,2)&amp;")")</f>
        <v/>
      </c>
      <c r="I22" s="42"/>
      <c r="J22" s="39"/>
      <c r="K22" s="138"/>
      <c r="L22" s="139"/>
      <c r="M22" s="140"/>
      <c r="N22" s="141"/>
      <c r="O22" s="1"/>
      <c r="P22" s="51"/>
      <c r="Q22" s="147" t="str">
        <f>'CALCULS BRANCHES'!AF19</f>
        <v/>
      </c>
      <c r="R22" s="152" t="str">
        <f>IF(COUNTIF('CALCULS BRANCHES'!B19,""),"",TEXT(ROUND(CONVERT('CALCULS BRANCHES'!Y19,"kn",SpeedUnit),0),"000"))</f>
        <v/>
      </c>
      <c r="S22" s="64"/>
      <c r="T22" s="153" t="str">
        <f>IF('CALCULS BRANCHES'!J19,IF('CALCULS BRANCHES'!I18,CONCATENATE("TA",'CALCULS BRANCHES'!Q19),CONCATENATE("TL",'CALCULS BRANCHES'!S19)),IF('CALCULS BRANCHES'!J18,CONCATENATE("TL",'CALCULS BRANCHES'!S19),'CALCULS BRANCHES'!K19))</f>
        <v/>
      </c>
      <c r="U22" s="51"/>
      <c r="V22" s="154" t="str">
        <f>IF(COUNTIF('CALCULS BRANCHES'!B19,""),,ROUND('CALCULS BRANCHES'!AH19,0)&amp;" ("&amp;ROUND('CALCULS BRANCHES'!AK19,2)&amp;")")</f>
        <v/>
      </c>
      <c r="W22" s="42"/>
      <c r="X22" s="39"/>
      <c r="Y22" s="138"/>
      <c r="Z22" s="139"/>
      <c r="AA22" s="140"/>
      <c r="AB22" s="141"/>
    </row>
    <row r="23" ht="18.75" customHeight="1">
      <c r="A23" s="44"/>
      <c r="B23" s="44"/>
      <c r="C23" s="1"/>
      <c r="D23" s="1"/>
      <c r="E23" s="44"/>
      <c r="F23" s="44"/>
      <c r="G23" s="44"/>
      <c r="H23" s="1"/>
      <c r="I23" s="51"/>
      <c r="J23" s="52"/>
      <c r="K23" s="53" t="str">
        <f>'CALCULS BRANCHES'!B10</f>
        <v/>
      </c>
      <c r="L23" s="22"/>
      <c r="M23" s="145" t="str">
        <f>IFERROR(VLOOKUP(N22,FREQUENCES!$A:$B,2,0),)</f>
        <v/>
      </c>
      <c r="N23" s="24"/>
      <c r="O23" s="1"/>
      <c r="P23" s="44"/>
      <c r="Q23" s="1"/>
      <c r="R23" s="1"/>
      <c r="S23" s="44"/>
      <c r="T23" s="44"/>
      <c r="U23" s="44"/>
      <c r="V23" s="1"/>
      <c r="W23" s="51"/>
      <c r="X23" s="52"/>
      <c r="Y23" s="53" t="str">
        <f>'CALCULS BRANCHES'!B19</f>
        <v/>
      </c>
      <c r="Z23" s="22"/>
      <c r="AA23" s="145" t="str">
        <f>IFERROR(VLOOKUP(AB22,FREQUENCES!$A:$B,2,0),)</f>
        <v/>
      </c>
      <c r="AB23" s="24"/>
    </row>
    <row r="24" ht="5.25" customHeight="1">
      <c r="A24" s="1"/>
      <c r="B24" s="1"/>
      <c r="C24" s="1"/>
      <c r="D24" s="77"/>
      <c r="E24" s="77"/>
      <c r="F24" s="77"/>
      <c r="G24" s="77"/>
      <c r="H24" s="1"/>
      <c r="I24" s="1"/>
      <c r="J24" s="1"/>
      <c r="K24" s="77"/>
      <c r="L24" s="77"/>
      <c r="M24" s="77"/>
      <c r="N24" s="1"/>
      <c r="O24" s="1"/>
      <c r="P24" s="1"/>
      <c r="Q24" s="1"/>
      <c r="R24" s="77"/>
      <c r="S24" s="77"/>
      <c r="T24" s="77"/>
      <c r="U24" s="77"/>
      <c r="V24" s="1"/>
      <c r="W24" s="1"/>
      <c r="X24" s="1"/>
      <c r="Y24" s="77"/>
      <c r="Z24" s="77"/>
      <c r="AA24" s="77"/>
      <c r="AB24" s="1"/>
    </row>
    <row r="25" ht="18.75" customHeight="1">
      <c r="A25" s="78"/>
      <c r="B25" s="78"/>
      <c r="C25" s="78"/>
      <c r="D25" s="79" t="s">
        <v>38</v>
      </c>
      <c r="E25" s="79" t="s">
        <v>39</v>
      </c>
      <c r="F25" s="1"/>
      <c r="G25" s="1"/>
      <c r="H25" s="1"/>
      <c r="I25" s="80" t="s">
        <v>40</v>
      </c>
      <c r="J25" s="81"/>
      <c r="K25" s="81"/>
      <c r="L25" s="80" t="s">
        <v>41</v>
      </c>
      <c r="M25" s="82"/>
      <c r="N25" s="1"/>
      <c r="O25" s="1"/>
      <c r="P25" s="83" t="s">
        <v>42</v>
      </c>
      <c r="Q25" s="84">
        <v>1023.0</v>
      </c>
      <c r="S25" s="85" t="s">
        <v>43</v>
      </c>
      <c r="T25" s="84">
        <f>WINTEM!J20</f>
        <v>15</v>
      </c>
      <c r="U25" s="86" t="s">
        <v>44</v>
      </c>
      <c r="V25" s="85" t="s">
        <v>45</v>
      </c>
      <c r="W25" s="87">
        <f>T25*W26</f>
        <v>9</v>
      </c>
      <c r="X25" s="86" t="s">
        <v>46</v>
      </c>
      <c r="Y25" s="88" t="s">
        <v>47</v>
      </c>
      <c r="Z25" s="9"/>
      <c r="AA25" s="9"/>
      <c r="AB25" s="10"/>
    </row>
    <row r="26" ht="18.75" customHeight="1">
      <c r="A26" s="86"/>
      <c r="B26" s="89" t="s">
        <v>48</v>
      </c>
      <c r="C26" s="82"/>
      <c r="D26" s="160">
        <f>CARBURANT!A6/1440</f>
        <v>0.006944444444</v>
      </c>
      <c r="E26" s="91">
        <f>D26*FF_Procedures*24</f>
        <v>3</v>
      </c>
      <c r="F26" s="1"/>
      <c r="G26" s="92" t="s">
        <v>49</v>
      </c>
      <c r="H26" s="82"/>
      <c r="I26" s="93">
        <v>45109.0</v>
      </c>
      <c r="J26" s="81"/>
      <c r="K26" s="81"/>
      <c r="L26" s="81"/>
      <c r="M26" s="82"/>
      <c r="N26" s="1"/>
      <c r="O26" s="94"/>
      <c r="P26" s="161" t="s">
        <v>50</v>
      </c>
      <c r="Q26" s="84">
        <v>25.0</v>
      </c>
      <c r="R26" s="86" t="s">
        <v>51</v>
      </c>
      <c r="S26" s="85" t="s">
        <v>52</v>
      </c>
      <c r="T26" s="84">
        <f>WINTEM!J21</f>
        <v>336</v>
      </c>
      <c r="U26" s="86" t="s">
        <v>46</v>
      </c>
      <c r="V26" s="83" t="s">
        <v>53</v>
      </c>
      <c r="W26" s="84">
        <f>Fb</f>
        <v>0.6</v>
      </c>
      <c r="Y26" s="96" t="s">
        <v>28</v>
      </c>
      <c r="Z26" s="9"/>
      <c r="AA26" s="9"/>
      <c r="AB26" s="162">
        <f>IFERROR(VLOOKUP(Y26,FREQUENCES!$A:$B,2,0),)</f>
        <v>118.8</v>
      </c>
    </row>
    <row r="27" ht="18.75" customHeight="1">
      <c r="A27" s="86"/>
      <c r="B27" s="98" t="s">
        <v>54</v>
      </c>
      <c r="C27" s="82"/>
      <c r="D27" s="163">
        <f>SUM('CALCULS BRANCHES'!AH2:AH19)/1440</f>
        <v>0.02303450476</v>
      </c>
      <c r="E27" s="100">
        <f>SUM('CALCULS BRANCHES'!AJ:AJ)</f>
        <v>7.341632065</v>
      </c>
      <c r="F27" s="1"/>
      <c r="G27" s="92" t="s">
        <v>55</v>
      </c>
      <c r="H27" s="82"/>
      <c r="I27" s="101">
        <v>0.5236111111111111</v>
      </c>
      <c r="J27" s="102"/>
      <c r="K27" s="81"/>
      <c r="L27" s="164" t="str">
        <f>'CALCULS BRANCHES'!D11</f>
        <v/>
      </c>
      <c r="M27" s="165"/>
      <c r="N27" s="1"/>
      <c r="O27" s="94"/>
      <c r="P27" s="166" t="s">
        <v>91</v>
      </c>
      <c r="Q27" s="84">
        <v>100.0</v>
      </c>
      <c r="R27" s="86" t="s">
        <v>56</v>
      </c>
      <c r="S27" s="85" t="s">
        <v>92</v>
      </c>
      <c r="T27" s="167">
        <f>IF(T25&gt;10,IF(T25&gt;20,10,5),0)</f>
        <v>5</v>
      </c>
      <c r="U27" s="106" t="s">
        <v>44</v>
      </c>
      <c r="V27" s="85" t="s">
        <v>93</v>
      </c>
      <c r="W27" s="168">
        <f>SUM('CALCULS BRANCHES'!F:F)</f>
        <v>55.4</v>
      </c>
      <c r="X27" s="86" t="s">
        <v>60</v>
      </c>
      <c r="Y27" s="104"/>
      <c r="Z27" s="22"/>
      <c r="AA27" s="22"/>
      <c r="AB27" s="24"/>
    </row>
    <row r="28" ht="18.75" customHeight="1">
      <c r="A28" s="86"/>
      <c r="B28" s="89" t="s">
        <v>61</v>
      </c>
      <c r="C28" s="82"/>
      <c r="D28" s="169">
        <f>CARBURANT!E6/1440</f>
        <v>0.006944444444</v>
      </c>
      <c r="E28" s="91">
        <f>D28*FF_Procedures*24</f>
        <v>3</v>
      </c>
      <c r="F28" s="1"/>
      <c r="G28" s="92" t="s">
        <v>62</v>
      </c>
      <c r="H28" s="82"/>
      <c r="I28" s="170">
        <v>123.4</v>
      </c>
      <c r="J28" s="171"/>
      <c r="K28" s="171"/>
      <c r="L28" s="172">
        <f>I28+SUM(D26:D28)*24</f>
        <v>124.2861614</v>
      </c>
      <c r="M28" s="173"/>
      <c r="N28" s="94" t="s">
        <v>63</v>
      </c>
      <c r="O28" s="94"/>
      <c r="T28" s="109"/>
      <c r="X28" s="110"/>
      <c r="Y28" s="96" t="s">
        <v>64</v>
      </c>
      <c r="Z28" s="9"/>
      <c r="AA28" s="9"/>
      <c r="AB28" s="162">
        <f>IFERROR(VLOOKUP(Y28,FREQUENCES!$A:$B,2,0),)</f>
        <v>124.125</v>
      </c>
    </row>
    <row r="29" ht="18.75" customHeight="1">
      <c r="A29" s="86"/>
      <c r="B29" s="89" t="s">
        <v>65</v>
      </c>
      <c r="C29" s="82"/>
      <c r="D29" s="169">
        <f>(CARBURANT!D6+CARBURANT!C13)/1440</f>
        <v>0.02083333333</v>
      </c>
      <c r="E29" s="91">
        <f>D29*FF_Procedures*24</f>
        <v>9</v>
      </c>
      <c r="F29" s="1"/>
      <c r="G29" s="92" t="s">
        <v>66</v>
      </c>
      <c r="H29" s="82"/>
      <c r="I29" s="174">
        <f>FuelMax</f>
        <v>117.5</v>
      </c>
      <c r="J29" s="112"/>
      <c r="K29" s="81"/>
      <c r="L29" s="175">
        <f>I29-SUM(E26:E28)</f>
        <v>104.1583679</v>
      </c>
      <c r="M29" s="131"/>
      <c r="N29" s="94" t="s">
        <v>39</v>
      </c>
      <c r="O29" s="94"/>
      <c r="P29" s="113" t="s">
        <v>67</v>
      </c>
      <c r="Q29" s="114">
        <v>0.0</v>
      </c>
      <c r="R29" s="114">
        <v>30.0</v>
      </c>
      <c r="S29" s="114">
        <v>45.0</v>
      </c>
      <c r="T29" s="114">
        <v>60.0</v>
      </c>
      <c r="U29" s="115">
        <v>90.0</v>
      </c>
      <c r="V29" s="86" t="s">
        <v>46</v>
      </c>
      <c r="Y29" s="104"/>
      <c r="Z29" s="22"/>
      <c r="AA29" s="22"/>
      <c r="AB29" s="24"/>
    </row>
    <row r="30" ht="18.75" customHeight="1">
      <c r="A30" s="86"/>
      <c r="B30" s="89" t="s">
        <v>68</v>
      </c>
      <c r="C30" s="82"/>
      <c r="D30" s="169">
        <f>CARBURANT!C12/1440</f>
        <v>0.02083333333</v>
      </c>
      <c r="E30" s="91">
        <f>D30*FF_Procedures*24</f>
        <v>9</v>
      </c>
      <c r="F30" s="1"/>
      <c r="G30" s="176" t="s">
        <v>76</v>
      </c>
      <c r="H30" s="177"/>
      <c r="I30" s="178"/>
      <c r="J30" s="179">
        <f>Drd</f>
        <v>334.1521538</v>
      </c>
      <c r="K30" s="179">
        <f>Dd</f>
        <v>603.3178731</v>
      </c>
      <c r="L30" s="180">
        <f>Dra</f>
        <v>211.3305881</v>
      </c>
      <c r="M30" s="180">
        <f>Da</f>
        <v>547.9301879</v>
      </c>
      <c r="N30" s="94" t="s">
        <v>77</v>
      </c>
      <c r="O30" s="94"/>
      <c r="P30" s="113" t="s">
        <v>94</v>
      </c>
      <c r="Q30" s="119">
        <f t="shared" ref="Q30:U30" si="1">$W25*SIN(RADIANS(Q29))</f>
        <v>0</v>
      </c>
      <c r="R30" s="119">
        <f t="shared" si="1"/>
        <v>4.5</v>
      </c>
      <c r="S30" s="119">
        <f t="shared" si="1"/>
        <v>6.363961031</v>
      </c>
      <c r="T30" s="119">
        <f t="shared" si="1"/>
        <v>7.794228634</v>
      </c>
      <c r="U30" s="119">
        <f t="shared" si="1"/>
        <v>9</v>
      </c>
      <c r="V30" s="86" t="s">
        <v>46</v>
      </c>
      <c r="Y30" s="96" t="s">
        <v>71</v>
      </c>
      <c r="Z30" s="9"/>
      <c r="AA30" s="9"/>
      <c r="AB30" s="162">
        <f>IFERROR(VLOOKUP(Y30,FREQUENCES!$A:$B,2,0),)</f>
        <v>121.5</v>
      </c>
    </row>
    <row r="31" ht="18.75" customHeight="1">
      <c r="A31" s="120"/>
      <c r="B31" s="121" t="s">
        <v>95</v>
      </c>
      <c r="C31" s="82"/>
      <c r="D31" s="181">
        <f>CARBURANT!C16</f>
        <v>0.07982988394</v>
      </c>
      <c r="E31" s="123">
        <f>SUM(E26:E30)</f>
        <v>31.34163206</v>
      </c>
      <c r="F31" s="1"/>
      <c r="G31" s="182" t="s">
        <v>69</v>
      </c>
      <c r="H31" s="24"/>
      <c r="I31" s="183">
        <f>I29/M31/24</f>
        <v>0.2992827988</v>
      </c>
      <c r="J31" s="184"/>
      <c r="K31" s="24"/>
      <c r="L31" s="185" t="s">
        <v>57</v>
      </c>
      <c r="M31" s="186">
        <f>E31/(D31*24)</f>
        <v>16.35855236</v>
      </c>
      <c r="N31" s="94" t="s">
        <v>58</v>
      </c>
      <c r="O31" s="126"/>
      <c r="P31" s="127" t="s">
        <v>74</v>
      </c>
      <c r="Q31" s="128">
        <f>U30</f>
        <v>9</v>
      </c>
      <c r="R31" s="119">
        <f>T30</f>
        <v>7.794228634</v>
      </c>
      <c r="S31" s="119">
        <f>S30</f>
        <v>6.363961031</v>
      </c>
      <c r="T31" s="119">
        <f>R30</f>
        <v>4.5</v>
      </c>
      <c r="U31" s="129">
        <f>Q30</f>
        <v>0</v>
      </c>
      <c r="V31" s="86" t="s">
        <v>75</v>
      </c>
      <c r="Y31" s="104"/>
      <c r="Z31" s="22"/>
      <c r="AA31" s="22"/>
      <c r="AB31" s="24"/>
    </row>
    <row r="32" ht="18.75" customHeight="1">
      <c r="A32" s="1"/>
      <c r="B32" s="187" t="s">
        <v>96</v>
      </c>
      <c r="C32" s="82"/>
      <c r="D32" s="188">
        <f>IFERROR(__xludf.DUMMYFUNCTION("IMPORTRANGE(Etape2,""LOG!D31"")+D31"),0.15965976787858516)</f>
        <v>0.1596597679</v>
      </c>
      <c r="E32" s="189">
        <f>IFERROR(__xludf.DUMMYFUNCTION("IMPORTRANGE(Etape2,""LOG!E31"")+E31"),62.625132722493476)</f>
        <v>62.62513272</v>
      </c>
      <c r="F32" s="1"/>
      <c r="G32" s="92" t="s">
        <v>97</v>
      </c>
      <c r="H32" s="82"/>
      <c r="I32" s="190">
        <f>I27+I31-15/(24*60)</f>
        <v>0.8124772432</v>
      </c>
      <c r="J32" s="191"/>
      <c r="K32" s="82"/>
      <c r="L32" s="118"/>
      <c r="M32" s="118"/>
      <c r="N32" s="126"/>
      <c r="O32" s="1"/>
      <c r="W32" s="1"/>
      <c r="AA32" s="1"/>
      <c r="AB32" s="1"/>
    </row>
    <row r="33" ht="18.75" customHeight="1">
      <c r="A33" s="1"/>
      <c r="B33" s="1"/>
      <c r="C33" s="1"/>
      <c r="D33" s="192"/>
      <c r="E33" s="1"/>
      <c r="F33" s="1"/>
      <c r="O33" s="1"/>
      <c r="W33" s="1"/>
      <c r="AA33" s="1"/>
      <c r="AB33" s="1"/>
    </row>
    <row r="34" ht="18.75" customHeight="1">
      <c r="A34" s="1"/>
      <c r="B34" s="1"/>
      <c r="C34" s="1"/>
      <c r="D34" s="193"/>
      <c r="E34" s="1"/>
      <c r="F34" s="1"/>
      <c r="G34" s="1"/>
      <c r="H34" s="1"/>
      <c r="I34" s="1"/>
      <c r="J34" s="1"/>
      <c r="K34" s="1"/>
      <c r="L34" s="1"/>
      <c r="M34" s="1"/>
      <c r="N34" s="1"/>
      <c r="O34" s="1"/>
      <c r="S34" s="1"/>
      <c r="W34" s="1"/>
      <c r="X34" s="1"/>
      <c r="Y34" s="1"/>
      <c r="Z34" s="1"/>
      <c r="AA34" s="1"/>
      <c r="AB34" s="1"/>
    </row>
    <row r="35" ht="18.75" customHeight="1">
      <c r="A35" s="1"/>
      <c r="B35" s="1"/>
      <c r="C35" s="1"/>
      <c r="D35" s="193"/>
      <c r="E35" s="1"/>
      <c r="F35" s="1"/>
      <c r="G35" s="1"/>
      <c r="H35" s="1"/>
      <c r="I35" s="1"/>
      <c r="J35" s="1"/>
      <c r="K35" s="1"/>
      <c r="L35" s="1"/>
      <c r="M35" s="1"/>
      <c r="N35" s="1"/>
      <c r="O35" s="1"/>
      <c r="S35" s="1"/>
      <c r="W35" s="133"/>
      <c r="X35" s="1"/>
      <c r="Y35" s="1"/>
      <c r="Z35" s="1"/>
      <c r="AA35" s="1"/>
      <c r="AB35" s="1"/>
    </row>
    <row r="36" ht="18.75" customHeight="1">
      <c r="A36" s="1"/>
      <c r="B36" s="1"/>
      <c r="C36" s="1"/>
      <c r="D36" s="1"/>
      <c r="E36" s="1"/>
      <c r="F36" s="1"/>
      <c r="G36" s="1"/>
      <c r="H36" s="1"/>
      <c r="I36" s="1"/>
      <c r="J36" s="1"/>
      <c r="K36" s="1"/>
      <c r="L36" s="1"/>
      <c r="M36" s="1"/>
      <c r="N36" s="1"/>
      <c r="O36" s="1"/>
      <c r="S36" s="1"/>
      <c r="T36" s="1"/>
      <c r="U36" s="1"/>
      <c r="V36" s="1"/>
      <c r="W36" s="1"/>
      <c r="X36" s="1"/>
      <c r="Y36" s="1"/>
      <c r="Z36" s="1"/>
      <c r="AA36" s="1"/>
      <c r="AB36" s="1"/>
    </row>
    <row r="37"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1"/>
      <c r="C995" s="1"/>
      <c r="D995" s="1"/>
      <c r="E995" s="1"/>
      <c r="F995" s="1"/>
      <c r="G995" s="1"/>
      <c r="H995" s="1"/>
      <c r="I995" s="1"/>
      <c r="J995" s="1"/>
      <c r="K995" s="1"/>
      <c r="L995" s="1"/>
      <c r="M995" s="1"/>
      <c r="N995" s="1"/>
      <c r="O995" s="1"/>
      <c r="T995" s="1"/>
      <c r="U995" s="1"/>
      <c r="V995" s="1"/>
      <c r="W995" s="1"/>
      <c r="X995" s="1"/>
      <c r="Y995" s="1"/>
      <c r="Z995" s="1"/>
      <c r="AA995" s="1"/>
      <c r="AB995" s="1"/>
    </row>
  </sheetData>
  <mergeCells count="76">
    <mergeCell ref="G26:H26"/>
    <mergeCell ref="G27:H27"/>
    <mergeCell ref="G28:H28"/>
    <mergeCell ref="G30:H30"/>
    <mergeCell ref="G32:H32"/>
    <mergeCell ref="J32:K32"/>
    <mergeCell ref="B27:C27"/>
    <mergeCell ref="B28:C28"/>
    <mergeCell ref="B30:C30"/>
    <mergeCell ref="B32:C32"/>
    <mergeCell ref="K23:L23"/>
    <mergeCell ref="M23:N23"/>
    <mergeCell ref="I25:K25"/>
    <mergeCell ref="L25:M25"/>
    <mergeCell ref="B26:C26"/>
    <mergeCell ref="I26:M26"/>
    <mergeCell ref="J27:K27"/>
    <mergeCell ref="Y13:Z13"/>
    <mergeCell ref="Y15:Z15"/>
    <mergeCell ref="AA15:AB15"/>
    <mergeCell ref="Y17:Z17"/>
    <mergeCell ref="AA17:AB17"/>
    <mergeCell ref="Y19:Z19"/>
    <mergeCell ref="AA19:AB19"/>
    <mergeCell ref="Y21:Z21"/>
    <mergeCell ref="AA21:AB21"/>
    <mergeCell ref="Y23:Z23"/>
    <mergeCell ref="AA23:AB23"/>
    <mergeCell ref="Y25:AB25"/>
    <mergeCell ref="Y26:AA27"/>
    <mergeCell ref="AB26:AB27"/>
    <mergeCell ref="B2:H2"/>
    <mergeCell ref="K2:N2"/>
    <mergeCell ref="P2:V2"/>
    <mergeCell ref="Y2:AB2"/>
    <mergeCell ref="M3:N3"/>
    <mergeCell ref="Y3:Z3"/>
    <mergeCell ref="AA3:AB3"/>
    <mergeCell ref="K3:L3"/>
    <mergeCell ref="K5:L5"/>
    <mergeCell ref="M5:N5"/>
    <mergeCell ref="Y5:Z5"/>
    <mergeCell ref="AA5:AB5"/>
    <mergeCell ref="K7:L7"/>
    <mergeCell ref="M7:N7"/>
    <mergeCell ref="Y7:Z7"/>
    <mergeCell ref="AA7:AB7"/>
    <mergeCell ref="Y9:Z9"/>
    <mergeCell ref="AA9:AB9"/>
    <mergeCell ref="Y11:Z11"/>
    <mergeCell ref="AA11:AB11"/>
    <mergeCell ref="AA13:AB13"/>
    <mergeCell ref="K9:L9"/>
    <mergeCell ref="M9:N9"/>
    <mergeCell ref="K11:L11"/>
    <mergeCell ref="M11:N11"/>
    <mergeCell ref="K13:L13"/>
    <mergeCell ref="M13:N13"/>
    <mergeCell ref="M15:N15"/>
    <mergeCell ref="K15:L15"/>
    <mergeCell ref="K17:L17"/>
    <mergeCell ref="M17:N17"/>
    <mergeCell ref="K19:L19"/>
    <mergeCell ref="M19:N19"/>
    <mergeCell ref="K21:L21"/>
    <mergeCell ref="M21:N21"/>
    <mergeCell ref="Y28:AA29"/>
    <mergeCell ref="AB28:AB29"/>
    <mergeCell ref="B29:C29"/>
    <mergeCell ref="G29:H29"/>
    <mergeCell ref="J29:K29"/>
    <mergeCell ref="Y30:AA31"/>
    <mergeCell ref="AB30:AB31"/>
    <mergeCell ref="B31:C31"/>
    <mergeCell ref="G31:H31"/>
    <mergeCell ref="J31:K31"/>
  </mergeCells>
  <conditionalFormatting sqref="I31:J31">
    <cfRule type="cellIs" dxfId="0" priority="1" operator="lessThanOrEqual">
      <formula>D31</formula>
    </cfRule>
  </conditionalFormatting>
  <dataValidations>
    <dataValidation type="list" allowBlank="1" showDropDown="1" showErrorMessage="1" sqref="N4 AB4 N6 AB6 N8 AB8 N10 AB10 N12 AB12 N14 AB14 N16 AB16 N18 AB18 N20 AB20 N22 AB22 Y26 Y28 Y30">
      <formula1>FREQUENCES!$A:$A</formula1>
    </dataValidation>
  </dataValidations>
  <printOptions horizontalCentered="1" verticalCentered="1"/>
  <pageMargins bottom="0.15748031496062992" footer="0.0" header="0.0" left="0.19685039370078738" right="0.19685039370078738" top="0.15748031496062992"/>
  <pageSetup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4.43" defaultRowHeight="15.75" outlineLevelCol="1"/>
  <cols>
    <col min="14" max="31" width="14.43" outlineLevel="1"/>
  </cols>
  <sheetData>
    <row r="1">
      <c r="A1" s="194" t="s">
        <v>98</v>
      </c>
      <c r="B1" s="194" t="s">
        <v>99</v>
      </c>
      <c r="C1" s="194" t="s">
        <v>100</v>
      </c>
      <c r="D1" s="194" t="s">
        <v>101</v>
      </c>
      <c r="E1" s="194" t="s">
        <v>102</v>
      </c>
      <c r="F1" s="194" t="s">
        <v>103</v>
      </c>
      <c r="G1" s="194" t="s">
        <v>104</v>
      </c>
      <c r="H1" s="195" t="s">
        <v>105</v>
      </c>
      <c r="I1" s="196" t="s">
        <v>106</v>
      </c>
      <c r="J1" s="194" t="s">
        <v>107</v>
      </c>
      <c r="K1" s="194" t="s">
        <v>108</v>
      </c>
      <c r="L1" s="194" t="s">
        <v>109</v>
      </c>
      <c r="M1" s="194" t="s">
        <v>110</v>
      </c>
      <c r="N1" s="196" t="s">
        <v>111</v>
      </c>
      <c r="O1" s="196" t="s">
        <v>112</v>
      </c>
      <c r="P1" s="197" t="s">
        <v>113</v>
      </c>
      <c r="Q1" s="197" t="s">
        <v>114</v>
      </c>
      <c r="R1" s="197" t="s">
        <v>115</v>
      </c>
      <c r="S1" s="197" t="s">
        <v>116</v>
      </c>
      <c r="T1" s="196" t="s">
        <v>42</v>
      </c>
      <c r="U1" s="197" t="s">
        <v>117</v>
      </c>
      <c r="V1" s="197" t="s">
        <v>118</v>
      </c>
      <c r="W1" s="194" t="s">
        <v>119</v>
      </c>
      <c r="X1" s="194" t="s">
        <v>120</v>
      </c>
      <c r="Y1" s="196" t="s">
        <v>121</v>
      </c>
      <c r="Z1" s="196" t="s">
        <v>122</v>
      </c>
      <c r="AA1" s="194" t="s">
        <v>53</v>
      </c>
      <c r="AB1" s="194" t="s">
        <v>123</v>
      </c>
      <c r="AC1" s="194" t="s">
        <v>124</v>
      </c>
      <c r="AD1" s="194" t="s">
        <v>125</v>
      </c>
      <c r="AE1" s="194" t="s">
        <v>126</v>
      </c>
      <c r="AF1" s="194" t="s">
        <v>127</v>
      </c>
      <c r="AG1" s="194" t="s">
        <v>128</v>
      </c>
      <c r="AH1" s="194" t="s">
        <v>129</v>
      </c>
      <c r="AI1" s="194" t="s">
        <v>130</v>
      </c>
      <c r="AJ1" s="194" t="s">
        <v>131</v>
      </c>
      <c r="AK1" s="198" t="s">
        <v>132</v>
      </c>
      <c r="AL1" s="198" t="s">
        <v>133</v>
      </c>
    </row>
    <row r="2">
      <c r="A2" s="199" t="s">
        <v>15</v>
      </c>
      <c r="B2" s="200" t="s">
        <v>134</v>
      </c>
      <c r="C2" s="201">
        <f>IF(COUNTIF(B2,""),,LOG!I27+LOG!D26+AH2/1440)</f>
        <v>0.5331245826</v>
      </c>
      <c r="D2" s="202">
        <f t="shared" ref="D2:D19" si="1">IF(COUNTIF(B2,""),,C2)</f>
        <v>0.5331245826</v>
      </c>
      <c r="E2" s="203">
        <f>IF(COUNTIF(B2,""),,LOG!I28+(D2-LOG!I27)*24)</f>
        <v>123.6283233</v>
      </c>
      <c r="F2" s="204">
        <f>IF(COUNTIF(B2,""),,ROUND(CONVERT(Distance(VLOOKUP(A2,WAYPOINTS!A:C,2,FALSE()),VLOOKUP(A2,WAYPOINTS!A:C,3,FALSE()),VLOOKUP(B2,WAYPOINTS!A:C,2,FALSE()),VLOOKUP(B2,WAYPOINTS!A:C,3,FALSE())),"m","Nmi"),1))</f>
        <v>6</v>
      </c>
      <c r="G2" s="205">
        <f>IF(COUNTIF(B2,""),,MOD(Bearing(VLOOKUP(A2,WAYPOINTS!A:C,2,FALSE()),VLOOKUP(A2,WAYPOINTS!A:C,3,FALSE()),VLOOKUP(B2,WAYPOINTS!A:C,2,FALSE()),VLOOKUP(B2,WAYPOINTS!A:C,3,FALSE())),360))</f>
        <v>253.6846875</v>
      </c>
      <c r="H2" s="206">
        <f>IFERROR(__xludf.DUMMYFUNCTION("IF(COUNTIF(B2,""""),,ROUND(SUBSTITUTE(IMPORTXML(""https://www.ngdc.noaa.gov/geomag-web/calculators/calculateDeclination?lat1=""&amp;SUBSTITUTE(VLOOKUP(A2,WAYPOINTS!A:C,2,FALSE()),"","",""."")&amp;""&amp;lon1=""&amp;SUBSTITUTE(VLOOKUP(A2,WAYPOINTS!A:C,3,FALSE()),"","",""."&amp;""")&amp;""&amp;key=zNEw7&amp;resultFormat=xml"",""//declination""),""."","",""),2))"),1.85)</f>
        <v>1.85</v>
      </c>
      <c r="I2" s="207">
        <v>1400.0</v>
      </c>
      <c r="J2" s="199"/>
      <c r="K2" s="199">
        <f t="shared" ref="K2:K19" si="2">IF(COUNTIF(B2,""),,ROUND(L2+1000,-2))</f>
        <v>1100</v>
      </c>
      <c r="L2" s="208">
        <f>IF(COUNTIF(B2,""),,ROUND(CONVERT(getElevation(AVERAGE(VLOOKUP(A2,WAYPOINTS!A:C,2,FALSE()),VLOOKUP(B2,WAYPOINTS!A:C,2,FALSE())),AVERAGE(VLOOKUP(A2,WAYPOINTS!A:C,3,FALSE()),VLOOKUP(B2,WAYPOINTS!A:C,3,FALSE()))),"m","ft"),0))</f>
        <v>74</v>
      </c>
      <c r="M2" s="209">
        <f t="shared" ref="M2:M12" si="3">IF(COUNTIF(B2,""),,ROUND(G2-H2,0))</f>
        <v>252</v>
      </c>
      <c r="N2" s="210">
        <f t="shared" ref="N2:N19" si="4">IF(COUNTIF(B2,""),,IF(J2,J2*100,PressureAltitude(I2,T2)))</f>
        <v>1127</v>
      </c>
      <c r="O2" s="210">
        <f t="shared" ref="O2:O19" si="5">IF(COUNTIF(B2,""),,IF(J2,DensityAltitude(J2*100,IsaDeviation(V2,U2)),DensityAltitude(PressureAltitude(I2,T2),IsaDeviation(PressureAltitude(V2,T2),U2))))</f>
        <v>2273.8952</v>
      </c>
      <c r="P2" s="211">
        <f t="shared" ref="P2:P19" si="6">IF(COUNTIF(B2,""),,IF(J2,TrueAltitude(IndicatedAltitude(J2*100,T2),IsaDeviation(V2,U2)),TrueAltitude(I2,IsaDeviation(V2,U2))))</f>
        <v>1342.88</v>
      </c>
      <c r="Q2" s="212">
        <f t="shared" ref="Q2:Q19" si="7">IF(COUNTIF(B2,""),,3000+L2)</f>
        <v>3074</v>
      </c>
      <c r="R2" s="212">
        <f t="shared" ref="R2:R19" si="8">IF(COUNTIF(B2,""),,MinimalFlightLevel(Q2,T2,M2))</f>
        <v>45</v>
      </c>
      <c r="S2" s="212">
        <f t="shared" ref="S2:S19" si="9">IF(COUNTIF(B2,""),,TransitionLevel(Q2,T2))</f>
        <v>30</v>
      </c>
      <c r="T2" s="212">
        <f>IF(COUNTIF(B2,""),,LOG!Q$25)</f>
        <v>1023</v>
      </c>
      <c r="U2" s="213">
        <f>IF(COUNTIF(B2,""),,LOG!Q$26)</f>
        <v>25</v>
      </c>
      <c r="V2" s="213">
        <f>IF(COUNTIF(B2,""),,LOG!Q$27)</f>
        <v>100</v>
      </c>
      <c r="W2" s="214">
        <f>IF(COUNTIF(B2,""),,SWITCH(WindMode,"Detailed",WINTEM!F2,"Average",AverageWindSpeed,"Manual",ManualWindSpeed))</f>
        <v>15</v>
      </c>
      <c r="X2" s="214">
        <f>IF(COUNTIF(B2,""),,SWITCH(WindMode,"Detailed",WINTEM!G2,"Average",AverageWindDirection,"Manual",ManualWindDirection))</f>
        <v>336</v>
      </c>
      <c r="Y2" s="211">
        <f t="shared" ref="Y2:Y19" si="10">IF(COUNTIF(B2,""),,Z2+0)</f>
        <v>98.580692</v>
      </c>
      <c r="Z2" s="210">
        <f t="shared" ref="Z2:Z19" si="11">IF(COUNTIF(B2,""),,IF(J2,CorrectedAirSpeed(IndicatedAltitude(J2,T2),AB2,IsaDeviation(PressureAltitude(V2,T2),U2)),CorrectedAirSpeed(I2,AB2,IsaDeviation(PressureAltitude(V2,T2),U2))))</f>
        <v>98.580692</v>
      </c>
      <c r="AA2" s="194">
        <f>IF(COUNTIF(B2,""),,LOG!W$26)</f>
        <v>0.6</v>
      </c>
      <c r="AB2" s="214">
        <f t="shared" ref="AB2:AB19" si="12">IF(COUNTIF(B2,""),,60/AA2)</f>
        <v>100</v>
      </c>
      <c r="AC2" s="215">
        <f t="shared" ref="AC2:AC19" si="13">IF(COUNTIF(B2,""),,AB2*COS(RADIANS(AD2))-(W2*COS(RADIANS(M2-X2))))</f>
        <v>97.31310457</v>
      </c>
      <c r="AD2" s="216">
        <f t="shared" ref="AD2:AD19" si="14">IF(COUNTIF(B2,""),,DEGREES(ASIN(W2/AB2*SIN(RADIANS(M2-X2)))))</f>
        <v>-8.579309945</v>
      </c>
      <c r="AE2" s="217">
        <f>IF(COUNTIF(B2,""),,PERFORMANCE!H53)</f>
        <v>13.28013514</v>
      </c>
      <c r="AF2" s="218">
        <f t="shared" ref="AF2:AF19" si="15">IF(COUNTIF(B2,""),,MOD(M2-AD2,360))</f>
        <v>260.5793099</v>
      </c>
      <c r="AG2" s="219">
        <f t="shared" ref="AG2:AG19" si="16">IF(COUNTIF(B2,""),,F2*60/AB2)</f>
        <v>3.6</v>
      </c>
      <c r="AH2" s="219">
        <f t="shared" ref="AH2:AH19" si="17">IF(COUNTIF(B2,""),,F2*60/AC2)</f>
        <v>3.699398982</v>
      </c>
      <c r="AI2" s="220">
        <f t="shared" ref="AI2:AI19" si="18">IF(COUNTIF(B2,""),,AE2/60*AG2)</f>
        <v>0.7968081081</v>
      </c>
      <c r="AJ2" s="220">
        <f t="shared" ref="AJ2:AJ19" si="19">IF(COUNTIF(B2,""),,AE2/60*AH2)</f>
        <v>0.81880864</v>
      </c>
      <c r="AK2" s="221">
        <f>IF(COUNTIF(B2,""),,ROUND(ReqFuel(CARBURANT!G$20,CARBURANT!G$21,CARBURANT!G$22,CARBURANT!G$23,SUM(AH$2:AH2)),2))</f>
        <v>1.44</v>
      </c>
      <c r="AL2" s="222">
        <f>LOG!E26+AJ2</f>
        <v>3.81880864</v>
      </c>
    </row>
    <row r="3">
      <c r="A3" s="223" t="str">
        <f t="shared" ref="A3:A19" si="20">IF(COUNTIF(B3,""),,B2)</f>
        <v>PTSW</v>
      </c>
      <c r="B3" s="200" t="s">
        <v>84</v>
      </c>
      <c r="C3" s="201">
        <f>IF(COUNTIF(B3,""),,IF(COUNTIF(B4,""),C2+AH3/1440+LOG!D$28,C2+AH3/1440))</f>
        <v>0.5343499461</v>
      </c>
      <c r="D3" s="202">
        <f t="shared" si="1"/>
        <v>0.5343499461</v>
      </c>
      <c r="E3" s="203">
        <f t="shared" ref="E3:E19" si="21">IF(COUNTIF(B3,""),,E2+(D3-D2)*24)</f>
        <v>123.657732</v>
      </c>
      <c r="F3" s="208">
        <f>IF(COUNTIF(B3,""),,ROUND(CONVERT(Distance(VLOOKUP(A3,WAYPOINTS!A:C,2,FALSE()),VLOOKUP(A3,WAYPOINTS!A:C,3,FALSE()),VLOOKUP(B3,WAYPOINTS!A:C,2,FALSE()),VLOOKUP(B3,WAYPOINTS!A:C,3,FALSE())),"m","Nmi"),1))</f>
        <v>3.1</v>
      </c>
      <c r="G3" s="205">
        <f>IF(COUNTIF(B3,""),,MOD(Bearing(VLOOKUP(A3,WAYPOINTS!A:C,2,FALSE()),VLOOKUP(A3,WAYPOINTS!A:C,3,FALSE()),VLOOKUP(B3,WAYPOINTS!A:C,2,FALSE()),VLOOKUP(B3,WAYPOINTS!A:C,3,FALSE())),360))</f>
        <v>223.1289744</v>
      </c>
      <c r="H3" s="206">
        <f>IFERROR(__xludf.DUMMYFUNCTION("IF(COUNTIF(B3,""""),,ROUND(SUBSTITUTE(IMPORTXML(""https://www.ngdc.noaa.gov/geomag-web/calculators/calculateDeclination?lat1=""&amp;SUBSTITUTE(VLOOKUP(A3,WAYPOINTS!A:C,2,FALSE()),"","",""."")&amp;""&amp;lon1=""&amp;SUBSTITUTE(VLOOKUP(A3,WAYPOINTS!A:C,3,FALSE()),"","",""."&amp;""")&amp;""&amp;key=zNEw7&amp;resultFormat=xml"",""//declination""),""."","",""),2))"),1.81)</f>
        <v>1.81</v>
      </c>
      <c r="I3" s="207">
        <v>1400.0</v>
      </c>
      <c r="J3" s="199"/>
      <c r="K3" s="199">
        <f t="shared" si="2"/>
        <v>1500</v>
      </c>
      <c r="L3" s="208">
        <f>IF(COUNTIF(B3,""),,ROUND(CONVERT(getElevation(AVERAGE(VLOOKUP(A3,WAYPOINTS!A:C,2,FALSE()),VLOOKUP(B3,WAYPOINTS!A:C,2,FALSE())),AVERAGE(VLOOKUP(A3,WAYPOINTS!A:C,3,FALSE()),VLOOKUP(B3,WAYPOINTS!A:C,3,FALSE()))),"m","ft"),0))</f>
        <v>494</v>
      </c>
      <c r="M3" s="209">
        <f t="shared" si="3"/>
        <v>221</v>
      </c>
      <c r="N3" s="210">
        <f t="shared" si="4"/>
        <v>1127</v>
      </c>
      <c r="O3" s="210">
        <f t="shared" si="5"/>
        <v>2273.8952</v>
      </c>
      <c r="P3" s="211">
        <f t="shared" si="6"/>
        <v>1342.88</v>
      </c>
      <c r="Q3" s="212">
        <f t="shared" si="7"/>
        <v>3494</v>
      </c>
      <c r="R3" s="212">
        <f t="shared" si="8"/>
        <v>45</v>
      </c>
      <c r="S3" s="212">
        <f t="shared" si="9"/>
        <v>35</v>
      </c>
      <c r="T3" s="212">
        <f>IF(COUNTIF(B3,""),,LOG!Q$25)</f>
        <v>1023</v>
      </c>
      <c r="U3" s="213">
        <f>IF(COUNTIF(B3,""),,LOG!Q$26)</f>
        <v>25</v>
      </c>
      <c r="V3" s="213">
        <f>IF(COUNTIF(B3,""),,LOG!Q$27)</f>
        <v>100</v>
      </c>
      <c r="W3" s="214">
        <f>IF(COUNTIF(B3,""),,SWITCH(WindMode,"Detailed",WINTEM!F3,"Average",AverageWindSpeed,"Manual",ManualWindSpeed))</f>
        <v>15</v>
      </c>
      <c r="X3" s="214">
        <f>IF(COUNTIF(B3,""),,SWITCH(WindMode,"Detailed",WINTEM!G3,"Average",AverageWindDirection,"Manual",ManualWindDirection))</f>
        <v>336</v>
      </c>
      <c r="Y3" s="211">
        <f t="shared" si="10"/>
        <v>98.580692</v>
      </c>
      <c r="Z3" s="210">
        <f t="shared" si="11"/>
        <v>98.580692</v>
      </c>
      <c r="AA3" s="224">
        <f>IF(COUNTIF(B3,""),,LOG!W$26)</f>
        <v>0.6</v>
      </c>
      <c r="AB3" s="214">
        <f t="shared" si="12"/>
        <v>100</v>
      </c>
      <c r="AC3" s="215">
        <f t="shared" si="13"/>
        <v>105.4108965</v>
      </c>
      <c r="AD3" s="216">
        <f t="shared" si="14"/>
        <v>-7.813335751</v>
      </c>
      <c r="AE3" s="217">
        <f>IF(COUNTIF(B3,""),,PERFORMANCE!H54)</f>
        <v>13.28013514</v>
      </c>
      <c r="AF3" s="218">
        <f t="shared" si="15"/>
        <v>228.8133358</v>
      </c>
      <c r="AG3" s="219">
        <f t="shared" si="16"/>
        <v>1.86</v>
      </c>
      <c r="AH3" s="219">
        <f t="shared" si="17"/>
        <v>1.764523462</v>
      </c>
      <c r="AI3" s="220">
        <f t="shared" si="18"/>
        <v>0.4116841892</v>
      </c>
      <c r="AJ3" s="220">
        <f t="shared" si="19"/>
        <v>0.3905518338</v>
      </c>
      <c r="AK3" s="221">
        <f>IF(COUNTIF(B3,""),,ROUND(ReqFuel(CARBURANT!G$20,CARBURANT!G$21,CARBURANT!G$22,CARBURANT!G$23,SUM(AH$2:AH3)),2))</f>
        <v>1.39</v>
      </c>
      <c r="AL3" s="222">
        <f>IF(COUNTIF(B3,""),,IF(COUNTIF(B4,""),AL2+AJ3+LOG!E$28,AL2+AJ3))</f>
        <v>4.209360474</v>
      </c>
    </row>
    <row r="4">
      <c r="A4" s="223" t="str">
        <f t="shared" si="20"/>
        <v>MEZER</v>
      </c>
      <c r="B4" s="200" t="s">
        <v>135</v>
      </c>
      <c r="C4" s="201">
        <f>IF(COUNTIF(B4,""),,IF(COUNTIF(B5,""),C3+AH4/1440+LOG!D$28,C3+AH4/1440))</f>
        <v>0.5373938614</v>
      </c>
      <c r="D4" s="202">
        <f t="shared" si="1"/>
        <v>0.5373938614</v>
      </c>
      <c r="E4" s="203">
        <f t="shared" si="21"/>
        <v>123.730786</v>
      </c>
      <c r="F4" s="208">
        <f>IF(COUNTIF(B4,""),,ROUND(CONVERT(Distance(VLOOKUP(A4,WAYPOINTS!A:C,2,FALSE()),VLOOKUP(A4,WAYPOINTS!A:C,3,FALSE()),VLOOKUP(B4,WAYPOINTS!A:C,2,FALSE()),VLOOKUP(B4,WAYPOINTS!A:C,3,FALSE())),"m","Nmi"),1))</f>
        <v>8.2</v>
      </c>
      <c r="G4" s="205">
        <f>IF(COUNTIF(B4,""),,MOD(Bearing(VLOOKUP(A4,WAYPOINTS!A:C,2,FALSE()),VLOOKUP(A4,WAYPOINTS!A:C,3,FALSE()),VLOOKUP(B4,WAYPOINTS!A:C,2,FALSE()),VLOOKUP(B4,WAYPOINTS!A:C,3,FALSE())),360))</f>
        <v>190.5088169</v>
      </c>
      <c r="H4" s="206">
        <f>IFERROR(__xludf.DUMMYFUNCTION("IF(COUNTIF(B4,""""),,ROUND(SUBSTITUTE(IMPORTXML(""https://www.ngdc.noaa.gov/geomag-web/calculators/calculateDeclination?lat1=""&amp;SUBSTITUTE(VLOOKUP(A4,WAYPOINTS!A:C,2,FALSE()),"","",""."")&amp;""&amp;lon1=""&amp;SUBSTITUTE(VLOOKUP(A4,WAYPOINTS!A:C,3,FALSE()),"","",""."&amp;""")&amp;""&amp;key=zNEw7&amp;resultFormat=xml"",""//declination""),""."","",""),2))"),1.8)</f>
        <v>1.8</v>
      </c>
      <c r="I4" s="207">
        <v>1400.0</v>
      </c>
      <c r="J4" s="199"/>
      <c r="K4" s="199">
        <f t="shared" si="2"/>
        <v>1400</v>
      </c>
      <c r="L4" s="208">
        <f>IF(COUNTIF(B4,""),,ROUND(CONVERT(getElevation(AVERAGE(VLOOKUP(A4,WAYPOINTS!A:C,2,FALSE()),VLOOKUP(B4,WAYPOINTS!A:C,2,FALSE())),AVERAGE(VLOOKUP(A4,WAYPOINTS!A:C,3,FALSE()),VLOOKUP(B4,WAYPOINTS!A:C,3,FALSE()))),"m","ft"),0))</f>
        <v>406</v>
      </c>
      <c r="M4" s="209">
        <f t="shared" si="3"/>
        <v>189</v>
      </c>
      <c r="N4" s="210">
        <f t="shared" si="4"/>
        <v>1127</v>
      </c>
      <c r="O4" s="210">
        <f t="shared" si="5"/>
        <v>2273.8952</v>
      </c>
      <c r="P4" s="211">
        <f t="shared" si="6"/>
        <v>1342.88</v>
      </c>
      <c r="Q4" s="212">
        <f t="shared" si="7"/>
        <v>3406</v>
      </c>
      <c r="R4" s="212">
        <f t="shared" si="8"/>
        <v>45</v>
      </c>
      <c r="S4" s="212">
        <f t="shared" si="9"/>
        <v>35</v>
      </c>
      <c r="T4" s="212">
        <f>IF(COUNTIF(B4,""),,LOG!Q$25)</f>
        <v>1023</v>
      </c>
      <c r="U4" s="213">
        <f>IF(COUNTIF(B4,""),,LOG!Q$26)</f>
        <v>25</v>
      </c>
      <c r="V4" s="213">
        <f>IF(COUNTIF(B4,""),,LOG!Q$27)</f>
        <v>100</v>
      </c>
      <c r="W4" s="214">
        <f>IF(COUNTIF(B4,""),,SWITCH(WindMode,"Detailed",WINTEM!F4,"Average",AverageWindSpeed,"Manual",ManualWindSpeed))</f>
        <v>15</v>
      </c>
      <c r="X4" s="214">
        <f>IF(COUNTIF(B4,""),,SWITCH(WindMode,"Detailed",WINTEM!G4,"Average",AverageWindDirection,"Manual",ManualWindDirection))</f>
        <v>336</v>
      </c>
      <c r="Y4" s="211">
        <f t="shared" si="10"/>
        <v>98.580692</v>
      </c>
      <c r="Z4" s="210">
        <f t="shared" si="11"/>
        <v>98.580692</v>
      </c>
      <c r="AA4" s="224">
        <f>IF(COUNTIF(B4,""),,LOG!W$26)</f>
        <v>0.6</v>
      </c>
      <c r="AB4" s="214">
        <f t="shared" si="12"/>
        <v>100</v>
      </c>
      <c r="AC4" s="215">
        <f t="shared" si="13"/>
        <v>112.2457892</v>
      </c>
      <c r="AD4" s="216">
        <f t="shared" si="14"/>
        <v>-4.686050217</v>
      </c>
      <c r="AE4" s="217">
        <f>IF(COUNTIF(B4,""),,PERFORMANCE!H55)</f>
        <v>13.28013514</v>
      </c>
      <c r="AF4" s="218">
        <f t="shared" si="15"/>
        <v>193.6860502</v>
      </c>
      <c r="AG4" s="219">
        <f t="shared" si="16"/>
        <v>4.92</v>
      </c>
      <c r="AH4" s="219">
        <f t="shared" si="17"/>
        <v>4.383237924</v>
      </c>
      <c r="AI4" s="220">
        <f t="shared" si="18"/>
        <v>1.088971081</v>
      </c>
      <c r="AJ4" s="220">
        <f t="shared" si="19"/>
        <v>0.9701665326</v>
      </c>
      <c r="AK4" s="221">
        <f>IF(COUNTIF(B4,""),,ROUND(ReqFuel(CARBURANT!G$20,CARBURANT!G$21,CARBURANT!G$22,CARBURANT!G$23,SUM(AH$2:AH4)),2))</f>
        <v>1.28</v>
      </c>
      <c r="AL4" s="222">
        <f>IF(COUNTIF(B4,""),,IF(COUNTIF(B5,""),AL3+AJ4+LOG!E$28,AL3+AJ4))</f>
        <v>5.179527006</v>
      </c>
    </row>
    <row r="5">
      <c r="A5" s="223" t="str">
        <f t="shared" si="20"/>
        <v>N12HE</v>
      </c>
      <c r="B5" s="200" t="s">
        <v>26</v>
      </c>
      <c r="C5" s="201">
        <f>IF(COUNTIF(B5,""),,IF(COUNTIF(B6,""),C4+AH5/1440+LOG!D$28,C4+AH5/1440))</f>
        <v>0.5413286786</v>
      </c>
      <c r="D5" s="202">
        <f t="shared" si="1"/>
        <v>0.5413286786</v>
      </c>
      <c r="E5" s="203">
        <f t="shared" si="21"/>
        <v>123.8252216</v>
      </c>
      <c r="F5" s="208">
        <f>IF(COUNTIF(B5,""),,ROUND(CONVERT(Distance(VLOOKUP(A5,WAYPOINTS!A:C,2,FALSE()),VLOOKUP(A5,WAYPOINTS!A:C,3,FALSE()),VLOOKUP(B5,WAYPOINTS!A:C,2,FALSE()),VLOOKUP(B5,WAYPOINTS!A:C,3,FALSE())),"m","Nmi"),1))</f>
        <v>10.6</v>
      </c>
      <c r="G5" s="205">
        <f>IF(COUNTIF(B5,""),,MOD(Bearing(VLOOKUP(A5,WAYPOINTS!A:C,2,FALSE()),VLOOKUP(A5,WAYPOINTS!A:C,3,FALSE()),VLOOKUP(B5,WAYPOINTS!A:C,2,FALSE()),VLOOKUP(B5,WAYPOINTS!A:C,3,FALSE())),360))</f>
        <v>190.5140075</v>
      </c>
      <c r="H5" s="206">
        <f>IFERROR(__xludf.DUMMYFUNCTION("IF(COUNTIF(B5,""""),,ROUND(SUBSTITUTE(IMPORTXML(""https://www.ngdc.noaa.gov/geomag-web/calculators/calculateDeclination?lat1=""&amp;SUBSTITUTE(VLOOKUP(A5,WAYPOINTS!A:C,2,FALSE()),"","",""."")&amp;""&amp;lon1=""&amp;SUBSTITUTE(VLOOKUP(A5,WAYPOINTS!A:C,3,FALSE()),"","",""."&amp;""")&amp;""&amp;key=zNEw7&amp;resultFormat=xml"",""//declination""),""."","",""),2))"),1.79)</f>
        <v>1.79</v>
      </c>
      <c r="I5" s="207">
        <v>1400.0</v>
      </c>
      <c r="J5" s="199"/>
      <c r="K5" s="199">
        <f t="shared" si="2"/>
        <v>1500</v>
      </c>
      <c r="L5" s="208">
        <f>IF(COUNTIF(B5,""),,ROUND(CONVERT(getElevation(AVERAGE(VLOOKUP(A5,WAYPOINTS!A:C,2,FALSE()),VLOOKUP(B5,WAYPOINTS!A:C,2,FALSE())),AVERAGE(VLOOKUP(A5,WAYPOINTS!A:C,3,FALSE()),VLOOKUP(B5,WAYPOINTS!A:C,3,FALSE()))),"m","ft"),0))</f>
        <v>515</v>
      </c>
      <c r="M5" s="209">
        <f t="shared" si="3"/>
        <v>189</v>
      </c>
      <c r="N5" s="210">
        <f t="shared" si="4"/>
        <v>1127</v>
      </c>
      <c r="O5" s="210">
        <f t="shared" si="5"/>
        <v>2273.8952</v>
      </c>
      <c r="P5" s="211">
        <f t="shared" si="6"/>
        <v>1342.88</v>
      </c>
      <c r="Q5" s="212">
        <f t="shared" si="7"/>
        <v>3515</v>
      </c>
      <c r="R5" s="212">
        <f t="shared" si="8"/>
        <v>45</v>
      </c>
      <c r="S5" s="212">
        <f t="shared" si="9"/>
        <v>35</v>
      </c>
      <c r="T5" s="212">
        <f>IF(COUNTIF(B5,""),,LOG!Q$25)</f>
        <v>1023</v>
      </c>
      <c r="U5" s="213">
        <f>IF(COUNTIF(B5,""),,LOG!Q$26)</f>
        <v>25</v>
      </c>
      <c r="V5" s="213">
        <f>IF(COUNTIF(B5,""),,LOG!Q$27)</f>
        <v>100</v>
      </c>
      <c r="W5" s="214">
        <f>IF(COUNTIF(B5,""),,SWITCH(WindMode,"Detailed",WINTEM!F5,"Average",AverageWindSpeed,"Manual",ManualWindSpeed))</f>
        <v>15</v>
      </c>
      <c r="X5" s="214">
        <f>IF(COUNTIF(B5,""),,SWITCH(WindMode,"Detailed",WINTEM!G5,"Average",AverageWindDirection,"Manual",ManualWindDirection))</f>
        <v>336</v>
      </c>
      <c r="Y5" s="211">
        <f t="shared" si="10"/>
        <v>98.580692</v>
      </c>
      <c r="Z5" s="210">
        <f t="shared" si="11"/>
        <v>98.580692</v>
      </c>
      <c r="AA5" s="224">
        <f>IF(COUNTIF(B5,""),,LOG!W$26)</f>
        <v>0.6</v>
      </c>
      <c r="AB5" s="214">
        <f t="shared" si="12"/>
        <v>100</v>
      </c>
      <c r="AC5" s="215">
        <f t="shared" si="13"/>
        <v>112.2457892</v>
      </c>
      <c r="AD5" s="216">
        <f t="shared" si="14"/>
        <v>-4.686050217</v>
      </c>
      <c r="AE5" s="217">
        <f>IF(COUNTIF(B5,""),,PERFORMANCE!H56)</f>
        <v>13.28013514</v>
      </c>
      <c r="AF5" s="218">
        <f t="shared" si="15"/>
        <v>193.6860502</v>
      </c>
      <c r="AG5" s="219">
        <f t="shared" si="16"/>
        <v>6.36</v>
      </c>
      <c r="AH5" s="219">
        <f t="shared" si="17"/>
        <v>5.666136828</v>
      </c>
      <c r="AI5" s="220">
        <f t="shared" si="18"/>
        <v>1.407694324</v>
      </c>
      <c r="AJ5" s="220">
        <f t="shared" si="19"/>
        <v>1.254117713</v>
      </c>
      <c r="AK5" s="221">
        <f>IF(COUNTIF(B5,""),,ROUND(ReqFuel(CARBURANT!G$20,CARBURANT!G$21,CARBURANT!G$22,CARBURANT!G$23,SUM(AH$2:AH5)),2))</f>
        <v>1.14</v>
      </c>
      <c r="AL5" s="222">
        <f>IF(COUNTIF(B5,""),,IF(COUNTIF(B6,""),AL4+AJ5+LOG!E$28,AL4+AJ5))</f>
        <v>6.433644719</v>
      </c>
    </row>
    <row r="6">
      <c r="A6" s="223" t="str">
        <f t="shared" si="20"/>
        <v>EPR</v>
      </c>
      <c r="B6" s="200" t="s">
        <v>29</v>
      </c>
      <c r="C6" s="201">
        <f>IF(COUNTIF(B6,""),,IF(COUNTIF(B7,""),C5+AH6/1440+LOG!D$28,C5+AH6/1440))</f>
        <v>0.5456490653</v>
      </c>
      <c r="D6" s="202">
        <f t="shared" si="1"/>
        <v>0.5456490653</v>
      </c>
      <c r="E6" s="203">
        <f t="shared" si="21"/>
        <v>123.9289109</v>
      </c>
      <c r="F6" s="208">
        <f>IF(COUNTIF(B6,""),,ROUND(CONVERT(Distance(VLOOKUP(A6,WAYPOINTS!A:C,2,FALSE()),VLOOKUP(A6,WAYPOINTS!A:C,3,FALSE()),VLOOKUP(B6,WAYPOINTS!A:C,2,FALSE()),VLOOKUP(B6,WAYPOINTS!A:C,3,FALSE())),"m","Nmi"),1))</f>
        <v>11.3</v>
      </c>
      <c r="G6" s="205">
        <f>IF(COUNTIF(B6,""),,MOD(Bearing(VLOOKUP(A6,WAYPOINTS!A:C,2,FALSE()),VLOOKUP(A6,WAYPOINTS!A:C,3,FALSE()),VLOOKUP(B6,WAYPOINTS!A:C,2,FALSE()),VLOOKUP(B6,WAYPOINTS!A:C,3,FALSE())),360))</f>
        <v>207.8226893</v>
      </c>
      <c r="H6" s="206">
        <f>IFERROR(__xludf.DUMMYFUNCTION("IF(COUNTIF(B6,""""),,ROUND(SUBSTITUTE(IMPORTXML(""https://www.ngdc.noaa.gov/geomag-web/calculators/calculateDeclination?lat1=""&amp;SUBSTITUTE(VLOOKUP(A6,WAYPOINTS!A:C,2,FALSE()),"","",""."")&amp;""&amp;lon1=""&amp;SUBSTITUTE(VLOOKUP(A6,WAYPOINTS!A:C,3,FALSE()),"","",""."&amp;""")&amp;""&amp;key=zNEw7&amp;resultFormat=xml"",""//declination""),""."","",""),2))"),1.79)</f>
        <v>1.79</v>
      </c>
      <c r="I6" s="207">
        <v>1900.0</v>
      </c>
      <c r="J6" s="199"/>
      <c r="K6" s="199">
        <f t="shared" si="2"/>
        <v>1400</v>
      </c>
      <c r="L6" s="208">
        <f>IF(COUNTIF(B6,""),,ROUND(CONVERT(getElevation(AVERAGE(VLOOKUP(A6,WAYPOINTS!A:C,2,FALSE()),VLOOKUP(B6,WAYPOINTS!A:C,2,FALSE())),AVERAGE(VLOOKUP(A6,WAYPOINTS!A:C,3,FALSE()),VLOOKUP(B6,WAYPOINTS!A:C,3,FALSE()))),"m","ft"),0))</f>
        <v>382</v>
      </c>
      <c r="M6" s="209">
        <f t="shared" si="3"/>
        <v>206</v>
      </c>
      <c r="N6" s="210">
        <f t="shared" si="4"/>
        <v>1627</v>
      </c>
      <c r="O6" s="210">
        <f t="shared" si="5"/>
        <v>2773.8952</v>
      </c>
      <c r="P6" s="211">
        <f t="shared" si="6"/>
        <v>1822.48</v>
      </c>
      <c r="Q6" s="212">
        <f t="shared" si="7"/>
        <v>3382</v>
      </c>
      <c r="R6" s="212">
        <f t="shared" si="8"/>
        <v>45</v>
      </c>
      <c r="S6" s="212">
        <f t="shared" si="9"/>
        <v>35</v>
      </c>
      <c r="T6" s="212">
        <f>IF(COUNTIF(B6,""),,LOG!Q$25)</f>
        <v>1023</v>
      </c>
      <c r="U6" s="213">
        <f>IF(COUNTIF(B6,""),,LOG!Q$26)</f>
        <v>25</v>
      </c>
      <c r="V6" s="213">
        <f>IF(COUNTIF(B6,""),,LOG!Q$27)</f>
        <v>100</v>
      </c>
      <c r="W6" s="214">
        <f>IF(COUNTIF(B6,""),,SWITCH(WindMode,"Detailed",WINTEM!F6,"Average",AverageWindSpeed,"Manual",ManualWindSpeed))</f>
        <v>15</v>
      </c>
      <c r="X6" s="214">
        <f>IF(COUNTIF(B6,""),,SWITCH(WindMode,"Detailed",WINTEM!G6,"Average",AverageWindDirection,"Manual",ManualWindDirection))</f>
        <v>336</v>
      </c>
      <c r="Y6" s="211">
        <f t="shared" si="10"/>
        <v>98.080692</v>
      </c>
      <c r="Z6" s="210">
        <f t="shared" si="11"/>
        <v>98.080692</v>
      </c>
      <c r="AA6" s="224">
        <f>IF(COUNTIF(B6,""),,LOG!W$26)</f>
        <v>0.6</v>
      </c>
      <c r="AB6" s="214">
        <f t="shared" si="12"/>
        <v>100</v>
      </c>
      <c r="AC6" s="215">
        <f t="shared" si="13"/>
        <v>108.9794434</v>
      </c>
      <c r="AD6" s="216">
        <f t="shared" si="14"/>
        <v>-6.598241745</v>
      </c>
      <c r="AE6" s="217">
        <f>IF(COUNTIF(B6,""),,PERFORMANCE!H57)</f>
        <v>13.28013514</v>
      </c>
      <c r="AF6" s="218">
        <f t="shared" si="15"/>
        <v>212.5982417</v>
      </c>
      <c r="AG6" s="219">
        <f t="shared" si="16"/>
        <v>6.78</v>
      </c>
      <c r="AH6" s="219">
        <f t="shared" si="17"/>
        <v>6.22135679</v>
      </c>
      <c r="AI6" s="220">
        <f t="shared" si="18"/>
        <v>1.50065527</v>
      </c>
      <c r="AJ6" s="220">
        <f t="shared" si="19"/>
        <v>1.377007648</v>
      </c>
      <c r="AK6" s="221">
        <f>IF(COUNTIF(B6,""),,ROUND(ReqFuel(CARBURANT!G$20,CARBURANT!G$21,CARBURANT!G$22,CARBURANT!G$23,SUM(AH$2:AH6)),2))</f>
        <v>0.59</v>
      </c>
      <c r="AL6" s="222">
        <f>IF(COUNTIF(B6,""),,IF(COUNTIF(B7,""),AL5+AJ6+LOG!E$28,AL5+AJ6))</f>
        <v>7.810652368</v>
      </c>
    </row>
    <row r="7">
      <c r="A7" s="223" t="str">
        <f t="shared" si="20"/>
        <v>LFOR</v>
      </c>
      <c r="B7" s="200" t="s">
        <v>34</v>
      </c>
      <c r="C7" s="201">
        <f>IF(COUNTIF(B7,""),,IF(COUNTIF(B8,""),C6+AH7/1440+LOG!D$28,C6+AH7/1440))</f>
        <v>0.5605345048</v>
      </c>
      <c r="D7" s="202">
        <f t="shared" si="1"/>
        <v>0.5605345048</v>
      </c>
      <c r="E7" s="203">
        <f t="shared" si="21"/>
        <v>124.2861614</v>
      </c>
      <c r="F7" s="208">
        <f>IF(COUNTIF(B7,""),,ROUND(CONVERT(Distance(VLOOKUP(A7,WAYPOINTS!A:C,2,FALSE()),VLOOKUP(A7,WAYPOINTS!A:C,3,FALSE()),VLOOKUP(B7,WAYPOINTS!A:C,2,FALSE()),VLOOKUP(B7,WAYPOINTS!A:C,3,FALSE())),"m","Nmi"),1))</f>
        <v>16.2</v>
      </c>
      <c r="G7" s="205">
        <f>IF(COUNTIF(B7,""),,MOD(Bearing(VLOOKUP(A7,WAYPOINTS!A:C,2,FALSE()),VLOOKUP(A7,WAYPOINTS!A:C,3,FALSE()),VLOOKUP(B7,WAYPOINTS!A:C,2,FALSE()),VLOOKUP(B7,WAYPOINTS!A:C,3,FALSE())),360))</f>
        <v>336.5359018</v>
      </c>
      <c r="H7" s="206">
        <f>IFERROR(__xludf.DUMMYFUNCTION("IF(COUNTIF(B7,""""),,ROUND(SUBSTITUTE(IMPORTXML(""https://www.ngdc.noaa.gov/geomag-web/calculators/calculateDeclination?lat1=""&amp;SUBSTITUTE(VLOOKUP(A7,WAYPOINTS!A:C,2,FALSE()),"","",""."")&amp;""&amp;lon1=""&amp;SUBSTITUTE(VLOOKUP(A7,WAYPOINTS!A:C,3,FALSE()),"","",""."&amp;""")&amp;""&amp;key=zNEw7&amp;resultFormat=xml"",""//declination""),""."","",""),2))"),1.76)</f>
        <v>1.76</v>
      </c>
      <c r="I7" s="207">
        <v>1900.0</v>
      </c>
      <c r="J7" s="199"/>
      <c r="K7" s="199">
        <f t="shared" si="2"/>
        <v>1500</v>
      </c>
      <c r="L7" s="208">
        <f>IF(COUNTIF(B7,""),,ROUND(CONVERT(getElevation(AVERAGE(VLOOKUP(A7,WAYPOINTS!A:C,2,FALSE()),VLOOKUP(B7,WAYPOINTS!A:C,2,FALSE())),AVERAGE(VLOOKUP(A7,WAYPOINTS!A:C,3,FALSE()),VLOOKUP(B7,WAYPOINTS!A:C,3,FALSE()))),"m","ft"),0))</f>
        <v>536</v>
      </c>
      <c r="M7" s="209">
        <f t="shared" si="3"/>
        <v>335</v>
      </c>
      <c r="N7" s="210">
        <f t="shared" si="4"/>
        <v>1627</v>
      </c>
      <c r="O7" s="210">
        <f t="shared" si="5"/>
        <v>2773.8952</v>
      </c>
      <c r="P7" s="211">
        <f t="shared" si="6"/>
        <v>1822.48</v>
      </c>
      <c r="Q7" s="212">
        <f t="shared" si="7"/>
        <v>3536</v>
      </c>
      <c r="R7" s="212">
        <f t="shared" si="8"/>
        <v>45</v>
      </c>
      <c r="S7" s="212">
        <f t="shared" si="9"/>
        <v>35</v>
      </c>
      <c r="T7" s="212">
        <f>IF(COUNTIF(B7,""),,LOG!Q$25)</f>
        <v>1023</v>
      </c>
      <c r="U7" s="213">
        <f>IF(COUNTIF(B7,""),,LOG!Q$26)</f>
        <v>25</v>
      </c>
      <c r="V7" s="213">
        <f>IF(COUNTIF(B7,""),,LOG!Q$27)</f>
        <v>100</v>
      </c>
      <c r="W7" s="214">
        <f>IF(COUNTIF(B7,""),,SWITCH(WindMode,"Detailed",WINTEM!F7,"Average",AverageWindSpeed,"Manual",ManualWindSpeed))</f>
        <v>15</v>
      </c>
      <c r="X7" s="214">
        <f>IF(COUNTIF(B7,""),,SWITCH(WindMode,"Detailed",WINTEM!G7,"Average",AverageWindDirection,"Manual",ManualWindDirection))</f>
        <v>336</v>
      </c>
      <c r="Y7" s="211">
        <f t="shared" si="10"/>
        <v>98.080692</v>
      </c>
      <c r="Z7" s="210">
        <f t="shared" si="11"/>
        <v>98.080692</v>
      </c>
      <c r="AA7" s="224">
        <f>IF(COUNTIF(B7,""),,LOG!W$26)</f>
        <v>0.6</v>
      </c>
      <c r="AB7" s="214">
        <f t="shared" si="12"/>
        <v>100</v>
      </c>
      <c r="AC7" s="215">
        <f t="shared" si="13"/>
        <v>85.00194191</v>
      </c>
      <c r="AD7" s="216">
        <f t="shared" si="14"/>
        <v>-0.149992556</v>
      </c>
      <c r="AE7" s="217">
        <f>IF(COUNTIF(B7,""),,PERFORMANCE!H58)</f>
        <v>13.28013514</v>
      </c>
      <c r="AF7" s="218">
        <f t="shared" si="15"/>
        <v>335.1499926</v>
      </c>
      <c r="AG7" s="219">
        <f t="shared" si="16"/>
        <v>9.72</v>
      </c>
      <c r="AH7" s="219">
        <f t="shared" si="17"/>
        <v>11.43503287</v>
      </c>
      <c r="AI7" s="220">
        <f t="shared" si="18"/>
        <v>2.151381892</v>
      </c>
      <c r="AJ7" s="220">
        <f t="shared" si="19"/>
        <v>2.530979697</v>
      </c>
      <c r="AK7" s="221">
        <f>IF(COUNTIF(B7,""),,ROUND(ReqFuel(CARBURANT!G$20,CARBURANT!G$21,CARBURANT!G$22,CARBURANT!G$23,SUM(AH$2:AH7)),2))</f>
        <v>0.3</v>
      </c>
      <c r="AL7" s="222">
        <f>IF(COUNTIF(B7,""),,IF(COUNTIF(B8,""),AL6+AJ7+LOG!E$28,AL6+AJ7))</f>
        <v>13.34163206</v>
      </c>
    </row>
    <row r="8">
      <c r="A8" s="223" t="str">
        <f t="shared" si="20"/>
        <v/>
      </c>
      <c r="B8" s="199"/>
      <c r="C8" s="201" t="str">
        <f>IF(COUNTIF(B8,""),,IF(COUNTIF(B9,""),C7+AH8/1440+LOG!D$28,C7+AH8/1440))</f>
        <v/>
      </c>
      <c r="D8" s="202" t="str">
        <f t="shared" si="1"/>
        <v/>
      </c>
      <c r="E8" s="203" t="str">
        <f t="shared" si="21"/>
        <v/>
      </c>
      <c r="F8" s="208" t="str">
        <f>IF(COUNTIF(B8,""),,ROUND(CONVERT(Distance(VLOOKUP(A8,WAYPOINTS!A:C,2,FALSE()),VLOOKUP(A8,WAYPOINTS!A:C,3,FALSE()),VLOOKUP(B8,WAYPOINTS!A:C,2,FALSE()),VLOOKUP(B8,WAYPOINTS!A:C,3,FALSE())),"m","Nmi"),1))</f>
        <v/>
      </c>
      <c r="G8" s="205" t="str">
        <f>IF(COUNTIF(B8,""),,MOD(Bearing(VLOOKUP(A8,WAYPOINTS!A:C,2,FALSE()),VLOOKUP(A8,WAYPOINTS!A:C,3,FALSE()),VLOOKUP(B8,WAYPOINTS!A:C,2,FALSE()),VLOOKUP(B8,WAYPOINTS!A:C,3,FALSE())),360))</f>
        <v/>
      </c>
      <c r="H8" s="206" t="str">
        <f>IFERROR(__xludf.DUMMYFUNCTION("IF(COUNTIF(B8,""""),,ROUND(SUBSTITUTE(IMPORTXML(""https://www.ngdc.noaa.gov/geomag-web/calculators/calculateDeclination?lat1=""&amp;SUBSTITUTE(VLOOKUP(A8,WAYPOINTS!A:C,2,FALSE()),"","",""."")&amp;""&amp;lon1=""&amp;SUBSTITUTE(VLOOKUP(A8,WAYPOINTS!A:C,3,FALSE()),"","",""."&amp;""")&amp;""&amp;key=zNEw7&amp;resultFormat=xml"",""//declination""),""."","",""),2))"),"")</f>
        <v/>
      </c>
      <c r="I8" s="207"/>
      <c r="J8" s="199"/>
      <c r="K8" s="199" t="str">
        <f t="shared" si="2"/>
        <v/>
      </c>
      <c r="L8" s="208" t="str">
        <f>IF(COUNTIF(B8,""),,ROUND(CONVERT(getElevation(AVERAGE(VLOOKUP(A8,WAYPOINTS!A:C,2,FALSE()),VLOOKUP(B8,WAYPOINTS!A:C,2,FALSE())),AVERAGE(VLOOKUP(A8,WAYPOINTS!A:C,3,FALSE()),VLOOKUP(B8,WAYPOINTS!A:C,3,FALSE()))),"m","ft"),0))</f>
        <v/>
      </c>
      <c r="M8" s="209" t="str">
        <f t="shared" si="3"/>
        <v/>
      </c>
      <c r="N8" s="210" t="str">
        <f t="shared" si="4"/>
        <v/>
      </c>
      <c r="O8" s="210" t="str">
        <f t="shared" si="5"/>
        <v/>
      </c>
      <c r="P8" s="211" t="str">
        <f t="shared" si="6"/>
        <v/>
      </c>
      <c r="Q8" s="212" t="str">
        <f t="shared" si="7"/>
        <v/>
      </c>
      <c r="R8" s="212" t="str">
        <f t="shared" si="8"/>
        <v/>
      </c>
      <c r="S8" s="212" t="str">
        <f t="shared" si="9"/>
        <v/>
      </c>
      <c r="T8" s="212" t="str">
        <f>IF(COUNTIF(B8,""),,LOG!Q$25)</f>
        <v/>
      </c>
      <c r="U8" s="213" t="str">
        <f>IF(COUNTIF(B8,""),,LOG!Q$26)</f>
        <v/>
      </c>
      <c r="V8" s="213" t="str">
        <f>IF(COUNTIF(B8,""),,LOG!Q$27)</f>
        <v/>
      </c>
      <c r="W8" s="214" t="str">
        <f>IF(COUNTIF(B8,""),,SWITCH(WindMode,"Detailed",WINTEM!F8,"Average",AverageWindSpeed,"Manual",ManualWindSpeed))</f>
        <v/>
      </c>
      <c r="X8" s="214" t="str">
        <f>IF(COUNTIF(B8,""),,SWITCH(WindMode,"Detailed",WINTEM!G8,"Average",AverageWindDirection,"Manual",ManualWindDirection))</f>
        <v/>
      </c>
      <c r="Y8" s="211" t="str">
        <f t="shared" si="10"/>
        <v/>
      </c>
      <c r="Z8" s="210" t="str">
        <f t="shared" si="11"/>
        <v/>
      </c>
      <c r="AA8" s="224" t="str">
        <f>IF(COUNTIF(B8,""),,LOG!W$26)</f>
        <v/>
      </c>
      <c r="AB8" s="214" t="str">
        <f t="shared" si="12"/>
        <v/>
      </c>
      <c r="AC8" s="215" t="str">
        <f t="shared" si="13"/>
        <v/>
      </c>
      <c r="AD8" s="216" t="str">
        <f t="shared" si="14"/>
        <v/>
      </c>
      <c r="AE8" s="225" t="str">
        <f>IF(COUNTIF(B8,""),,PERFORMANCE!H59)</f>
        <v/>
      </c>
      <c r="AF8" s="218" t="str">
        <f t="shared" si="15"/>
        <v/>
      </c>
      <c r="AG8" s="219" t="str">
        <f t="shared" si="16"/>
        <v/>
      </c>
      <c r="AH8" s="219" t="str">
        <f t="shared" si="17"/>
        <v/>
      </c>
      <c r="AI8" s="220" t="str">
        <f t="shared" si="18"/>
        <v/>
      </c>
      <c r="AJ8" s="220" t="str">
        <f t="shared" si="19"/>
        <v/>
      </c>
      <c r="AK8" s="221" t="str">
        <f>IF(COUNTIF(B8,""),,ROUND(ReqFuel(CARBURANT!G$20,CARBURANT!G$21,CARBURANT!G$22,CARBURANT!G$23,SUM(AH$2:AH8)),2))</f>
        <v/>
      </c>
      <c r="AL8" s="226" t="str">
        <f>IF(COUNTIF(B8,""),,IF(COUNTIF(B9,""),AL7+AJ8+LOG!E$28,AL7+AJ8))</f>
        <v/>
      </c>
    </row>
    <row r="9">
      <c r="A9" s="223" t="str">
        <f t="shared" si="20"/>
        <v/>
      </c>
      <c r="B9" s="199"/>
      <c r="C9" s="201" t="str">
        <f>IF(COUNTIF(B9,""),,IF(COUNTIF(B10,""),C8+AH9/1440+LOG!D$28,C8+AH9/1440))</f>
        <v/>
      </c>
      <c r="D9" s="202" t="str">
        <f t="shared" si="1"/>
        <v/>
      </c>
      <c r="E9" s="203" t="str">
        <f t="shared" si="21"/>
        <v/>
      </c>
      <c r="F9" s="208" t="str">
        <f>IF(COUNTIF(B9,""),,ROUND(CONVERT(Distance(VLOOKUP(A9,WAYPOINTS!A:C,2,FALSE()),VLOOKUP(A9,WAYPOINTS!A:C,3,FALSE()),VLOOKUP(B9,WAYPOINTS!A:C,2,FALSE()),VLOOKUP(B9,WAYPOINTS!A:C,3,FALSE())),"m","Nmi"),1))</f>
        <v/>
      </c>
      <c r="G9" s="205" t="str">
        <f>IF(COUNTIF(B9,""),,MOD(Bearing(VLOOKUP(A9,WAYPOINTS!A:C,2,FALSE()),VLOOKUP(A9,WAYPOINTS!A:C,3,FALSE()),VLOOKUP(B9,WAYPOINTS!A:C,2,FALSE()),VLOOKUP(B9,WAYPOINTS!A:C,3,FALSE())),360))</f>
        <v/>
      </c>
      <c r="H9" s="206" t="str">
        <f>IFERROR(__xludf.DUMMYFUNCTION("IF(COUNTIF(B9,""""),,ROUND(SUBSTITUTE(IMPORTXML(""https://www.ngdc.noaa.gov/geomag-web/calculators/calculateDeclination?lat1=""&amp;SUBSTITUTE(VLOOKUP(A9,WAYPOINTS!A:C,2,FALSE()),"","",""."")&amp;""&amp;lon1=""&amp;SUBSTITUTE(VLOOKUP(A9,WAYPOINTS!A:C,3,FALSE()),"","",""."&amp;""")&amp;""&amp;key=zNEw7&amp;resultFormat=xml"",""//declination""),""."","",""),2))"),"")</f>
        <v/>
      </c>
      <c r="I9" s="207"/>
      <c r="J9" s="199"/>
      <c r="K9" s="199" t="str">
        <f t="shared" si="2"/>
        <v/>
      </c>
      <c r="L9" s="208" t="str">
        <f>IF(COUNTIF(B9,""),,ROUND(CONVERT(getElevation(AVERAGE(VLOOKUP(A9,WAYPOINTS!A:C,2,FALSE()),VLOOKUP(B9,WAYPOINTS!A:C,2,FALSE())),AVERAGE(VLOOKUP(A9,WAYPOINTS!A:C,3,FALSE()),VLOOKUP(B9,WAYPOINTS!A:C,3,FALSE()))),"m","ft"),0))</f>
        <v/>
      </c>
      <c r="M9" s="209" t="str">
        <f t="shared" si="3"/>
        <v/>
      </c>
      <c r="N9" s="210" t="str">
        <f t="shared" si="4"/>
        <v/>
      </c>
      <c r="O9" s="210" t="str">
        <f t="shared" si="5"/>
        <v/>
      </c>
      <c r="P9" s="211" t="str">
        <f t="shared" si="6"/>
        <v/>
      </c>
      <c r="Q9" s="212" t="str">
        <f t="shared" si="7"/>
        <v/>
      </c>
      <c r="R9" s="212" t="str">
        <f t="shared" si="8"/>
        <v/>
      </c>
      <c r="S9" s="212" t="str">
        <f t="shared" si="9"/>
        <v/>
      </c>
      <c r="T9" s="212" t="str">
        <f>IF(COUNTIF(B9,""),,LOG!Q$25)</f>
        <v/>
      </c>
      <c r="U9" s="213" t="str">
        <f>IF(COUNTIF(B9,""),,LOG!Q$26)</f>
        <v/>
      </c>
      <c r="V9" s="213" t="str">
        <f>IF(COUNTIF(B9,""),,LOG!Q$27)</f>
        <v/>
      </c>
      <c r="W9" s="214" t="str">
        <f>IF(COUNTIF(B9,""),,SWITCH(WindMode,"Detailed",WINTEM!F9,"Average",AverageWindSpeed,"Manual",ManualWindSpeed))</f>
        <v/>
      </c>
      <c r="X9" s="214" t="str">
        <f>IF(COUNTIF(B9,""),,SWITCH(WindMode,"Detailed",WINTEM!G9,"Average",AverageWindDirection,"Manual",ManualWindDirection))</f>
        <v/>
      </c>
      <c r="Y9" s="211" t="str">
        <f t="shared" si="10"/>
        <v/>
      </c>
      <c r="Z9" s="210" t="str">
        <f t="shared" si="11"/>
        <v/>
      </c>
      <c r="AA9" s="224" t="str">
        <f>IF(COUNTIF(B9,""),,LOG!W$26)</f>
        <v/>
      </c>
      <c r="AB9" s="214" t="str">
        <f t="shared" si="12"/>
        <v/>
      </c>
      <c r="AC9" s="215" t="str">
        <f t="shared" si="13"/>
        <v/>
      </c>
      <c r="AD9" s="216" t="str">
        <f t="shared" si="14"/>
        <v/>
      </c>
      <c r="AE9" s="225" t="str">
        <f>IF(COUNTIF(B9,""),,PERFORMANCE!H60)</f>
        <v/>
      </c>
      <c r="AF9" s="218" t="str">
        <f t="shared" si="15"/>
        <v/>
      </c>
      <c r="AG9" s="219" t="str">
        <f t="shared" si="16"/>
        <v/>
      </c>
      <c r="AH9" s="219" t="str">
        <f t="shared" si="17"/>
        <v/>
      </c>
      <c r="AI9" s="220" t="str">
        <f t="shared" si="18"/>
        <v/>
      </c>
      <c r="AJ9" s="220" t="str">
        <f t="shared" si="19"/>
        <v/>
      </c>
      <c r="AK9" s="221" t="str">
        <f>IF(COUNTIF(B9,""),,ROUND(ReqFuel(CARBURANT!G$20,CARBURANT!G$21,CARBURANT!G$22,CARBURANT!G$23,SUM(AH$2:AH9)),2))</f>
        <v/>
      </c>
      <c r="AL9" s="226" t="str">
        <f>IF(COUNTIF(B9,""),,IF(COUNTIF(B10,""),AL8+AJ9+LOG!E$28,AL8+AJ9))</f>
        <v/>
      </c>
    </row>
    <row r="10">
      <c r="A10" s="223" t="str">
        <f t="shared" si="20"/>
        <v/>
      </c>
      <c r="B10" s="199"/>
      <c r="C10" s="201" t="str">
        <f>IF(COUNTIF(B10,""),,IF(COUNTIF(B11,""),C9+AH10/1440+LOG!D$28,C9+AH10/1440))</f>
        <v/>
      </c>
      <c r="D10" s="202" t="str">
        <f t="shared" si="1"/>
        <v/>
      </c>
      <c r="E10" s="203" t="str">
        <f t="shared" si="21"/>
        <v/>
      </c>
      <c r="F10" s="208" t="str">
        <f>IF(COUNTIF(B10,""),,ROUND(CONVERT(Distance(VLOOKUP(A10,WAYPOINTS!A:C,2,FALSE()),VLOOKUP(A10,WAYPOINTS!A:C,3,FALSE()),VLOOKUP(B10,WAYPOINTS!A:C,2,FALSE()),VLOOKUP(B10,WAYPOINTS!A:C,3,FALSE())),"m","Nmi"),1))</f>
        <v/>
      </c>
      <c r="G10" s="205" t="str">
        <f>IF(COUNTIF(B10,""),,MOD(Bearing(VLOOKUP(A10,WAYPOINTS!A:C,2,FALSE()),VLOOKUP(A10,WAYPOINTS!A:C,3,FALSE()),VLOOKUP(B10,WAYPOINTS!A:C,2,FALSE()),VLOOKUP(B10,WAYPOINTS!A:C,3,FALSE())),360))</f>
        <v/>
      </c>
      <c r="H10" s="206" t="str">
        <f>IFERROR(__xludf.DUMMYFUNCTION("IF(COUNTIF(B10,""""),,ROUND(SUBSTITUTE(IMPORTXML(""https://www.ngdc.noaa.gov/geomag-web/calculators/calculateDeclination?lat1=""&amp;SUBSTITUTE(VLOOKUP(A10,WAYPOINTS!A:C,2,FALSE()),"","",""."")&amp;""&amp;lon1=""&amp;SUBSTITUTE(VLOOKUP(A10,WAYPOINTS!A:C,3,FALSE()),"","","&amp;"""."")&amp;""&amp;key=zNEw7&amp;resultFormat=xml"",""//declination""),""."","",""),2))"),"")</f>
        <v/>
      </c>
      <c r="I10" s="207"/>
      <c r="J10" s="199"/>
      <c r="K10" s="199" t="str">
        <f t="shared" si="2"/>
        <v/>
      </c>
      <c r="L10" s="208" t="str">
        <f>IF(COUNTIF(B10,""),,ROUND(CONVERT(getElevation(AVERAGE(VLOOKUP(A10,WAYPOINTS!A:C,2,FALSE()),VLOOKUP(B10,WAYPOINTS!A:C,2,FALSE())),AVERAGE(VLOOKUP(A10,WAYPOINTS!A:C,3,FALSE()),VLOOKUP(B10,WAYPOINTS!A:C,3,FALSE()))),"m","ft"),0))</f>
        <v/>
      </c>
      <c r="M10" s="209" t="str">
        <f t="shared" si="3"/>
        <v/>
      </c>
      <c r="N10" s="210" t="str">
        <f t="shared" si="4"/>
        <v/>
      </c>
      <c r="O10" s="210" t="str">
        <f t="shared" si="5"/>
        <v/>
      </c>
      <c r="P10" s="211" t="str">
        <f t="shared" si="6"/>
        <v/>
      </c>
      <c r="Q10" s="212" t="str">
        <f t="shared" si="7"/>
        <v/>
      </c>
      <c r="R10" s="212" t="str">
        <f t="shared" si="8"/>
        <v/>
      </c>
      <c r="S10" s="212" t="str">
        <f t="shared" si="9"/>
        <v/>
      </c>
      <c r="T10" s="212" t="str">
        <f>IF(COUNTIF(B10,""),,LOG!Q$25)</f>
        <v/>
      </c>
      <c r="U10" s="213" t="str">
        <f>IF(COUNTIF(B10,""),,LOG!Q$26)</f>
        <v/>
      </c>
      <c r="V10" s="213" t="str">
        <f>IF(COUNTIF(B10,""),,LOG!Q$27)</f>
        <v/>
      </c>
      <c r="W10" s="214" t="str">
        <f>IF(COUNTIF(B10,""),,SWITCH(WindMode,"Detailed",WINTEM!F10,"Average",AverageWindSpeed,"Manual",ManualWindSpeed))</f>
        <v/>
      </c>
      <c r="X10" s="214" t="str">
        <f>IF(COUNTIF(B10,""),,SWITCH(WindMode,"Detailed",WINTEM!G10,"Average",AverageWindDirection,"Manual",ManualWindDirection))</f>
        <v/>
      </c>
      <c r="Y10" s="211" t="str">
        <f t="shared" si="10"/>
        <v/>
      </c>
      <c r="Z10" s="210" t="str">
        <f t="shared" si="11"/>
        <v/>
      </c>
      <c r="AA10" s="224" t="str">
        <f>IF(COUNTIF(B10,""),,LOG!W$26)</f>
        <v/>
      </c>
      <c r="AB10" s="214" t="str">
        <f t="shared" si="12"/>
        <v/>
      </c>
      <c r="AC10" s="215" t="str">
        <f t="shared" si="13"/>
        <v/>
      </c>
      <c r="AD10" s="216" t="str">
        <f t="shared" si="14"/>
        <v/>
      </c>
      <c r="AE10" s="225" t="str">
        <f>IF(COUNTIF(B10,""),,PERFORMANCE!H61)</f>
        <v/>
      </c>
      <c r="AF10" s="218" t="str">
        <f t="shared" si="15"/>
        <v/>
      </c>
      <c r="AG10" s="219" t="str">
        <f t="shared" si="16"/>
        <v/>
      </c>
      <c r="AH10" s="219" t="str">
        <f t="shared" si="17"/>
        <v/>
      </c>
      <c r="AI10" s="220" t="str">
        <f t="shared" si="18"/>
        <v/>
      </c>
      <c r="AJ10" s="220" t="str">
        <f t="shared" si="19"/>
        <v/>
      </c>
      <c r="AK10" s="227" t="str">
        <f>IF(COUNTIF(B10,""),,ROUND(ReqFuel(CARBURANT!G$20,CARBURANT!G$21,CARBURANT!G$22,CARBURANT!G$23,SUM(AH$2:AH10)),2))</f>
        <v/>
      </c>
      <c r="AL10" s="226" t="str">
        <f>IF(COUNTIF(B10,""),,IF(COUNTIF(B11,""),AL9+AJ10+LOG!E$28,AL9+AJ10))</f>
        <v/>
      </c>
    </row>
    <row r="11">
      <c r="A11" s="223" t="str">
        <f t="shared" si="20"/>
        <v/>
      </c>
      <c r="B11" s="199"/>
      <c r="C11" s="201" t="str">
        <f>IF(COUNTIF(B11,""),,IF(COUNTIF(B12,""),C10+AH11/1440+LOG!D$28,C10+AH11/1440))</f>
        <v/>
      </c>
      <c r="D11" s="202" t="str">
        <f t="shared" si="1"/>
        <v/>
      </c>
      <c r="E11" s="203" t="str">
        <f t="shared" si="21"/>
        <v/>
      </c>
      <c r="F11" s="208" t="str">
        <f>IF(COUNTIF(B11,""),,ROUND(CONVERT(Distance(VLOOKUP(A11,WAYPOINTS!A:C,2,FALSE()),VLOOKUP(A11,WAYPOINTS!A:C,3,FALSE()),VLOOKUP(B11,WAYPOINTS!A:C,2,FALSE()),VLOOKUP(B11,WAYPOINTS!A:C,3,FALSE())),"m","Nmi"),1))</f>
        <v/>
      </c>
      <c r="G11" s="205" t="str">
        <f>IF(COUNTIF(B11,""),,MOD(Bearing(VLOOKUP(A11,WAYPOINTS!A:C,2,FALSE()),VLOOKUP(A11,WAYPOINTS!A:C,3,FALSE()),VLOOKUP(B11,WAYPOINTS!A:C,2,FALSE()),VLOOKUP(B11,WAYPOINTS!A:C,3,FALSE())),360))</f>
        <v/>
      </c>
      <c r="H11" s="206" t="str">
        <f>IFERROR(__xludf.DUMMYFUNCTION("IF(COUNTIF(B11,""""),,ROUND(SUBSTITUTE(IMPORTXML(""https://www.ngdc.noaa.gov/geomag-web/calculators/calculateDeclination?lat1=""&amp;SUBSTITUTE(VLOOKUP(A11,WAYPOINTS!A:C,2,FALSE()),"","",""."")&amp;""&amp;lon1=""&amp;SUBSTITUTE(VLOOKUP(A11,WAYPOINTS!A:C,3,FALSE()),"","","&amp;"""."")&amp;""&amp;key=zNEw7&amp;resultFormat=xml"",""//declination""),""."","",""),2))"),"")</f>
        <v/>
      </c>
      <c r="I11" s="207"/>
      <c r="J11" s="199"/>
      <c r="K11" s="199" t="str">
        <f t="shared" si="2"/>
        <v/>
      </c>
      <c r="L11" s="208" t="str">
        <f>IF(COUNTIF(B11,""),,ROUND(CONVERT(getElevation(AVERAGE(VLOOKUP(A11,WAYPOINTS!A:C,2,FALSE()),VLOOKUP(B11,WAYPOINTS!A:C,2,FALSE())),AVERAGE(VLOOKUP(A11,WAYPOINTS!A:C,3,FALSE()),VLOOKUP(B11,WAYPOINTS!A:C,3,FALSE()))),"m","ft"),0))</f>
        <v/>
      </c>
      <c r="M11" s="209" t="str">
        <f t="shared" si="3"/>
        <v/>
      </c>
      <c r="N11" s="210" t="str">
        <f t="shared" si="4"/>
        <v/>
      </c>
      <c r="O11" s="210" t="str">
        <f t="shared" si="5"/>
        <v/>
      </c>
      <c r="P11" s="211" t="str">
        <f t="shared" si="6"/>
        <v/>
      </c>
      <c r="Q11" s="212" t="str">
        <f t="shared" si="7"/>
        <v/>
      </c>
      <c r="R11" s="212" t="str">
        <f t="shared" si="8"/>
        <v/>
      </c>
      <c r="S11" s="212" t="str">
        <f t="shared" si="9"/>
        <v/>
      </c>
      <c r="T11" s="212" t="str">
        <f>IF(COUNTIF(B11,""),,LOG!Q$25)</f>
        <v/>
      </c>
      <c r="U11" s="213" t="str">
        <f>IF(COUNTIF(B11,""),,LOG!Q$26)</f>
        <v/>
      </c>
      <c r="V11" s="213" t="str">
        <f>IF(COUNTIF(B11,""),,LOG!Q$27)</f>
        <v/>
      </c>
      <c r="W11" s="214" t="str">
        <f>IF(COUNTIF(B11,""),,SWITCH(WindMode,"Detailed",WINTEM!F11,"Average",AverageWindSpeed,"Manual",ManualWindSpeed))</f>
        <v/>
      </c>
      <c r="X11" s="214" t="str">
        <f>IF(COUNTIF(B11,""),,SWITCH(WindMode,"Detailed",WINTEM!G11,"Average",AverageWindDirection,"Manual",ManualWindDirection))</f>
        <v/>
      </c>
      <c r="Y11" s="211" t="str">
        <f t="shared" si="10"/>
        <v/>
      </c>
      <c r="Z11" s="210" t="str">
        <f t="shared" si="11"/>
        <v/>
      </c>
      <c r="AA11" s="224" t="str">
        <f>IF(COUNTIF(B11,""),,LOG!W$26)</f>
        <v/>
      </c>
      <c r="AB11" s="214" t="str">
        <f t="shared" si="12"/>
        <v/>
      </c>
      <c r="AC11" s="215" t="str">
        <f t="shared" si="13"/>
        <v/>
      </c>
      <c r="AD11" s="216" t="str">
        <f t="shared" si="14"/>
        <v/>
      </c>
      <c r="AE11" s="225" t="str">
        <f>IF(COUNTIF(B11,""),,PERFORMANCE!H62)</f>
        <v/>
      </c>
      <c r="AF11" s="218" t="str">
        <f t="shared" si="15"/>
        <v/>
      </c>
      <c r="AG11" s="219" t="str">
        <f t="shared" si="16"/>
        <v/>
      </c>
      <c r="AH11" s="219" t="str">
        <f t="shared" si="17"/>
        <v/>
      </c>
      <c r="AI11" s="220" t="str">
        <f t="shared" si="18"/>
        <v/>
      </c>
      <c r="AJ11" s="220" t="str">
        <f t="shared" si="19"/>
        <v/>
      </c>
      <c r="AK11" s="227" t="str">
        <f>IF(COUNTIF(B11,""),,ROUND(ReqFuel(CARBURANT!G$20,CARBURANT!G$21,CARBURANT!G$22,CARBURANT!G$23,SUM(AH$2:AH11)),2))</f>
        <v/>
      </c>
      <c r="AL11" s="226" t="str">
        <f>IF(COUNTIF(B11,""),,IF(COUNTIF(B12,""),AL10+AJ11+LOG!E$28,AL10+AJ11))</f>
        <v/>
      </c>
    </row>
    <row r="12">
      <c r="A12" s="223" t="str">
        <f t="shared" si="20"/>
        <v/>
      </c>
      <c r="B12" s="199"/>
      <c r="C12" s="201" t="str">
        <f>IF(COUNTIF(B12,""),,IF(COUNTIF(B13,""),C11+AH12/1440+LOG!D$28,C11+AH12/1440))</f>
        <v/>
      </c>
      <c r="D12" s="202" t="str">
        <f t="shared" si="1"/>
        <v/>
      </c>
      <c r="E12" s="203" t="str">
        <f t="shared" si="21"/>
        <v/>
      </c>
      <c r="F12" s="208" t="str">
        <f>IF(COUNTIF(B12,""),,ROUND(CONVERT(Distance(VLOOKUP(A12,WAYPOINTS!A:C,2,FALSE()),VLOOKUP(A12,WAYPOINTS!A:C,3,FALSE()),VLOOKUP(B12,WAYPOINTS!A:C,2,FALSE()),VLOOKUP(B12,WAYPOINTS!A:C,3,FALSE())),"m","Nmi"),1))</f>
        <v/>
      </c>
      <c r="G12" s="205" t="str">
        <f>IF(COUNTIF(B12,""),,MOD(Bearing(VLOOKUP(A12,WAYPOINTS!A:C,2,FALSE()),VLOOKUP(A12,WAYPOINTS!A:C,3,FALSE()),VLOOKUP(B12,WAYPOINTS!A:C,2,FALSE()),VLOOKUP(B12,WAYPOINTS!A:C,3,FALSE())),360))</f>
        <v/>
      </c>
      <c r="H12" s="206" t="str">
        <f>IFERROR(__xludf.DUMMYFUNCTION("IF(COUNTIF(B12,""""),,ROUND(SUBSTITUTE(IMPORTXML(""https://www.ngdc.noaa.gov/geomag-web/calculators/calculateDeclination?lat1=""&amp;SUBSTITUTE(VLOOKUP(A12,WAYPOINTS!A:C,2,FALSE()),"","",""."")&amp;""&amp;lon1=""&amp;SUBSTITUTE(VLOOKUP(A12,WAYPOINTS!A:C,3,FALSE()),"","","&amp;"""."")&amp;""&amp;key=zNEw7&amp;resultFormat=xml"",""//declination""),""."","",""),2))"),"")</f>
        <v/>
      </c>
      <c r="I12" s="207"/>
      <c r="J12" s="199"/>
      <c r="K12" s="199" t="str">
        <f t="shared" si="2"/>
        <v/>
      </c>
      <c r="L12" s="208" t="str">
        <f>IF(COUNTIF(B12,""),,ROUND(CONVERT(getElevation(AVERAGE(VLOOKUP(A12,WAYPOINTS!A:C,2,FALSE()),VLOOKUP(B12,WAYPOINTS!A:C,2,FALSE())),AVERAGE(VLOOKUP(A12,WAYPOINTS!A:C,3,FALSE()),VLOOKUP(B12,WAYPOINTS!A:C,3,FALSE()))),"m","ft"),0))</f>
        <v/>
      </c>
      <c r="M12" s="209" t="str">
        <f t="shared" si="3"/>
        <v/>
      </c>
      <c r="N12" s="210" t="str">
        <f t="shared" si="4"/>
        <v/>
      </c>
      <c r="O12" s="210" t="str">
        <f t="shared" si="5"/>
        <v/>
      </c>
      <c r="P12" s="211" t="str">
        <f t="shared" si="6"/>
        <v/>
      </c>
      <c r="Q12" s="212" t="str">
        <f t="shared" si="7"/>
        <v/>
      </c>
      <c r="R12" s="212" t="str">
        <f t="shared" si="8"/>
        <v/>
      </c>
      <c r="S12" s="212" t="str">
        <f t="shared" si="9"/>
        <v/>
      </c>
      <c r="T12" s="212" t="str">
        <f>IF(COUNTIF(B12,""),,LOG!Q$25)</f>
        <v/>
      </c>
      <c r="U12" s="213" t="str">
        <f>IF(COUNTIF(B12,""),,LOG!Q$26)</f>
        <v/>
      </c>
      <c r="V12" s="213" t="str">
        <f>IF(COUNTIF(B12,""),,LOG!Q$27)</f>
        <v/>
      </c>
      <c r="W12" s="214" t="str">
        <f>IF(COUNTIF(B12,""),,SWITCH(WindMode,"Detailed",WINTEM!F12,"Average",AverageWindSpeed,"Manual",ManualWindSpeed))</f>
        <v/>
      </c>
      <c r="X12" s="214" t="str">
        <f>IF(COUNTIF(B12,""),,SWITCH(WindMode,"Detailed",WINTEM!G12,"Average",AverageWindDirection,"Manual",ManualWindDirection))</f>
        <v/>
      </c>
      <c r="Y12" s="211" t="str">
        <f t="shared" si="10"/>
        <v/>
      </c>
      <c r="Z12" s="210" t="str">
        <f t="shared" si="11"/>
        <v/>
      </c>
      <c r="AA12" s="224" t="str">
        <f>IF(COUNTIF(B12,""),,LOG!W$26)</f>
        <v/>
      </c>
      <c r="AB12" s="214" t="str">
        <f t="shared" si="12"/>
        <v/>
      </c>
      <c r="AC12" s="215" t="str">
        <f t="shared" si="13"/>
        <v/>
      </c>
      <c r="AD12" s="216" t="str">
        <f t="shared" si="14"/>
        <v/>
      </c>
      <c r="AE12" s="225" t="str">
        <f>IF(COUNTIF(B12,""),,PERFORMANCE!H63)</f>
        <v/>
      </c>
      <c r="AF12" s="218" t="str">
        <f t="shared" si="15"/>
        <v/>
      </c>
      <c r="AG12" s="219" t="str">
        <f t="shared" si="16"/>
        <v/>
      </c>
      <c r="AH12" s="219" t="str">
        <f t="shared" si="17"/>
        <v/>
      </c>
      <c r="AI12" s="220" t="str">
        <f t="shared" si="18"/>
        <v/>
      </c>
      <c r="AJ12" s="220" t="str">
        <f t="shared" si="19"/>
        <v/>
      </c>
      <c r="AK12" s="227" t="str">
        <f>IF(COUNTIF(B12,""),,ROUND(ReqFuel(CARBURANT!G$20,CARBURANT!G$21,CARBURANT!G$22,CARBURANT!G$23,SUM(AH$2:AH12)),2))</f>
        <v/>
      </c>
      <c r="AL12" s="226" t="str">
        <f>IF(COUNTIF(B12,""),,IF(COUNTIF(B13,""),AL11+AJ12+LOG!E$28,AL11+AJ12))</f>
        <v/>
      </c>
    </row>
    <row r="13">
      <c r="A13" s="223" t="str">
        <f t="shared" si="20"/>
        <v/>
      </c>
      <c r="B13" s="199"/>
      <c r="C13" s="201" t="str">
        <f>IF(COUNTIF(B13,""),,IF(COUNTIF(B14,""),C12+AH13/1440+LOG!D$28,C12+AH13/1440))</f>
        <v/>
      </c>
      <c r="D13" s="202" t="str">
        <f t="shared" si="1"/>
        <v/>
      </c>
      <c r="E13" s="203" t="str">
        <f t="shared" si="21"/>
        <v/>
      </c>
      <c r="F13" s="208" t="str">
        <f>IF(COUNTIF(B13,""),,ROUND(CONVERT(Distance(VLOOKUP(A13,WAYPOINTS!A:C,2,FALSE()),VLOOKUP(A13,WAYPOINTS!A:C,3,FALSE()),VLOOKUP(B13,WAYPOINTS!A:C,2,FALSE()),VLOOKUP(B13,WAYPOINTS!A:C,3,FALSE())),"m","Nmi"),1))</f>
        <v/>
      </c>
      <c r="G13" s="205" t="str">
        <f>IF(COUNTIF(B13,""),,MOD(Bearing(VLOOKUP(A13,WAYPOINTS!A:C,2,FALSE()),VLOOKUP(A13,WAYPOINTS!A:C,3,FALSE()),VLOOKUP(B13,WAYPOINTS!A:C,2,FALSE()),VLOOKUP(B13,WAYPOINTS!A:C,3,FALSE())),360))</f>
        <v/>
      </c>
      <c r="H13" s="206" t="str">
        <f>IFERROR(__xludf.DUMMYFUNCTION("IF(COUNTIF(B13,""""),,ROUND(SUBSTITUTE(IMPORTXML(""https://www.ngdc.noaa.gov/geomag-web/calculators/calculateDeclination?lat1=""&amp;SUBSTITUTE(VLOOKUP(A13,WAYPOINTS!A:C,2,FALSE()),"","",""."")&amp;""&amp;lon1=""&amp;SUBSTITUTE(VLOOKUP(A13,WAYPOINTS!A:C,3,FALSE()),"","","&amp;"""."")&amp;""&amp;key=zNEw7&amp;resultFormat=xml"",""//declination""),""."","",""),2))"),"")</f>
        <v/>
      </c>
      <c r="I13" s="207"/>
      <c r="J13" s="199"/>
      <c r="K13" s="199" t="str">
        <f t="shared" si="2"/>
        <v/>
      </c>
      <c r="L13" s="208" t="str">
        <f>IF(COUNTIF(B13,""),,ROUND(CONVERT(getElevation(AVERAGE(VLOOKUP(A13,WAYPOINTS!A:C,2,FALSE()),VLOOKUP(B13,WAYPOINTS!A:C,2,FALSE())),AVERAGE(VLOOKUP(A13,WAYPOINTS!A:C,3,FALSE()),VLOOKUP(B13,WAYPOINTS!A:C,3,FALSE()))),"m","ft"),0))</f>
        <v/>
      </c>
      <c r="M13" s="209" t="str">
        <f t="shared" ref="M13:M19" si="22">IF(COUNTIF(B13,""),,G13-H13)</f>
        <v/>
      </c>
      <c r="N13" s="210" t="str">
        <f t="shared" si="4"/>
        <v/>
      </c>
      <c r="O13" s="210" t="str">
        <f t="shared" si="5"/>
        <v/>
      </c>
      <c r="P13" s="211" t="str">
        <f t="shared" si="6"/>
        <v/>
      </c>
      <c r="Q13" s="212" t="str">
        <f t="shared" si="7"/>
        <v/>
      </c>
      <c r="R13" s="212" t="str">
        <f t="shared" si="8"/>
        <v/>
      </c>
      <c r="S13" s="212" t="str">
        <f t="shared" si="9"/>
        <v/>
      </c>
      <c r="T13" s="212" t="str">
        <f>IF(COUNTIF(B13,""),,LOG!Q$25)</f>
        <v/>
      </c>
      <c r="U13" s="213" t="str">
        <f>IF(COUNTIF(B13,""),,LOG!Q$26)</f>
        <v/>
      </c>
      <c r="V13" s="213" t="str">
        <f>IF(COUNTIF(B13,""),,LOG!Q$27)</f>
        <v/>
      </c>
      <c r="W13" s="214" t="str">
        <f>IF(COUNTIF(B13,""),,SWITCH(WindMode,"Detailed",WINTEM!F13,"Average",AverageWindSpeed,"Manual",ManualWindSpeed))</f>
        <v/>
      </c>
      <c r="X13" s="214" t="str">
        <f>IF(COUNTIF(B13,""),,SWITCH(WindMode,"Detailed",WINTEM!G13,"Average",AverageWindDirection,"Manual",ManualWindDirection))</f>
        <v/>
      </c>
      <c r="Y13" s="211" t="str">
        <f t="shared" si="10"/>
        <v/>
      </c>
      <c r="Z13" s="210" t="str">
        <f t="shared" si="11"/>
        <v/>
      </c>
      <c r="AA13" s="224" t="str">
        <f>IF(COUNTIF(B13,""),,LOG!W$26)</f>
        <v/>
      </c>
      <c r="AB13" s="214" t="str">
        <f t="shared" si="12"/>
        <v/>
      </c>
      <c r="AC13" s="215" t="str">
        <f t="shared" si="13"/>
        <v/>
      </c>
      <c r="AD13" s="216" t="str">
        <f t="shared" si="14"/>
        <v/>
      </c>
      <c r="AE13" s="225" t="str">
        <f>IF(COUNTIF(B13,""),,PERFORMANCE!H64)</f>
        <v/>
      </c>
      <c r="AF13" s="218" t="str">
        <f t="shared" si="15"/>
        <v/>
      </c>
      <c r="AG13" s="219" t="str">
        <f t="shared" si="16"/>
        <v/>
      </c>
      <c r="AH13" s="219" t="str">
        <f t="shared" si="17"/>
        <v/>
      </c>
      <c r="AI13" s="220" t="str">
        <f t="shared" si="18"/>
        <v/>
      </c>
      <c r="AJ13" s="220" t="str">
        <f t="shared" si="19"/>
        <v/>
      </c>
      <c r="AK13" s="227" t="str">
        <f>IF(COUNTIF(B13,""),,ROUND(ReqFuel(CARBURANT!G$20,CARBURANT!G$21,CARBURANT!G$22,CARBURANT!G$23,SUM(AH$2:AH13)),2))</f>
        <v/>
      </c>
      <c r="AL13" s="226" t="str">
        <f>IF(COUNTIF(B13,""),,IF(COUNTIF(B14,""),AL12+AJ13+LOG!E$28,AL12+AJ13))</f>
        <v/>
      </c>
    </row>
    <row r="14">
      <c r="A14" s="223" t="str">
        <f t="shared" si="20"/>
        <v/>
      </c>
      <c r="B14" s="199"/>
      <c r="C14" s="201" t="str">
        <f>IF(COUNTIF(B14,""),,IF(COUNTIF(B15,""),C13+AH14/1440+LOG!D$28,C13+AH14/1440))</f>
        <v/>
      </c>
      <c r="D14" s="202" t="str">
        <f t="shared" si="1"/>
        <v/>
      </c>
      <c r="E14" s="203" t="str">
        <f t="shared" si="21"/>
        <v/>
      </c>
      <c r="F14" s="208" t="str">
        <f>IF(COUNTIF(B14,""),,ROUND(CONVERT(Distance(VLOOKUP(A14,WAYPOINTS!A:C,2,FALSE()),VLOOKUP(A14,WAYPOINTS!A:C,3,FALSE()),VLOOKUP(B14,WAYPOINTS!A:C,2,FALSE()),VLOOKUP(B14,WAYPOINTS!A:C,3,FALSE())),"m","Nmi"),1))</f>
        <v/>
      </c>
      <c r="G14" s="205" t="str">
        <f>IF(COUNTIF(B14,""),,MOD(Bearing(VLOOKUP(A14,WAYPOINTS!A:C,2,FALSE()),VLOOKUP(A14,WAYPOINTS!A:C,3,FALSE()),VLOOKUP(B14,WAYPOINTS!A:C,2,FALSE()),VLOOKUP(B14,WAYPOINTS!A:C,3,FALSE())),360))</f>
        <v/>
      </c>
      <c r="H14" s="206" t="str">
        <f>IFERROR(__xludf.DUMMYFUNCTION("IF(COUNTIF(B14,""""),,ROUND(SUBSTITUTE(IMPORTXML(""https://www.ngdc.noaa.gov/geomag-web/calculators/calculateDeclination?lat1=""&amp;SUBSTITUTE(VLOOKUP(A14,WAYPOINTS!A:C,2,FALSE()),"","",""."")&amp;""&amp;lon1=""&amp;SUBSTITUTE(VLOOKUP(A14,WAYPOINTS!A:C,3,FALSE()),"","","&amp;"""."")&amp;""&amp;key=zNEw7&amp;resultFormat=xml"",""//declination""),""."","",""),2))"),"")</f>
        <v/>
      </c>
      <c r="I14" s="207"/>
      <c r="J14" s="199"/>
      <c r="K14" s="199" t="str">
        <f t="shared" si="2"/>
        <v/>
      </c>
      <c r="L14" s="208" t="str">
        <f>IF(COUNTIF(B14,""),,ROUND(CONVERT(getElevation(AVERAGE(VLOOKUP(A14,WAYPOINTS!A:C,2,FALSE()),VLOOKUP(B14,WAYPOINTS!A:C,2,FALSE())),AVERAGE(VLOOKUP(A14,WAYPOINTS!A:C,3,FALSE()),VLOOKUP(B14,WAYPOINTS!A:C,3,FALSE()))),"m","ft"),0))</f>
        <v/>
      </c>
      <c r="M14" s="209" t="str">
        <f t="shared" si="22"/>
        <v/>
      </c>
      <c r="N14" s="210" t="str">
        <f t="shared" si="4"/>
        <v/>
      </c>
      <c r="O14" s="210" t="str">
        <f t="shared" si="5"/>
        <v/>
      </c>
      <c r="P14" s="211" t="str">
        <f t="shared" si="6"/>
        <v/>
      </c>
      <c r="Q14" s="212" t="str">
        <f t="shared" si="7"/>
        <v/>
      </c>
      <c r="R14" s="212" t="str">
        <f t="shared" si="8"/>
        <v/>
      </c>
      <c r="S14" s="212" t="str">
        <f t="shared" si="9"/>
        <v/>
      </c>
      <c r="T14" s="212" t="str">
        <f>IF(COUNTIF(B14,""),,LOG!Q$25)</f>
        <v/>
      </c>
      <c r="U14" s="213" t="str">
        <f>IF(COUNTIF(B14,""),,LOG!Q$26)</f>
        <v/>
      </c>
      <c r="V14" s="213" t="str">
        <f>IF(COUNTIF(B14,""),,LOG!Q$27)</f>
        <v/>
      </c>
      <c r="W14" s="214" t="str">
        <f>IF(COUNTIF(B14,""),,SWITCH(WindMode,"Detailed",WINTEM!F14,"Average",AverageWindSpeed,"Manual",ManualWindSpeed))</f>
        <v/>
      </c>
      <c r="X14" s="214" t="str">
        <f>IF(COUNTIF(B14,""),,SWITCH(WindMode,"Detailed",WINTEM!G14,"Average",AverageWindDirection,"Manual",ManualWindDirection))</f>
        <v/>
      </c>
      <c r="Y14" s="211" t="str">
        <f t="shared" si="10"/>
        <v/>
      </c>
      <c r="Z14" s="210" t="str">
        <f t="shared" si="11"/>
        <v/>
      </c>
      <c r="AA14" s="224" t="str">
        <f>IF(COUNTIF(B14,""),,LOG!W$26)</f>
        <v/>
      </c>
      <c r="AB14" s="214" t="str">
        <f t="shared" si="12"/>
        <v/>
      </c>
      <c r="AC14" s="215" t="str">
        <f t="shared" si="13"/>
        <v/>
      </c>
      <c r="AD14" s="216" t="str">
        <f t="shared" si="14"/>
        <v/>
      </c>
      <c r="AE14" s="225" t="str">
        <f>IF(COUNTIF(B14,""),,PERFORMANCE!H65)</f>
        <v/>
      </c>
      <c r="AF14" s="218" t="str">
        <f t="shared" si="15"/>
        <v/>
      </c>
      <c r="AG14" s="219" t="str">
        <f t="shared" si="16"/>
        <v/>
      </c>
      <c r="AH14" s="219" t="str">
        <f t="shared" si="17"/>
        <v/>
      </c>
      <c r="AI14" s="220" t="str">
        <f t="shared" si="18"/>
        <v/>
      </c>
      <c r="AJ14" s="220" t="str">
        <f t="shared" si="19"/>
        <v/>
      </c>
      <c r="AK14" s="227" t="str">
        <f>IF(COUNTIF(B14,""),,ROUND(ReqFuel(CARBURANT!G$20,CARBURANT!G$21,CARBURANT!G$22,CARBURANT!G$23,SUM(AH$2:AH14)),2))</f>
        <v/>
      </c>
      <c r="AL14" s="226" t="str">
        <f>IF(COUNTIF(B14,""),,IF(COUNTIF(B15,""),AL13+AJ14+LOG!E$28,AL13+AJ14))</f>
        <v/>
      </c>
    </row>
    <row r="15">
      <c r="A15" s="223" t="str">
        <f t="shared" si="20"/>
        <v/>
      </c>
      <c r="B15" s="199"/>
      <c r="C15" s="201" t="str">
        <f>IF(COUNTIF(B15,""),,IF(COUNTIF(B16,""),C14+AH15/1440+LOG!D$28,C14+AH15/1440))</f>
        <v/>
      </c>
      <c r="D15" s="202" t="str">
        <f t="shared" si="1"/>
        <v/>
      </c>
      <c r="E15" s="203" t="str">
        <f t="shared" si="21"/>
        <v/>
      </c>
      <c r="F15" s="208" t="str">
        <f>IF(COUNTIF(B15,""),,ROUND(CONVERT(Distance(VLOOKUP(A15,WAYPOINTS!A:C,2,FALSE()),VLOOKUP(A15,WAYPOINTS!A:C,3,FALSE()),VLOOKUP(B15,WAYPOINTS!A:C,2,FALSE()),VLOOKUP(B15,WAYPOINTS!A:C,3,FALSE())),"m","Nmi"),1))</f>
        <v/>
      </c>
      <c r="G15" s="205" t="str">
        <f>IF(COUNTIF(B15,""),,MOD(Bearing(VLOOKUP(A15,WAYPOINTS!A:C,2,FALSE()),VLOOKUP(A15,WAYPOINTS!A:C,3,FALSE()),VLOOKUP(B15,WAYPOINTS!A:C,2,FALSE()),VLOOKUP(B15,WAYPOINTS!A:C,3,FALSE())),360))</f>
        <v/>
      </c>
      <c r="H15" s="206" t="str">
        <f>IFERROR(__xludf.DUMMYFUNCTION("IF(COUNTIF(B15,""""),,ROUND(SUBSTITUTE(IMPORTXML(""https://www.ngdc.noaa.gov/geomag-web/calculators/calculateDeclination?lat1=""&amp;SUBSTITUTE(VLOOKUP(A15,WAYPOINTS!A:C,2,FALSE()),"","",""."")&amp;""&amp;lon1=""&amp;SUBSTITUTE(VLOOKUP(A15,WAYPOINTS!A:C,3,FALSE()),"","","&amp;"""."")&amp;""&amp;key=zNEw7&amp;resultFormat=xml"",""//declination""),""."","",""),2))"),"")</f>
        <v/>
      </c>
      <c r="I15" s="207"/>
      <c r="J15" s="199"/>
      <c r="K15" s="199" t="str">
        <f t="shared" si="2"/>
        <v/>
      </c>
      <c r="L15" s="208" t="str">
        <f>IF(COUNTIF(B15,""),,ROUND(CONVERT(getElevation(AVERAGE(VLOOKUP(A15,WAYPOINTS!A:C,2,FALSE()),VLOOKUP(B15,WAYPOINTS!A:C,2,FALSE())),AVERAGE(VLOOKUP(A15,WAYPOINTS!A:C,3,FALSE()),VLOOKUP(B15,WAYPOINTS!A:C,3,FALSE()))),"m","ft"),0))</f>
        <v/>
      </c>
      <c r="M15" s="209" t="str">
        <f t="shared" si="22"/>
        <v/>
      </c>
      <c r="N15" s="210" t="str">
        <f t="shared" si="4"/>
        <v/>
      </c>
      <c r="O15" s="210" t="str">
        <f t="shared" si="5"/>
        <v/>
      </c>
      <c r="P15" s="211" t="str">
        <f t="shared" si="6"/>
        <v/>
      </c>
      <c r="Q15" s="212" t="str">
        <f t="shared" si="7"/>
        <v/>
      </c>
      <c r="R15" s="212" t="str">
        <f t="shared" si="8"/>
        <v/>
      </c>
      <c r="S15" s="212" t="str">
        <f t="shared" si="9"/>
        <v/>
      </c>
      <c r="T15" s="212" t="str">
        <f>IF(COUNTIF(B15,""),,LOG!Q$25)</f>
        <v/>
      </c>
      <c r="U15" s="213" t="str">
        <f>IF(COUNTIF(B15,""),,LOG!Q$26)</f>
        <v/>
      </c>
      <c r="V15" s="213" t="str">
        <f>IF(COUNTIF(B15,""),,LOG!Q$27)</f>
        <v/>
      </c>
      <c r="W15" s="214" t="str">
        <f>IF(COUNTIF(B15,""),,SWITCH(WindMode,"Detailed",WINTEM!F15,"Average",AverageWindSpeed,"Manual",ManualWindSpeed))</f>
        <v/>
      </c>
      <c r="X15" s="214" t="str">
        <f>IF(COUNTIF(B15,""),,SWITCH(WindMode,"Detailed",WINTEM!G15,"Average",AverageWindDirection,"Manual",ManualWindDirection))</f>
        <v/>
      </c>
      <c r="Y15" s="211" t="str">
        <f t="shared" si="10"/>
        <v/>
      </c>
      <c r="Z15" s="210" t="str">
        <f t="shared" si="11"/>
        <v/>
      </c>
      <c r="AA15" s="224" t="str">
        <f>IF(COUNTIF(B15,""),,LOG!W$26)</f>
        <v/>
      </c>
      <c r="AB15" s="214" t="str">
        <f t="shared" si="12"/>
        <v/>
      </c>
      <c r="AC15" s="215" t="str">
        <f t="shared" si="13"/>
        <v/>
      </c>
      <c r="AD15" s="216" t="str">
        <f t="shared" si="14"/>
        <v/>
      </c>
      <c r="AE15" s="225" t="str">
        <f>IF(COUNTIF(B15,""),,PERFORMANCE!H66)</f>
        <v/>
      </c>
      <c r="AF15" s="218" t="str">
        <f t="shared" si="15"/>
        <v/>
      </c>
      <c r="AG15" s="219" t="str">
        <f t="shared" si="16"/>
        <v/>
      </c>
      <c r="AH15" s="219" t="str">
        <f t="shared" si="17"/>
        <v/>
      </c>
      <c r="AI15" s="220" t="str">
        <f t="shared" si="18"/>
        <v/>
      </c>
      <c r="AJ15" s="220" t="str">
        <f t="shared" si="19"/>
        <v/>
      </c>
      <c r="AK15" s="227" t="str">
        <f>IF(COUNTIF(B15,""),,ROUND(ReqFuel(CARBURANT!G$20,CARBURANT!G$21,CARBURANT!G$22,CARBURANT!G$23,SUM(AH$2:AH15)),2))</f>
        <v/>
      </c>
      <c r="AL15" s="226" t="str">
        <f>IF(COUNTIF(B15,""),,IF(COUNTIF(B16,""),AL14+AJ15+LOG!E$28,AL14+AJ15))</f>
        <v/>
      </c>
    </row>
    <row r="16">
      <c r="A16" s="223" t="str">
        <f t="shared" si="20"/>
        <v/>
      </c>
      <c r="B16" s="199"/>
      <c r="C16" s="201" t="str">
        <f>IF(COUNTIF(B16,""),,IF(COUNTIF(B17,""),C15+AH16/1440+LOG!D$28,C15+AH16/1440))</f>
        <v/>
      </c>
      <c r="D16" s="202" t="str">
        <f t="shared" si="1"/>
        <v/>
      </c>
      <c r="E16" s="203" t="str">
        <f t="shared" si="21"/>
        <v/>
      </c>
      <c r="F16" s="208" t="str">
        <f>IF(COUNTIF(B16,""),,ROUND(CONVERT(Distance(VLOOKUP(A16,WAYPOINTS!A:C,2,FALSE()),VLOOKUP(A16,WAYPOINTS!A:C,3,FALSE()),VLOOKUP(B16,WAYPOINTS!A:C,2,FALSE()),VLOOKUP(B16,WAYPOINTS!A:C,3,FALSE())),"m","Nmi"),1))</f>
        <v/>
      </c>
      <c r="G16" s="205" t="str">
        <f>IF(COUNTIF(B16,""),,MOD(Bearing(VLOOKUP(A16,WAYPOINTS!A:C,2,FALSE()),VLOOKUP(A16,WAYPOINTS!A:C,3,FALSE()),VLOOKUP(B16,WAYPOINTS!A:C,2,FALSE()),VLOOKUP(B16,WAYPOINTS!A:C,3,FALSE())),360))</f>
        <v/>
      </c>
      <c r="H16" s="206" t="str">
        <f>IFERROR(__xludf.DUMMYFUNCTION("IF(COUNTIF(B16,""""),,ROUND(SUBSTITUTE(IMPORTXML(""https://www.ngdc.noaa.gov/geomag-web/calculators/calculateDeclination?lat1=""&amp;SUBSTITUTE(VLOOKUP(A16,WAYPOINTS!A:C,2,FALSE()),"","",""."")&amp;""&amp;lon1=""&amp;SUBSTITUTE(VLOOKUP(A16,WAYPOINTS!A:C,3,FALSE()),"","","&amp;"""."")&amp;""&amp;key=zNEw7&amp;resultFormat=xml"",""//declination""),""."","",""),2))"),"")</f>
        <v/>
      </c>
      <c r="I16" s="207"/>
      <c r="J16" s="199"/>
      <c r="K16" s="199" t="str">
        <f t="shared" si="2"/>
        <v/>
      </c>
      <c r="L16" s="208" t="str">
        <f>IF(COUNTIF(B16,""),,ROUND(CONVERT(getElevation(AVERAGE(VLOOKUP(A16,WAYPOINTS!A:C,2,FALSE()),VLOOKUP(B16,WAYPOINTS!A:C,2,FALSE())),AVERAGE(VLOOKUP(A16,WAYPOINTS!A:C,3,FALSE()),VLOOKUP(B16,WAYPOINTS!A:C,3,FALSE()))),"m","ft"),0))</f>
        <v/>
      </c>
      <c r="M16" s="209" t="str">
        <f t="shared" si="22"/>
        <v/>
      </c>
      <c r="N16" s="210" t="str">
        <f t="shared" si="4"/>
        <v/>
      </c>
      <c r="O16" s="210" t="str">
        <f t="shared" si="5"/>
        <v/>
      </c>
      <c r="P16" s="211" t="str">
        <f t="shared" si="6"/>
        <v/>
      </c>
      <c r="Q16" s="212" t="str">
        <f t="shared" si="7"/>
        <v/>
      </c>
      <c r="R16" s="212" t="str">
        <f t="shared" si="8"/>
        <v/>
      </c>
      <c r="S16" s="212" t="str">
        <f t="shared" si="9"/>
        <v/>
      </c>
      <c r="T16" s="212" t="str">
        <f>IF(COUNTIF(B16,""),,LOG!Q$25)</f>
        <v/>
      </c>
      <c r="U16" s="213" t="str">
        <f>IF(COUNTIF(B16,""),,LOG!Q$26)</f>
        <v/>
      </c>
      <c r="V16" s="213" t="str">
        <f>IF(COUNTIF(B16,""),,LOG!Q$27)</f>
        <v/>
      </c>
      <c r="W16" s="214" t="str">
        <f>IF(COUNTIF(B16,""),,SWITCH(WindMode,"Detailed",WINTEM!F16,"Average",AverageWindSpeed,"Manual",ManualWindSpeed))</f>
        <v/>
      </c>
      <c r="X16" s="214" t="str">
        <f>IF(COUNTIF(B16,""),,SWITCH(WindMode,"Detailed",WINTEM!G16,"Average",AverageWindDirection,"Manual",ManualWindDirection))</f>
        <v/>
      </c>
      <c r="Y16" s="211" t="str">
        <f t="shared" si="10"/>
        <v/>
      </c>
      <c r="Z16" s="210" t="str">
        <f t="shared" si="11"/>
        <v/>
      </c>
      <c r="AA16" s="224" t="str">
        <f>IF(COUNTIF(B16,""),,LOG!W$26)</f>
        <v/>
      </c>
      <c r="AB16" s="214" t="str">
        <f t="shared" si="12"/>
        <v/>
      </c>
      <c r="AC16" s="215" t="str">
        <f t="shared" si="13"/>
        <v/>
      </c>
      <c r="AD16" s="216" t="str">
        <f t="shared" si="14"/>
        <v/>
      </c>
      <c r="AE16" s="225" t="str">
        <f>IF(COUNTIF(B16,""),,PERFORMANCE!H67)</f>
        <v/>
      </c>
      <c r="AF16" s="218" t="str">
        <f t="shared" si="15"/>
        <v/>
      </c>
      <c r="AG16" s="219" t="str">
        <f t="shared" si="16"/>
        <v/>
      </c>
      <c r="AH16" s="219" t="str">
        <f t="shared" si="17"/>
        <v/>
      </c>
      <c r="AI16" s="220" t="str">
        <f t="shared" si="18"/>
        <v/>
      </c>
      <c r="AJ16" s="220" t="str">
        <f t="shared" si="19"/>
        <v/>
      </c>
      <c r="AK16" s="227" t="str">
        <f>IF(COUNTIF(B16,""),,ROUND(ReqFuel(CARBURANT!G$20,CARBURANT!G$21,CARBURANT!G$22,CARBURANT!G$23,SUM(AH$2:AH16)),2))</f>
        <v/>
      </c>
      <c r="AL16" s="226" t="str">
        <f>IF(COUNTIF(B16,""),,IF(COUNTIF(B17,""),AL15+AJ16+LOG!E$28,AL15+AJ16))</f>
        <v/>
      </c>
    </row>
    <row r="17">
      <c r="A17" s="223" t="str">
        <f t="shared" si="20"/>
        <v/>
      </c>
      <c r="B17" s="199"/>
      <c r="C17" s="201" t="str">
        <f>IF(COUNTIF(B17,""),,IF(COUNTIF(B18,""),C16+AH17/1440+LOG!D$28,C16+AH17/1440))</f>
        <v/>
      </c>
      <c r="D17" s="202" t="str">
        <f t="shared" si="1"/>
        <v/>
      </c>
      <c r="E17" s="203" t="str">
        <f t="shared" si="21"/>
        <v/>
      </c>
      <c r="F17" s="208" t="str">
        <f>IF(COUNTIF(B17,""),,ROUND(CONVERT(Distance(VLOOKUP(A17,WAYPOINTS!A:C,2,FALSE()),VLOOKUP(A17,WAYPOINTS!A:C,3,FALSE()),VLOOKUP(B17,WAYPOINTS!A:C,2,FALSE()),VLOOKUP(B17,WAYPOINTS!A:C,3,FALSE())),"m","Nmi"),1))</f>
        <v/>
      </c>
      <c r="G17" s="205" t="str">
        <f>IF(COUNTIF(B17,""),,MOD(Bearing(VLOOKUP(A17,WAYPOINTS!A:C,2,FALSE()),VLOOKUP(A17,WAYPOINTS!A:C,3,FALSE()),VLOOKUP(B17,WAYPOINTS!A:C,2,FALSE()),VLOOKUP(B17,WAYPOINTS!A:C,3,FALSE())),360))</f>
        <v/>
      </c>
      <c r="H17" s="206" t="str">
        <f>IFERROR(__xludf.DUMMYFUNCTION("IF(COUNTIF(B17,""""),,ROUND(SUBSTITUTE(IMPORTXML(""https://www.ngdc.noaa.gov/geomag-web/calculators/calculateDeclination?lat1=""&amp;SUBSTITUTE(VLOOKUP(A17,WAYPOINTS!A:C,2,FALSE()),"","",""."")&amp;""&amp;lon1=""&amp;SUBSTITUTE(VLOOKUP(A17,WAYPOINTS!A:C,3,FALSE()),"","","&amp;"""."")&amp;""&amp;key=zNEw7&amp;resultFormat=xml"",""//declination""),""."","",""),2))"),"")</f>
        <v/>
      </c>
      <c r="I17" s="207"/>
      <c r="J17" s="199"/>
      <c r="K17" s="199" t="str">
        <f t="shared" si="2"/>
        <v/>
      </c>
      <c r="L17" s="208" t="str">
        <f>IF(COUNTIF(B17,""),,ROUND(CONVERT(getElevation(AVERAGE(VLOOKUP(A17,WAYPOINTS!A:C,2,FALSE()),VLOOKUP(B17,WAYPOINTS!A:C,2,FALSE())),AVERAGE(VLOOKUP(A17,WAYPOINTS!A:C,3,FALSE()),VLOOKUP(B17,WAYPOINTS!A:C,3,FALSE()))),"m","ft"),0))</f>
        <v/>
      </c>
      <c r="M17" s="209" t="str">
        <f t="shared" si="22"/>
        <v/>
      </c>
      <c r="N17" s="210" t="str">
        <f t="shared" si="4"/>
        <v/>
      </c>
      <c r="O17" s="210" t="str">
        <f t="shared" si="5"/>
        <v/>
      </c>
      <c r="P17" s="211" t="str">
        <f t="shared" si="6"/>
        <v/>
      </c>
      <c r="Q17" s="212" t="str">
        <f t="shared" si="7"/>
        <v/>
      </c>
      <c r="R17" s="212" t="str">
        <f t="shared" si="8"/>
        <v/>
      </c>
      <c r="S17" s="212" t="str">
        <f t="shared" si="9"/>
        <v/>
      </c>
      <c r="T17" s="212" t="str">
        <f>IF(COUNTIF(B17,""),,LOG!Q$25)</f>
        <v/>
      </c>
      <c r="U17" s="213" t="str">
        <f>IF(COUNTIF(B17,""),,LOG!Q$26)</f>
        <v/>
      </c>
      <c r="V17" s="213" t="str">
        <f>IF(COUNTIF(B17,""),,LOG!Q$27)</f>
        <v/>
      </c>
      <c r="W17" s="214" t="str">
        <f>IF(COUNTIF(B17,""),,SWITCH(WindMode,"Detailed",WINTEM!F17,"Average",AverageWindSpeed,"Manual",ManualWindSpeed))</f>
        <v/>
      </c>
      <c r="X17" s="214" t="str">
        <f>IF(COUNTIF(B17,""),,SWITCH(WindMode,"Detailed",WINTEM!G17,"Average",AverageWindDirection,"Manual",ManualWindDirection))</f>
        <v/>
      </c>
      <c r="Y17" s="211" t="str">
        <f t="shared" si="10"/>
        <v/>
      </c>
      <c r="Z17" s="210" t="str">
        <f t="shared" si="11"/>
        <v/>
      </c>
      <c r="AA17" s="224" t="str">
        <f>IF(COUNTIF(B17,""),,LOG!W$26)</f>
        <v/>
      </c>
      <c r="AB17" s="214" t="str">
        <f t="shared" si="12"/>
        <v/>
      </c>
      <c r="AC17" s="215" t="str">
        <f t="shared" si="13"/>
        <v/>
      </c>
      <c r="AD17" s="216" t="str">
        <f t="shared" si="14"/>
        <v/>
      </c>
      <c r="AE17" s="225" t="str">
        <f>IF(COUNTIF(B17,""),,PERFORMANCE!H68)</f>
        <v/>
      </c>
      <c r="AF17" s="218" t="str">
        <f t="shared" si="15"/>
        <v/>
      </c>
      <c r="AG17" s="219" t="str">
        <f t="shared" si="16"/>
        <v/>
      </c>
      <c r="AH17" s="219" t="str">
        <f t="shared" si="17"/>
        <v/>
      </c>
      <c r="AI17" s="220" t="str">
        <f t="shared" si="18"/>
        <v/>
      </c>
      <c r="AJ17" s="220" t="str">
        <f t="shared" si="19"/>
        <v/>
      </c>
      <c r="AK17" s="227" t="str">
        <f>IF(COUNTIF(B17,""),,ROUND(ReqFuel(CARBURANT!G$20,CARBURANT!G$21,CARBURANT!G$22,CARBURANT!G$23,SUM(AH$2:AH17)),2))</f>
        <v/>
      </c>
      <c r="AL17" s="226" t="str">
        <f>IF(COUNTIF(B17,""),,IF(COUNTIF(B18,""),AL16+AJ17+LOG!E$28,AL16+AJ17))</f>
        <v/>
      </c>
    </row>
    <row r="18">
      <c r="A18" s="223" t="str">
        <f t="shared" si="20"/>
        <v/>
      </c>
      <c r="B18" s="199"/>
      <c r="C18" s="201" t="str">
        <f>IF(COUNTIF(B18,""),,IF(COUNTIF(B19,""),C17+AH18/1440+LOG!D$28,C17+AH18/1440))</f>
        <v/>
      </c>
      <c r="D18" s="202" t="str">
        <f t="shared" si="1"/>
        <v/>
      </c>
      <c r="E18" s="203" t="str">
        <f t="shared" si="21"/>
        <v/>
      </c>
      <c r="F18" s="208" t="str">
        <f>IF(COUNTIF(B18,""),,ROUND(CONVERT(Distance(VLOOKUP(A18,WAYPOINTS!A:C,2,FALSE()),VLOOKUP(A18,WAYPOINTS!A:C,3,FALSE()),VLOOKUP(B18,WAYPOINTS!A:C,2,FALSE()),VLOOKUP(B18,WAYPOINTS!A:C,3,FALSE())),"m","Nmi"),1))</f>
        <v/>
      </c>
      <c r="G18" s="205" t="str">
        <f>IF(COUNTIF(B18,""),,MOD(Bearing(VLOOKUP(A18,WAYPOINTS!A:C,2,FALSE()),VLOOKUP(A18,WAYPOINTS!A:C,3,FALSE()),VLOOKUP(B18,WAYPOINTS!A:C,2,FALSE()),VLOOKUP(B18,WAYPOINTS!A:C,3,FALSE())),360))</f>
        <v/>
      </c>
      <c r="H18" s="206" t="str">
        <f>IFERROR(__xludf.DUMMYFUNCTION("IF(COUNTIF(B18,""""),,ROUND(SUBSTITUTE(IMPORTXML(""https://www.ngdc.noaa.gov/geomag-web/calculators/calculateDeclination?lat1=""&amp;SUBSTITUTE(VLOOKUP(A18,WAYPOINTS!A:C,2,FALSE()),"","",""."")&amp;""&amp;lon1=""&amp;SUBSTITUTE(VLOOKUP(A18,WAYPOINTS!A:C,3,FALSE()),"","","&amp;"""."")&amp;""&amp;key=zNEw7&amp;resultFormat=xml"",""//declination""),""."","",""),2))"),"")</f>
        <v/>
      </c>
      <c r="I18" s="207"/>
      <c r="J18" s="199"/>
      <c r="K18" s="199" t="str">
        <f t="shared" si="2"/>
        <v/>
      </c>
      <c r="L18" s="208" t="str">
        <f>IF(COUNTIF(B18,""),,ROUND(CONVERT(getElevation(AVERAGE(VLOOKUP(A18,WAYPOINTS!A:C,2,FALSE()),VLOOKUP(B18,WAYPOINTS!A:C,2,FALSE())),AVERAGE(VLOOKUP(A18,WAYPOINTS!A:C,3,FALSE()),VLOOKUP(B18,WAYPOINTS!A:C,3,FALSE()))),"m","ft"),0))</f>
        <v/>
      </c>
      <c r="M18" s="209" t="str">
        <f t="shared" si="22"/>
        <v/>
      </c>
      <c r="N18" s="210" t="str">
        <f t="shared" si="4"/>
        <v/>
      </c>
      <c r="O18" s="210" t="str">
        <f t="shared" si="5"/>
        <v/>
      </c>
      <c r="P18" s="211" t="str">
        <f t="shared" si="6"/>
        <v/>
      </c>
      <c r="Q18" s="212" t="str">
        <f t="shared" si="7"/>
        <v/>
      </c>
      <c r="R18" s="212" t="str">
        <f t="shared" si="8"/>
        <v/>
      </c>
      <c r="S18" s="212" t="str">
        <f t="shared" si="9"/>
        <v/>
      </c>
      <c r="T18" s="212" t="str">
        <f>IF(COUNTIF(B18,""),,LOG!Q$25)</f>
        <v/>
      </c>
      <c r="U18" s="213" t="str">
        <f>IF(COUNTIF(B18,""),,LOG!Q$26)</f>
        <v/>
      </c>
      <c r="V18" s="213" t="str">
        <f>IF(COUNTIF(B18,""),,LOG!Q$27)</f>
        <v/>
      </c>
      <c r="W18" s="214" t="str">
        <f>IF(COUNTIF(B18,""),,SWITCH(WindMode,"Detailed",WINTEM!F18,"Average",AverageWindSpeed,"Manual",ManualWindSpeed))</f>
        <v/>
      </c>
      <c r="X18" s="214" t="str">
        <f>IF(COUNTIF(B18,""),,SWITCH(WindMode,"Detailed",WINTEM!G18,"Average",AverageWindDirection,"Manual",ManualWindDirection))</f>
        <v/>
      </c>
      <c r="Y18" s="211" t="str">
        <f t="shared" si="10"/>
        <v/>
      </c>
      <c r="Z18" s="210" t="str">
        <f t="shared" si="11"/>
        <v/>
      </c>
      <c r="AA18" s="224" t="str">
        <f>IF(COUNTIF(B18,""),,LOG!W$26)</f>
        <v/>
      </c>
      <c r="AB18" s="214" t="str">
        <f t="shared" si="12"/>
        <v/>
      </c>
      <c r="AC18" s="215" t="str">
        <f t="shared" si="13"/>
        <v/>
      </c>
      <c r="AD18" s="216" t="str">
        <f t="shared" si="14"/>
        <v/>
      </c>
      <c r="AE18" s="225" t="str">
        <f>IF(COUNTIF(B18,""),,PERFORMANCE!H69)</f>
        <v/>
      </c>
      <c r="AF18" s="218" t="str">
        <f t="shared" si="15"/>
        <v/>
      </c>
      <c r="AG18" s="219" t="str">
        <f t="shared" si="16"/>
        <v/>
      </c>
      <c r="AH18" s="219" t="str">
        <f t="shared" si="17"/>
        <v/>
      </c>
      <c r="AI18" s="220" t="str">
        <f t="shared" si="18"/>
        <v/>
      </c>
      <c r="AJ18" s="220" t="str">
        <f t="shared" si="19"/>
        <v/>
      </c>
      <c r="AK18" s="227" t="str">
        <f>IF(COUNTIF(B18,""),,ROUND(ReqFuel(CARBURANT!G$20,CARBURANT!G$21,CARBURANT!G$22,CARBURANT!G$23,SUM(AH$2:AH18)),2))</f>
        <v/>
      </c>
      <c r="AL18" s="226" t="str">
        <f>IF(COUNTIF(B18,""),,IF(COUNTIF(B19,""),AL17+AJ18+LOG!E$28,AL17+AJ18))</f>
        <v/>
      </c>
    </row>
    <row r="19">
      <c r="A19" s="223" t="str">
        <f t="shared" si="20"/>
        <v/>
      </c>
      <c r="B19" s="199"/>
      <c r="C19" s="201" t="str">
        <f>IF(COUNTIF(B19,""),,IF(COUNTIF(B20,""),C18+AH19/1440+LOG!D$28,C18+AH19/1440))</f>
        <v/>
      </c>
      <c r="D19" s="202" t="str">
        <f t="shared" si="1"/>
        <v/>
      </c>
      <c r="E19" s="203" t="str">
        <f t="shared" si="21"/>
        <v/>
      </c>
      <c r="F19" s="208" t="str">
        <f>IF(COUNTIF(B19,""),,ROUND(CONVERT(Distance(VLOOKUP(A19,WAYPOINTS!A:C,2,FALSE()),VLOOKUP(A19,WAYPOINTS!A:C,3,FALSE()),VLOOKUP(B19,WAYPOINTS!A:C,2,FALSE()),VLOOKUP(B19,WAYPOINTS!A:C,3,FALSE())),"m","Nmi"),1))</f>
        <v/>
      </c>
      <c r="G19" s="205" t="str">
        <f>IF(COUNTIF(B19,""),,MOD(Bearing(VLOOKUP(A19,WAYPOINTS!A:C,2,FALSE()),VLOOKUP(A19,WAYPOINTS!A:C,3,FALSE()),VLOOKUP(B19,WAYPOINTS!A:C,2,FALSE()),VLOOKUP(B19,WAYPOINTS!A:C,3,FALSE())),360))</f>
        <v/>
      </c>
      <c r="H19" s="206" t="str">
        <f>IFERROR(__xludf.DUMMYFUNCTION("IF(COUNTIF(B19,""""),,ROUND(SUBSTITUTE(IMPORTXML(""https://www.ngdc.noaa.gov/geomag-web/calculators/calculateDeclination?lat1=""&amp;SUBSTITUTE(VLOOKUP(A19,WAYPOINTS!A:C,2,FALSE()),"","",""."")&amp;""&amp;lon1=""&amp;SUBSTITUTE(VLOOKUP(A19,WAYPOINTS!A:C,3,FALSE()),"","","&amp;"""."")&amp;""&amp;key=zNEw7&amp;resultFormat=xml"",""//declination""),""."","",""),2))"),"")</f>
        <v/>
      </c>
      <c r="I19" s="207"/>
      <c r="J19" s="199"/>
      <c r="K19" s="199" t="str">
        <f t="shared" si="2"/>
        <v/>
      </c>
      <c r="L19" s="208" t="str">
        <f>IF(COUNTIF(B19,""),,ROUND(CONVERT(getElevation(AVERAGE(VLOOKUP(A19,WAYPOINTS!A:C,2,FALSE()),VLOOKUP(B19,WAYPOINTS!A:C,2,FALSE())),AVERAGE(VLOOKUP(A19,WAYPOINTS!A:C,3,FALSE()),VLOOKUP(B19,WAYPOINTS!A:C,3,FALSE()))),"m","ft"),0))</f>
        <v/>
      </c>
      <c r="M19" s="209" t="str">
        <f t="shared" si="22"/>
        <v/>
      </c>
      <c r="N19" s="210" t="str">
        <f t="shared" si="4"/>
        <v/>
      </c>
      <c r="O19" s="210" t="str">
        <f t="shared" si="5"/>
        <v/>
      </c>
      <c r="P19" s="211" t="str">
        <f t="shared" si="6"/>
        <v/>
      </c>
      <c r="Q19" s="212" t="str">
        <f t="shared" si="7"/>
        <v/>
      </c>
      <c r="R19" s="212" t="str">
        <f t="shared" si="8"/>
        <v/>
      </c>
      <c r="S19" s="212" t="str">
        <f t="shared" si="9"/>
        <v/>
      </c>
      <c r="T19" s="212" t="str">
        <f>IF(COUNTIF(B19,""),,LOG!Q$25)</f>
        <v/>
      </c>
      <c r="U19" s="213" t="str">
        <f>IF(COUNTIF(B19,""),,LOG!Q$26)</f>
        <v/>
      </c>
      <c r="V19" s="213" t="str">
        <f>IF(COUNTIF(B19,""),,LOG!Q$27)</f>
        <v/>
      </c>
      <c r="W19" s="214" t="str">
        <f>IF(COUNTIF(B19,""),,SWITCH(WindMode,"Detailed",WINTEM!F19,"Average",AverageWindSpeed,"Manual",ManualWindSpeed))</f>
        <v/>
      </c>
      <c r="X19" s="214" t="str">
        <f>IF(COUNTIF(B19,""),,SWITCH(WindMode,"Detailed",WINTEM!G19,"Average",AverageWindDirection,"Manual",ManualWindDirection))</f>
        <v/>
      </c>
      <c r="Y19" s="211" t="str">
        <f t="shared" si="10"/>
        <v/>
      </c>
      <c r="Z19" s="210" t="str">
        <f t="shared" si="11"/>
        <v/>
      </c>
      <c r="AA19" s="224" t="str">
        <f>IF(COUNTIF(B19,""),,LOG!W$26)</f>
        <v/>
      </c>
      <c r="AB19" s="214" t="str">
        <f t="shared" si="12"/>
        <v/>
      </c>
      <c r="AC19" s="215" t="str">
        <f t="shared" si="13"/>
        <v/>
      </c>
      <c r="AD19" s="216" t="str">
        <f t="shared" si="14"/>
        <v/>
      </c>
      <c r="AE19" s="225" t="str">
        <f>IF(COUNTIF(B19,""),,PERFORMANCE!H70)</f>
        <v/>
      </c>
      <c r="AF19" s="218" t="str">
        <f t="shared" si="15"/>
        <v/>
      </c>
      <c r="AG19" s="219" t="str">
        <f t="shared" si="16"/>
        <v/>
      </c>
      <c r="AH19" s="219" t="str">
        <f t="shared" si="17"/>
        <v/>
      </c>
      <c r="AI19" s="220" t="str">
        <f t="shared" si="18"/>
        <v/>
      </c>
      <c r="AJ19" s="220" t="str">
        <f t="shared" si="19"/>
        <v/>
      </c>
      <c r="AK19" s="227" t="str">
        <f>IF(COUNTIF(B19,""),,ROUND(ReqFuel(CARBURANT!G$20,CARBURANT!G$21,CARBURANT!G$22,CARBURANT!G$23,SUM(AH$2:AH19)),2))</f>
        <v/>
      </c>
      <c r="AL19" s="226" t="str">
        <f>IF(COUNTIF(B19,""),,IF(COUNTIF(B20,""),AL18+AJ19+LOG!E$28,AL18+AJ19))</f>
        <v/>
      </c>
    </row>
    <row r="22">
      <c r="C22" s="202">
        <f>IFERROR(__xludf.DUMMYFUNCTION("INDEX(FILTER(D:D, D:D&lt;&gt;""""), ROWS(FILTER(D:D, D:D&lt;&gt;""""))-1)
"),0.5456490652682869)</f>
        <v>0.5456490653</v>
      </c>
    </row>
  </sheetData>
  <dataValidations>
    <dataValidation type="list" allowBlank="1" showDropDown="1" showErrorMessage="1" sqref="A2:B2 B3:B11">
      <formula1>WAYPOINTS!$A:$A</formula1>
    </dataValidation>
  </dataValidations>
  <hyperlinks>
    <hyperlink r:id="rId1" ref="H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4.43" defaultRowHeight="15.75" outlineLevelCol="1"/>
  <cols>
    <col collapsed="1" min="7" max="7" width="14.43"/>
    <col hidden="1" min="8" max="16" width="14.43" outlineLevel="1"/>
  </cols>
  <sheetData>
    <row r="1">
      <c r="A1" s="194" t="s">
        <v>98</v>
      </c>
      <c r="B1" s="194" t="s">
        <v>99</v>
      </c>
      <c r="C1" s="194" t="s">
        <v>136</v>
      </c>
      <c r="D1" s="194" t="s">
        <v>103</v>
      </c>
      <c r="E1" s="194" t="s">
        <v>137</v>
      </c>
      <c r="F1" s="194" t="s">
        <v>138</v>
      </c>
      <c r="G1" s="194" t="s">
        <v>139</v>
      </c>
      <c r="H1" s="194" t="s">
        <v>104</v>
      </c>
      <c r="I1" s="195" t="s">
        <v>105</v>
      </c>
      <c r="J1" s="194" t="s">
        <v>110</v>
      </c>
      <c r="K1" s="194" t="s">
        <v>119</v>
      </c>
      <c r="L1" s="194" t="s">
        <v>120</v>
      </c>
      <c r="M1" s="194" t="s">
        <v>53</v>
      </c>
      <c r="N1" s="194" t="s">
        <v>123</v>
      </c>
      <c r="O1" s="194" t="s">
        <v>124</v>
      </c>
      <c r="P1" s="194" t="s">
        <v>125</v>
      </c>
      <c r="Q1" s="194" t="s">
        <v>127</v>
      </c>
      <c r="R1" s="194" t="s">
        <v>128</v>
      </c>
      <c r="S1" s="194" t="s">
        <v>129</v>
      </c>
      <c r="T1" s="194" t="s">
        <v>140</v>
      </c>
    </row>
    <row r="2">
      <c r="A2" s="199" t="str">
        <f>'CALCULS BRANCHES'!A2</f>
        <v>LFXU</v>
      </c>
      <c r="B2" s="199" t="str">
        <f>'CALCULS BRANCHES'!B2</f>
        <v>PTSW</v>
      </c>
      <c r="C2" s="208" t="s">
        <v>141</v>
      </c>
      <c r="D2" s="208">
        <f>IF(COUNTIF(B2,""),,ROUND(CONVERT(Distance(VLOOKUP(A2,WAYPOINTS!A:C,2,FALSE()),VLOOKUP(A2,WAYPOINTS!A:C,3,FALSE()),VLOOKUP(B2,WAYPOINTS!A:C,2,FALSE()),VLOOKUP(B2,WAYPOINTS!A:C,3,FALSE())),"m","Nmi"),1))</f>
        <v>6</v>
      </c>
      <c r="E2" s="228">
        <f t="shared" ref="E2:E19" si="1">IF(COUNTIF(B2,""),,CONVERT(D2/B$24,"Nmi","mm"))</f>
        <v>22.224</v>
      </c>
      <c r="F2" s="229">
        <f>IF(COUNTIF(C2,""),,ROUND(CONVERT(Distance(VLOOKUP(B2,WAYPOINTS!A:C,2,FALSE()),VLOOKUP(B2,WAYPOINTS!A:C,3,FALSE()),VLOOKUP(C2,WAYPOINTS!A:C,2,FALSE()),VLOOKUP(C2,WAYPOINTS!A:C,3,FALSE())),"m","Nmi"),1))</f>
        <v>12.2</v>
      </c>
      <c r="G2" s="230">
        <f t="shared" ref="G2:G19" si="2">IF(COUNTIF(C2,""),,CONVERT(F2/B$24,"Nmi","mm"))</f>
        <v>45.1888</v>
      </c>
      <c r="H2" s="205">
        <f>IF(COUNTIF(B2,""),,MOD(Bearing(VLOOKUP(A2,WAYPOINTS!A:C,2,FALSE()),VLOOKUP(A2,WAYPOINTS!A:C,3,FALSE()),VLOOKUP(B2,WAYPOINTS!A:C,2,FALSE()),VLOOKUP(B2,WAYPOINTS!A:C,3,FALSE())),360))</f>
        <v>253.6846875</v>
      </c>
      <c r="I2" s="206">
        <f>IFERROR(__xludf.DUMMYFUNCTION("IF(COUNTIF(B2,""""),,ROUND(SUBSTITUTE(IMPORTXML(""https://www.ngdc.noaa.gov/geomag-web/calculators/calculateDeclination?lat1=""&amp;SUBSTITUTE(VLOOKUP(A2,WAYPOINTS!A:C,2,FALSE()),"","",""."")&amp;""&amp;lon1=""&amp;SUBSTITUTE(VLOOKUP(A2,WAYPOINTS!A:C,3,FALSE()),"","",""."&amp;""")&amp;""&amp;key=zNEw7&amp;resultFormat=xml"",""//declination""),""."","",""),2))"),1.85)</f>
        <v>1.85</v>
      </c>
      <c r="J2" s="209">
        <f t="shared" ref="J2:J12" si="3">IF(COUNTIF(B2,""),,ROUND(H2-I2,0))</f>
        <v>252</v>
      </c>
      <c r="K2" s="214">
        <f>IF(COUNTIF(B2,""),,LOG!T$25)</f>
        <v>15</v>
      </c>
      <c r="L2" s="214">
        <f>IF(COUNTIF(B2,""),,LOG!T$26)</f>
        <v>336</v>
      </c>
      <c r="M2" s="194">
        <f>IF(COUNTIF(B2,""),,LOG!W$26)</f>
        <v>0.6</v>
      </c>
      <c r="N2" s="214">
        <f t="shared" ref="N2:N19" si="4">IF(COUNTIF(B2,""),,60/M2)</f>
        <v>100</v>
      </c>
      <c r="O2" s="215">
        <f t="shared" ref="O2:O19" si="5">IF(COUNTIF(B2,""),,N2*COS(RADIANS(P2))-(K2*COS(RADIANS(J2-L2))))</f>
        <v>97.31310457</v>
      </c>
      <c r="P2" s="216">
        <f t="shared" ref="P2:P19" si="6">IF(COUNTIF(B2,""),,DEGREES(ASIN(K2/N2*SIN(RADIANS(J2-L2)))))</f>
        <v>-8.579309945</v>
      </c>
      <c r="Q2" s="231">
        <f t="shared" ref="Q2:Q19" si="7">IF(COUNTIF(B2,""),,MOD(J2-P2,360))</f>
        <v>260.5793099</v>
      </c>
      <c r="R2" s="219">
        <f t="shared" ref="R2:R19" si="8">IF(COUNTIF(B2,""),,D2*60/N2)</f>
        <v>3.6</v>
      </c>
      <c r="S2" s="219">
        <f t="shared" ref="S2:S19" si="9">IF(COUNTIF(B2,""),,D2*60/O2)</f>
        <v>3.699398982</v>
      </c>
      <c r="T2" s="232">
        <f t="shared" ref="T2:T19" si="10">IF(COUNTIF(B2,""),,E2/S2)</f>
        <v>6.007462322</v>
      </c>
    </row>
    <row r="3">
      <c r="A3" s="223" t="str">
        <f t="shared" ref="A3:A19" si="11">IF(COUNTIF(B3,""),,B2)</f>
        <v>PTSW</v>
      </c>
      <c r="B3" s="199" t="str">
        <f>'CALCULS BRANCHES'!B3</f>
        <v>MEZER</v>
      </c>
      <c r="C3" s="208" t="s">
        <v>142</v>
      </c>
      <c r="D3" s="208">
        <f>IF(COUNTIF(B3,""),,ROUND(CONVERT(Distance(VLOOKUP(A3,WAYPOINTS!A:C,2,FALSE()),VLOOKUP(A3,WAYPOINTS!A:C,3,FALSE()),VLOOKUP(B3,WAYPOINTS!A:C,2,FALSE()),VLOOKUP(B3,WAYPOINTS!A:C,3,FALSE())),"m","Nmi"),1))</f>
        <v>3.1</v>
      </c>
      <c r="E3" s="228">
        <f t="shared" si="1"/>
        <v>11.4824</v>
      </c>
      <c r="F3" s="229">
        <f>IF(COUNTIF(C3,""),,ROUND(CONVERT(Distance(VLOOKUP(B3,WAYPOINTS!A:C,2,FALSE()),VLOOKUP(B3,WAYPOINTS!A:C,3,FALSE()),VLOOKUP(C3,WAYPOINTS!A:C,2,FALSE()),VLOOKUP(C3,WAYPOINTS!A:C,3,FALSE())),"m","Nmi"),1))</f>
        <v>35.2</v>
      </c>
      <c r="G3" s="230">
        <f t="shared" si="2"/>
        <v>130.3808</v>
      </c>
      <c r="H3" s="205">
        <f>IF(COUNTIF(B3,""),,MOD(Bearing(VLOOKUP(A3,WAYPOINTS!A:C,2,FALSE()),VLOOKUP(A3,WAYPOINTS!A:C,3,FALSE()),VLOOKUP(B3,WAYPOINTS!A:C,2,FALSE()),VLOOKUP(B3,WAYPOINTS!A:C,3,FALSE())),360))</f>
        <v>223.1289744</v>
      </c>
      <c r="I3" s="206">
        <f>IFERROR(__xludf.DUMMYFUNCTION("IF(COUNTIF(B3,""""),,ROUND(SUBSTITUTE(IMPORTXML(""https://www.ngdc.noaa.gov/geomag-web/calculators/calculateDeclination?lat1=""&amp;SUBSTITUTE(VLOOKUP(A3,WAYPOINTS!A:C,2,FALSE()),"","",""."")&amp;""&amp;lon1=""&amp;SUBSTITUTE(VLOOKUP(A3,WAYPOINTS!A:C,3,FALSE()),"","",""."&amp;""")&amp;""&amp;key=zNEw7&amp;resultFormat=xml"",""//declination""),""."","",""),2))"),1.81)</f>
        <v>1.81</v>
      </c>
      <c r="J3" s="209">
        <f t="shared" si="3"/>
        <v>221</v>
      </c>
      <c r="K3" s="214">
        <f>IF(COUNTIF(B3,""),,LOG!T$25)</f>
        <v>15</v>
      </c>
      <c r="L3" s="214">
        <f>IF(COUNTIF(B3,""),,LOG!T$26)</f>
        <v>336</v>
      </c>
      <c r="M3" s="224">
        <f>IF(COUNTIF(B3,""),,LOG!W$26)</f>
        <v>0.6</v>
      </c>
      <c r="N3" s="214">
        <f t="shared" si="4"/>
        <v>100</v>
      </c>
      <c r="O3" s="215">
        <f t="shared" si="5"/>
        <v>105.4108965</v>
      </c>
      <c r="P3" s="216">
        <f t="shared" si="6"/>
        <v>-7.813335751</v>
      </c>
      <c r="Q3" s="231">
        <f t="shared" si="7"/>
        <v>228.8133358</v>
      </c>
      <c r="R3" s="219">
        <f t="shared" si="8"/>
        <v>1.86</v>
      </c>
      <c r="S3" s="219">
        <f t="shared" si="9"/>
        <v>1.764523462</v>
      </c>
      <c r="T3" s="232">
        <f t="shared" si="10"/>
        <v>6.507366009</v>
      </c>
    </row>
    <row r="4">
      <c r="A4" s="223" t="str">
        <f t="shared" si="11"/>
        <v>MEZER</v>
      </c>
      <c r="B4" s="199" t="str">
        <f>'CALCULS BRANCHES'!B4</f>
        <v>N12HE</v>
      </c>
      <c r="C4" s="208"/>
      <c r="D4" s="208">
        <f>IF(COUNTIF(B4,""),,ROUND(CONVERT(Distance(VLOOKUP(A4,WAYPOINTS!A:C,2,FALSE()),VLOOKUP(A4,WAYPOINTS!A:C,3,FALSE()),VLOOKUP(B4,WAYPOINTS!A:C,2,FALSE()),VLOOKUP(B4,WAYPOINTS!A:C,3,FALSE())),"m","Nmi"),1))</f>
        <v>8.2</v>
      </c>
      <c r="E4" s="228">
        <f t="shared" si="1"/>
        <v>30.3728</v>
      </c>
      <c r="F4" s="229" t="str">
        <f>IF(COUNTIF(C4,""),,ROUND(CONVERT(Distance(VLOOKUP(B4,WAYPOINTS!A:C,2,FALSE()),VLOOKUP(B4,WAYPOINTS!A:C,3,FALSE()),VLOOKUP(C4,WAYPOINTS!A:C,2,FALSE()),VLOOKUP(C4,WAYPOINTS!A:C,3,FALSE())),"m","Nmi"),1))</f>
        <v/>
      </c>
      <c r="G4" s="230" t="str">
        <f t="shared" si="2"/>
        <v/>
      </c>
      <c r="H4" s="205">
        <f>IF(COUNTIF(B4,""),,MOD(Bearing(VLOOKUP(A4,WAYPOINTS!A:C,2,FALSE()),VLOOKUP(A4,WAYPOINTS!A:C,3,FALSE()),VLOOKUP(B4,WAYPOINTS!A:C,2,FALSE()),VLOOKUP(B4,WAYPOINTS!A:C,3,FALSE())),360))</f>
        <v>190.5088169</v>
      </c>
      <c r="I4" s="206">
        <f>IFERROR(__xludf.DUMMYFUNCTION("IF(COUNTIF(B4,""""),,ROUND(SUBSTITUTE(IMPORTXML(""https://www.ngdc.noaa.gov/geomag-web/calculators/calculateDeclination?lat1=""&amp;SUBSTITUTE(VLOOKUP(A4,WAYPOINTS!A:C,2,FALSE()),"","",""."")&amp;""&amp;lon1=""&amp;SUBSTITUTE(VLOOKUP(A4,WAYPOINTS!A:C,3,FALSE()),"","",""."&amp;""")&amp;""&amp;key=zNEw7&amp;resultFormat=xml"",""//declination""),""."","",""),2))"),1.8)</f>
        <v>1.8</v>
      </c>
      <c r="J4" s="209">
        <f t="shared" si="3"/>
        <v>189</v>
      </c>
      <c r="K4" s="214">
        <f>IF(COUNTIF(B4,""),,LOG!T$25)</f>
        <v>15</v>
      </c>
      <c r="L4" s="214">
        <f>IF(COUNTIF(B4,""),,LOG!T$26)</f>
        <v>336</v>
      </c>
      <c r="M4" s="224">
        <f>IF(COUNTIF(B4,""),,LOG!W$26)</f>
        <v>0.6</v>
      </c>
      <c r="N4" s="214">
        <f t="shared" si="4"/>
        <v>100</v>
      </c>
      <c r="O4" s="215">
        <f t="shared" si="5"/>
        <v>112.2457892</v>
      </c>
      <c r="P4" s="216">
        <f t="shared" si="6"/>
        <v>-4.686050217</v>
      </c>
      <c r="Q4" s="231">
        <f t="shared" si="7"/>
        <v>193.6860502</v>
      </c>
      <c r="R4" s="219">
        <f t="shared" si="8"/>
        <v>4.92</v>
      </c>
      <c r="S4" s="219">
        <f t="shared" si="9"/>
        <v>4.383237924</v>
      </c>
      <c r="T4" s="232">
        <f t="shared" si="10"/>
        <v>6.92930672</v>
      </c>
    </row>
    <row r="5">
      <c r="A5" s="223" t="str">
        <f t="shared" si="11"/>
        <v>N12HE</v>
      </c>
      <c r="B5" s="199" t="str">
        <f>'CALCULS BRANCHES'!B5</f>
        <v>EPR</v>
      </c>
      <c r="C5" s="208" t="s">
        <v>143</v>
      </c>
      <c r="D5" s="208">
        <f>IF(COUNTIF(B5,""),,ROUND(CONVERT(Distance(VLOOKUP(A5,WAYPOINTS!A:C,2,FALSE()),VLOOKUP(A5,WAYPOINTS!A:C,3,FALSE()),VLOOKUP(B5,WAYPOINTS!A:C,2,FALSE()),VLOOKUP(B5,WAYPOINTS!A:C,3,FALSE())),"m","Nmi"),1))</f>
        <v>10.6</v>
      </c>
      <c r="E5" s="228">
        <f t="shared" si="1"/>
        <v>39.2624</v>
      </c>
      <c r="F5" s="229">
        <f>IF(COUNTIF(C5,""),,ROUND(CONVERT(Distance(VLOOKUP(B5,WAYPOINTS!A:C,2,FALSE()),VLOOKUP(B5,WAYPOINTS!A:C,3,FALSE()),VLOOKUP(C5,WAYPOINTS!A:C,2,FALSE()),VLOOKUP(C5,WAYPOINTS!A:C,3,FALSE())),"m","Nmi"),1))</f>
        <v>87.1</v>
      </c>
      <c r="G5" s="230">
        <f t="shared" si="2"/>
        <v>322.6184</v>
      </c>
      <c r="H5" s="205">
        <f>IF(COUNTIF(B5,""),,MOD(Bearing(VLOOKUP(A5,WAYPOINTS!A:C,2,FALSE()),VLOOKUP(A5,WAYPOINTS!A:C,3,FALSE()),VLOOKUP(B5,WAYPOINTS!A:C,2,FALSE()),VLOOKUP(B5,WAYPOINTS!A:C,3,FALSE())),360))</f>
        <v>190.5140075</v>
      </c>
      <c r="I5" s="206">
        <f>IFERROR(__xludf.DUMMYFUNCTION("IF(COUNTIF(B5,""""),,ROUND(SUBSTITUTE(IMPORTXML(""https://www.ngdc.noaa.gov/geomag-web/calculators/calculateDeclination?lat1=""&amp;SUBSTITUTE(VLOOKUP(A5,WAYPOINTS!A:C,2,FALSE()),"","",""."")&amp;""&amp;lon1=""&amp;SUBSTITUTE(VLOOKUP(A5,WAYPOINTS!A:C,3,FALSE()),"","",""."&amp;""")&amp;""&amp;key=zNEw7&amp;resultFormat=xml"",""//declination""),""."","",""),2))"),1.79)</f>
        <v>1.79</v>
      </c>
      <c r="J5" s="209">
        <f t="shared" si="3"/>
        <v>189</v>
      </c>
      <c r="K5" s="214">
        <f>IF(COUNTIF(B5,""),,LOG!T$25)</f>
        <v>15</v>
      </c>
      <c r="L5" s="214">
        <f>IF(COUNTIF(B5,""),,LOG!T$26)</f>
        <v>336</v>
      </c>
      <c r="M5" s="224">
        <f>IF(COUNTIF(B5,""),,LOG!W$26)</f>
        <v>0.6</v>
      </c>
      <c r="N5" s="214">
        <f t="shared" si="4"/>
        <v>100</v>
      </c>
      <c r="O5" s="215">
        <f t="shared" si="5"/>
        <v>112.2457892</v>
      </c>
      <c r="P5" s="216">
        <f t="shared" si="6"/>
        <v>-4.686050217</v>
      </c>
      <c r="Q5" s="231">
        <f t="shared" si="7"/>
        <v>193.6860502</v>
      </c>
      <c r="R5" s="219">
        <f t="shared" si="8"/>
        <v>6.36</v>
      </c>
      <c r="S5" s="219">
        <f t="shared" si="9"/>
        <v>5.666136828</v>
      </c>
      <c r="T5" s="232">
        <f t="shared" si="10"/>
        <v>6.92930672</v>
      </c>
    </row>
    <row r="6">
      <c r="A6" s="223" t="str">
        <f t="shared" si="11"/>
        <v>EPR</v>
      </c>
      <c r="B6" s="199" t="str">
        <f>'CALCULS BRANCHES'!B6</f>
        <v>LFOR</v>
      </c>
      <c r="C6" s="208"/>
      <c r="D6" s="208">
        <f>IF(COUNTIF(B6,""),,ROUND(CONVERT(Distance(VLOOKUP(A6,WAYPOINTS!A:C,2,FALSE()),VLOOKUP(A6,WAYPOINTS!A:C,3,FALSE()),VLOOKUP(B6,WAYPOINTS!A:C,2,FALSE()),VLOOKUP(B6,WAYPOINTS!A:C,3,FALSE())),"m","Nmi"),1))</f>
        <v>11.3</v>
      </c>
      <c r="E6" s="228">
        <f t="shared" si="1"/>
        <v>41.8552</v>
      </c>
      <c r="F6" s="229" t="str">
        <f>IF(COUNTIF(C6,""),,ROUND(CONVERT(Distance(VLOOKUP(B6,WAYPOINTS!A:C,2,FALSE()),VLOOKUP(B6,WAYPOINTS!A:C,3,FALSE()),VLOOKUP(C6,WAYPOINTS!A:C,2,FALSE()),VLOOKUP(C6,WAYPOINTS!A:C,3,FALSE())),"m","Nmi"),1))</f>
        <v/>
      </c>
      <c r="G6" s="230" t="str">
        <f t="shared" si="2"/>
        <v/>
      </c>
      <c r="H6" s="205">
        <f>IF(COUNTIF(B6,""),,MOD(Bearing(VLOOKUP(A6,WAYPOINTS!A:C,2,FALSE()),VLOOKUP(A6,WAYPOINTS!A:C,3,FALSE()),VLOOKUP(B6,WAYPOINTS!A:C,2,FALSE()),VLOOKUP(B6,WAYPOINTS!A:C,3,FALSE())),360))</f>
        <v>207.8226893</v>
      </c>
      <c r="I6" s="206">
        <f>IFERROR(__xludf.DUMMYFUNCTION("IF(COUNTIF(B6,""""),,ROUND(SUBSTITUTE(IMPORTXML(""https://www.ngdc.noaa.gov/geomag-web/calculators/calculateDeclination?lat1=""&amp;SUBSTITUTE(VLOOKUP(A6,WAYPOINTS!A:C,2,FALSE()),"","",""."")&amp;""&amp;lon1=""&amp;SUBSTITUTE(VLOOKUP(A6,WAYPOINTS!A:C,3,FALSE()),"","",""."&amp;""")&amp;""&amp;key=zNEw7&amp;resultFormat=xml"",""//declination""),""."","",""),2))"),1.79)</f>
        <v>1.79</v>
      </c>
      <c r="J6" s="209">
        <f t="shared" si="3"/>
        <v>206</v>
      </c>
      <c r="K6" s="214">
        <f>IF(COUNTIF(B6,""),,LOG!T$25)</f>
        <v>15</v>
      </c>
      <c r="L6" s="214">
        <f>IF(COUNTIF(B6,""),,LOG!T$26)</f>
        <v>336</v>
      </c>
      <c r="M6" s="224">
        <f>IF(COUNTIF(B6,""),,LOG!W$26)</f>
        <v>0.6</v>
      </c>
      <c r="N6" s="214">
        <f t="shared" si="4"/>
        <v>100</v>
      </c>
      <c r="O6" s="215">
        <f t="shared" si="5"/>
        <v>108.9794434</v>
      </c>
      <c r="P6" s="216">
        <f t="shared" si="6"/>
        <v>-6.598241745</v>
      </c>
      <c r="Q6" s="231">
        <f t="shared" si="7"/>
        <v>212.5982417</v>
      </c>
      <c r="R6" s="219">
        <f t="shared" si="8"/>
        <v>6.78</v>
      </c>
      <c r="S6" s="219">
        <f t="shared" si="9"/>
        <v>6.22135679</v>
      </c>
      <c r="T6" s="232">
        <f t="shared" si="10"/>
        <v>6.727664304</v>
      </c>
    </row>
    <row r="7">
      <c r="A7" s="223" t="str">
        <f t="shared" si="11"/>
        <v>LFOR</v>
      </c>
      <c r="B7" s="199" t="str">
        <f>'CALCULS BRANCHES'!B7</f>
        <v>LFON</v>
      </c>
      <c r="C7" s="208"/>
      <c r="D7" s="208">
        <f>IF(COUNTIF(B7,""),,ROUND(CONVERT(Distance(VLOOKUP(A7,WAYPOINTS!A:C,2,FALSE()),VLOOKUP(A7,WAYPOINTS!A:C,3,FALSE()),VLOOKUP(B7,WAYPOINTS!A:C,2,FALSE()),VLOOKUP(B7,WAYPOINTS!A:C,3,FALSE())),"m","Nmi"),1))</f>
        <v>16.2</v>
      </c>
      <c r="E7" s="228">
        <f t="shared" si="1"/>
        <v>60.0048</v>
      </c>
      <c r="F7" s="229" t="str">
        <f>IF(COUNTIF(C7,""),,ROUND(CONVERT(Distance(VLOOKUP(B7,WAYPOINTS!A:C,2,FALSE()),VLOOKUP(B7,WAYPOINTS!A:C,3,FALSE()),VLOOKUP(C7,WAYPOINTS!A:C,2,FALSE()),VLOOKUP(C7,WAYPOINTS!A:C,3,FALSE())),"m","Nmi"),1))</f>
        <v/>
      </c>
      <c r="G7" s="230" t="str">
        <f t="shared" si="2"/>
        <v/>
      </c>
      <c r="H7" s="205">
        <f>IF(COUNTIF(B7,""),,MOD(Bearing(VLOOKUP(A7,WAYPOINTS!A:C,2,FALSE()),VLOOKUP(A7,WAYPOINTS!A:C,3,FALSE()),VLOOKUP(B7,WAYPOINTS!A:C,2,FALSE()),VLOOKUP(B7,WAYPOINTS!A:C,3,FALSE())),360))</f>
        <v>336.5359018</v>
      </c>
      <c r="I7" s="206">
        <f>IFERROR(__xludf.DUMMYFUNCTION("IF(COUNTIF(B7,""""),,ROUND(SUBSTITUTE(IMPORTXML(""https://www.ngdc.noaa.gov/geomag-web/calculators/calculateDeclination?lat1=""&amp;SUBSTITUTE(VLOOKUP(A7,WAYPOINTS!A:C,2,FALSE()),"","",""."")&amp;""&amp;lon1=""&amp;SUBSTITUTE(VLOOKUP(A7,WAYPOINTS!A:C,3,FALSE()),"","",""."&amp;""")&amp;""&amp;key=zNEw7&amp;resultFormat=xml"",""//declination""),""."","",""),2))"),1.76)</f>
        <v>1.76</v>
      </c>
      <c r="J7" s="209">
        <f t="shared" si="3"/>
        <v>335</v>
      </c>
      <c r="K7" s="214">
        <f>IF(COUNTIF(B7,""),,LOG!T$25)</f>
        <v>15</v>
      </c>
      <c r="L7" s="214">
        <f>IF(COUNTIF(B7,""),,LOG!T$26)</f>
        <v>336</v>
      </c>
      <c r="M7" s="224">
        <f>IF(COUNTIF(B7,""),,LOG!W$26)</f>
        <v>0.6</v>
      </c>
      <c r="N7" s="214">
        <f t="shared" si="4"/>
        <v>100</v>
      </c>
      <c r="O7" s="215">
        <f t="shared" si="5"/>
        <v>85.00194191</v>
      </c>
      <c r="P7" s="216">
        <f t="shared" si="6"/>
        <v>-0.149992556</v>
      </c>
      <c r="Q7" s="231">
        <f t="shared" si="7"/>
        <v>335.1499926</v>
      </c>
      <c r="R7" s="219">
        <f t="shared" si="8"/>
        <v>9.72</v>
      </c>
      <c r="S7" s="219">
        <f t="shared" si="9"/>
        <v>11.43503287</v>
      </c>
      <c r="T7" s="232">
        <f t="shared" si="10"/>
        <v>5.247453214</v>
      </c>
    </row>
    <row r="8">
      <c r="A8" s="223" t="str">
        <f t="shared" si="11"/>
        <v/>
      </c>
      <c r="B8" s="199" t="str">
        <f>'CALCULS BRANCHES'!B8</f>
        <v/>
      </c>
      <c r="C8" s="208"/>
      <c r="D8" s="208" t="str">
        <f>IF(COUNTIF(B8,""),,ROUND(CONVERT(Distance(VLOOKUP(A8,WAYPOINTS!A:C,2,FALSE()),VLOOKUP(A8,WAYPOINTS!A:C,3,FALSE()),VLOOKUP(B8,WAYPOINTS!A:C,2,FALSE()),VLOOKUP(B8,WAYPOINTS!A:C,3,FALSE())),"m","Nmi"),1))</f>
        <v/>
      </c>
      <c r="E8" s="228" t="str">
        <f t="shared" si="1"/>
        <v/>
      </c>
      <c r="F8" s="229" t="str">
        <f>IF(COUNTIF(C8,""),,ROUND(CONVERT(Distance(VLOOKUP(B8,WAYPOINTS!A:C,2,FALSE()),VLOOKUP(B8,WAYPOINTS!A:C,3,FALSE()),VLOOKUP(C8,WAYPOINTS!A:C,2,FALSE()),VLOOKUP(C8,WAYPOINTS!A:C,3,FALSE())),"m","Nmi"),1))</f>
        <v/>
      </c>
      <c r="G8" s="230" t="str">
        <f t="shared" si="2"/>
        <v/>
      </c>
      <c r="H8" s="205" t="str">
        <f>IF(COUNTIF(B8,""),,MOD(Bearing(VLOOKUP(A8,WAYPOINTS!A:C,2,FALSE()),VLOOKUP(A8,WAYPOINTS!A:C,3,FALSE()),VLOOKUP(B8,WAYPOINTS!A:C,2,FALSE()),VLOOKUP(B8,WAYPOINTS!A:C,3,FALSE())),360))</f>
        <v/>
      </c>
      <c r="I8" s="206" t="str">
        <f>IFERROR(__xludf.DUMMYFUNCTION("IF(COUNTIF(B8,""""),,ROUND(SUBSTITUTE(IMPORTXML(""https://www.ngdc.noaa.gov/geomag-web/calculators/calculateDeclination?lat1=""&amp;SUBSTITUTE(VLOOKUP(A8,WAYPOINTS!A:C,2,FALSE()),"","",""."")&amp;""&amp;lon1=""&amp;SUBSTITUTE(VLOOKUP(A8,WAYPOINTS!A:C,3,FALSE()),"","",""."&amp;""")&amp;""&amp;key=zNEw7&amp;resultFormat=xml"",""//declination""),""."","",""),2))"),"")</f>
        <v/>
      </c>
      <c r="J8" s="209" t="str">
        <f t="shared" si="3"/>
        <v/>
      </c>
      <c r="K8" s="214" t="str">
        <f>IF(COUNTIF(B8,""),,LOG!T$25)</f>
        <v/>
      </c>
      <c r="L8" s="214" t="str">
        <f>IF(COUNTIF(B8,""),,LOG!T$26)</f>
        <v/>
      </c>
      <c r="M8" s="224" t="str">
        <f>IF(COUNTIF(B8,""),,LOG!W$26)</f>
        <v/>
      </c>
      <c r="N8" s="214" t="str">
        <f t="shared" si="4"/>
        <v/>
      </c>
      <c r="O8" s="215" t="str">
        <f t="shared" si="5"/>
        <v/>
      </c>
      <c r="P8" s="216" t="str">
        <f t="shared" si="6"/>
        <v/>
      </c>
      <c r="Q8" s="231" t="str">
        <f t="shared" si="7"/>
        <v/>
      </c>
      <c r="R8" s="219" t="str">
        <f t="shared" si="8"/>
        <v/>
      </c>
      <c r="S8" s="219" t="str">
        <f t="shared" si="9"/>
        <v/>
      </c>
      <c r="T8" s="232" t="str">
        <f t="shared" si="10"/>
        <v/>
      </c>
    </row>
    <row r="9">
      <c r="A9" s="223" t="str">
        <f t="shared" si="11"/>
        <v/>
      </c>
      <c r="B9" s="199" t="str">
        <f>'CALCULS BRANCHES'!B9</f>
        <v/>
      </c>
      <c r="C9" s="208"/>
      <c r="D9" s="208" t="str">
        <f>IF(COUNTIF(B9,""),,ROUND(CONVERT(Distance(VLOOKUP(A9,WAYPOINTS!A:C,2,FALSE()),VLOOKUP(A9,WAYPOINTS!A:C,3,FALSE()),VLOOKUP(B9,WAYPOINTS!A:C,2,FALSE()),VLOOKUP(B9,WAYPOINTS!A:C,3,FALSE())),"m","Nmi"),1))</f>
        <v/>
      </c>
      <c r="E9" s="228" t="str">
        <f t="shared" si="1"/>
        <v/>
      </c>
      <c r="F9" s="229" t="str">
        <f>IF(COUNTIF(C9,""),,ROUND(CONVERT(Distance(VLOOKUP(B9,WAYPOINTS!A:C,2,FALSE()),VLOOKUP(B9,WAYPOINTS!A:C,3,FALSE()),VLOOKUP(C9,WAYPOINTS!A:C,2,FALSE()),VLOOKUP(C9,WAYPOINTS!A:C,3,FALSE())),"m","Nmi"),1))</f>
        <v/>
      </c>
      <c r="G9" s="230" t="str">
        <f t="shared" si="2"/>
        <v/>
      </c>
      <c r="H9" s="205" t="str">
        <f>IF(COUNTIF(B9,""),,MOD(Bearing(VLOOKUP(A9,WAYPOINTS!A:C,2,FALSE()),VLOOKUP(A9,WAYPOINTS!A:C,3,FALSE()),VLOOKUP(B9,WAYPOINTS!A:C,2,FALSE()),VLOOKUP(B9,WAYPOINTS!A:C,3,FALSE())),360))</f>
        <v/>
      </c>
      <c r="I9" s="206" t="str">
        <f>IFERROR(__xludf.DUMMYFUNCTION("IF(COUNTIF(B9,""""),,ROUND(SUBSTITUTE(IMPORTXML(""https://www.ngdc.noaa.gov/geomag-web/calculators/calculateDeclination?lat1=""&amp;SUBSTITUTE(VLOOKUP(A9,WAYPOINTS!A:C,2,FALSE()),"","",""."")&amp;""&amp;lon1=""&amp;SUBSTITUTE(VLOOKUP(A9,WAYPOINTS!A:C,3,FALSE()),"","",""."&amp;""")&amp;""&amp;key=zNEw7&amp;resultFormat=xml"",""//declination""),""."","",""),2))"),"")</f>
        <v/>
      </c>
      <c r="J9" s="209" t="str">
        <f t="shared" si="3"/>
        <v/>
      </c>
      <c r="K9" s="214" t="str">
        <f>IF(COUNTIF(B9,""),,LOG!T$25)</f>
        <v/>
      </c>
      <c r="L9" s="214" t="str">
        <f>IF(COUNTIF(B9,""),,LOG!T$26)</f>
        <v/>
      </c>
      <c r="M9" s="224" t="str">
        <f>IF(COUNTIF(B9,""),,LOG!W$26)</f>
        <v/>
      </c>
      <c r="N9" s="214" t="str">
        <f t="shared" si="4"/>
        <v/>
      </c>
      <c r="O9" s="215" t="str">
        <f t="shared" si="5"/>
        <v/>
      </c>
      <c r="P9" s="216" t="str">
        <f t="shared" si="6"/>
        <v/>
      </c>
      <c r="Q9" s="231" t="str">
        <f t="shared" si="7"/>
        <v/>
      </c>
      <c r="R9" s="219" t="str">
        <f t="shared" si="8"/>
        <v/>
      </c>
      <c r="S9" s="219" t="str">
        <f t="shared" si="9"/>
        <v/>
      </c>
      <c r="T9" s="232" t="str">
        <f t="shared" si="10"/>
        <v/>
      </c>
    </row>
    <row r="10">
      <c r="A10" s="223" t="str">
        <f t="shared" si="11"/>
        <v/>
      </c>
      <c r="B10" s="199" t="str">
        <f>'CALCULS BRANCHES'!B10</f>
        <v/>
      </c>
      <c r="C10" s="208"/>
      <c r="D10" s="208" t="str">
        <f>IF(COUNTIF(B10,""),,ROUND(CONVERT(Distance(VLOOKUP(A10,WAYPOINTS!A:C,2,FALSE()),VLOOKUP(A10,WAYPOINTS!A:C,3,FALSE()),VLOOKUP(B10,WAYPOINTS!A:C,2,FALSE()),VLOOKUP(B10,WAYPOINTS!A:C,3,FALSE())),"m","Nmi"),1))</f>
        <v/>
      </c>
      <c r="E10" s="228" t="str">
        <f t="shared" si="1"/>
        <v/>
      </c>
      <c r="F10" s="229" t="str">
        <f>IF(COUNTIF(C10,""),,ROUND(CONVERT(Distance(VLOOKUP(B10,WAYPOINTS!A:C,2,FALSE()),VLOOKUP(B10,WAYPOINTS!A:C,3,FALSE()),VLOOKUP(C10,WAYPOINTS!A:C,2,FALSE()),VLOOKUP(C10,WAYPOINTS!A:C,3,FALSE())),"m","Nmi"),1))</f>
        <v/>
      </c>
      <c r="G10" s="230" t="str">
        <f t="shared" si="2"/>
        <v/>
      </c>
      <c r="H10" s="205" t="str">
        <f>IF(COUNTIF(B10,""),,MOD(Bearing(VLOOKUP(A10,WAYPOINTS!A:C,2,FALSE()),VLOOKUP(A10,WAYPOINTS!A:C,3,FALSE()),VLOOKUP(B10,WAYPOINTS!A:C,2,FALSE()),VLOOKUP(B10,WAYPOINTS!A:C,3,FALSE())),360))</f>
        <v/>
      </c>
      <c r="I10" s="206" t="str">
        <f>IFERROR(__xludf.DUMMYFUNCTION("IF(COUNTIF(B10,""""),,ROUND(SUBSTITUTE(IMPORTXML(""https://www.ngdc.noaa.gov/geomag-web/calculators/calculateDeclination?lat1=""&amp;SUBSTITUTE(VLOOKUP(A10,WAYPOINTS!A:C,2,FALSE()),"","",""."")&amp;""&amp;lon1=""&amp;SUBSTITUTE(VLOOKUP(A10,WAYPOINTS!A:C,3,FALSE()),"","","&amp;"""."")&amp;""&amp;key=zNEw7&amp;resultFormat=xml"",""//declination""),""."","",""),2))"),"")</f>
        <v/>
      </c>
      <c r="J10" s="209" t="str">
        <f t="shared" si="3"/>
        <v/>
      </c>
      <c r="K10" s="214" t="str">
        <f>IF(COUNTIF(B10,""),,LOG!T$25)</f>
        <v/>
      </c>
      <c r="L10" s="214" t="str">
        <f>IF(COUNTIF(B10,""),,LOG!T$26)</f>
        <v/>
      </c>
      <c r="M10" s="224" t="str">
        <f>IF(COUNTIF(B10,""),,LOG!W$26)</f>
        <v/>
      </c>
      <c r="N10" s="214" t="str">
        <f t="shared" si="4"/>
        <v/>
      </c>
      <c r="O10" s="215" t="str">
        <f t="shared" si="5"/>
        <v/>
      </c>
      <c r="P10" s="216" t="str">
        <f t="shared" si="6"/>
        <v/>
      </c>
      <c r="Q10" s="231" t="str">
        <f t="shared" si="7"/>
        <v/>
      </c>
      <c r="R10" s="219" t="str">
        <f t="shared" si="8"/>
        <v/>
      </c>
      <c r="S10" s="219" t="str">
        <f t="shared" si="9"/>
        <v/>
      </c>
      <c r="T10" s="232" t="str">
        <f t="shared" si="10"/>
        <v/>
      </c>
    </row>
    <row r="11">
      <c r="A11" s="223" t="str">
        <f t="shared" si="11"/>
        <v/>
      </c>
      <c r="B11" s="199" t="str">
        <f>'CALCULS BRANCHES'!B11</f>
        <v/>
      </c>
      <c r="C11" s="208"/>
      <c r="D11" s="208" t="str">
        <f>IF(COUNTIF(B11,""),,ROUND(CONVERT(Distance(VLOOKUP(A11,WAYPOINTS!A:C,2,FALSE()),VLOOKUP(A11,WAYPOINTS!A:C,3,FALSE()),VLOOKUP(B11,WAYPOINTS!A:C,2,FALSE()),VLOOKUP(B11,WAYPOINTS!A:C,3,FALSE())),"m","Nmi"),1))</f>
        <v/>
      </c>
      <c r="E11" s="228" t="str">
        <f t="shared" si="1"/>
        <v/>
      </c>
      <c r="F11" s="229" t="str">
        <f>IF(COUNTIF(C11,""),,ROUND(CONVERT(Distance(VLOOKUP(B11,WAYPOINTS!A:C,2,FALSE()),VLOOKUP(B11,WAYPOINTS!A:C,3,FALSE()),VLOOKUP(C11,WAYPOINTS!A:C,2,FALSE()),VLOOKUP(C11,WAYPOINTS!A:C,3,FALSE())),"m","Nmi"),1))</f>
        <v/>
      </c>
      <c r="G11" s="230" t="str">
        <f t="shared" si="2"/>
        <v/>
      </c>
      <c r="H11" s="205" t="str">
        <f>IF(COUNTIF(B11,""),,MOD(Bearing(VLOOKUP(A11,WAYPOINTS!A:C,2,FALSE()),VLOOKUP(A11,WAYPOINTS!A:C,3,FALSE()),VLOOKUP(B11,WAYPOINTS!A:C,2,FALSE()),VLOOKUP(B11,WAYPOINTS!A:C,3,FALSE())),360))</f>
        <v/>
      </c>
      <c r="I11" s="206" t="str">
        <f>IFERROR(__xludf.DUMMYFUNCTION("IF(COUNTIF(B11,""""),,ROUND(SUBSTITUTE(IMPORTXML(""https://www.ngdc.noaa.gov/geomag-web/calculators/calculateDeclination?lat1=""&amp;SUBSTITUTE(VLOOKUP(A11,WAYPOINTS!A:C,2,FALSE()),"","",""."")&amp;""&amp;lon1=""&amp;SUBSTITUTE(VLOOKUP(A11,WAYPOINTS!A:C,3,FALSE()),"","","&amp;"""."")&amp;""&amp;key=zNEw7&amp;resultFormat=xml"",""//declination""),""."","",""),2))"),"")</f>
        <v/>
      </c>
      <c r="J11" s="209" t="str">
        <f t="shared" si="3"/>
        <v/>
      </c>
      <c r="K11" s="214" t="str">
        <f>IF(COUNTIF(B11,""),,LOG!T$25)</f>
        <v/>
      </c>
      <c r="L11" s="214" t="str">
        <f>IF(COUNTIF(B11,""),,LOG!T$26)</f>
        <v/>
      </c>
      <c r="M11" s="224" t="str">
        <f>IF(COUNTIF(B11,""),,LOG!W$26)</f>
        <v/>
      </c>
      <c r="N11" s="214" t="str">
        <f t="shared" si="4"/>
        <v/>
      </c>
      <c r="O11" s="215" t="str">
        <f t="shared" si="5"/>
        <v/>
      </c>
      <c r="P11" s="216" t="str">
        <f t="shared" si="6"/>
        <v/>
      </c>
      <c r="Q11" s="231" t="str">
        <f t="shared" si="7"/>
        <v/>
      </c>
      <c r="R11" s="219" t="str">
        <f t="shared" si="8"/>
        <v/>
      </c>
      <c r="S11" s="219" t="str">
        <f t="shared" si="9"/>
        <v/>
      </c>
      <c r="T11" s="232" t="str">
        <f t="shared" si="10"/>
        <v/>
      </c>
      <c r="U11" s="233"/>
    </row>
    <row r="12">
      <c r="A12" s="223" t="str">
        <f t="shared" si="11"/>
        <v/>
      </c>
      <c r="B12" s="199" t="str">
        <f>'CALCULS BRANCHES'!B12</f>
        <v/>
      </c>
      <c r="C12" s="208"/>
      <c r="D12" s="208" t="str">
        <f>IF(COUNTIF(B12,""),,ROUND(CONVERT(Distance(VLOOKUP(A12,WAYPOINTS!A:C,2,FALSE()),VLOOKUP(A12,WAYPOINTS!A:C,3,FALSE()),VLOOKUP(B12,WAYPOINTS!A:C,2,FALSE()),VLOOKUP(B12,WAYPOINTS!A:C,3,FALSE())),"m","Nmi"),1))</f>
        <v/>
      </c>
      <c r="E12" s="228" t="str">
        <f t="shared" si="1"/>
        <v/>
      </c>
      <c r="F12" s="229" t="str">
        <f>IF(COUNTIF(C12,""),,ROUND(CONVERT(Distance(VLOOKUP(B12,WAYPOINTS!A:C,2,FALSE()),VLOOKUP(B12,WAYPOINTS!A:C,3,FALSE()),VLOOKUP(C12,WAYPOINTS!A:C,2,FALSE()),VLOOKUP(C12,WAYPOINTS!A:C,3,FALSE())),"m","Nmi"),1))</f>
        <v/>
      </c>
      <c r="G12" s="230" t="str">
        <f t="shared" si="2"/>
        <v/>
      </c>
      <c r="H12" s="205" t="str">
        <f>IF(COUNTIF(B12,""),,MOD(Bearing(VLOOKUP(A12,WAYPOINTS!A:C,2,FALSE()),VLOOKUP(A12,WAYPOINTS!A:C,3,FALSE()),VLOOKUP(B12,WAYPOINTS!A:C,2,FALSE()),VLOOKUP(B12,WAYPOINTS!A:C,3,FALSE())),360))</f>
        <v/>
      </c>
      <c r="I12" s="206" t="str">
        <f>IFERROR(__xludf.DUMMYFUNCTION("IF(COUNTIF(B12,""""),,ROUND(SUBSTITUTE(IMPORTXML(""https://www.ngdc.noaa.gov/geomag-web/calculators/calculateDeclination?lat1=""&amp;SUBSTITUTE(VLOOKUP(A12,WAYPOINTS!A:C,2,FALSE()),"","",""."")&amp;""&amp;lon1=""&amp;SUBSTITUTE(VLOOKUP(A12,WAYPOINTS!A:C,3,FALSE()),"","","&amp;"""."")&amp;""&amp;key=zNEw7&amp;resultFormat=xml"",""//declination""),""."","",""),2))"),"")</f>
        <v/>
      </c>
      <c r="J12" s="209" t="str">
        <f t="shared" si="3"/>
        <v/>
      </c>
      <c r="K12" s="214" t="str">
        <f>IF(COUNTIF(B12,""),,LOG!T$25)</f>
        <v/>
      </c>
      <c r="L12" s="214" t="str">
        <f>IF(COUNTIF(B12,""),,LOG!T$26)</f>
        <v/>
      </c>
      <c r="M12" s="224" t="str">
        <f>IF(COUNTIF(B12,""),,LOG!W$26)</f>
        <v/>
      </c>
      <c r="N12" s="214" t="str">
        <f t="shared" si="4"/>
        <v/>
      </c>
      <c r="O12" s="215" t="str">
        <f t="shared" si="5"/>
        <v/>
      </c>
      <c r="P12" s="216" t="str">
        <f t="shared" si="6"/>
        <v/>
      </c>
      <c r="Q12" s="231" t="str">
        <f t="shared" si="7"/>
        <v/>
      </c>
      <c r="R12" s="219" t="str">
        <f t="shared" si="8"/>
        <v/>
      </c>
      <c r="S12" s="219" t="str">
        <f t="shared" si="9"/>
        <v/>
      </c>
      <c r="T12" s="232" t="str">
        <f t="shared" si="10"/>
        <v/>
      </c>
      <c r="U12" s="234"/>
    </row>
    <row r="13">
      <c r="A13" s="223" t="str">
        <f t="shared" si="11"/>
        <v/>
      </c>
      <c r="B13" s="199" t="str">
        <f>'CALCULS BRANCHES'!B13</f>
        <v/>
      </c>
      <c r="C13" s="208"/>
      <c r="D13" s="208" t="str">
        <f>IF(COUNTIF(B13,""),,ROUND(CONVERT(Distance(VLOOKUP(A13,WAYPOINTS!A:C,2,FALSE()),VLOOKUP(A13,WAYPOINTS!A:C,3,FALSE()),VLOOKUP(B13,WAYPOINTS!A:C,2,FALSE()),VLOOKUP(B13,WAYPOINTS!A:C,3,FALSE())),"m","Nmi"),1))</f>
        <v/>
      </c>
      <c r="E13" s="228" t="str">
        <f t="shared" si="1"/>
        <v/>
      </c>
      <c r="F13" s="229" t="str">
        <f>IF(COUNTIF(C13,""),,ROUND(CONVERT(Distance(VLOOKUP(B13,WAYPOINTS!A:C,2,FALSE()),VLOOKUP(B13,WAYPOINTS!A:C,3,FALSE()),VLOOKUP(C13,WAYPOINTS!A:C,2,FALSE()),VLOOKUP(C13,WAYPOINTS!A:C,3,FALSE())),"m","Nmi"),1))</f>
        <v/>
      </c>
      <c r="G13" s="230" t="str">
        <f t="shared" si="2"/>
        <v/>
      </c>
      <c r="H13" s="205" t="str">
        <f>IF(COUNTIF(B13,""),,MOD(Bearing(VLOOKUP(A13,WAYPOINTS!A:C,2,FALSE()),VLOOKUP(A13,WAYPOINTS!A:C,3,FALSE()),VLOOKUP(B13,WAYPOINTS!A:C,2,FALSE()),VLOOKUP(B13,WAYPOINTS!A:C,3,FALSE())),360))</f>
        <v/>
      </c>
      <c r="I13" s="206" t="str">
        <f>IFERROR(__xludf.DUMMYFUNCTION("IF(COUNTIF(B13,""""),,ROUND(SUBSTITUTE(IMPORTXML(""https://www.ngdc.noaa.gov/geomag-web/calculators/calculateDeclination?lat1=""&amp;SUBSTITUTE(VLOOKUP(A13,WAYPOINTS!A:C,2,FALSE()),"","",""."")&amp;""&amp;lon1=""&amp;SUBSTITUTE(VLOOKUP(A13,WAYPOINTS!A:C,3,FALSE()),"","","&amp;"""."")&amp;""&amp;key=zNEw7&amp;resultFormat=xml"",""//declination""),""."","",""),2))"),"")</f>
        <v/>
      </c>
      <c r="J13" s="209" t="str">
        <f t="shared" ref="J13:J19" si="12">IF(COUNTIF(B13,""),,H13-I13)</f>
        <v/>
      </c>
      <c r="K13" s="214" t="str">
        <f>IF(COUNTIF(B13,""),,LOG!T$25)</f>
        <v/>
      </c>
      <c r="L13" s="214" t="str">
        <f>IF(COUNTIF(B13,""),,LOG!T$26)</f>
        <v/>
      </c>
      <c r="M13" s="224" t="str">
        <f>IF(COUNTIF(B13,""),,LOG!W$26)</f>
        <v/>
      </c>
      <c r="N13" s="214" t="str">
        <f t="shared" si="4"/>
        <v/>
      </c>
      <c r="O13" s="215" t="str">
        <f t="shared" si="5"/>
        <v/>
      </c>
      <c r="P13" s="216" t="str">
        <f t="shared" si="6"/>
        <v/>
      </c>
      <c r="Q13" s="231" t="str">
        <f t="shared" si="7"/>
        <v/>
      </c>
      <c r="R13" s="219" t="str">
        <f t="shared" si="8"/>
        <v/>
      </c>
      <c r="S13" s="219" t="str">
        <f t="shared" si="9"/>
        <v/>
      </c>
      <c r="T13" s="232" t="str">
        <f t="shared" si="10"/>
        <v/>
      </c>
      <c r="U13" s="234"/>
    </row>
    <row r="14">
      <c r="A14" s="223" t="str">
        <f t="shared" si="11"/>
        <v/>
      </c>
      <c r="B14" s="199" t="str">
        <f>'CALCULS BRANCHES'!B14</f>
        <v/>
      </c>
      <c r="C14" s="208"/>
      <c r="D14" s="208" t="str">
        <f>IF(COUNTIF(B14,""),,ROUND(CONVERT(Distance(VLOOKUP(A14,WAYPOINTS!A:C,2,FALSE()),VLOOKUP(A14,WAYPOINTS!A:C,3,FALSE()),VLOOKUP(B14,WAYPOINTS!A:C,2,FALSE()),VLOOKUP(B14,WAYPOINTS!A:C,3,FALSE())),"m","Nmi"),1))</f>
        <v/>
      </c>
      <c r="E14" s="228" t="str">
        <f t="shared" si="1"/>
        <v/>
      </c>
      <c r="F14" s="229" t="str">
        <f>IF(COUNTIF(C14,""),,ROUND(CONVERT(Distance(VLOOKUP(B14,WAYPOINTS!A:C,2,FALSE()),VLOOKUP(B14,WAYPOINTS!A:C,3,FALSE()),VLOOKUP(C14,WAYPOINTS!A:C,2,FALSE()),VLOOKUP(C14,WAYPOINTS!A:C,3,FALSE())),"m","Nmi"),1))</f>
        <v/>
      </c>
      <c r="G14" s="230" t="str">
        <f t="shared" si="2"/>
        <v/>
      </c>
      <c r="H14" s="205" t="str">
        <f>IF(COUNTIF(B14,""),,MOD(Bearing(VLOOKUP(A14,WAYPOINTS!A:C,2,FALSE()),VLOOKUP(A14,WAYPOINTS!A:C,3,FALSE()),VLOOKUP(B14,WAYPOINTS!A:C,2,FALSE()),VLOOKUP(B14,WAYPOINTS!A:C,3,FALSE())),360))</f>
        <v/>
      </c>
      <c r="I14" s="206" t="str">
        <f>IFERROR(__xludf.DUMMYFUNCTION("IF(COUNTIF(B14,""""),,ROUND(SUBSTITUTE(IMPORTXML(""https://www.ngdc.noaa.gov/geomag-web/calculators/calculateDeclination?lat1=""&amp;SUBSTITUTE(VLOOKUP(A14,WAYPOINTS!A:C,2,FALSE()),"","",""."")&amp;""&amp;lon1=""&amp;SUBSTITUTE(VLOOKUP(A14,WAYPOINTS!A:C,3,FALSE()),"","","&amp;"""."")&amp;""&amp;key=zNEw7&amp;resultFormat=xml"",""//declination""),""."","",""),2))"),"")</f>
        <v/>
      </c>
      <c r="J14" s="209" t="str">
        <f t="shared" si="12"/>
        <v/>
      </c>
      <c r="K14" s="214" t="str">
        <f>IF(COUNTIF(B14,""),,LOG!T$25)</f>
        <v/>
      </c>
      <c r="L14" s="214" t="str">
        <f>IF(COUNTIF(B14,""),,LOG!T$26)</f>
        <v/>
      </c>
      <c r="M14" s="224" t="str">
        <f>IF(COUNTIF(B14,""),,LOG!W$26)</f>
        <v/>
      </c>
      <c r="N14" s="214" t="str">
        <f t="shared" si="4"/>
        <v/>
      </c>
      <c r="O14" s="215" t="str">
        <f t="shared" si="5"/>
        <v/>
      </c>
      <c r="P14" s="216" t="str">
        <f t="shared" si="6"/>
        <v/>
      </c>
      <c r="Q14" s="231" t="str">
        <f t="shared" si="7"/>
        <v/>
      </c>
      <c r="R14" s="219" t="str">
        <f t="shared" si="8"/>
        <v/>
      </c>
      <c r="S14" s="219" t="str">
        <f t="shared" si="9"/>
        <v/>
      </c>
      <c r="T14" s="232" t="str">
        <f t="shared" si="10"/>
        <v/>
      </c>
      <c r="U14" s="234"/>
    </row>
    <row r="15">
      <c r="A15" s="223" t="str">
        <f t="shared" si="11"/>
        <v/>
      </c>
      <c r="B15" s="199" t="str">
        <f>'CALCULS BRANCHES'!B15</f>
        <v/>
      </c>
      <c r="C15" s="208"/>
      <c r="D15" s="208" t="str">
        <f>IF(COUNTIF(B15,""),,ROUND(CONVERT(Distance(VLOOKUP(A15,WAYPOINTS!A:C,2,FALSE()),VLOOKUP(A15,WAYPOINTS!A:C,3,FALSE()),VLOOKUP(B15,WAYPOINTS!A:C,2,FALSE()),VLOOKUP(B15,WAYPOINTS!A:C,3,FALSE())),"m","Nmi"),1))</f>
        <v/>
      </c>
      <c r="E15" s="228" t="str">
        <f t="shared" si="1"/>
        <v/>
      </c>
      <c r="F15" s="229" t="str">
        <f>IF(COUNTIF(C15,""),,ROUND(CONVERT(Distance(VLOOKUP(B15,WAYPOINTS!A:C,2,FALSE()),VLOOKUP(B15,WAYPOINTS!A:C,3,FALSE()),VLOOKUP(C15,WAYPOINTS!A:C,2,FALSE()),VLOOKUP(C15,WAYPOINTS!A:C,3,FALSE())),"m","Nmi"),1))</f>
        <v/>
      </c>
      <c r="G15" s="230" t="str">
        <f t="shared" si="2"/>
        <v/>
      </c>
      <c r="H15" s="205" t="str">
        <f>IF(COUNTIF(B15,""),,MOD(Bearing(VLOOKUP(A15,WAYPOINTS!A:C,2,FALSE()),VLOOKUP(A15,WAYPOINTS!A:C,3,FALSE()),VLOOKUP(B15,WAYPOINTS!A:C,2,FALSE()),VLOOKUP(B15,WAYPOINTS!A:C,3,FALSE())),360))</f>
        <v/>
      </c>
      <c r="I15" s="206" t="str">
        <f>IFERROR(__xludf.DUMMYFUNCTION("IF(COUNTIF(B15,""""),,ROUND(SUBSTITUTE(IMPORTXML(""https://www.ngdc.noaa.gov/geomag-web/calculators/calculateDeclination?lat1=""&amp;SUBSTITUTE(VLOOKUP(A15,WAYPOINTS!A:C,2,FALSE()),"","",""."")&amp;""&amp;lon1=""&amp;SUBSTITUTE(VLOOKUP(A15,WAYPOINTS!A:C,3,FALSE()),"","","&amp;"""."")&amp;""&amp;key=zNEw7&amp;resultFormat=xml"",""//declination""),""."","",""),2))"),"")</f>
        <v/>
      </c>
      <c r="J15" s="209" t="str">
        <f t="shared" si="12"/>
        <v/>
      </c>
      <c r="K15" s="214" t="str">
        <f>IF(COUNTIF(B15,""),,LOG!T$25)</f>
        <v/>
      </c>
      <c r="L15" s="214" t="str">
        <f>IF(COUNTIF(B15,""),,LOG!T$26)</f>
        <v/>
      </c>
      <c r="M15" s="224" t="str">
        <f>IF(COUNTIF(B15,""),,LOG!W$26)</f>
        <v/>
      </c>
      <c r="N15" s="214" t="str">
        <f t="shared" si="4"/>
        <v/>
      </c>
      <c r="O15" s="215" t="str">
        <f t="shared" si="5"/>
        <v/>
      </c>
      <c r="P15" s="216" t="str">
        <f t="shared" si="6"/>
        <v/>
      </c>
      <c r="Q15" s="231" t="str">
        <f t="shared" si="7"/>
        <v/>
      </c>
      <c r="R15" s="219" t="str">
        <f t="shared" si="8"/>
        <v/>
      </c>
      <c r="S15" s="219" t="str">
        <f t="shared" si="9"/>
        <v/>
      </c>
      <c r="T15" s="232" t="str">
        <f t="shared" si="10"/>
        <v/>
      </c>
      <c r="U15" s="234"/>
    </row>
    <row r="16">
      <c r="A16" s="223" t="str">
        <f t="shared" si="11"/>
        <v/>
      </c>
      <c r="B16" s="199" t="str">
        <f>'CALCULS BRANCHES'!B16</f>
        <v/>
      </c>
      <c r="C16" s="208"/>
      <c r="D16" s="208" t="str">
        <f>IF(COUNTIF(B16,""),,ROUND(CONVERT(Distance(VLOOKUP(A16,WAYPOINTS!A:C,2,FALSE()),VLOOKUP(A16,WAYPOINTS!A:C,3,FALSE()),VLOOKUP(B16,WAYPOINTS!A:C,2,FALSE()),VLOOKUP(B16,WAYPOINTS!A:C,3,FALSE())),"m","Nmi"),1))</f>
        <v/>
      </c>
      <c r="E16" s="228" t="str">
        <f t="shared" si="1"/>
        <v/>
      </c>
      <c r="F16" s="229" t="str">
        <f>IF(COUNTIF(C16,""),,ROUND(CONVERT(Distance(VLOOKUP(B16,WAYPOINTS!A:C,2,FALSE()),VLOOKUP(B16,WAYPOINTS!A:C,3,FALSE()),VLOOKUP(C16,WAYPOINTS!A:C,2,FALSE()),VLOOKUP(C16,WAYPOINTS!A:C,3,FALSE())),"m","Nmi"),1))</f>
        <v/>
      </c>
      <c r="G16" s="230" t="str">
        <f t="shared" si="2"/>
        <v/>
      </c>
      <c r="H16" s="205" t="str">
        <f>IF(COUNTIF(B16,""),,MOD(Bearing(VLOOKUP(A16,WAYPOINTS!A:C,2,FALSE()),VLOOKUP(A16,WAYPOINTS!A:C,3,FALSE()),VLOOKUP(B16,WAYPOINTS!A:C,2,FALSE()),VLOOKUP(B16,WAYPOINTS!A:C,3,FALSE())),360))</f>
        <v/>
      </c>
      <c r="I16" s="206" t="str">
        <f>IFERROR(__xludf.DUMMYFUNCTION("IF(COUNTIF(B16,""""),,ROUND(SUBSTITUTE(IMPORTXML(""https://www.ngdc.noaa.gov/geomag-web/calculators/calculateDeclination?lat1=""&amp;SUBSTITUTE(VLOOKUP(A16,WAYPOINTS!A:C,2,FALSE()),"","",""."")&amp;""&amp;lon1=""&amp;SUBSTITUTE(VLOOKUP(A16,WAYPOINTS!A:C,3,FALSE()),"","","&amp;"""."")&amp;""&amp;key=zNEw7&amp;resultFormat=xml"",""//declination""),""."","",""),2))"),"")</f>
        <v/>
      </c>
      <c r="J16" s="209" t="str">
        <f t="shared" si="12"/>
        <v/>
      </c>
      <c r="K16" s="214" t="str">
        <f>IF(COUNTIF(B16,""),,LOG!T$25)</f>
        <v/>
      </c>
      <c r="L16" s="214" t="str">
        <f>IF(COUNTIF(B16,""),,LOG!T$26)</f>
        <v/>
      </c>
      <c r="M16" s="224" t="str">
        <f>IF(COUNTIF(B16,""),,LOG!W$26)</f>
        <v/>
      </c>
      <c r="N16" s="214" t="str">
        <f t="shared" si="4"/>
        <v/>
      </c>
      <c r="O16" s="215" t="str">
        <f t="shared" si="5"/>
        <v/>
      </c>
      <c r="P16" s="216" t="str">
        <f t="shared" si="6"/>
        <v/>
      </c>
      <c r="Q16" s="231" t="str">
        <f t="shared" si="7"/>
        <v/>
      </c>
      <c r="R16" s="219" t="str">
        <f t="shared" si="8"/>
        <v/>
      </c>
      <c r="S16" s="219" t="str">
        <f t="shared" si="9"/>
        <v/>
      </c>
      <c r="T16" s="232" t="str">
        <f t="shared" si="10"/>
        <v/>
      </c>
    </row>
    <row r="17">
      <c r="A17" s="223" t="str">
        <f t="shared" si="11"/>
        <v/>
      </c>
      <c r="B17" s="199" t="str">
        <f>'CALCULS BRANCHES'!B17</f>
        <v/>
      </c>
      <c r="C17" s="208"/>
      <c r="D17" s="208" t="str">
        <f>IF(COUNTIF(B17,""),,ROUND(CONVERT(Distance(VLOOKUP(A17,WAYPOINTS!A:C,2,FALSE()),VLOOKUP(A17,WAYPOINTS!A:C,3,FALSE()),VLOOKUP(B17,WAYPOINTS!A:C,2,FALSE()),VLOOKUP(B17,WAYPOINTS!A:C,3,FALSE())),"m","Nmi"),1))</f>
        <v/>
      </c>
      <c r="E17" s="228" t="str">
        <f t="shared" si="1"/>
        <v/>
      </c>
      <c r="F17" s="229" t="str">
        <f>IF(COUNTIF(C17,""),,ROUND(CONVERT(Distance(VLOOKUP(B17,WAYPOINTS!A:C,2,FALSE()),VLOOKUP(B17,WAYPOINTS!A:C,3,FALSE()),VLOOKUP(C17,WAYPOINTS!A:C,2,FALSE()),VLOOKUP(C17,WAYPOINTS!A:C,3,FALSE())),"m","Nmi"),1))</f>
        <v/>
      </c>
      <c r="G17" s="230" t="str">
        <f t="shared" si="2"/>
        <v/>
      </c>
      <c r="H17" s="205" t="str">
        <f>IF(COUNTIF(B17,""),,MOD(Bearing(VLOOKUP(A17,WAYPOINTS!A:C,2,FALSE()),VLOOKUP(A17,WAYPOINTS!A:C,3,FALSE()),VLOOKUP(B17,WAYPOINTS!A:C,2,FALSE()),VLOOKUP(B17,WAYPOINTS!A:C,3,FALSE())),360))</f>
        <v/>
      </c>
      <c r="I17" s="206" t="str">
        <f>IFERROR(__xludf.DUMMYFUNCTION("IF(COUNTIF(B17,""""),,ROUND(SUBSTITUTE(IMPORTXML(""https://www.ngdc.noaa.gov/geomag-web/calculators/calculateDeclination?lat1=""&amp;SUBSTITUTE(VLOOKUP(A17,WAYPOINTS!A:C,2,FALSE()),"","",""."")&amp;""&amp;lon1=""&amp;SUBSTITUTE(VLOOKUP(A17,WAYPOINTS!A:C,3,FALSE()),"","","&amp;"""."")&amp;""&amp;key=zNEw7&amp;resultFormat=xml"",""//declination""),""."","",""),2))"),"")</f>
        <v/>
      </c>
      <c r="J17" s="209" t="str">
        <f t="shared" si="12"/>
        <v/>
      </c>
      <c r="K17" s="214" t="str">
        <f>IF(COUNTIF(B17,""),,LOG!T$25)</f>
        <v/>
      </c>
      <c r="L17" s="214" t="str">
        <f>IF(COUNTIF(B17,""),,LOG!T$26)</f>
        <v/>
      </c>
      <c r="M17" s="224" t="str">
        <f>IF(COUNTIF(B17,""),,LOG!W$26)</f>
        <v/>
      </c>
      <c r="N17" s="214" t="str">
        <f t="shared" si="4"/>
        <v/>
      </c>
      <c r="O17" s="215" t="str">
        <f t="shared" si="5"/>
        <v/>
      </c>
      <c r="P17" s="216" t="str">
        <f t="shared" si="6"/>
        <v/>
      </c>
      <c r="Q17" s="231" t="str">
        <f t="shared" si="7"/>
        <v/>
      </c>
      <c r="R17" s="219" t="str">
        <f t="shared" si="8"/>
        <v/>
      </c>
      <c r="S17" s="219" t="str">
        <f t="shared" si="9"/>
        <v/>
      </c>
      <c r="T17" s="232" t="str">
        <f t="shared" si="10"/>
        <v/>
      </c>
    </row>
    <row r="18">
      <c r="A18" s="223" t="str">
        <f t="shared" si="11"/>
        <v/>
      </c>
      <c r="B18" s="199" t="str">
        <f>'CALCULS BRANCHES'!B18</f>
        <v/>
      </c>
      <c r="C18" s="208"/>
      <c r="D18" s="208" t="str">
        <f>IF(COUNTIF(B18,""),,ROUND(CONVERT(Distance(VLOOKUP(A18,WAYPOINTS!A:C,2,FALSE()),VLOOKUP(A18,WAYPOINTS!A:C,3,FALSE()),VLOOKUP(B18,WAYPOINTS!A:C,2,FALSE()),VLOOKUP(B18,WAYPOINTS!A:C,3,FALSE())),"m","Nmi"),1))</f>
        <v/>
      </c>
      <c r="E18" s="228" t="str">
        <f t="shared" si="1"/>
        <v/>
      </c>
      <c r="F18" s="229" t="str">
        <f>IF(COUNTIF(C18,""),,ROUND(CONVERT(Distance(VLOOKUP(B18,WAYPOINTS!A:C,2,FALSE()),VLOOKUP(B18,WAYPOINTS!A:C,3,FALSE()),VLOOKUP(C18,WAYPOINTS!A:C,2,FALSE()),VLOOKUP(C18,WAYPOINTS!A:C,3,FALSE())),"m","Nmi"),1))</f>
        <v/>
      </c>
      <c r="G18" s="230" t="str">
        <f t="shared" si="2"/>
        <v/>
      </c>
      <c r="H18" s="205" t="str">
        <f>IF(COUNTIF(B18,""),,MOD(Bearing(VLOOKUP(A18,WAYPOINTS!A:C,2,FALSE()),VLOOKUP(A18,WAYPOINTS!A:C,3,FALSE()),VLOOKUP(B18,WAYPOINTS!A:C,2,FALSE()),VLOOKUP(B18,WAYPOINTS!A:C,3,FALSE())),360))</f>
        <v/>
      </c>
      <c r="I18" s="206" t="str">
        <f>IFERROR(__xludf.DUMMYFUNCTION("IF(COUNTIF(B18,""""),,ROUND(SUBSTITUTE(IMPORTXML(""https://www.ngdc.noaa.gov/geomag-web/calculators/calculateDeclination?lat1=""&amp;SUBSTITUTE(VLOOKUP(A18,WAYPOINTS!A:C,2,FALSE()),"","",""."")&amp;""&amp;lon1=""&amp;SUBSTITUTE(VLOOKUP(A18,WAYPOINTS!A:C,3,FALSE()),"","","&amp;"""."")&amp;""&amp;key=zNEw7&amp;resultFormat=xml"",""//declination""),""."","",""),2))"),"")</f>
        <v/>
      </c>
      <c r="J18" s="209" t="str">
        <f t="shared" si="12"/>
        <v/>
      </c>
      <c r="K18" s="214" t="str">
        <f>IF(COUNTIF(B18,""),,LOG!T$25)</f>
        <v/>
      </c>
      <c r="L18" s="214" t="str">
        <f>IF(COUNTIF(B18,""),,LOG!T$26)</f>
        <v/>
      </c>
      <c r="M18" s="224" t="str">
        <f>IF(COUNTIF(B18,""),,LOG!W$26)</f>
        <v/>
      </c>
      <c r="N18" s="214" t="str">
        <f t="shared" si="4"/>
        <v/>
      </c>
      <c r="O18" s="215" t="str">
        <f t="shared" si="5"/>
        <v/>
      </c>
      <c r="P18" s="216" t="str">
        <f t="shared" si="6"/>
        <v/>
      </c>
      <c r="Q18" s="231" t="str">
        <f t="shared" si="7"/>
        <v/>
      </c>
      <c r="R18" s="219" t="str">
        <f t="shared" si="8"/>
        <v/>
      </c>
      <c r="S18" s="219" t="str">
        <f t="shared" si="9"/>
        <v/>
      </c>
      <c r="T18" s="232" t="str">
        <f t="shared" si="10"/>
        <v/>
      </c>
    </row>
    <row r="19">
      <c r="A19" s="223" t="str">
        <f t="shared" si="11"/>
        <v/>
      </c>
      <c r="B19" s="199" t="str">
        <f>'CALCULS BRANCHES'!B19</f>
        <v/>
      </c>
      <c r="C19" s="208"/>
      <c r="D19" s="208" t="str">
        <f>IF(COUNTIF(B19,""),,ROUND(CONVERT(Distance(VLOOKUP(A19,WAYPOINTS!A:C,2,FALSE()),VLOOKUP(A19,WAYPOINTS!A:C,3,FALSE()),VLOOKUP(B19,WAYPOINTS!A:C,2,FALSE()),VLOOKUP(B19,WAYPOINTS!A:C,3,FALSE())),"m","Nmi"),1))</f>
        <v/>
      </c>
      <c r="E19" s="228" t="str">
        <f t="shared" si="1"/>
        <v/>
      </c>
      <c r="F19" s="229" t="str">
        <f>IF(COUNTIF(C19,""),,ROUND(CONVERT(Distance(VLOOKUP(B19,WAYPOINTS!A:C,2,FALSE()),VLOOKUP(B19,WAYPOINTS!A:C,3,FALSE()),VLOOKUP(C19,WAYPOINTS!A:C,2,FALSE()),VLOOKUP(C19,WAYPOINTS!A:C,3,FALSE())),"m","Nmi"),1))</f>
        <v/>
      </c>
      <c r="G19" s="230" t="str">
        <f t="shared" si="2"/>
        <v/>
      </c>
      <c r="H19" s="205" t="str">
        <f>IF(COUNTIF(B19,""),,MOD(Bearing(VLOOKUP(A19,WAYPOINTS!A:C,2,FALSE()),VLOOKUP(A19,WAYPOINTS!A:C,3,FALSE()),VLOOKUP(B19,WAYPOINTS!A:C,2,FALSE()),VLOOKUP(B19,WAYPOINTS!A:C,3,FALSE())),360))</f>
        <v/>
      </c>
      <c r="I19" s="206" t="str">
        <f>IFERROR(__xludf.DUMMYFUNCTION("IF(COUNTIF(B19,""""),,ROUND(SUBSTITUTE(IMPORTXML(""https://www.ngdc.noaa.gov/geomag-web/calculators/calculateDeclination?lat1=""&amp;SUBSTITUTE(VLOOKUP(A19,WAYPOINTS!A:C,2,FALSE()),"","",""."")&amp;""&amp;lon1=""&amp;SUBSTITUTE(VLOOKUP(A19,WAYPOINTS!A:C,3,FALSE()),"","","&amp;"""."")&amp;""&amp;key=zNEw7&amp;resultFormat=xml"",""//declination""),""."","",""),2))"),"")</f>
        <v/>
      </c>
      <c r="J19" s="209" t="str">
        <f t="shared" si="12"/>
        <v/>
      </c>
      <c r="K19" s="214" t="str">
        <f>IF(COUNTIF(B19,""),,LOG!T$25)</f>
        <v/>
      </c>
      <c r="L19" s="214" t="str">
        <f>IF(COUNTIF(B19,""),,LOG!T$26)</f>
        <v/>
      </c>
      <c r="M19" s="224" t="str">
        <f>IF(COUNTIF(B19,""),,LOG!W$26)</f>
        <v/>
      </c>
      <c r="N19" s="214" t="str">
        <f t="shared" si="4"/>
        <v/>
      </c>
      <c r="O19" s="215" t="str">
        <f t="shared" si="5"/>
        <v/>
      </c>
      <c r="P19" s="216" t="str">
        <f t="shared" si="6"/>
        <v/>
      </c>
      <c r="Q19" s="231" t="str">
        <f t="shared" si="7"/>
        <v/>
      </c>
      <c r="R19" s="219" t="str">
        <f t="shared" si="8"/>
        <v/>
      </c>
      <c r="S19" s="219" t="str">
        <f t="shared" si="9"/>
        <v/>
      </c>
      <c r="T19" s="232" t="str">
        <f t="shared" si="10"/>
        <v/>
      </c>
    </row>
    <row r="24">
      <c r="A24" s="194" t="s">
        <v>144</v>
      </c>
      <c r="B24" s="235">
        <v>500000.0</v>
      </c>
    </row>
  </sheetData>
  <dataValidations>
    <dataValidation type="list" allowBlank="1" showDropDown="1" showErrorMessage="1" sqref="A2:B2 B3:B19">
      <formula1>WAYPOINTS!$A:$A</formula1>
    </dataValidation>
  </dataValidations>
  <hyperlinks>
    <hyperlink r:id="rId1" ref="I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4.43" defaultRowHeight="15.75"/>
  <cols>
    <col customWidth="1" min="9" max="9" width="20.57"/>
    <col customWidth="1" min="10" max="10" width="17.29"/>
    <col hidden="1" min="12" max="17" width="14.43"/>
  </cols>
  <sheetData>
    <row r="1">
      <c r="A1" s="194" t="s">
        <v>98</v>
      </c>
      <c r="B1" s="194" t="s">
        <v>99</v>
      </c>
      <c r="C1" s="194" t="s">
        <v>145</v>
      </c>
      <c r="D1" s="194" t="s">
        <v>146</v>
      </c>
      <c r="E1" s="194" t="s">
        <v>147</v>
      </c>
      <c r="F1" s="194" t="s">
        <v>43</v>
      </c>
      <c r="G1" s="194" t="s">
        <v>52</v>
      </c>
      <c r="H1" s="236"/>
      <c r="I1" s="237" t="s">
        <v>148</v>
      </c>
      <c r="J1" s="238" t="str">
        <f>"2024-12-31"</f>
        <v>2024-12-31</v>
      </c>
      <c r="M1" s="106" t="s">
        <v>149</v>
      </c>
      <c r="N1" s="106" t="s">
        <v>150</v>
      </c>
      <c r="O1" s="106" t="s">
        <v>151</v>
      </c>
      <c r="Q1" s="106" t="s">
        <v>152</v>
      </c>
    </row>
    <row r="2">
      <c r="A2" s="199" t="str">
        <f>'CALCULS BRANCHES'!A2</f>
        <v>LFXU</v>
      </c>
      <c r="B2" s="199" t="str">
        <f>'CALCULS BRANCHES'!B2</f>
        <v>PTSW</v>
      </c>
      <c r="C2" s="239">
        <f>IF(COUNTIF($B2,""),,AVERAGE(VLOOKUP($A2,WAYPOINTS!A:C,2,FALSE),VLOOKUP($B2,WAYPOINTS!A:C,2,FALSE)))</f>
        <v>48.98458</v>
      </c>
      <c r="D2" s="239">
        <f>IF(COUNTIF($B2,""),,AVERAGE(VLOOKUP($A2,WAYPOINTS!A:C,3,FALSE),VLOOKUP($B2,WAYPOINTS!A:C,3,FALSE)))</f>
        <v>1.868889</v>
      </c>
      <c r="E2" s="239" t="str">
        <f t="shared" ref="E2:E19" si="1">IF(COUNTIF(B2,""),,GetWind(C2,D2,$J$13))</f>
        <v>#ERROR!</v>
      </c>
      <c r="F2" s="240">
        <f>IFERROR(__xludf.DUMMYFUNCTION("IF(COUNTIF(B2,""""),,IF(ISERROR(E2),SPLIT(""0_0"",""_""),SPLIT(E2,""_"")))"),0.0)</f>
        <v>0</v>
      </c>
      <c r="G2" s="240">
        <f>IFERROR(__xludf.DUMMYFUNCTION("""COMPUTED_VALUE"""),0.0)</f>
        <v>0</v>
      </c>
      <c r="H2" s="236"/>
      <c r="I2" s="241" t="s">
        <v>153</v>
      </c>
      <c r="J2" s="242">
        <v>12.0</v>
      </c>
      <c r="L2" s="106">
        <v>1.0</v>
      </c>
      <c r="M2" s="226">
        <f t="shared" ref="M2:M40" si="2">MOD($J$2+L2,24)</f>
        <v>13</v>
      </c>
      <c r="N2" s="226" t="str">
        <f t="shared" ref="N2:N40" si="3">CONCAT(LEFT($J$1,8), TEXT(RIGHT($J$1,2)+ROUNDDOWN(($J$2+L2)/24,0),"00"))</f>
        <v>2024-12-31</v>
      </c>
      <c r="O2" s="226" t="str">
        <f t="shared" ref="O2:O40" si="4">N2&amp;" "&amp;TEXT(M2,"00")</f>
        <v>2024-12-31 13</v>
      </c>
      <c r="Q2" s="106">
        <v>2.0</v>
      </c>
    </row>
    <row r="3">
      <c r="A3" s="223" t="str">
        <f t="shared" ref="A3:A19" si="5">IF(COUNTIF(B3,""),,B2)</f>
        <v>PTSW</v>
      </c>
      <c r="B3" s="199" t="str">
        <f>'CALCULS BRANCHES'!B3</f>
        <v>MEZER</v>
      </c>
      <c r="C3" s="239">
        <f>IF(COUNTIF($B3,""),,AVERAGE(VLOOKUP($A3,WAYPOINTS!A:C,2,FALSE),VLOOKUP($B3,WAYPOINTS!A:C,2,FALSE)))</f>
        <v>48.95194</v>
      </c>
      <c r="D3" s="239">
        <f>IF(COUNTIF($B3,""),,AVERAGE(VLOOKUP($A3,WAYPOINTS!A:C,3,FALSE),VLOOKUP($B3,WAYPOINTS!A:C,3,FALSE)))</f>
        <v>1.7695835</v>
      </c>
      <c r="E3" s="239" t="str">
        <f t="shared" si="1"/>
        <v>#ERROR!</v>
      </c>
      <c r="F3" s="240">
        <f>IFERROR(__xludf.DUMMYFUNCTION("IF(COUNTIF(B3,""""),,IF(ISERROR(E3),SPLIT(""0_0"",""_""),SPLIT(E3,""_"")))"),0.0)</f>
        <v>0</v>
      </c>
      <c r="G3" s="240">
        <f>IFERROR(__xludf.DUMMYFUNCTION("""COMPUTED_VALUE"""),0.0)</f>
        <v>0</v>
      </c>
      <c r="H3" s="236"/>
      <c r="I3" s="237" t="s">
        <v>154</v>
      </c>
      <c r="J3" s="243" t="s">
        <v>155</v>
      </c>
      <c r="L3" s="106">
        <v>2.0</v>
      </c>
      <c r="M3" s="226">
        <f t="shared" si="2"/>
        <v>14</v>
      </c>
      <c r="N3" s="226" t="str">
        <f t="shared" si="3"/>
        <v>2024-12-31</v>
      </c>
      <c r="O3" s="226" t="str">
        <f t="shared" si="4"/>
        <v>2024-12-31 14</v>
      </c>
      <c r="Q3" s="106">
        <v>10.0</v>
      </c>
    </row>
    <row r="4">
      <c r="A4" s="223" t="str">
        <f t="shared" si="5"/>
        <v>MEZER</v>
      </c>
      <c r="B4" s="199" t="str">
        <f>'CALCULS BRANCHES'!B4</f>
        <v>N12HE</v>
      </c>
      <c r="C4" s="239">
        <f>IF(COUNTIF($B4,""),,AVERAGE(VLOOKUP($A4,WAYPOINTS!A:C,2,FALSE),VLOOKUP($B4,WAYPOINTS!A:C,2,FALSE)))</f>
        <v>48.86598</v>
      </c>
      <c r="D4" s="239">
        <f>IF(COUNTIF($B4,""),,AVERAGE(VLOOKUP($A4,WAYPOINTS!A:C,3,FALSE),VLOOKUP($B4,WAYPOINTS!A:C,3,FALSE)))</f>
        <v>1.7240905</v>
      </c>
      <c r="E4" s="239" t="str">
        <f t="shared" si="1"/>
        <v>#ERROR!</v>
      </c>
      <c r="F4" s="240">
        <f>IFERROR(__xludf.DUMMYFUNCTION("IF(COUNTIF(B4,""""),,IF(ISERROR(E4),SPLIT(""0_0"",""_""),SPLIT(E4,""_"")))"),0.0)</f>
        <v>0</v>
      </c>
      <c r="G4" s="240">
        <f>IFERROR(__xludf.DUMMYFUNCTION("""COMPUTED_VALUE"""),0.0)</f>
        <v>0</v>
      </c>
      <c r="H4" s="236"/>
      <c r="I4" s="244" t="s">
        <v>156</v>
      </c>
      <c r="J4" s="245" t="str">
        <f>LEFT(J3,10)</f>
        <v>2024-12-31</v>
      </c>
      <c r="L4" s="106">
        <v>3.0</v>
      </c>
      <c r="M4" s="226">
        <f t="shared" si="2"/>
        <v>15</v>
      </c>
      <c r="N4" s="226" t="str">
        <f t="shared" si="3"/>
        <v>2024-12-31</v>
      </c>
      <c r="O4" s="226" t="str">
        <f t="shared" si="4"/>
        <v>2024-12-31 15</v>
      </c>
      <c r="Q4" s="106">
        <v>20.0</v>
      </c>
    </row>
    <row r="5">
      <c r="A5" s="223" t="str">
        <f t="shared" si="5"/>
        <v>N12HE</v>
      </c>
      <c r="B5" s="199" t="str">
        <f>'CALCULS BRANCHES'!B5</f>
        <v>EPR</v>
      </c>
      <c r="C5" s="239">
        <f>IF(COUNTIF($B5,""),,AVERAGE(VLOOKUP($A5,WAYPOINTS!A:C,2,FALSE),VLOOKUP($B5,WAYPOINTS!A:C,2,FALSE)))</f>
        <v>48.71216</v>
      </c>
      <c r="D5" s="239">
        <f>IF(COUNTIF($B5,""),,AVERAGE(VLOOKUP($A5,WAYPOINTS!A:C,3,FALSE),VLOOKUP($B5,WAYPOINTS!A:C,3,FALSE)))</f>
        <v>1.680847</v>
      </c>
      <c r="E5" s="239" t="str">
        <f t="shared" si="1"/>
        <v>#ERROR!</v>
      </c>
      <c r="F5" s="240">
        <f>IFERROR(__xludf.DUMMYFUNCTION("IF(COUNTIF(B5,""""),,IF(ISERROR(E5),SPLIT(""0_0"",""_""),SPLIT(E5,""_"")))"),0.0)</f>
        <v>0</v>
      </c>
      <c r="G5" s="240">
        <f>IFERROR(__xludf.DUMMYFUNCTION("""COMPUTED_VALUE"""),0.0)</f>
        <v>0</v>
      </c>
      <c r="I5" s="246" t="s">
        <v>157</v>
      </c>
      <c r="J5" s="247" t="str">
        <f>RIGHT(J3,2)</f>
        <v>16</v>
      </c>
      <c r="L5" s="106">
        <v>4.0</v>
      </c>
      <c r="M5" s="226">
        <f t="shared" si="2"/>
        <v>16</v>
      </c>
      <c r="N5" s="226" t="str">
        <f t="shared" si="3"/>
        <v>2024-12-31</v>
      </c>
      <c r="O5" s="226" t="str">
        <f t="shared" si="4"/>
        <v>2024-12-31 16</v>
      </c>
      <c r="Q5" s="106">
        <v>35.0</v>
      </c>
    </row>
    <row r="6">
      <c r="A6" s="223" t="str">
        <f t="shared" si="5"/>
        <v>EPR</v>
      </c>
      <c r="B6" s="199" t="str">
        <f>'CALCULS BRANCHES'!B6</f>
        <v>LFOR</v>
      </c>
      <c r="C6" s="239">
        <f>IF(COUNTIF($B6,""),,AVERAGE(VLOOKUP($A6,WAYPOINTS!A:C,2,FALSE),VLOOKUP($B6,WAYPOINTS!A:C,2,FALSE)))</f>
        <v>48.54229</v>
      </c>
      <c r="D6" s="239">
        <f>IF(COUNTIF($B6,""),,AVERAGE(VLOOKUP($A6,WAYPOINTS!A:C,3,FALSE),VLOOKUP($B6,WAYPOINTS!A:C,3,FALSE)))</f>
        <v>1.590229</v>
      </c>
      <c r="E6" s="239" t="str">
        <f t="shared" si="1"/>
        <v>#ERROR!</v>
      </c>
      <c r="F6" s="240">
        <f>IFERROR(__xludf.DUMMYFUNCTION("IF(COUNTIF(B6,""""),,IF(ISERROR(E6),SPLIT(""0_0"",""_""),SPLIT(E6,""_"")))"),0.0)</f>
        <v>0</v>
      </c>
      <c r="G6" s="240">
        <f>IFERROR(__xludf.DUMMYFUNCTION("""COMPUTED_VALUE"""),0.0)</f>
        <v>0</v>
      </c>
      <c r="H6" s="106"/>
      <c r="I6" s="237" t="s">
        <v>158</v>
      </c>
      <c r="J6" s="248">
        <f>VLOOKUP(J9,Q2:Q27,1,TRUE)</f>
        <v>500</v>
      </c>
      <c r="L6" s="106">
        <v>5.0</v>
      </c>
      <c r="M6" s="226">
        <f t="shared" si="2"/>
        <v>17</v>
      </c>
      <c r="N6" s="226" t="str">
        <f t="shared" si="3"/>
        <v>2024-12-31</v>
      </c>
      <c r="O6" s="226" t="str">
        <f t="shared" si="4"/>
        <v>2024-12-31 17</v>
      </c>
      <c r="Q6" s="106">
        <v>50.0</v>
      </c>
    </row>
    <row r="7">
      <c r="A7" s="223" t="str">
        <f t="shared" si="5"/>
        <v>LFOR</v>
      </c>
      <c r="B7" s="199" t="str">
        <f>'CALCULS BRANCHES'!B7</f>
        <v>LFON</v>
      </c>
      <c r="C7" s="239">
        <f>IF(COUNTIF($B7,""),,AVERAGE(VLOOKUP($A7,WAYPOINTS!A:C,2,FALSE),VLOOKUP($B7,WAYPOINTS!A:C,2,FALSE)))</f>
        <v>48.58236</v>
      </c>
      <c r="D7" s="239">
        <f>IF(COUNTIF($B7,""),,AVERAGE(VLOOKUP($A7,WAYPOINTS!A:C,3,FALSE),VLOOKUP($B7,WAYPOINTS!A:C,3,FALSE)))</f>
        <v>1.442639</v>
      </c>
      <c r="E7" s="239" t="str">
        <f t="shared" si="1"/>
        <v>#ERROR!</v>
      </c>
      <c r="F7" s="240">
        <f>IFERROR(__xludf.DUMMYFUNCTION("IF(COUNTIF(B7,""""),,IF(ISERROR(E7),SPLIT(""0_0"",""_""),SPLIT(E7,""_"")))"),0.0)</f>
        <v>0</v>
      </c>
      <c r="G7" s="240">
        <f>IFERROR(__xludf.DUMMYFUNCTION("""COMPUTED_VALUE"""),0.0)</f>
        <v>0</v>
      </c>
      <c r="I7" s="244" t="s">
        <v>159</v>
      </c>
      <c r="J7" s="249">
        <f>CONVERT(J6,"m","ft")</f>
        <v>1640.419948</v>
      </c>
      <c r="L7" s="106">
        <v>6.0</v>
      </c>
      <c r="M7" s="226">
        <f t="shared" si="2"/>
        <v>18</v>
      </c>
      <c r="N7" s="226" t="str">
        <f t="shared" si="3"/>
        <v>2024-12-31</v>
      </c>
      <c r="O7" s="226" t="str">
        <f t="shared" si="4"/>
        <v>2024-12-31 18</v>
      </c>
      <c r="Q7" s="106">
        <v>75.0</v>
      </c>
    </row>
    <row r="8">
      <c r="A8" s="223" t="str">
        <f t="shared" si="5"/>
        <v/>
      </c>
      <c r="B8" s="199" t="str">
        <f>'CALCULS BRANCHES'!B8</f>
        <v/>
      </c>
      <c r="C8" s="239" t="str">
        <f>IF(COUNTIF($B8,""),,AVERAGE(VLOOKUP($A8,WAYPOINTS!A:C,2,FALSE),VLOOKUP($B8,WAYPOINTS!A:C,2,FALSE)))</f>
        <v/>
      </c>
      <c r="D8" s="239" t="str">
        <f>IF(COUNTIF($B8,""),,AVERAGE(VLOOKUP($A8,WAYPOINTS!A:C,3,FALSE),VLOOKUP($B8,WAYPOINTS!A:C,3,FALSE)))</f>
        <v/>
      </c>
      <c r="E8" s="239" t="str">
        <f t="shared" si="1"/>
        <v/>
      </c>
      <c r="F8" s="240" t="str">
        <f>IFERROR(__xludf.DUMMYFUNCTION("IF(COUNTIF(B8,""""),,IF(ISERROR(E8),SPLIT(""0_0"",""_""),SPLIT(E8,""_"")))"),"")</f>
        <v/>
      </c>
      <c r="G8" s="240"/>
      <c r="I8" s="244" t="s">
        <v>160</v>
      </c>
      <c r="J8" s="249">
        <f>J10-AVERAGE('CALCULS BRANCHES'!L2:L19)</f>
        <v>1498.833333</v>
      </c>
      <c r="L8" s="106">
        <v>7.0</v>
      </c>
      <c r="M8" s="226">
        <f t="shared" si="2"/>
        <v>19</v>
      </c>
      <c r="N8" s="226" t="str">
        <f t="shared" si="3"/>
        <v>2024-12-31</v>
      </c>
      <c r="O8" s="226" t="str">
        <f t="shared" si="4"/>
        <v>2024-12-31 19</v>
      </c>
      <c r="Q8" s="106">
        <v>100.0</v>
      </c>
    </row>
    <row r="9">
      <c r="A9" s="223" t="str">
        <f t="shared" si="5"/>
        <v/>
      </c>
      <c r="B9" s="199" t="str">
        <f>'CALCULS BRANCHES'!B9</f>
        <v/>
      </c>
      <c r="C9" s="239" t="str">
        <f>IF(COUNTIF($B9,""),,AVERAGE(VLOOKUP($A9,WAYPOINTS!A:C,2,FALSE),VLOOKUP($B9,WAYPOINTS!A:C,2,FALSE)))</f>
        <v/>
      </c>
      <c r="D9" s="239" t="str">
        <f>IF(COUNTIF($B9,""),,AVERAGE(VLOOKUP($A9,WAYPOINTS!A:C,3,FALSE),VLOOKUP($B9,WAYPOINTS!A:C,3,FALSE)))</f>
        <v/>
      </c>
      <c r="E9" s="239" t="str">
        <f t="shared" si="1"/>
        <v/>
      </c>
      <c r="F9" s="240" t="str">
        <f>IFERROR(__xludf.DUMMYFUNCTION("IF(COUNTIF(B9,""""),,IF(ISERROR(E9),SPLIT(""0_0"",""_""),SPLIT(E9,""_"")))"),"")</f>
        <v/>
      </c>
      <c r="G9" s="240"/>
      <c r="I9" s="250" t="s">
        <v>161</v>
      </c>
      <c r="J9" s="251">
        <f>ROUND(CONVERT(J8,"ft","m"),-2)</f>
        <v>500</v>
      </c>
      <c r="L9" s="106">
        <v>8.0</v>
      </c>
      <c r="M9" s="226">
        <f t="shared" si="2"/>
        <v>20</v>
      </c>
      <c r="N9" s="226" t="str">
        <f t="shared" si="3"/>
        <v>2024-12-31</v>
      </c>
      <c r="O9" s="226" t="str">
        <f t="shared" si="4"/>
        <v>2024-12-31 20</v>
      </c>
      <c r="Q9" s="106">
        <v>150.0</v>
      </c>
    </row>
    <row r="10">
      <c r="A10" s="223" t="str">
        <f t="shared" si="5"/>
        <v/>
      </c>
      <c r="B10" s="199" t="str">
        <f>'CALCULS BRANCHES'!B10</f>
        <v/>
      </c>
      <c r="C10" s="239" t="str">
        <f>IF(COUNTIF($B10,""),,AVERAGE(VLOOKUP($A10,WAYPOINTS!A:C,2,FALSE),VLOOKUP($B10,WAYPOINTS!A:C,2,FALSE)))</f>
        <v/>
      </c>
      <c r="D10" s="239" t="str">
        <f>IF(COUNTIF($B10,""),,AVERAGE(VLOOKUP($A10,WAYPOINTS!A:C,3,FALSE),VLOOKUP($B10,WAYPOINTS!A:C,3,FALSE)))</f>
        <v/>
      </c>
      <c r="E10" s="239" t="str">
        <f t="shared" si="1"/>
        <v/>
      </c>
      <c r="F10" s="240" t="str">
        <f>IFERROR(__xludf.DUMMYFUNCTION("IF(COUNTIF(B10,""""),,IF(ISERROR(E10),SPLIT(""0_0"",""_""),SPLIT(E10,""_"")))"),"")</f>
        <v/>
      </c>
      <c r="G10" s="240"/>
      <c r="I10" s="252" t="s">
        <v>162</v>
      </c>
      <c r="J10" s="253">
        <v>1900.0</v>
      </c>
      <c r="L10" s="106">
        <v>9.0</v>
      </c>
      <c r="M10" s="226">
        <f t="shared" si="2"/>
        <v>21</v>
      </c>
      <c r="N10" s="226" t="str">
        <f t="shared" si="3"/>
        <v>2024-12-31</v>
      </c>
      <c r="O10" s="226" t="str">
        <f t="shared" si="4"/>
        <v>2024-12-31 21</v>
      </c>
      <c r="Q10" s="106">
        <v>200.0</v>
      </c>
    </row>
    <row r="11">
      <c r="A11" s="223" t="str">
        <f t="shared" si="5"/>
        <v/>
      </c>
      <c r="B11" s="199" t="str">
        <f>'CALCULS BRANCHES'!B11</f>
        <v/>
      </c>
      <c r="C11" s="239" t="str">
        <f>IF(COUNTIF($B11,""),,AVERAGE(VLOOKUP($A11,WAYPOINTS!A:C,2,FALSE),VLOOKUP($B11,WAYPOINTS!A:C,2,FALSE)))</f>
        <v/>
      </c>
      <c r="D11" s="239" t="str">
        <f>IF(COUNTIF($B11,""),,AVERAGE(VLOOKUP($A11,WAYPOINTS!A:C,3,FALSE),VLOOKUP($B11,WAYPOINTS!A:C,3,FALSE)))</f>
        <v/>
      </c>
      <c r="E11" s="239" t="str">
        <f t="shared" si="1"/>
        <v/>
      </c>
      <c r="F11" s="240" t="str">
        <f>IFERROR(__xludf.DUMMYFUNCTION("IF(COUNTIF(B11,""""),,IF(ISERROR(E11),SPLIT(""0_0"",""_""),SPLIT(E11,""_"")))"),"")</f>
        <v/>
      </c>
      <c r="G11" s="240"/>
      <c r="I11" s="250" t="s">
        <v>163</v>
      </c>
      <c r="J11" s="254" t="str">
        <f>GetCoverages(J1,J2,J4,J5,J6,C23,D23,C24,D24)</f>
        <v>#ERROR!</v>
      </c>
      <c r="L11" s="106">
        <v>10.0</v>
      </c>
      <c r="M11" s="226">
        <f t="shared" si="2"/>
        <v>22</v>
      </c>
      <c r="N11" s="226" t="str">
        <f t="shared" si="3"/>
        <v>2024-12-31</v>
      </c>
      <c r="O11" s="226" t="str">
        <f t="shared" si="4"/>
        <v>2024-12-31 22</v>
      </c>
      <c r="Q11" s="106">
        <v>250.0</v>
      </c>
    </row>
    <row r="12">
      <c r="A12" s="223" t="str">
        <f t="shared" si="5"/>
        <v/>
      </c>
      <c r="B12" s="199" t="str">
        <f>'CALCULS BRANCHES'!B12</f>
        <v/>
      </c>
      <c r="C12" s="239" t="str">
        <f>IF(COUNTIF($B12,""),,AVERAGE(VLOOKUP($A12,WAYPOINTS!A:C,2,FALSE),VLOOKUP($B12,WAYPOINTS!A:C,2,FALSE)))</f>
        <v/>
      </c>
      <c r="D12" s="239" t="str">
        <f>IF(COUNTIF($B12,""),,AVERAGE(VLOOKUP($A12,WAYPOINTS!A:C,3,FALSE),VLOOKUP($B12,WAYPOINTS!A:C,3,FALSE)))</f>
        <v/>
      </c>
      <c r="E12" s="239" t="str">
        <f t="shared" si="1"/>
        <v/>
      </c>
      <c r="F12" s="240" t="str">
        <f>IFERROR(__xludf.DUMMYFUNCTION("IF(COUNTIF(B12,""""),,IF(ISERROR(E12),SPLIT(""0_0"",""_""),SPLIT(E12,""_"")))"),"")</f>
        <v/>
      </c>
      <c r="G12" s="240"/>
      <c r="I12" s="255"/>
      <c r="J12" s="255"/>
      <c r="L12" s="106">
        <v>11.0</v>
      </c>
      <c r="M12" s="226">
        <f t="shared" si="2"/>
        <v>23</v>
      </c>
      <c r="N12" s="226" t="str">
        <f t="shared" si="3"/>
        <v>2024-12-31</v>
      </c>
      <c r="O12" s="226" t="str">
        <f t="shared" si="4"/>
        <v>2024-12-31 23</v>
      </c>
      <c r="Q12" s="106">
        <v>375.0</v>
      </c>
    </row>
    <row r="13">
      <c r="A13" s="223" t="str">
        <f t="shared" si="5"/>
        <v/>
      </c>
      <c r="B13" s="199" t="str">
        <f>'CALCULS BRANCHES'!B13</f>
        <v/>
      </c>
      <c r="C13" s="239" t="str">
        <f>IF(COUNTIF($B13,""),,AVERAGE(VLOOKUP($A13,WAYPOINTS!A:C,2,FALSE),VLOOKUP($B13,WAYPOINTS!A:C,2,FALSE)))</f>
        <v/>
      </c>
      <c r="D13" s="239" t="str">
        <f>IF(COUNTIF($B13,""),,AVERAGE(VLOOKUP($A13,WAYPOINTS!A:C,3,FALSE),VLOOKUP($B13,WAYPOINTS!A:C,3,FALSE)))</f>
        <v/>
      </c>
      <c r="E13" s="239" t="str">
        <f t="shared" si="1"/>
        <v/>
      </c>
      <c r="F13" s="240" t="str">
        <f>IFERROR(__xludf.DUMMYFUNCTION("IF(COUNTIF(B13,""""),,IF(ISERROR(E13),SPLIT(""0_0"",""_""),SPLIT(E13,""_"")))"),"")</f>
        <v/>
      </c>
      <c r="G13" s="240"/>
      <c r="I13" s="250" t="s">
        <v>164</v>
      </c>
      <c r="J13" s="250">
        <v>0.5</v>
      </c>
      <c r="L13" s="106">
        <v>12.0</v>
      </c>
      <c r="M13" s="226">
        <f t="shared" si="2"/>
        <v>0</v>
      </c>
      <c r="N13" s="226" t="str">
        <f t="shared" si="3"/>
        <v>2024-12-32</v>
      </c>
      <c r="O13" s="226" t="str">
        <f t="shared" si="4"/>
        <v>2024-12-32 00</v>
      </c>
      <c r="Q13" s="106">
        <v>500.0</v>
      </c>
    </row>
    <row r="14">
      <c r="A14" s="223" t="str">
        <f t="shared" si="5"/>
        <v/>
      </c>
      <c r="B14" s="199" t="str">
        <f>'CALCULS BRANCHES'!B14</f>
        <v/>
      </c>
      <c r="C14" s="239" t="str">
        <f>IF(COUNTIF($B14,""),,AVERAGE(VLOOKUP($A14,WAYPOINTS!A:C,2,FALSE),VLOOKUP($B14,WAYPOINTS!A:C,2,FALSE)))</f>
        <v/>
      </c>
      <c r="D14" s="239" t="str">
        <f>IF(COUNTIF($B14,""),,AVERAGE(VLOOKUP($A14,WAYPOINTS!A:C,3,FALSE),VLOOKUP($B14,WAYPOINTS!A:C,3,FALSE)))</f>
        <v/>
      </c>
      <c r="E14" s="239" t="str">
        <f t="shared" si="1"/>
        <v/>
      </c>
      <c r="F14" s="240" t="str">
        <f>IFERROR(__xludf.DUMMYFUNCTION("IF(COUNTIF(B14,""""),,IF(ISERROR(E14),SPLIT(""0_0"",""_""),SPLIT(E14,""_"")))"),"")</f>
        <v/>
      </c>
      <c r="G14" s="240"/>
      <c r="L14" s="106">
        <v>15.0</v>
      </c>
      <c r="M14" s="226">
        <f t="shared" si="2"/>
        <v>3</v>
      </c>
      <c r="N14" s="226" t="str">
        <f t="shared" si="3"/>
        <v>2024-12-32</v>
      </c>
      <c r="O14" s="226" t="str">
        <f t="shared" si="4"/>
        <v>2024-12-32 03</v>
      </c>
      <c r="Q14" s="106">
        <v>625.0</v>
      </c>
    </row>
    <row r="15">
      <c r="A15" s="223" t="str">
        <f t="shared" si="5"/>
        <v/>
      </c>
      <c r="B15" s="199" t="str">
        <f>'CALCULS BRANCHES'!B15</f>
        <v/>
      </c>
      <c r="C15" s="239" t="str">
        <f>IF(COUNTIF($B15,""),,AVERAGE(VLOOKUP($A15,WAYPOINTS!A:C,2,FALSE),VLOOKUP($B15,WAYPOINTS!A:C,2,FALSE)))</f>
        <v/>
      </c>
      <c r="D15" s="239" t="str">
        <f>IF(COUNTIF($B15,""),,AVERAGE(VLOOKUP($A15,WAYPOINTS!A:C,3,FALSE),VLOOKUP($B15,WAYPOINTS!A:C,3,FALSE)))</f>
        <v/>
      </c>
      <c r="E15" s="239" t="str">
        <f t="shared" si="1"/>
        <v/>
      </c>
      <c r="F15" s="240" t="str">
        <f>IFERROR(__xludf.DUMMYFUNCTION("IF(COUNTIF(B15,""""),,IF(ISERROR(E15),SPLIT(""0_0"",""_""),SPLIT(E15,""_"")))"),"")</f>
        <v/>
      </c>
      <c r="G15" s="240"/>
      <c r="I15" s="256" t="s">
        <v>165</v>
      </c>
      <c r="J15" s="257" t="s">
        <v>166</v>
      </c>
      <c r="K15" s="258" t="s">
        <v>166</v>
      </c>
      <c r="L15" s="106">
        <v>18.0</v>
      </c>
      <c r="M15" s="226">
        <f t="shared" si="2"/>
        <v>6</v>
      </c>
      <c r="N15" s="226" t="str">
        <f t="shared" si="3"/>
        <v>2024-12-32</v>
      </c>
      <c r="O15" s="226" t="str">
        <f t="shared" si="4"/>
        <v>2024-12-32 06</v>
      </c>
      <c r="Q15" s="106">
        <v>750.0</v>
      </c>
    </row>
    <row r="16">
      <c r="A16" s="223" t="str">
        <f t="shared" si="5"/>
        <v/>
      </c>
      <c r="B16" s="199" t="str">
        <f>'CALCULS BRANCHES'!B16</f>
        <v/>
      </c>
      <c r="C16" s="239" t="str">
        <f>IF(COUNTIF($B16,""),,AVERAGE(VLOOKUP($A16,WAYPOINTS!A:C,2,FALSE),VLOOKUP($B16,WAYPOINTS!A:C,2,FALSE)))</f>
        <v/>
      </c>
      <c r="D16" s="239" t="str">
        <f>IF(COUNTIF($B16,""),,AVERAGE(VLOOKUP($A16,WAYPOINTS!A:C,3,FALSE),VLOOKUP($B16,WAYPOINTS!A:C,3,FALSE)))</f>
        <v/>
      </c>
      <c r="E16" s="239" t="str">
        <f t="shared" si="1"/>
        <v/>
      </c>
      <c r="F16" s="240" t="str">
        <f>IFERROR(__xludf.DUMMYFUNCTION("IF(COUNTIF(B16,""""),,IF(ISERROR(E16),SPLIT(""0_0"",""_""),SPLIT(E16,""_"")))"),"")</f>
        <v/>
      </c>
      <c r="G16" s="240"/>
      <c r="K16" s="258" t="s">
        <v>167</v>
      </c>
      <c r="L16" s="106">
        <v>21.0</v>
      </c>
      <c r="M16" s="226">
        <f t="shared" si="2"/>
        <v>9</v>
      </c>
      <c r="N16" s="226" t="str">
        <f t="shared" si="3"/>
        <v>2024-12-32</v>
      </c>
      <c r="O16" s="226" t="str">
        <f t="shared" si="4"/>
        <v>2024-12-32 09</v>
      </c>
      <c r="Q16" s="106">
        <v>875.0</v>
      </c>
    </row>
    <row r="17">
      <c r="A17" s="223" t="str">
        <f t="shared" si="5"/>
        <v/>
      </c>
      <c r="B17" s="199" t="str">
        <f>'CALCULS BRANCHES'!B17</f>
        <v/>
      </c>
      <c r="C17" s="239" t="str">
        <f>IF(COUNTIF($B17,""),,AVERAGE(VLOOKUP($A17,WAYPOINTS!A:C,2,FALSE),VLOOKUP($B17,WAYPOINTS!A:C,2,FALSE)))</f>
        <v/>
      </c>
      <c r="D17" s="239" t="str">
        <f>IF(COUNTIF($B17,""),,AVERAGE(VLOOKUP($A17,WAYPOINTS!A:C,3,FALSE),VLOOKUP($B17,WAYPOINTS!A:C,3,FALSE)))</f>
        <v/>
      </c>
      <c r="E17" s="239" t="str">
        <f t="shared" si="1"/>
        <v/>
      </c>
      <c r="F17" s="240" t="str">
        <f>IFERROR(__xludf.DUMMYFUNCTION("IF(COUNTIF(B17,""""),,IF(ISERROR(E17),SPLIT(""0_0"",""_""),SPLIT(E17,""_"")))"),"")</f>
        <v/>
      </c>
      <c r="G17" s="240"/>
      <c r="K17" s="258" t="s">
        <v>168</v>
      </c>
      <c r="L17" s="106">
        <v>24.0</v>
      </c>
      <c r="M17" s="226">
        <f t="shared" si="2"/>
        <v>12</v>
      </c>
      <c r="N17" s="226" t="str">
        <f t="shared" si="3"/>
        <v>2024-12-32</v>
      </c>
      <c r="O17" s="226" t="str">
        <f t="shared" si="4"/>
        <v>2024-12-32 12</v>
      </c>
      <c r="Q17" s="106">
        <v>1000.0</v>
      </c>
    </row>
    <row r="18">
      <c r="A18" s="223" t="str">
        <f t="shared" si="5"/>
        <v/>
      </c>
      <c r="B18" s="199" t="str">
        <f>'CALCULS BRANCHES'!B18</f>
        <v/>
      </c>
      <c r="C18" s="239" t="str">
        <f>IF(COUNTIF($B18,""),,AVERAGE(VLOOKUP($A18,WAYPOINTS!A:C,2,FALSE),VLOOKUP($B18,WAYPOINTS!A:C,2,FALSE)))</f>
        <v/>
      </c>
      <c r="D18" s="239" t="str">
        <f>IF(COUNTIF($B18,""),,AVERAGE(VLOOKUP($A18,WAYPOINTS!A:C,3,FALSE),VLOOKUP($B18,WAYPOINTS!A:C,3,FALSE)))</f>
        <v/>
      </c>
      <c r="E18" s="239" t="str">
        <f t="shared" si="1"/>
        <v/>
      </c>
      <c r="F18" s="240" t="str">
        <f>IFERROR(__xludf.DUMMYFUNCTION("IF(COUNTIF(B18,""""),,IF(ISERROR(E18),SPLIT(""0_0"",""_""),SPLIT(E18,""_"")))"),"")</f>
        <v/>
      </c>
      <c r="G18" s="240"/>
      <c r="L18" s="106">
        <v>27.0</v>
      </c>
      <c r="M18" s="226">
        <f t="shared" si="2"/>
        <v>15</v>
      </c>
      <c r="N18" s="226" t="str">
        <f t="shared" si="3"/>
        <v>2024-12-32</v>
      </c>
      <c r="O18" s="226" t="str">
        <f t="shared" si="4"/>
        <v>2024-12-32 15</v>
      </c>
      <c r="Q18" s="106">
        <v>1125.0</v>
      </c>
    </row>
    <row r="19">
      <c r="A19" s="223" t="str">
        <f t="shared" si="5"/>
        <v/>
      </c>
      <c r="B19" s="199" t="str">
        <f>'CALCULS BRANCHES'!B19</f>
        <v/>
      </c>
      <c r="C19" s="239" t="str">
        <f>IF(COUNTIF($B19,""),,AVERAGE(VLOOKUP($A19,WAYPOINTS!A:C,2,FALSE),VLOOKUP($B19,WAYPOINTS!A:C,2,FALSE)))</f>
        <v/>
      </c>
      <c r="D19" s="239" t="str">
        <f>IF(COUNTIF($B19,""),,AVERAGE(VLOOKUP($A19,WAYPOINTS!A:C,3,FALSE),VLOOKUP($B19,WAYPOINTS!A:C,3,FALSE)))</f>
        <v/>
      </c>
      <c r="E19" s="239" t="str">
        <f t="shared" si="1"/>
        <v/>
      </c>
      <c r="F19" s="240" t="str">
        <f>IFERROR(__xludf.DUMMYFUNCTION("IF(COUNTIF(B19,""""),,IF(ISERROR(E19),SPLIT(""0_0"",""_""),SPLIT(E19,""_"")))"),"")</f>
        <v/>
      </c>
      <c r="G19" s="240"/>
      <c r="I19" s="259" t="s">
        <v>166</v>
      </c>
      <c r="L19" s="106">
        <v>30.0</v>
      </c>
      <c r="M19" s="226">
        <f t="shared" si="2"/>
        <v>18</v>
      </c>
      <c r="N19" s="226" t="str">
        <f t="shared" si="3"/>
        <v>2024-12-32</v>
      </c>
      <c r="O19" s="226" t="str">
        <f t="shared" si="4"/>
        <v>2024-12-32 18</v>
      </c>
      <c r="Q19" s="106">
        <v>1250.0</v>
      </c>
    </row>
    <row r="20">
      <c r="I20" s="85" t="s">
        <v>43</v>
      </c>
      <c r="J20" s="84">
        <v>15.0</v>
      </c>
      <c r="K20" s="86" t="s">
        <v>44</v>
      </c>
      <c r="L20" s="106">
        <v>33.0</v>
      </c>
      <c r="M20" s="226">
        <f t="shared" si="2"/>
        <v>21</v>
      </c>
      <c r="N20" s="226" t="str">
        <f t="shared" si="3"/>
        <v>2024-12-32</v>
      </c>
      <c r="O20" s="226" t="str">
        <f t="shared" si="4"/>
        <v>2024-12-32 21</v>
      </c>
      <c r="Q20" s="106">
        <v>1375.0</v>
      </c>
    </row>
    <row r="21">
      <c r="E21" s="198" t="s">
        <v>167</v>
      </c>
      <c r="F21" s="260">
        <f t="shared" ref="F21:G21" si="6">AVERAGE(F2:F19)</f>
        <v>0</v>
      </c>
      <c r="G21" s="260">
        <f t="shared" si="6"/>
        <v>0</v>
      </c>
      <c r="I21" s="85" t="s">
        <v>52</v>
      </c>
      <c r="J21" s="84">
        <v>336.0</v>
      </c>
      <c r="K21" s="86" t="s">
        <v>46</v>
      </c>
      <c r="L21" s="106">
        <v>36.0</v>
      </c>
      <c r="M21" s="226">
        <f t="shared" si="2"/>
        <v>0</v>
      </c>
      <c r="N21" s="226" t="str">
        <f t="shared" si="3"/>
        <v>2024-12-33</v>
      </c>
      <c r="O21" s="226" t="str">
        <f t="shared" si="4"/>
        <v>2024-12-33 00</v>
      </c>
      <c r="Q21" s="106">
        <v>1500.0</v>
      </c>
    </row>
    <row r="22">
      <c r="L22" s="106">
        <v>39.0</v>
      </c>
      <c r="M22" s="226">
        <f t="shared" si="2"/>
        <v>3</v>
      </c>
      <c r="N22" s="226" t="str">
        <f t="shared" si="3"/>
        <v>2024-12-33</v>
      </c>
      <c r="O22" s="226" t="str">
        <f t="shared" si="4"/>
        <v>2024-12-33 03</v>
      </c>
      <c r="Q22" s="106">
        <v>1750.0</v>
      </c>
    </row>
    <row r="23">
      <c r="B23" s="261" t="s">
        <v>169</v>
      </c>
      <c r="C23" s="261">
        <v>48.0</v>
      </c>
      <c r="D23" s="261">
        <v>0.5</v>
      </c>
      <c r="L23" s="106">
        <v>42.0</v>
      </c>
      <c r="M23" s="226">
        <f t="shared" si="2"/>
        <v>6</v>
      </c>
      <c r="N23" s="226" t="str">
        <f t="shared" si="3"/>
        <v>2024-12-33</v>
      </c>
      <c r="O23" s="226" t="str">
        <f t="shared" si="4"/>
        <v>2024-12-33 06</v>
      </c>
      <c r="Q23" s="106">
        <v>2000.0</v>
      </c>
    </row>
    <row r="24">
      <c r="B24" s="261" t="s">
        <v>170</v>
      </c>
      <c r="C24" s="261">
        <v>51.0</v>
      </c>
      <c r="D24" s="261">
        <v>3.0</v>
      </c>
      <c r="L24" s="106">
        <v>45.0</v>
      </c>
      <c r="M24" s="226">
        <f t="shared" si="2"/>
        <v>9</v>
      </c>
      <c r="N24" s="226" t="str">
        <f t="shared" si="3"/>
        <v>2024-12-33</v>
      </c>
      <c r="O24" s="226" t="str">
        <f t="shared" si="4"/>
        <v>2024-12-33 09</v>
      </c>
      <c r="Q24" s="106">
        <v>2250.0</v>
      </c>
    </row>
    <row r="25">
      <c r="L25" s="106">
        <v>48.0</v>
      </c>
      <c r="M25" s="226">
        <f t="shared" si="2"/>
        <v>12</v>
      </c>
      <c r="N25" s="226" t="str">
        <f t="shared" si="3"/>
        <v>2024-12-33</v>
      </c>
      <c r="O25" s="226" t="str">
        <f t="shared" si="4"/>
        <v>2024-12-33 12</v>
      </c>
      <c r="Q25" s="106">
        <v>2500.0</v>
      </c>
    </row>
    <row r="26">
      <c r="L26" s="106">
        <v>51.0</v>
      </c>
      <c r="M26" s="226">
        <f t="shared" si="2"/>
        <v>15</v>
      </c>
      <c r="N26" s="226" t="str">
        <f t="shared" si="3"/>
        <v>2024-12-33</v>
      </c>
      <c r="O26" s="226" t="str">
        <f t="shared" si="4"/>
        <v>2024-12-33 15</v>
      </c>
      <c r="Q26" s="106">
        <v>2750.0</v>
      </c>
    </row>
    <row r="27">
      <c r="B27" s="261" t="s">
        <v>169</v>
      </c>
      <c r="C27" s="262">
        <f t="shared" ref="C27:D27" si="7">ROUNDDOWN((1-$C$29)* MIN(C$2:C$19),1)</f>
        <v>47.5</v>
      </c>
      <c r="D27" s="262">
        <f t="shared" si="7"/>
        <v>1.4</v>
      </c>
      <c r="L27" s="106">
        <v>54.0</v>
      </c>
      <c r="M27" s="226">
        <f t="shared" si="2"/>
        <v>18</v>
      </c>
      <c r="N27" s="226" t="str">
        <f t="shared" si="3"/>
        <v>2024-12-33</v>
      </c>
      <c r="O27" s="226" t="str">
        <f t="shared" si="4"/>
        <v>2024-12-33 18</v>
      </c>
      <c r="Q27" s="106">
        <v>3000.0</v>
      </c>
    </row>
    <row r="28">
      <c r="B28" s="261" t="s">
        <v>170</v>
      </c>
      <c r="C28" s="262">
        <f t="shared" ref="C28:D28" si="8">ROUNDUP((1+$C$29)* MAX(C$2:C$19),1)</f>
        <v>50</v>
      </c>
      <c r="D28" s="262">
        <f t="shared" si="8"/>
        <v>2</v>
      </c>
      <c r="L28" s="106">
        <v>57.0</v>
      </c>
      <c r="M28" s="226">
        <f t="shared" si="2"/>
        <v>21</v>
      </c>
      <c r="N28" s="226" t="str">
        <f t="shared" si="3"/>
        <v>2024-12-33</v>
      </c>
      <c r="O28" s="226" t="str">
        <f t="shared" si="4"/>
        <v>2024-12-33 21</v>
      </c>
    </row>
    <row r="29">
      <c r="B29" s="106" t="s">
        <v>171</v>
      </c>
      <c r="C29" s="263">
        <v>0.02</v>
      </c>
      <c r="L29" s="106">
        <v>60.0</v>
      </c>
      <c r="M29" s="226">
        <f t="shared" si="2"/>
        <v>0</v>
      </c>
      <c r="N29" s="226" t="str">
        <f t="shared" si="3"/>
        <v>2024-12-34</v>
      </c>
      <c r="O29" s="226" t="str">
        <f t="shared" si="4"/>
        <v>2024-12-34 00</v>
      </c>
    </row>
    <row r="30">
      <c r="L30" s="106">
        <v>63.0</v>
      </c>
      <c r="M30" s="226">
        <f t="shared" si="2"/>
        <v>3</v>
      </c>
      <c r="N30" s="226" t="str">
        <f t="shared" si="3"/>
        <v>2024-12-34</v>
      </c>
      <c r="O30" s="226" t="str">
        <f t="shared" si="4"/>
        <v>2024-12-34 03</v>
      </c>
    </row>
    <row r="31">
      <c r="L31" s="106">
        <v>66.0</v>
      </c>
      <c r="M31" s="226">
        <f t="shared" si="2"/>
        <v>6</v>
      </c>
      <c r="N31" s="226" t="str">
        <f t="shared" si="3"/>
        <v>2024-12-34</v>
      </c>
      <c r="O31" s="226" t="str">
        <f t="shared" si="4"/>
        <v>2024-12-34 06</v>
      </c>
    </row>
    <row r="32">
      <c r="L32" s="106">
        <v>69.0</v>
      </c>
      <c r="M32" s="226">
        <f t="shared" si="2"/>
        <v>9</v>
      </c>
      <c r="N32" s="226" t="str">
        <f t="shared" si="3"/>
        <v>2024-12-34</v>
      </c>
      <c r="O32" s="226" t="str">
        <f t="shared" si="4"/>
        <v>2024-12-34 09</v>
      </c>
    </row>
    <row r="33">
      <c r="L33" s="106">
        <v>72.0</v>
      </c>
      <c r="M33" s="226">
        <f t="shared" si="2"/>
        <v>12</v>
      </c>
      <c r="N33" s="226" t="str">
        <f t="shared" si="3"/>
        <v>2024-12-34</v>
      </c>
      <c r="O33" s="226" t="str">
        <f t="shared" si="4"/>
        <v>2024-12-34 12</v>
      </c>
    </row>
    <row r="34">
      <c r="L34" s="106">
        <v>78.0</v>
      </c>
      <c r="M34" s="226">
        <f t="shared" si="2"/>
        <v>18</v>
      </c>
      <c r="N34" s="226" t="str">
        <f t="shared" si="3"/>
        <v>2024-12-34</v>
      </c>
      <c r="O34" s="226" t="str">
        <f t="shared" si="4"/>
        <v>2024-12-34 18</v>
      </c>
    </row>
    <row r="35">
      <c r="L35" s="106">
        <v>84.0</v>
      </c>
      <c r="M35" s="226">
        <f t="shared" si="2"/>
        <v>0</v>
      </c>
      <c r="N35" s="226" t="str">
        <f t="shared" si="3"/>
        <v>2024-12-35</v>
      </c>
      <c r="O35" s="226" t="str">
        <f t="shared" si="4"/>
        <v>2024-12-35 00</v>
      </c>
    </row>
    <row r="36">
      <c r="L36" s="106">
        <v>90.0</v>
      </c>
      <c r="M36" s="226">
        <f t="shared" si="2"/>
        <v>6</v>
      </c>
      <c r="N36" s="226" t="str">
        <f t="shared" si="3"/>
        <v>2024-12-35</v>
      </c>
      <c r="O36" s="226" t="str">
        <f t="shared" si="4"/>
        <v>2024-12-35 06</v>
      </c>
    </row>
    <row r="37">
      <c r="L37" s="106">
        <v>96.0</v>
      </c>
      <c r="M37" s="226">
        <f t="shared" si="2"/>
        <v>12</v>
      </c>
      <c r="N37" s="226" t="str">
        <f t="shared" si="3"/>
        <v>2024-12-35</v>
      </c>
      <c r="O37" s="226" t="str">
        <f t="shared" si="4"/>
        <v>2024-12-35 12</v>
      </c>
    </row>
    <row r="38">
      <c r="L38" s="106">
        <v>102.0</v>
      </c>
      <c r="M38" s="226">
        <f t="shared" si="2"/>
        <v>18</v>
      </c>
      <c r="N38" s="226" t="str">
        <f t="shared" si="3"/>
        <v>2024-12-35</v>
      </c>
      <c r="O38" s="226" t="str">
        <f t="shared" si="4"/>
        <v>2024-12-35 18</v>
      </c>
    </row>
    <row r="39">
      <c r="L39" s="106">
        <v>108.0</v>
      </c>
      <c r="M39" s="226">
        <f t="shared" si="2"/>
        <v>0</v>
      </c>
      <c r="N39" s="226" t="str">
        <f t="shared" si="3"/>
        <v>2024-12-36</v>
      </c>
      <c r="O39" s="226" t="str">
        <f t="shared" si="4"/>
        <v>2024-12-36 00</v>
      </c>
    </row>
    <row r="40">
      <c r="L40" s="106">
        <v>114.0</v>
      </c>
      <c r="M40" s="226">
        <f t="shared" si="2"/>
        <v>6</v>
      </c>
      <c r="N40" s="226" t="str">
        <f t="shared" si="3"/>
        <v>2024-12-36</v>
      </c>
      <c r="O40" s="226" t="str">
        <f t="shared" si="4"/>
        <v>2024-12-36 06</v>
      </c>
    </row>
  </sheetData>
  <dataValidations>
    <dataValidation type="list" allowBlank="1" showDropDown="1" showErrorMessage="1" sqref="J3">
      <formula1>WINTEM!$O$2:$O$40</formula1>
    </dataValidation>
    <dataValidation type="list" allowBlank="1" showDropDown="1" showErrorMessage="1" sqref="J15">
      <formula1>WINTEM!$K$15:$K$17</formula1>
    </dataValidation>
    <dataValidation type="list" allowBlank="1" showDropDown="1" showErrorMessage="1" sqref="A2:B2 B3:B19">
      <formula1>WAYPOINTS!$A:$A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workbookViewId="0"/>
  </sheetViews>
  <sheetFormatPr customHeight="1" defaultColWidth="14.43" defaultRowHeight="15.75"/>
  <cols>
    <col customWidth="1" min="1" max="1" width="15.71"/>
    <col customWidth="1" min="2" max="9" width="14.43"/>
  </cols>
  <sheetData>
    <row r="1">
      <c r="A1" s="264" t="s">
        <v>172</v>
      </c>
      <c r="B1" s="265"/>
      <c r="C1" s="265"/>
      <c r="D1" s="265"/>
      <c r="E1" s="265"/>
      <c r="F1" s="265"/>
      <c r="G1" s="265"/>
    </row>
    <row r="2">
      <c r="A2" s="266"/>
      <c r="B2" s="265"/>
      <c r="C2" s="266"/>
      <c r="D2" s="265"/>
      <c r="E2" s="265"/>
      <c r="F2" s="265"/>
      <c r="G2" s="265"/>
    </row>
    <row r="3">
      <c r="A3" s="267" t="s">
        <v>173</v>
      </c>
      <c r="B3" s="268" t="s">
        <v>15</v>
      </c>
      <c r="C3" s="269" t="s">
        <v>29</v>
      </c>
      <c r="D3" s="270"/>
      <c r="E3" s="267" t="s">
        <v>174</v>
      </c>
      <c r="F3" s="271">
        <f>LOG!M31</f>
        <v>16.35855236</v>
      </c>
      <c r="G3" s="265"/>
    </row>
    <row r="4">
      <c r="A4" s="270"/>
      <c r="B4" s="270"/>
      <c r="C4" s="270"/>
      <c r="D4" s="270"/>
      <c r="E4" s="270"/>
      <c r="F4" s="270"/>
      <c r="G4" s="265"/>
    </row>
    <row r="5">
      <c r="A5" s="272" t="s">
        <v>175</v>
      </c>
      <c r="B5" s="273" t="s">
        <v>176</v>
      </c>
      <c r="C5" s="273" t="s">
        <v>177</v>
      </c>
      <c r="D5" s="273" t="s">
        <v>178</v>
      </c>
      <c r="E5" s="273" t="s">
        <v>179</v>
      </c>
      <c r="F5" s="274" t="s">
        <v>180</v>
      </c>
      <c r="G5" s="265"/>
    </row>
    <row r="6">
      <c r="A6" s="275">
        <v>10.0</v>
      </c>
      <c r="B6" s="276">
        <f>SUM('CALCULS BRANCHES'!AG2:AG19)-VLOOKUP(C8,'CALCULS BRANCHES'!B2:AJ19,32,FALSE)</f>
        <v>23.52</v>
      </c>
      <c r="C6" s="276">
        <f>SUM('CALCULS BRANCHES'!AH2:AH19)-SUM('CALCULS BRANCHES'!AG2:AG19)-(VLOOKUP(C8,'CALCULS BRANCHES'!B2:AJ19,33,FALSE)-VLOOKUP(C8,'CALCULS BRANCHES'!B2:AJ19,32,FALSE))</f>
        <v>-1.785346014</v>
      </c>
      <c r="D6" s="277">
        <v>0.0</v>
      </c>
      <c r="E6" s="277">
        <v>10.0</v>
      </c>
      <c r="F6" s="278">
        <f>IF(C6&lt;0, SUM(A6:E6)-C6,SUM(A6:E6))</f>
        <v>43.52</v>
      </c>
      <c r="G6" s="279" t="s">
        <v>169</v>
      </c>
    </row>
    <row r="7">
      <c r="A7" s="265"/>
      <c r="B7" s="265"/>
      <c r="C7" s="265"/>
      <c r="D7" s="265"/>
      <c r="E7" s="265"/>
      <c r="F7" s="265"/>
      <c r="G7" s="265"/>
    </row>
    <row r="8">
      <c r="B8" s="280" t="s">
        <v>181</v>
      </c>
      <c r="C8" s="281" t="s">
        <v>34</v>
      </c>
      <c r="D8" s="265"/>
      <c r="E8" s="265"/>
      <c r="F8" s="265"/>
      <c r="G8" s="265"/>
    </row>
    <row r="9">
      <c r="A9" s="265"/>
      <c r="B9" s="265"/>
      <c r="C9" s="280" t="s">
        <v>169</v>
      </c>
      <c r="D9" s="265"/>
      <c r="E9" s="265"/>
      <c r="F9" s="265"/>
      <c r="G9" s="265"/>
    </row>
    <row r="10">
      <c r="A10" s="282" t="s">
        <v>180</v>
      </c>
      <c r="B10" s="283"/>
      <c r="C10" s="284">
        <f>F6</f>
        <v>43.52</v>
      </c>
      <c r="D10" s="265"/>
      <c r="E10" s="265"/>
      <c r="F10" s="265"/>
      <c r="G10" s="265"/>
    </row>
    <row r="11">
      <c r="A11" s="285" t="s">
        <v>182</v>
      </c>
      <c r="B11" s="286"/>
      <c r="C11" s="287">
        <f>MAX(VLOOKUP(C8,'CALCULS BRANCHES'!B2:AJ19,32,FALSE),VLOOKUP(C8,'CALCULS BRANCHES'!B2:AJ19,33,FALSE))</f>
        <v>11.43503287</v>
      </c>
      <c r="D11" s="265"/>
      <c r="E11" s="265"/>
      <c r="F11" s="265"/>
      <c r="G11" s="265"/>
    </row>
    <row r="12">
      <c r="A12" s="288" t="s">
        <v>183</v>
      </c>
      <c r="B12" s="82"/>
      <c r="C12" s="289">
        <v>30.0</v>
      </c>
      <c r="D12" s="265"/>
      <c r="E12" s="265"/>
      <c r="F12" s="265"/>
      <c r="G12" s="265"/>
    </row>
    <row r="13">
      <c r="A13" s="290" t="s">
        <v>184</v>
      </c>
      <c r="B13" s="291"/>
      <c r="C13" s="292">
        <v>30.0</v>
      </c>
      <c r="D13" s="265"/>
      <c r="E13" s="265"/>
      <c r="F13" s="265"/>
      <c r="G13" s="265"/>
    </row>
    <row r="14">
      <c r="A14" s="265"/>
      <c r="B14" s="265"/>
      <c r="C14" s="265"/>
      <c r="D14" s="265"/>
      <c r="E14" s="265"/>
      <c r="F14" s="265"/>
      <c r="G14" s="265"/>
    </row>
    <row r="15">
      <c r="A15" s="293" t="s">
        <v>185</v>
      </c>
      <c r="C15" s="294" t="s">
        <v>186</v>
      </c>
      <c r="D15" s="280" t="s">
        <v>39</v>
      </c>
      <c r="E15" s="265"/>
      <c r="F15" s="295"/>
      <c r="G15" s="265"/>
    </row>
    <row r="16">
      <c r="A16" s="296" t="s">
        <v>187</v>
      </c>
      <c r="B16" s="297"/>
      <c r="C16" s="298">
        <f>SUM(C10:C13)/1440</f>
        <v>0.07982988394</v>
      </c>
      <c r="D16" s="299">
        <f>C16*1440/60*F3</f>
        <v>31.34163206</v>
      </c>
      <c r="E16" s="265"/>
      <c r="F16" s="265"/>
      <c r="G16" s="265"/>
    </row>
    <row r="19" hidden="1">
      <c r="A19" s="300"/>
      <c r="B19" s="300"/>
      <c r="C19" s="301" t="s">
        <v>186</v>
      </c>
      <c r="D19" s="301" t="s">
        <v>169</v>
      </c>
      <c r="E19" s="300"/>
      <c r="F19" s="300"/>
      <c r="G19" s="300"/>
    </row>
    <row r="20" hidden="1">
      <c r="A20" s="302">
        <v>26.0</v>
      </c>
      <c r="B20" s="303" t="s">
        <v>48</v>
      </c>
      <c r="C20" s="304">
        <f>LOG!D26</f>
        <v>0.006944444444</v>
      </c>
      <c r="D20" s="305">
        <f t="shared" ref="D20:D24" si="1">C20*1440</f>
        <v>10</v>
      </c>
      <c r="E20" s="300"/>
      <c r="F20" s="306" t="s">
        <v>188</v>
      </c>
      <c r="G20" s="307">
        <f>SUM(D20:D22)</f>
        <v>53.16968686</v>
      </c>
    </row>
    <row r="21" hidden="1">
      <c r="A21" s="302">
        <v>27.0</v>
      </c>
      <c r="B21" s="303" t="s">
        <v>54</v>
      </c>
      <c r="C21" s="304">
        <f>LOG!D27</f>
        <v>0.02303450476</v>
      </c>
      <c r="D21" s="308">
        <f t="shared" si="1"/>
        <v>33.16968686</v>
      </c>
      <c r="E21" s="300"/>
      <c r="F21" s="306" t="s">
        <v>189</v>
      </c>
      <c r="G21" s="309">
        <f>D21</f>
        <v>33.16968686</v>
      </c>
    </row>
    <row r="22" hidden="1">
      <c r="A22" s="302">
        <v>28.0</v>
      </c>
      <c r="B22" s="303" t="s">
        <v>61</v>
      </c>
      <c r="C22" s="304">
        <f>LOG!D28</f>
        <v>0.006944444444</v>
      </c>
      <c r="D22" s="305">
        <f t="shared" si="1"/>
        <v>10</v>
      </c>
      <c r="E22" s="300"/>
      <c r="F22" s="306" t="s">
        <v>190</v>
      </c>
      <c r="G22" s="310">
        <f t="shared" ref="G22:G23" si="2">D23</f>
        <v>30</v>
      </c>
    </row>
    <row r="23" hidden="1">
      <c r="A23" s="302">
        <v>29.0</v>
      </c>
      <c r="B23" s="311" t="s">
        <v>65</v>
      </c>
      <c r="C23" s="312">
        <f>LOG!D29</f>
        <v>0.02083333333</v>
      </c>
      <c r="D23" s="313">
        <f t="shared" si="1"/>
        <v>30</v>
      </c>
      <c r="E23" s="300"/>
      <c r="F23" s="306" t="s">
        <v>191</v>
      </c>
      <c r="G23" s="314">
        <f t="shared" si="2"/>
        <v>30</v>
      </c>
    </row>
    <row r="24" hidden="1">
      <c r="A24" s="302">
        <v>30.0</v>
      </c>
      <c r="B24" s="315" t="s">
        <v>68</v>
      </c>
      <c r="C24" s="316">
        <f>LOG!D30</f>
        <v>0.02083333333</v>
      </c>
      <c r="D24" s="317">
        <f t="shared" si="1"/>
        <v>30</v>
      </c>
      <c r="E24" s="300"/>
      <c r="F24" s="318"/>
      <c r="G24" s="319"/>
    </row>
    <row r="25">
      <c r="A25" s="106" t="s">
        <v>192</v>
      </c>
      <c r="B25" s="320" t="s">
        <v>193</v>
      </c>
    </row>
  </sheetData>
  <mergeCells count="3">
    <mergeCell ref="A12:B12"/>
    <mergeCell ref="A15:B15"/>
    <mergeCell ref="A16:B16"/>
  </mergeCells>
  <printOptions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4.43" defaultRowHeight="15.75"/>
  <sheetData>
    <row r="1">
      <c r="A1" s="198" t="s">
        <v>98</v>
      </c>
      <c r="B1" s="198" t="s">
        <v>99</v>
      </c>
      <c r="C1" s="198" t="s">
        <v>112</v>
      </c>
      <c r="D1" s="198" t="s">
        <v>194</v>
      </c>
      <c r="E1" s="198">
        <v>3000.0</v>
      </c>
      <c r="F1" s="198">
        <v>4000.0</v>
      </c>
      <c r="G1" s="198">
        <v>5000.0</v>
      </c>
      <c r="H1" s="198">
        <v>6000.0</v>
      </c>
      <c r="I1" s="198">
        <v>7000.0</v>
      </c>
      <c r="J1" s="198">
        <v>8000.0</v>
      </c>
      <c r="K1" s="198">
        <v>9000.0</v>
      </c>
      <c r="L1" s="198">
        <v>10000.0</v>
      </c>
      <c r="M1" s="198">
        <v>12000.0</v>
      </c>
      <c r="N1" s="198" t="s">
        <v>57</v>
      </c>
    </row>
    <row r="2">
      <c r="A2" s="226" t="str">
        <f>'CALCULS BRANCHES'!A2</f>
        <v>LFXU</v>
      </c>
      <c r="B2" s="226" t="str">
        <f>'CALCULS BRANCHES'!B2</f>
        <v>PTSW</v>
      </c>
      <c r="C2" s="321">
        <f>'CALCULS BRANCHES'!O2</f>
        <v>2273.8952</v>
      </c>
      <c r="D2" s="321">
        <f>'CALCULS BRANCHES'!AB2</f>
        <v>100</v>
      </c>
      <c r="E2" s="322">
        <f>FORECAST($D2,CTLS_FF!FF3K,CTLS_FF!VP3K)</f>
        <v>13.28013514</v>
      </c>
      <c r="F2" s="322">
        <f>FORECAST($D2,CTLS_FF!FF4K,CTLS_FF!VP4K)</f>
        <v>13.40391892</v>
      </c>
      <c r="G2" s="322">
        <f>FORECAST($D2,CTLS_FF!FF5K,CTLS_FF!VP5K)</f>
        <v>13.64501348</v>
      </c>
      <c r="H2" s="322">
        <f>FORECAST($D2,CTLS_FF!FF6K,CTLS_FF!VP6K)</f>
        <v>13.76347347</v>
      </c>
      <c r="I2" s="322">
        <f>FORECAST($D2,CTLS_FF!FF7K,CTLS_FF!VP7K)</f>
        <v>14.07221172</v>
      </c>
      <c r="J2" s="322">
        <f>FORECAST($D2,CTLS_FF!FF8K,CTLS_FF!VP8K)</f>
        <v>14.43741935</v>
      </c>
      <c r="K2" s="322">
        <f>FORECAST($D2,CTLS_FF!FF9K,CTLS_FF!VP9K)</f>
        <v>14.7674987</v>
      </c>
      <c r="L2" s="322">
        <f>FORECAST($D2,CTLS_FF!FF10K,CTLS_FF!VP10K)</f>
        <v>15.15535019</v>
      </c>
      <c r="M2" s="322">
        <f>FORECAST($D2,CTLS_FF!FF12K,CTLS_FF!VP12K)</f>
        <v>15.85172414</v>
      </c>
      <c r="N2" s="323">
        <f t="shared" ref="N2:N19" si="1">IF(C2&lt;3000,E2,FORECAST(C2,E2:M2,E$1:M$1))</f>
        <v>13.28013514</v>
      </c>
    </row>
    <row r="3">
      <c r="A3" s="226" t="str">
        <f>'CALCULS BRANCHES'!A3</f>
        <v>PTSW</v>
      </c>
      <c r="B3" s="226" t="str">
        <f>'CALCULS BRANCHES'!B3</f>
        <v>MEZER</v>
      </c>
      <c r="C3" s="321">
        <f>'CALCULS BRANCHES'!O3</f>
        <v>2273.8952</v>
      </c>
      <c r="D3" s="321">
        <f>'CALCULS BRANCHES'!AB3</f>
        <v>100</v>
      </c>
      <c r="E3" s="322">
        <f>FORECAST($D3,CTLS_FF!FF3K,CTLS_FF!VP3K)</f>
        <v>13.28013514</v>
      </c>
      <c r="F3" s="322">
        <f>FORECAST($D3,CTLS_FF!FF4K,CTLS_FF!VP4K)</f>
        <v>13.40391892</v>
      </c>
      <c r="G3" s="322">
        <f>FORECAST($D3,CTLS_FF!FF5K,CTLS_FF!VP5K)</f>
        <v>13.64501348</v>
      </c>
      <c r="H3" s="322">
        <f>FORECAST($D3,CTLS_FF!FF6K,CTLS_FF!VP6K)</f>
        <v>13.76347347</v>
      </c>
      <c r="I3" s="322">
        <f>FORECAST($D3,CTLS_FF!FF7K,CTLS_FF!VP7K)</f>
        <v>14.07221172</v>
      </c>
      <c r="J3" s="322">
        <f>FORECAST($D3,CTLS_FF!FF8K,CTLS_FF!VP8K)</f>
        <v>14.43741935</v>
      </c>
      <c r="K3" s="322">
        <f>FORECAST($D3,CTLS_FF!FF9K,CTLS_FF!VP9K)</f>
        <v>14.7674987</v>
      </c>
      <c r="L3" s="322">
        <f>FORECAST($D3,CTLS_FF!FF10K,CTLS_FF!VP10K)</f>
        <v>15.15535019</v>
      </c>
      <c r="M3" s="322">
        <f>FORECAST($D3,CTLS_FF!FF12K,CTLS_FF!VP12K)</f>
        <v>15.85172414</v>
      </c>
      <c r="N3" s="323">
        <f t="shared" si="1"/>
        <v>13.28013514</v>
      </c>
    </row>
    <row r="4">
      <c r="A4" s="226" t="str">
        <f>'CALCULS BRANCHES'!A4</f>
        <v>MEZER</v>
      </c>
      <c r="B4" s="226" t="str">
        <f>'CALCULS BRANCHES'!B4</f>
        <v>N12HE</v>
      </c>
      <c r="C4" s="321">
        <f>'CALCULS BRANCHES'!O4</f>
        <v>2273.8952</v>
      </c>
      <c r="D4" s="321">
        <f>'CALCULS BRANCHES'!AB4</f>
        <v>100</v>
      </c>
      <c r="E4" s="322">
        <f>FORECAST($D4,CTLS_FF!FF3K,CTLS_FF!VP3K)</f>
        <v>13.28013514</v>
      </c>
      <c r="F4" s="322">
        <f>FORECAST($D4,CTLS_FF!FF4K,CTLS_FF!VP4K)</f>
        <v>13.40391892</v>
      </c>
      <c r="G4" s="322">
        <f>FORECAST($D4,CTLS_FF!FF5K,CTLS_FF!VP5K)</f>
        <v>13.64501348</v>
      </c>
      <c r="H4" s="322">
        <f>FORECAST($D4,CTLS_FF!FF6K,CTLS_FF!VP6K)</f>
        <v>13.76347347</v>
      </c>
      <c r="I4" s="322">
        <f>FORECAST($D4,CTLS_FF!FF7K,CTLS_FF!VP7K)</f>
        <v>14.07221172</v>
      </c>
      <c r="J4" s="322">
        <f>FORECAST($D4,CTLS_FF!FF8K,CTLS_FF!VP8K)</f>
        <v>14.43741935</v>
      </c>
      <c r="K4" s="322">
        <f>FORECAST($D4,CTLS_FF!FF9K,CTLS_FF!VP9K)</f>
        <v>14.7674987</v>
      </c>
      <c r="L4" s="322">
        <f>FORECAST($D4,CTLS_FF!FF10K,CTLS_FF!VP10K)</f>
        <v>15.15535019</v>
      </c>
      <c r="M4" s="322">
        <f>FORECAST($D4,CTLS_FF!FF12K,CTLS_FF!VP12K)</f>
        <v>15.85172414</v>
      </c>
      <c r="N4" s="323">
        <f t="shared" si="1"/>
        <v>13.28013514</v>
      </c>
    </row>
    <row r="5">
      <c r="A5" s="226" t="str">
        <f>'CALCULS BRANCHES'!A5</f>
        <v>N12HE</v>
      </c>
      <c r="B5" s="226" t="str">
        <f>'CALCULS BRANCHES'!B5</f>
        <v>EPR</v>
      </c>
      <c r="C5" s="321">
        <f>'CALCULS BRANCHES'!O5</f>
        <v>2273.8952</v>
      </c>
      <c r="D5" s="321">
        <f>'CALCULS BRANCHES'!AB5</f>
        <v>100</v>
      </c>
      <c r="E5" s="322">
        <f>FORECAST($D5,CTLS_FF!FF3K,CTLS_FF!VP3K)</f>
        <v>13.28013514</v>
      </c>
      <c r="F5" s="322">
        <f>FORECAST($D5,CTLS_FF!FF4K,CTLS_FF!VP4K)</f>
        <v>13.40391892</v>
      </c>
      <c r="G5" s="322">
        <f>FORECAST($D5,CTLS_FF!FF5K,CTLS_FF!VP5K)</f>
        <v>13.64501348</v>
      </c>
      <c r="H5" s="322">
        <f>FORECAST($D5,CTLS_FF!FF6K,CTLS_FF!VP6K)</f>
        <v>13.76347347</v>
      </c>
      <c r="I5" s="322">
        <f>FORECAST($D5,CTLS_FF!FF7K,CTLS_FF!VP7K)</f>
        <v>14.07221172</v>
      </c>
      <c r="J5" s="322">
        <f>FORECAST($D5,CTLS_FF!FF8K,CTLS_FF!VP8K)</f>
        <v>14.43741935</v>
      </c>
      <c r="K5" s="322">
        <f>FORECAST($D5,CTLS_FF!FF9K,CTLS_FF!VP9K)</f>
        <v>14.7674987</v>
      </c>
      <c r="L5" s="322">
        <f>FORECAST($D5,CTLS_FF!FF10K,CTLS_FF!VP10K)</f>
        <v>15.15535019</v>
      </c>
      <c r="M5" s="322">
        <f>FORECAST($D5,CTLS_FF!FF12K,CTLS_FF!VP12K)</f>
        <v>15.85172414</v>
      </c>
      <c r="N5" s="323">
        <f t="shared" si="1"/>
        <v>13.28013514</v>
      </c>
    </row>
    <row r="6">
      <c r="A6" s="226" t="str">
        <f>'CALCULS BRANCHES'!A6</f>
        <v>EPR</v>
      </c>
      <c r="B6" s="226" t="str">
        <f>'CALCULS BRANCHES'!B6</f>
        <v>LFOR</v>
      </c>
      <c r="C6" s="321">
        <f>'CALCULS BRANCHES'!O6</f>
        <v>2773.8952</v>
      </c>
      <c r="D6" s="321">
        <f>'CALCULS BRANCHES'!AB6</f>
        <v>100</v>
      </c>
      <c r="E6" s="322">
        <f>FORECAST($D6,CTLS_FF!FF3K,CTLS_FF!VP3K)</f>
        <v>13.28013514</v>
      </c>
      <c r="F6" s="322">
        <f>FORECAST($D6,CTLS_FF!FF4K,CTLS_FF!VP4K)</f>
        <v>13.40391892</v>
      </c>
      <c r="G6" s="322">
        <f>FORECAST($D6,CTLS_FF!FF5K,CTLS_FF!VP5K)</f>
        <v>13.64501348</v>
      </c>
      <c r="H6" s="322">
        <f>FORECAST($D6,CTLS_FF!FF6K,CTLS_FF!VP6K)</f>
        <v>13.76347347</v>
      </c>
      <c r="I6" s="322">
        <f>FORECAST($D6,CTLS_FF!FF7K,CTLS_FF!VP7K)</f>
        <v>14.07221172</v>
      </c>
      <c r="J6" s="322">
        <f>FORECAST($D6,CTLS_FF!FF8K,CTLS_FF!VP8K)</f>
        <v>14.43741935</v>
      </c>
      <c r="K6" s="322">
        <f>FORECAST($D6,CTLS_FF!FF9K,CTLS_FF!VP9K)</f>
        <v>14.7674987</v>
      </c>
      <c r="L6" s="322">
        <f>FORECAST($D6,CTLS_FF!FF10K,CTLS_FF!VP10K)</f>
        <v>15.15535019</v>
      </c>
      <c r="M6" s="322">
        <f>FORECAST($D6,CTLS_FF!FF12K,CTLS_FF!VP12K)</f>
        <v>15.85172414</v>
      </c>
      <c r="N6" s="323">
        <f t="shared" si="1"/>
        <v>13.28013514</v>
      </c>
    </row>
    <row r="7">
      <c r="A7" s="226" t="str">
        <f>'CALCULS BRANCHES'!A7</f>
        <v>LFOR</v>
      </c>
      <c r="B7" s="226" t="str">
        <f>'CALCULS BRANCHES'!B7</f>
        <v>LFON</v>
      </c>
      <c r="C7" s="321">
        <f>'CALCULS BRANCHES'!O7</f>
        <v>2773.8952</v>
      </c>
      <c r="D7" s="321">
        <f>'CALCULS BRANCHES'!AB7</f>
        <v>100</v>
      </c>
      <c r="E7" s="322">
        <f>FORECAST($D7,CTLS_FF!FF3K,CTLS_FF!VP3K)</f>
        <v>13.28013514</v>
      </c>
      <c r="F7" s="322">
        <f>FORECAST($D7,CTLS_FF!FF4K,CTLS_FF!VP4K)</f>
        <v>13.40391892</v>
      </c>
      <c r="G7" s="322">
        <f>FORECAST($D7,CTLS_FF!FF5K,CTLS_FF!VP5K)</f>
        <v>13.64501348</v>
      </c>
      <c r="H7" s="322">
        <f>FORECAST($D7,CTLS_FF!FF6K,CTLS_FF!VP6K)</f>
        <v>13.76347347</v>
      </c>
      <c r="I7" s="322">
        <f>FORECAST($D7,CTLS_FF!FF7K,CTLS_FF!VP7K)</f>
        <v>14.07221172</v>
      </c>
      <c r="J7" s="322">
        <f>FORECAST($D7,CTLS_FF!FF8K,CTLS_FF!VP8K)</f>
        <v>14.43741935</v>
      </c>
      <c r="K7" s="322">
        <f>FORECAST($D7,CTLS_FF!FF9K,CTLS_FF!VP9K)</f>
        <v>14.7674987</v>
      </c>
      <c r="L7" s="322">
        <f>FORECAST($D7,CTLS_FF!FF10K,CTLS_FF!VP10K)</f>
        <v>15.15535019</v>
      </c>
      <c r="M7" s="322">
        <f>FORECAST($D7,CTLS_FF!FF12K,CTLS_FF!VP12K)</f>
        <v>15.85172414</v>
      </c>
      <c r="N7" s="323">
        <f t="shared" si="1"/>
        <v>13.28013514</v>
      </c>
    </row>
    <row r="8">
      <c r="A8" s="226" t="str">
        <f>'CALCULS BRANCHES'!A8</f>
        <v/>
      </c>
      <c r="B8" s="226" t="str">
        <f>'CALCULS BRANCHES'!B8</f>
        <v/>
      </c>
      <c r="C8" s="321" t="str">
        <f>'CALCULS BRANCHES'!O8</f>
        <v/>
      </c>
      <c r="D8" s="321" t="str">
        <f>'CALCULS BRANCHES'!AB8</f>
        <v/>
      </c>
      <c r="E8" s="322">
        <f>FORECAST($D8,CTLS_FF!FF3K,CTLS_FF!VP3K)</f>
        <v>-26.26040541</v>
      </c>
      <c r="F8" s="322">
        <f>FORECAST($D8,CTLS_FF!FF4K,CTLS_FF!VP4K)</f>
        <v>-24.27175676</v>
      </c>
      <c r="G8" s="322">
        <f>FORECAST($D8,CTLS_FF!FF5K,CTLS_FF!VP5K)</f>
        <v>-22.70269542</v>
      </c>
      <c r="H8" s="322">
        <f>FORECAST($D8,CTLS_FF!FF6K,CTLS_FF!VP6K)</f>
        <v>-21.00565127</v>
      </c>
      <c r="I8" s="322">
        <f>FORECAST($D8,CTLS_FF!FF7K,CTLS_FF!VP7K)</f>
        <v>-18.74442344</v>
      </c>
      <c r="J8" s="322">
        <f>FORECAST($D8,CTLS_FF!FF8K,CTLS_FF!VP8K)</f>
        <v>-13.77763441</v>
      </c>
      <c r="K8" s="322">
        <f>FORECAST($D8,CTLS_FF!FF9K,CTLS_FF!VP9K)</f>
        <v>-11.25954238</v>
      </c>
      <c r="L8" s="322">
        <f>FORECAST($D8,CTLS_FF!FF10K,CTLS_FF!VP10K)</f>
        <v>-7.840758755</v>
      </c>
      <c r="M8" s="322">
        <f>FORECAST($D8,CTLS_FF!FF12K,CTLS_FF!VP12K)</f>
        <v>-3.45862069</v>
      </c>
      <c r="N8" s="323">
        <f t="shared" si="1"/>
        <v>-26.26040541</v>
      </c>
    </row>
    <row r="9">
      <c r="A9" s="226" t="str">
        <f>'CALCULS BRANCHES'!A9</f>
        <v/>
      </c>
      <c r="B9" s="226" t="str">
        <f>'CALCULS BRANCHES'!B9</f>
        <v/>
      </c>
      <c r="C9" s="321" t="str">
        <f>'CALCULS BRANCHES'!O9</f>
        <v/>
      </c>
      <c r="D9" s="321" t="str">
        <f>'CALCULS BRANCHES'!AB9</f>
        <v/>
      </c>
      <c r="E9" s="322">
        <f>FORECAST($D9,CTLS_FF!FF3K,CTLS_FF!VP3K)</f>
        <v>-26.26040541</v>
      </c>
      <c r="F9" s="322">
        <f>FORECAST($D9,CTLS_FF!FF4K,CTLS_FF!VP4K)</f>
        <v>-24.27175676</v>
      </c>
      <c r="G9" s="322">
        <f>FORECAST($D9,CTLS_FF!FF5K,CTLS_FF!VP5K)</f>
        <v>-22.70269542</v>
      </c>
      <c r="H9" s="322">
        <f>FORECAST($D9,CTLS_FF!FF6K,CTLS_FF!VP6K)</f>
        <v>-21.00565127</v>
      </c>
      <c r="I9" s="322">
        <f>FORECAST($D9,CTLS_FF!FF7K,CTLS_FF!VP7K)</f>
        <v>-18.74442344</v>
      </c>
      <c r="J9" s="322">
        <f>FORECAST($D9,CTLS_FF!FF8K,CTLS_FF!VP8K)</f>
        <v>-13.77763441</v>
      </c>
      <c r="K9" s="322">
        <f>FORECAST($D9,CTLS_FF!FF9K,CTLS_FF!VP9K)</f>
        <v>-11.25954238</v>
      </c>
      <c r="L9" s="322">
        <f>FORECAST($D9,CTLS_FF!FF10K,CTLS_FF!VP10K)</f>
        <v>-7.840758755</v>
      </c>
      <c r="M9" s="322">
        <f>FORECAST($D9,CTLS_FF!FF12K,CTLS_FF!VP12K)</f>
        <v>-3.45862069</v>
      </c>
      <c r="N9" s="323">
        <f t="shared" si="1"/>
        <v>-26.26040541</v>
      </c>
    </row>
    <row r="10">
      <c r="A10" s="226" t="str">
        <f>'CALCULS BRANCHES'!A10</f>
        <v/>
      </c>
      <c r="B10" s="226" t="str">
        <f>'CALCULS BRANCHES'!B10</f>
        <v/>
      </c>
      <c r="C10" s="321" t="str">
        <f>'CALCULS BRANCHES'!O10</f>
        <v/>
      </c>
      <c r="D10" s="321" t="str">
        <f>'CALCULS BRANCHES'!AB10</f>
        <v/>
      </c>
      <c r="E10" s="322">
        <f>FORECAST($D10,CTLS_FF!FF3K,CTLS_FF!VP3K)</f>
        <v>-26.26040541</v>
      </c>
      <c r="F10" s="322">
        <f>FORECAST($D10,CTLS_FF!FF4K,CTLS_FF!VP4K)</f>
        <v>-24.27175676</v>
      </c>
      <c r="G10" s="322">
        <f>FORECAST($D10,CTLS_FF!FF5K,CTLS_FF!VP5K)</f>
        <v>-22.70269542</v>
      </c>
      <c r="H10" s="322">
        <f>FORECAST($D10,CTLS_FF!FF6K,CTLS_FF!VP6K)</f>
        <v>-21.00565127</v>
      </c>
      <c r="I10" s="322">
        <f>FORECAST($D10,CTLS_FF!FF7K,CTLS_FF!VP7K)</f>
        <v>-18.74442344</v>
      </c>
      <c r="J10" s="322">
        <f>FORECAST($D10,CTLS_FF!FF8K,CTLS_FF!VP8K)</f>
        <v>-13.77763441</v>
      </c>
      <c r="K10" s="322">
        <f>FORECAST($D10,CTLS_FF!FF9K,CTLS_FF!VP9K)</f>
        <v>-11.25954238</v>
      </c>
      <c r="L10" s="322">
        <f>FORECAST($D10,CTLS_FF!FF10K,CTLS_FF!VP10K)</f>
        <v>-7.840758755</v>
      </c>
      <c r="M10" s="322">
        <f>FORECAST($D10,CTLS_FF!FF12K,CTLS_FF!VP12K)</f>
        <v>-3.45862069</v>
      </c>
      <c r="N10" s="323">
        <f t="shared" si="1"/>
        <v>-26.26040541</v>
      </c>
    </row>
    <row r="11">
      <c r="A11" s="226" t="str">
        <f>'CALCULS BRANCHES'!A11</f>
        <v/>
      </c>
      <c r="B11" s="226" t="str">
        <f>'CALCULS BRANCHES'!B11</f>
        <v/>
      </c>
      <c r="C11" s="321" t="str">
        <f>'CALCULS BRANCHES'!O11</f>
        <v/>
      </c>
      <c r="D11" s="321" t="str">
        <f>'CALCULS BRANCHES'!AB11</f>
        <v/>
      </c>
      <c r="E11" s="322">
        <f>FORECAST($D11,CTLS_FF!FF3K,CTLS_FF!VP3K)</f>
        <v>-26.26040541</v>
      </c>
      <c r="F11" s="322">
        <f>FORECAST($D11,CTLS_FF!FF4K,CTLS_FF!VP4K)</f>
        <v>-24.27175676</v>
      </c>
      <c r="G11" s="322">
        <f>FORECAST($D11,CTLS_FF!FF5K,CTLS_FF!VP5K)</f>
        <v>-22.70269542</v>
      </c>
      <c r="H11" s="322">
        <f>FORECAST($D11,CTLS_FF!FF6K,CTLS_FF!VP6K)</f>
        <v>-21.00565127</v>
      </c>
      <c r="I11" s="322">
        <f>FORECAST($D11,CTLS_FF!FF7K,CTLS_FF!VP7K)</f>
        <v>-18.74442344</v>
      </c>
      <c r="J11" s="322">
        <f>FORECAST($D11,CTLS_FF!FF8K,CTLS_FF!VP8K)</f>
        <v>-13.77763441</v>
      </c>
      <c r="K11" s="322">
        <f>FORECAST($D11,CTLS_FF!FF9K,CTLS_FF!VP9K)</f>
        <v>-11.25954238</v>
      </c>
      <c r="L11" s="322">
        <f>FORECAST($D11,CTLS_FF!FF10K,CTLS_FF!VP10K)</f>
        <v>-7.840758755</v>
      </c>
      <c r="M11" s="322">
        <f>FORECAST($D11,CTLS_FF!FF12K,CTLS_FF!VP12K)</f>
        <v>-3.45862069</v>
      </c>
      <c r="N11" s="323">
        <f t="shared" si="1"/>
        <v>-26.26040541</v>
      </c>
    </row>
    <row r="12">
      <c r="A12" s="226" t="str">
        <f>'CALCULS BRANCHES'!A12</f>
        <v/>
      </c>
      <c r="B12" s="226" t="str">
        <f>'CALCULS BRANCHES'!B12</f>
        <v/>
      </c>
      <c r="C12" s="321" t="str">
        <f>'CALCULS BRANCHES'!O12</f>
        <v/>
      </c>
      <c r="D12" s="321" t="str">
        <f>'CALCULS BRANCHES'!AB12</f>
        <v/>
      </c>
      <c r="E12" s="322">
        <f>FORECAST($D12,CTLS_FF!FF3K,CTLS_FF!VP3K)</f>
        <v>-26.26040541</v>
      </c>
      <c r="F12" s="322">
        <f>FORECAST($D12,CTLS_FF!FF4K,CTLS_FF!VP4K)</f>
        <v>-24.27175676</v>
      </c>
      <c r="G12" s="322">
        <f>FORECAST($D12,CTLS_FF!FF5K,CTLS_FF!VP5K)</f>
        <v>-22.70269542</v>
      </c>
      <c r="H12" s="322">
        <f>FORECAST($D12,CTLS_FF!FF6K,CTLS_FF!VP6K)</f>
        <v>-21.00565127</v>
      </c>
      <c r="I12" s="322">
        <f>FORECAST($D12,CTLS_FF!FF7K,CTLS_FF!VP7K)</f>
        <v>-18.74442344</v>
      </c>
      <c r="J12" s="322">
        <f>FORECAST($D12,CTLS_FF!FF8K,CTLS_FF!VP8K)</f>
        <v>-13.77763441</v>
      </c>
      <c r="K12" s="322">
        <f>FORECAST($D12,CTLS_FF!FF9K,CTLS_FF!VP9K)</f>
        <v>-11.25954238</v>
      </c>
      <c r="L12" s="322">
        <f>FORECAST($D12,CTLS_FF!FF10K,CTLS_FF!VP10K)</f>
        <v>-7.840758755</v>
      </c>
      <c r="M12" s="322">
        <f>FORECAST($D12,CTLS_FF!FF12K,CTLS_FF!VP12K)</f>
        <v>-3.45862069</v>
      </c>
      <c r="N12" s="323">
        <f t="shared" si="1"/>
        <v>-26.26040541</v>
      </c>
    </row>
    <row r="13">
      <c r="A13" s="226" t="str">
        <f>'CALCULS BRANCHES'!A13</f>
        <v/>
      </c>
      <c r="B13" s="226" t="str">
        <f>'CALCULS BRANCHES'!B13</f>
        <v/>
      </c>
      <c r="C13" s="321" t="str">
        <f>'CALCULS BRANCHES'!O13</f>
        <v/>
      </c>
      <c r="D13" s="321" t="str">
        <f>'CALCULS BRANCHES'!AB13</f>
        <v/>
      </c>
      <c r="E13" s="322">
        <f>FORECAST($D13,CTLS_FF!FF3K,CTLS_FF!VP3K)</f>
        <v>-26.26040541</v>
      </c>
      <c r="F13" s="322">
        <f>FORECAST($D13,CTLS_FF!FF4K,CTLS_FF!VP4K)</f>
        <v>-24.27175676</v>
      </c>
      <c r="G13" s="322">
        <f>FORECAST($D13,CTLS_FF!FF5K,CTLS_FF!VP5K)</f>
        <v>-22.70269542</v>
      </c>
      <c r="H13" s="322">
        <f>FORECAST($D13,CTLS_FF!FF6K,CTLS_FF!VP6K)</f>
        <v>-21.00565127</v>
      </c>
      <c r="I13" s="322">
        <f>FORECAST($D13,CTLS_FF!FF7K,CTLS_FF!VP7K)</f>
        <v>-18.74442344</v>
      </c>
      <c r="J13" s="322">
        <f>FORECAST($D13,CTLS_FF!FF8K,CTLS_FF!VP8K)</f>
        <v>-13.77763441</v>
      </c>
      <c r="K13" s="322">
        <f>FORECAST($D13,CTLS_FF!FF9K,CTLS_FF!VP9K)</f>
        <v>-11.25954238</v>
      </c>
      <c r="L13" s="322">
        <f>FORECAST($D13,CTLS_FF!FF10K,CTLS_FF!VP10K)</f>
        <v>-7.840758755</v>
      </c>
      <c r="M13" s="322">
        <f>FORECAST($D13,CTLS_FF!FF12K,CTLS_FF!VP12K)</f>
        <v>-3.45862069</v>
      </c>
      <c r="N13" s="323">
        <f t="shared" si="1"/>
        <v>-26.26040541</v>
      </c>
    </row>
    <row r="14">
      <c r="A14" s="226" t="str">
        <f>'CALCULS BRANCHES'!A14</f>
        <v/>
      </c>
      <c r="B14" s="226" t="str">
        <f>'CALCULS BRANCHES'!B14</f>
        <v/>
      </c>
      <c r="C14" s="321" t="str">
        <f>'CALCULS BRANCHES'!O14</f>
        <v/>
      </c>
      <c r="D14" s="321" t="str">
        <f>'CALCULS BRANCHES'!AB14</f>
        <v/>
      </c>
      <c r="E14" s="322">
        <f>FORECAST($D14,CTLS_FF!FF3K,CTLS_FF!VP3K)</f>
        <v>-26.26040541</v>
      </c>
      <c r="F14" s="322">
        <f>FORECAST($D14,CTLS_FF!FF4K,CTLS_FF!VP4K)</f>
        <v>-24.27175676</v>
      </c>
      <c r="G14" s="322">
        <f>FORECAST($D14,CTLS_FF!FF5K,CTLS_FF!VP5K)</f>
        <v>-22.70269542</v>
      </c>
      <c r="H14" s="322">
        <f>FORECAST($D14,CTLS_FF!FF6K,CTLS_FF!VP6K)</f>
        <v>-21.00565127</v>
      </c>
      <c r="I14" s="322">
        <f>FORECAST($D14,CTLS_FF!FF7K,CTLS_FF!VP7K)</f>
        <v>-18.74442344</v>
      </c>
      <c r="J14" s="322">
        <f>FORECAST($D14,CTLS_FF!FF8K,CTLS_FF!VP8K)</f>
        <v>-13.77763441</v>
      </c>
      <c r="K14" s="322">
        <f>FORECAST($D14,CTLS_FF!FF9K,CTLS_FF!VP9K)</f>
        <v>-11.25954238</v>
      </c>
      <c r="L14" s="322">
        <f>FORECAST($D14,CTLS_FF!FF10K,CTLS_FF!VP10K)</f>
        <v>-7.840758755</v>
      </c>
      <c r="M14" s="322">
        <f>FORECAST($D14,CTLS_FF!FF12K,CTLS_FF!VP12K)</f>
        <v>-3.45862069</v>
      </c>
      <c r="N14" s="323">
        <f t="shared" si="1"/>
        <v>-26.26040541</v>
      </c>
    </row>
    <row r="15">
      <c r="A15" s="226" t="str">
        <f>'CALCULS BRANCHES'!A15</f>
        <v/>
      </c>
      <c r="B15" s="226" t="str">
        <f>'CALCULS BRANCHES'!B15</f>
        <v/>
      </c>
      <c r="C15" s="321" t="str">
        <f>'CALCULS BRANCHES'!O15</f>
        <v/>
      </c>
      <c r="D15" s="321" t="str">
        <f>'CALCULS BRANCHES'!AB15</f>
        <v/>
      </c>
      <c r="E15" s="322">
        <f>FORECAST($D15,CTLS_FF!FF3K,CTLS_FF!VP3K)</f>
        <v>-26.26040541</v>
      </c>
      <c r="F15" s="322">
        <f>FORECAST($D15,CTLS_FF!FF4K,CTLS_FF!VP4K)</f>
        <v>-24.27175676</v>
      </c>
      <c r="G15" s="322">
        <f>FORECAST($D15,CTLS_FF!FF5K,CTLS_FF!VP5K)</f>
        <v>-22.70269542</v>
      </c>
      <c r="H15" s="322">
        <f>FORECAST($D15,CTLS_FF!FF6K,CTLS_FF!VP6K)</f>
        <v>-21.00565127</v>
      </c>
      <c r="I15" s="322">
        <f>FORECAST($D15,CTLS_FF!FF7K,CTLS_FF!VP7K)</f>
        <v>-18.74442344</v>
      </c>
      <c r="J15" s="322">
        <f>FORECAST($D15,CTLS_FF!FF8K,CTLS_FF!VP8K)</f>
        <v>-13.77763441</v>
      </c>
      <c r="K15" s="322">
        <f>FORECAST($D15,CTLS_FF!FF9K,CTLS_FF!VP9K)</f>
        <v>-11.25954238</v>
      </c>
      <c r="L15" s="322">
        <f>FORECAST($D15,CTLS_FF!FF10K,CTLS_FF!VP10K)</f>
        <v>-7.840758755</v>
      </c>
      <c r="M15" s="322">
        <f>FORECAST($D15,CTLS_FF!FF12K,CTLS_FF!VP12K)</f>
        <v>-3.45862069</v>
      </c>
      <c r="N15" s="323">
        <f t="shared" si="1"/>
        <v>-26.26040541</v>
      </c>
    </row>
    <row r="16">
      <c r="A16" s="226" t="str">
        <f>'CALCULS BRANCHES'!A16</f>
        <v/>
      </c>
      <c r="B16" s="226" t="str">
        <f>'CALCULS BRANCHES'!B16</f>
        <v/>
      </c>
      <c r="C16" s="321" t="str">
        <f>'CALCULS BRANCHES'!O16</f>
        <v/>
      </c>
      <c r="D16" s="321" t="str">
        <f>'CALCULS BRANCHES'!AB16</f>
        <v/>
      </c>
      <c r="E16" s="322">
        <f>FORECAST($D16,CTLS_FF!FF3K,CTLS_FF!VP3K)</f>
        <v>-26.26040541</v>
      </c>
      <c r="F16" s="322">
        <f>FORECAST($D16,CTLS_FF!FF4K,CTLS_FF!VP4K)</f>
        <v>-24.27175676</v>
      </c>
      <c r="G16" s="322">
        <f>FORECAST($D16,CTLS_FF!FF5K,CTLS_FF!VP5K)</f>
        <v>-22.70269542</v>
      </c>
      <c r="H16" s="322">
        <f>FORECAST($D16,CTLS_FF!FF6K,CTLS_FF!VP6K)</f>
        <v>-21.00565127</v>
      </c>
      <c r="I16" s="322">
        <f>FORECAST($D16,CTLS_FF!FF7K,CTLS_FF!VP7K)</f>
        <v>-18.74442344</v>
      </c>
      <c r="J16" s="322">
        <f>FORECAST($D16,CTLS_FF!FF8K,CTLS_FF!VP8K)</f>
        <v>-13.77763441</v>
      </c>
      <c r="K16" s="322">
        <f>FORECAST($D16,CTLS_FF!FF9K,CTLS_FF!VP9K)</f>
        <v>-11.25954238</v>
      </c>
      <c r="L16" s="322">
        <f>FORECAST($D16,CTLS_FF!FF10K,CTLS_FF!VP10K)</f>
        <v>-7.840758755</v>
      </c>
      <c r="M16" s="322">
        <f>FORECAST($D16,CTLS_FF!FF12K,CTLS_FF!VP12K)</f>
        <v>-3.45862069</v>
      </c>
      <c r="N16" s="323">
        <f t="shared" si="1"/>
        <v>-26.26040541</v>
      </c>
    </row>
    <row r="17">
      <c r="A17" s="226" t="str">
        <f>'CALCULS BRANCHES'!A17</f>
        <v/>
      </c>
      <c r="B17" s="226" t="str">
        <f>'CALCULS BRANCHES'!B17</f>
        <v/>
      </c>
      <c r="C17" s="321" t="str">
        <f>'CALCULS BRANCHES'!O17</f>
        <v/>
      </c>
      <c r="D17" s="321" t="str">
        <f>'CALCULS BRANCHES'!AB17</f>
        <v/>
      </c>
      <c r="E17" s="322">
        <f>FORECAST($D17,CTLS_FF!FF3K,CTLS_FF!VP3K)</f>
        <v>-26.26040541</v>
      </c>
      <c r="F17" s="322">
        <f>FORECAST($D17,CTLS_FF!FF4K,CTLS_FF!VP4K)</f>
        <v>-24.27175676</v>
      </c>
      <c r="G17" s="322">
        <f>FORECAST($D17,CTLS_FF!FF5K,CTLS_FF!VP5K)</f>
        <v>-22.70269542</v>
      </c>
      <c r="H17" s="322">
        <f>FORECAST($D17,CTLS_FF!FF6K,CTLS_FF!VP6K)</f>
        <v>-21.00565127</v>
      </c>
      <c r="I17" s="322">
        <f>FORECAST($D17,CTLS_FF!FF7K,CTLS_FF!VP7K)</f>
        <v>-18.74442344</v>
      </c>
      <c r="J17" s="322">
        <f>FORECAST($D17,CTLS_FF!FF8K,CTLS_FF!VP8K)</f>
        <v>-13.77763441</v>
      </c>
      <c r="K17" s="322">
        <f>FORECAST($D17,CTLS_FF!FF9K,CTLS_FF!VP9K)</f>
        <v>-11.25954238</v>
      </c>
      <c r="L17" s="322">
        <f>FORECAST($D17,CTLS_FF!FF10K,CTLS_FF!VP10K)</f>
        <v>-7.840758755</v>
      </c>
      <c r="M17" s="322">
        <f>FORECAST($D17,CTLS_FF!FF12K,CTLS_FF!VP12K)</f>
        <v>-3.45862069</v>
      </c>
      <c r="N17" s="323">
        <f t="shared" si="1"/>
        <v>-26.26040541</v>
      </c>
    </row>
    <row r="18">
      <c r="A18" s="226" t="str">
        <f>'CALCULS BRANCHES'!A18</f>
        <v/>
      </c>
      <c r="B18" s="226" t="str">
        <f>'CALCULS BRANCHES'!B18</f>
        <v/>
      </c>
      <c r="C18" s="321" t="str">
        <f>'CALCULS BRANCHES'!O18</f>
        <v/>
      </c>
      <c r="D18" s="321" t="str">
        <f>'CALCULS BRANCHES'!AB18</f>
        <v/>
      </c>
      <c r="E18" s="322">
        <f>FORECAST($D18,CTLS_FF!FF3K,CTLS_FF!VP3K)</f>
        <v>-26.26040541</v>
      </c>
      <c r="F18" s="322">
        <f>FORECAST($D18,CTLS_FF!FF4K,CTLS_FF!VP4K)</f>
        <v>-24.27175676</v>
      </c>
      <c r="G18" s="322">
        <f>FORECAST($D18,CTLS_FF!FF5K,CTLS_FF!VP5K)</f>
        <v>-22.70269542</v>
      </c>
      <c r="H18" s="322">
        <f>FORECAST($D18,CTLS_FF!FF6K,CTLS_FF!VP6K)</f>
        <v>-21.00565127</v>
      </c>
      <c r="I18" s="322">
        <f>FORECAST($D18,CTLS_FF!FF7K,CTLS_FF!VP7K)</f>
        <v>-18.74442344</v>
      </c>
      <c r="J18" s="322">
        <f>FORECAST($D18,CTLS_FF!FF8K,CTLS_FF!VP8K)</f>
        <v>-13.77763441</v>
      </c>
      <c r="K18" s="322">
        <f>FORECAST($D18,CTLS_FF!FF9K,CTLS_FF!VP9K)</f>
        <v>-11.25954238</v>
      </c>
      <c r="L18" s="322">
        <f>FORECAST($D18,CTLS_FF!FF10K,CTLS_FF!VP10K)</f>
        <v>-7.840758755</v>
      </c>
      <c r="M18" s="322">
        <f>FORECAST($D18,CTLS_FF!FF12K,CTLS_FF!VP12K)</f>
        <v>-3.45862069</v>
      </c>
      <c r="N18" s="323">
        <f t="shared" si="1"/>
        <v>-26.26040541</v>
      </c>
    </row>
    <row r="19">
      <c r="A19" s="226" t="str">
        <f>'CALCULS BRANCHES'!A19</f>
        <v/>
      </c>
      <c r="B19" s="226" t="str">
        <f>'CALCULS BRANCHES'!B19</f>
        <v/>
      </c>
      <c r="C19" s="321" t="str">
        <f>'CALCULS BRANCHES'!O19</f>
        <v/>
      </c>
      <c r="D19" s="321" t="str">
        <f>'CALCULS BRANCHES'!AB19</f>
        <v/>
      </c>
      <c r="E19" s="322">
        <f>FORECAST($D19,CTLS_FF!FF3K,CTLS_FF!VP3K)</f>
        <v>-26.26040541</v>
      </c>
      <c r="F19" s="322">
        <f>FORECAST($D19,CTLS_FF!FF4K,CTLS_FF!VP4K)</f>
        <v>-24.27175676</v>
      </c>
      <c r="G19" s="322">
        <f>FORECAST($D19,CTLS_FF!FF5K,CTLS_FF!VP5K)</f>
        <v>-22.70269542</v>
      </c>
      <c r="H19" s="322">
        <f>FORECAST($D19,CTLS_FF!FF6K,CTLS_FF!VP6K)</f>
        <v>-21.00565127</v>
      </c>
      <c r="I19" s="322">
        <f>FORECAST($D19,CTLS_FF!FF7K,CTLS_FF!VP7K)</f>
        <v>-18.74442344</v>
      </c>
      <c r="J19" s="322">
        <f>FORECAST($D19,CTLS_FF!FF8K,CTLS_FF!VP8K)</f>
        <v>-13.77763441</v>
      </c>
      <c r="K19" s="322">
        <f>FORECAST($D19,CTLS_FF!FF9K,CTLS_FF!VP9K)</f>
        <v>-11.25954238</v>
      </c>
      <c r="L19" s="322">
        <f>FORECAST($D19,CTLS_FF!FF10K,CTLS_FF!VP10K)</f>
        <v>-7.840758755</v>
      </c>
      <c r="M19" s="322">
        <f>FORECAST($D19,CTLS_FF!FF12K,CTLS_FF!VP12K)</f>
        <v>-3.45862069</v>
      </c>
      <c r="N19" s="323">
        <f t="shared" si="1"/>
        <v>-26.26040541</v>
      </c>
    </row>
    <row r="20">
      <c r="C20" s="106"/>
      <c r="D20" s="106"/>
      <c r="E20" s="106"/>
      <c r="F20" s="106"/>
    </row>
    <row r="21">
      <c r="C21" s="106" t="s">
        <v>195</v>
      </c>
      <c r="D21" s="106"/>
      <c r="E21" s="106"/>
      <c r="F21" s="106"/>
    </row>
    <row r="22">
      <c r="C22" s="106"/>
      <c r="D22" s="106"/>
      <c r="E22" s="106"/>
      <c r="F22" s="106"/>
    </row>
    <row r="23">
      <c r="C23" s="106" t="s">
        <v>112</v>
      </c>
      <c r="D23" s="106" t="s">
        <v>194</v>
      </c>
      <c r="E23" s="106" t="s">
        <v>57</v>
      </c>
      <c r="G23" s="198" t="s">
        <v>196</v>
      </c>
      <c r="H23" s="324">
        <v>18.0</v>
      </c>
    </row>
    <row r="24">
      <c r="C24" s="106">
        <v>3000.0</v>
      </c>
      <c r="D24" s="106">
        <v>99.0</v>
      </c>
      <c r="E24" s="106">
        <v>13.5</v>
      </c>
    </row>
    <row r="25">
      <c r="C25" s="106">
        <v>3000.0</v>
      </c>
      <c r="D25" s="106">
        <v>108.0</v>
      </c>
      <c r="E25" s="106">
        <v>16.3</v>
      </c>
    </row>
    <row r="26">
      <c r="C26" s="106">
        <v>3000.0</v>
      </c>
      <c r="D26" s="106">
        <v>116.0</v>
      </c>
      <c r="E26" s="106">
        <v>18.1</v>
      </c>
    </row>
    <row r="27">
      <c r="C27" s="106">
        <v>3000.0</v>
      </c>
      <c r="D27" s="106">
        <v>125.0</v>
      </c>
      <c r="E27" s="106">
        <v>24.2</v>
      </c>
    </row>
    <row r="28">
      <c r="C28" s="106">
        <v>4000.0</v>
      </c>
      <c r="D28" s="106">
        <v>99.0</v>
      </c>
      <c r="E28" s="106">
        <v>13.5</v>
      </c>
    </row>
    <row r="29">
      <c r="C29" s="106">
        <v>4000.0</v>
      </c>
      <c r="D29" s="106">
        <v>108.0</v>
      </c>
      <c r="E29" s="106">
        <v>16.4</v>
      </c>
    </row>
    <row r="30">
      <c r="C30" s="106">
        <v>4000.0</v>
      </c>
      <c r="D30" s="106">
        <v>116.0</v>
      </c>
      <c r="E30" s="106">
        <v>18.1</v>
      </c>
    </row>
    <row r="31">
      <c r="C31" s="106">
        <v>4000.0</v>
      </c>
      <c r="D31" s="106">
        <v>125.0</v>
      </c>
      <c r="E31" s="106">
        <v>23.7</v>
      </c>
    </row>
    <row r="32">
      <c r="C32" s="106">
        <v>5000.0</v>
      </c>
      <c r="D32" s="106">
        <v>98.0</v>
      </c>
      <c r="E32" s="106">
        <v>13.4</v>
      </c>
    </row>
    <row r="33">
      <c r="C33" s="106">
        <v>5000.0</v>
      </c>
      <c r="D33" s="106">
        <v>108.0</v>
      </c>
      <c r="E33" s="106">
        <v>16.4</v>
      </c>
    </row>
    <row r="34">
      <c r="C34" s="106">
        <v>5000.0</v>
      </c>
      <c r="D34" s="106">
        <v>116.0</v>
      </c>
      <c r="E34" s="106">
        <v>18.2</v>
      </c>
    </row>
    <row r="35">
      <c r="C35" s="106">
        <v>5000.0</v>
      </c>
      <c r="D35" s="106">
        <v>124.0</v>
      </c>
      <c r="E35" s="106">
        <v>23.3</v>
      </c>
    </row>
    <row r="36">
      <c r="C36" s="106">
        <v>6000.0</v>
      </c>
      <c r="D36" s="106">
        <v>98.0</v>
      </c>
      <c r="E36" s="106">
        <v>13.4</v>
      </c>
    </row>
    <row r="37">
      <c r="C37" s="106">
        <v>6000.0</v>
      </c>
      <c r="D37" s="106">
        <v>108.0</v>
      </c>
      <c r="E37" s="106">
        <v>16.5</v>
      </c>
    </row>
    <row r="38">
      <c r="C38" s="106">
        <v>6000.0</v>
      </c>
      <c r="D38" s="106">
        <v>115.0</v>
      </c>
      <c r="E38" s="106">
        <v>18.1</v>
      </c>
    </row>
    <row r="39">
      <c r="C39" s="106">
        <v>6000.0</v>
      </c>
      <c r="D39" s="106">
        <v>124.0</v>
      </c>
      <c r="E39" s="106">
        <v>22.7</v>
      </c>
    </row>
    <row r="40">
      <c r="C40" s="106">
        <v>7000.0</v>
      </c>
      <c r="D40" s="106">
        <v>97.0</v>
      </c>
      <c r="E40" s="106">
        <v>13.3</v>
      </c>
    </row>
    <row r="41">
      <c r="C41" s="106">
        <v>7000.0</v>
      </c>
      <c r="D41" s="106">
        <v>107.0</v>
      </c>
      <c r="E41" s="106">
        <v>16.4</v>
      </c>
    </row>
    <row r="42">
      <c r="C42" s="106">
        <v>7000.0</v>
      </c>
      <c r="D42" s="106">
        <v>115.0</v>
      </c>
      <c r="E42" s="106">
        <v>18.3</v>
      </c>
    </row>
    <row r="43">
      <c r="C43" s="106">
        <v>7000.0</v>
      </c>
      <c r="D43" s="106">
        <v>124.0</v>
      </c>
      <c r="E43" s="106">
        <v>22.4</v>
      </c>
    </row>
    <row r="44">
      <c r="C44" s="106">
        <v>8000.0</v>
      </c>
      <c r="D44" s="106">
        <v>95.0</v>
      </c>
      <c r="E44" s="106">
        <v>13.3</v>
      </c>
    </row>
    <row r="45">
      <c r="C45" s="106">
        <v>8000.0</v>
      </c>
      <c r="D45" s="106">
        <v>107.0</v>
      </c>
      <c r="E45" s="106">
        <v>16.3</v>
      </c>
    </row>
    <row r="46">
      <c r="C46" s="106">
        <v>8000.0</v>
      </c>
      <c r="D46" s="106">
        <v>116.0</v>
      </c>
      <c r="E46" s="106">
        <v>18.2</v>
      </c>
    </row>
    <row r="47">
      <c r="C47" s="106">
        <v>8000.0</v>
      </c>
      <c r="D47" s="106">
        <v>124.0</v>
      </c>
      <c r="E47" s="106">
        <v>21.8</v>
      </c>
    </row>
    <row r="48">
      <c r="C48" s="106">
        <v>9000.0</v>
      </c>
      <c r="D48" s="106">
        <v>93.0</v>
      </c>
      <c r="E48" s="106">
        <v>13.3</v>
      </c>
    </row>
    <row r="49">
      <c r="C49" s="106">
        <v>9000.0</v>
      </c>
      <c r="D49" s="106">
        <v>107.0</v>
      </c>
      <c r="E49" s="106">
        <v>16.1</v>
      </c>
    </row>
    <row r="50">
      <c r="C50" s="106">
        <v>9000.0</v>
      </c>
      <c r="D50" s="106">
        <v>114.0</v>
      </c>
      <c r="E50" s="106">
        <v>18.1</v>
      </c>
    </row>
    <row r="51">
      <c r="C51" s="106">
        <v>9000.0</v>
      </c>
      <c r="D51" s="106">
        <v>123.0</v>
      </c>
      <c r="E51" s="106">
        <v>21.2</v>
      </c>
    </row>
    <row r="52">
      <c r="C52" s="106">
        <v>10000.0</v>
      </c>
      <c r="D52" s="106">
        <v>92.0</v>
      </c>
      <c r="E52" s="106">
        <v>13.6</v>
      </c>
    </row>
    <row r="53">
      <c r="C53" s="106">
        <v>10000.0</v>
      </c>
      <c r="D53" s="106">
        <v>107.0</v>
      </c>
      <c r="E53" s="106">
        <v>16.2</v>
      </c>
    </row>
    <row r="54">
      <c r="C54" s="106">
        <v>10000.0</v>
      </c>
      <c r="D54" s="106">
        <v>114.0</v>
      </c>
      <c r="E54" s="106">
        <v>18.4</v>
      </c>
    </row>
    <row r="55">
      <c r="C55" s="106">
        <v>10000.0</v>
      </c>
      <c r="D55" s="106">
        <v>123.0</v>
      </c>
      <c r="E55" s="106">
        <v>20.7</v>
      </c>
    </row>
    <row r="56">
      <c r="C56" s="106">
        <v>12000.0</v>
      </c>
      <c r="D56" s="106">
        <v>90.0</v>
      </c>
      <c r="E56" s="106">
        <v>14.1</v>
      </c>
    </row>
    <row r="57">
      <c r="C57" s="106">
        <v>12000.0</v>
      </c>
      <c r="D57" s="106">
        <v>107.0</v>
      </c>
      <c r="E57" s="106">
        <v>16.5</v>
      </c>
    </row>
    <row r="58">
      <c r="C58" s="106">
        <v>12000.0</v>
      </c>
      <c r="D58" s="106">
        <v>113.0</v>
      </c>
      <c r="E58" s="106">
        <v>18.9</v>
      </c>
    </row>
    <row r="59">
      <c r="C59" s="106">
        <v>12000.0</v>
      </c>
      <c r="D59" s="106">
        <v>120.0</v>
      </c>
      <c r="E59" s="106">
        <v>19.7</v>
      </c>
    </row>
  </sheetData>
  <autoFilter ref="$C$23:$E$59"/>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75"/>
  <cols>
    <col customWidth="1" min="1" max="1" width="22.86"/>
    <col customWidth="1" min="2" max="13" width="4.43"/>
  </cols>
  <sheetData>
    <row r="2">
      <c r="A2" s="194" t="s">
        <v>197</v>
      </c>
      <c r="B2" s="261">
        <v>20.0</v>
      </c>
      <c r="C2" s="262">
        <f t="shared" ref="C2:M2" si="1">B2+10</f>
        <v>30</v>
      </c>
      <c r="D2" s="262">
        <f t="shared" si="1"/>
        <v>40</v>
      </c>
      <c r="E2" s="262">
        <f t="shared" si="1"/>
        <v>50</v>
      </c>
      <c r="F2" s="262">
        <f t="shared" si="1"/>
        <v>60</v>
      </c>
      <c r="G2" s="262">
        <f t="shared" si="1"/>
        <v>70</v>
      </c>
      <c r="H2" s="262">
        <f t="shared" si="1"/>
        <v>80</v>
      </c>
      <c r="I2" s="262">
        <f t="shared" si="1"/>
        <v>90</v>
      </c>
      <c r="J2" s="262">
        <f t="shared" si="1"/>
        <v>100</v>
      </c>
      <c r="K2" s="262">
        <f t="shared" si="1"/>
        <v>110</v>
      </c>
      <c r="L2" s="262">
        <f t="shared" si="1"/>
        <v>120</v>
      </c>
      <c r="M2" s="262">
        <f t="shared" si="1"/>
        <v>130</v>
      </c>
    </row>
    <row r="3">
      <c r="A3" s="194" t="s">
        <v>198</v>
      </c>
      <c r="B3" s="325">
        <f>B2/LOG!$M31/24</f>
        <v>0.05094175299</v>
      </c>
      <c r="C3" s="325">
        <f>C2/LOG!$M31/24</f>
        <v>0.07641262948</v>
      </c>
      <c r="D3" s="325">
        <f>D2/LOG!$M31/24</f>
        <v>0.101883506</v>
      </c>
      <c r="E3" s="325">
        <f>E2/LOG!$M31/24</f>
        <v>0.1273543825</v>
      </c>
      <c r="F3" s="325">
        <f>F2/LOG!$M31/24</f>
        <v>0.152825259</v>
      </c>
      <c r="G3" s="325">
        <f>G2/LOG!$M31/24</f>
        <v>0.1782961354</v>
      </c>
      <c r="H3" s="325">
        <f>H2/LOG!$M31/24</f>
        <v>0.2037670119</v>
      </c>
      <c r="I3" s="325">
        <f>I2/LOG!$M31/24</f>
        <v>0.2292378884</v>
      </c>
      <c r="J3" s="325">
        <f>J2/LOG!$M31/24</f>
        <v>0.2547087649</v>
      </c>
      <c r="K3" s="325">
        <f>K2/LOG!$M31/24</f>
        <v>0.2801796414</v>
      </c>
      <c r="L3" s="325">
        <f>L2/LOG!$M31/24</f>
        <v>0.3056505179</v>
      </c>
      <c r="M3" s="325">
        <f>M2/LOG!$M31/24</f>
        <v>0.3311213944</v>
      </c>
    </row>
  </sheetData>
  <printOptions/>
  <pageMargins bottom="0.75" footer="0.0" header="0.0" left="0.25" right="0.25" top="0.75"/>
  <pageSetup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pageSetUpPr fitToPage="1"/>
  </sheetPr>
  <sheetViews>
    <sheetView workbookViewId="0"/>
  </sheetViews>
  <sheetFormatPr customHeight="1" defaultColWidth="14.43" defaultRowHeight="15.75"/>
  <cols>
    <col customWidth="1" min="1" max="1" width="21.29"/>
    <col customWidth="1" min="2" max="3" width="13.43"/>
    <col customWidth="1" min="4" max="4" width="17.71"/>
    <col customWidth="1" min="5" max="5" width="12.71"/>
    <col customWidth="1" min="6" max="7" width="10.71"/>
  </cols>
  <sheetData>
    <row r="1" ht="17.25" customHeight="1">
      <c r="A1" s="326" t="s">
        <v>199</v>
      </c>
    </row>
    <row r="3" ht="29.25" customHeight="1">
      <c r="A3" s="327"/>
      <c r="B3" s="328" t="s">
        <v>200</v>
      </c>
      <c r="C3" s="328" t="s">
        <v>201</v>
      </c>
      <c r="D3" s="328" t="s">
        <v>202</v>
      </c>
      <c r="E3" s="328" t="s">
        <v>203</v>
      </c>
    </row>
    <row r="4" ht="19.5" customHeight="1">
      <c r="A4" s="329" t="s">
        <v>204</v>
      </c>
      <c r="B4" s="330"/>
      <c r="C4" s="331">
        <v>352.3</v>
      </c>
      <c r="D4" s="331">
        <v>388.0</v>
      </c>
      <c r="E4" s="332">
        <f t="shared" ref="E4:E10" si="1">C4*D4</f>
        <v>136692.4</v>
      </c>
      <c r="G4" s="333" t="s">
        <v>205</v>
      </c>
    </row>
    <row r="5" ht="19.5" customHeight="1">
      <c r="A5" s="329" t="s">
        <v>206</v>
      </c>
      <c r="B5" s="334"/>
      <c r="C5" s="335">
        <v>75.0</v>
      </c>
      <c r="D5" s="331">
        <v>520.0</v>
      </c>
      <c r="E5" s="332">
        <f t="shared" si="1"/>
        <v>39000</v>
      </c>
    </row>
    <row r="6" ht="19.5" customHeight="1">
      <c r="A6" s="329" t="s">
        <v>207</v>
      </c>
      <c r="B6" s="334"/>
      <c r="C6" s="335">
        <v>70.0</v>
      </c>
      <c r="D6" s="331">
        <v>520.0</v>
      </c>
      <c r="E6" s="332">
        <f t="shared" si="1"/>
        <v>36400</v>
      </c>
    </row>
    <row r="7" ht="19.5" customHeight="1">
      <c r="A7" s="336" t="s">
        <v>208</v>
      </c>
      <c r="B7" s="337">
        <f>LOG!I29</f>
        <v>117.5</v>
      </c>
      <c r="C7" s="338">
        <f t="shared" ref="C7:C9" si="2">B7*0.7</f>
        <v>82.25</v>
      </c>
      <c r="D7" s="339">
        <v>210.0</v>
      </c>
      <c r="E7" s="338">
        <f t="shared" si="1"/>
        <v>17272.5</v>
      </c>
    </row>
    <row r="8" ht="19.5" customHeight="1">
      <c r="A8" s="336" t="s">
        <v>209</v>
      </c>
      <c r="B8" s="340">
        <f>LOG!I29-SUM(LOG!E26:E28)</f>
        <v>104.1583679</v>
      </c>
      <c r="C8" s="338">
        <f t="shared" si="2"/>
        <v>72.91085755</v>
      </c>
      <c r="D8" s="341">
        <v>210.0</v>
      </c>
      <c r="E8" s="338">
        <f t="shared" si="1"/>
        <v>15311.28009</v>
      </c>
    </row>
    <row r="9" ht="19.5" customHeight="1">
      <c r="A9" s="336" t="s">
        <v>210</v>
      </c>
      <c r="B9" s="337">
        <v>13.0</v>
      </c>
      <c r="C9" s="338">
        <f t="shared" si="2"/>
        <v>9.1</v>
      </c>
      <c r="D9" s="341">
        <v>210.0</v>
      </c>
      <c r="E9" s="338">
        <f t="shared" si="1"/>
        <v>1911</v>
      </c>
    </row>
    <row r="10" ht="19.5" customHeight="1">
      <c r="A10" s="329" t="s">
        <v>211</v>
      </c>
      <c r="B10" s="334"/>
      <c r="C10" s="335">
        <v>20.0</v>
      </c>
      <c r="D10" s="331">
        <v>1140.0</v>
      </c>
      <c r="E10" s="332">
        <f t="shared" si="1"/>
        <v>22800</v>
      </c>
    </row>
    <row r="11" ht="19.5" customHeight="1">
      <c r="A11" s="342" t="s">
        <v>212</v>
      </c>
      <c r="B11" s="334"/>
      <c r="C11" s="343">
        <f>C4+C5+C6+C10+C7</f>
        <v>599.55</v>
      </c>
      <c r="D11" s="343">
        <f t="shared" ref="D11:D13" si="3">E11/C11</f>
        <v>420.590276</v>
      </c>
      <c r="E11" s="332">
        <f>E4+E5+E6+E7+E10</f>
        <v>252164.9</v>
      </c>
    </row>
    <row r="12" ht="19.5" customHeight="1">
      <c r="A12" s="344" t="s">
        <v>213</v>
      </c>
      <c r="B12" s="345"/>
      <c r="C12" s="346">
        <f>C4+C5+C6+C10+C8</f>
        <v>590.2108576</v>
      </c>
      <c r="D12" s="346">
        <f t="shared" si="3"/>
        <v>423.9225302</v>
      </c>
      <c r="E12" s="332">
        <f>E4+E5+E6+E8+E10</f>
        <v>250203.6801</v>
      </c>
      <c r="F12" s="347"/>
    </row>
    <row r="13" ht="19.5" customHeight="1">
      <c r="A13" s="348" t="s">
        <v>214</v>
      </c>
      <c r="B13" s="345"/>
      <c r="C13" s="349">
        <f>C4+C5+C6+C10+C9</f>
        <v>526.4</v>
      </c>
      <c r="D13" s="349">
        <f t="shared" si="3"/>
        <v>449.8544833</v>
      </c>
      <c r="E13" s="332">
        <f>E4+E5+E6+E9+E10</f>
        <v>236803.4</v>
      </c>
      <c r="F13" s="3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E1"/>
  </mergeCells>
  <printOptions/>
  <pageMargins bottom="0.19685039370078738" footer="0.0" header="0.0" left="0.19685039370078738" right="0.19685039370078738" top="0.19685039370078738"/>
  <pageSetup fitToHeight="0"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pageSetUpPr fitToPage="1"/>
  </sheetPr>
  <sheetViews>
    <sheetView workbookViewId="0"/>
  </sheetViews>
  <sheetFormatPr customHeight="1" defaultColWidth="14.43" defaultRowHeight="15.75"/>
  <cols>
    <col customWidth="1" min="1" max="1" width="21.29"/>
    <col customWidth="1" min="2" max="3" width="13.43"/>
    <col customWidth="1" min="4" max="4" width="17.71"/>
    <col customWidth="1" min="5" max="5" width="12.71"/>
    <col customWidth="1" min="6" max="7" width="10.71"/>
  </cols>
  <sheetData>
    <row r="1" ht="17.25" customHeight="1">
      <c r="A1" s="350" t="s">
        <v>215</v>
      </c>
    </row>
    <row r="3" ht="29.25" customHeight="1">
      <c r="A3" s="327"/>
      <c r="B3" s="328" t="s">
        <v>200</v>
      </c>
      <c r="C3" s="328" t="s">
        <v>201</v>
      </c>
      <c r="D3" s="328" t="s">
        <v>202</v>
      </c>
      <c r="E3" s="328" t="s">
        <v>203</v>
      </c>
    </row>
    <row r="4" ht="19.5" customHeight="1">
      <c r="A4" s="329" t="s">
        <v>204</v>
      </c>
      <c r="B4" s="330"/>
      <c r="C4" s="331">
        <v>577.5</v>
      </c>
      <c r="D4" s="331">
        <v>350.0</v>
      </c>
      <c r="E4" s="332">
        <f t="shared" ref="E4:E11" si="1">C4*D4</f>
        <v>202125</v>
      </c>
      <c r="G4" s="333" t="s">
        <v>205</v>
      </c>
    </row>
    <row r="5" ht="19.5" customHeight="1">
      <c r="A5" s="329" t="s">
        <v>206</v>
      </c>
      <c r="B5" s="334"/>
      <c r="C5" s="335">
        <v>75.0</v>
      </c>
      <c r="D5" s="331">
        <v>410.0</v>
      </c>
      <c r="E5" s="332">
        <f t="shared" si="1"/>
        <v>30750</v>
      </c>
    </row>
    <row r="6" ht="19.5" customHeight="1">
      <c r="A6" s="351" t="s">
        <v>216</v>
      </c>
      <c r="B6" s="334"/>
      <c r="C6" s="335">
        <v>75.0</v>
      </c>
      <c r="D6" s="331">
        <v>410.0</v>
      </c>
      <c r="E6" s="332">
        <f t="shared" si="1"/>
        <v>30750</v>
      </c>
    </row>
    <row r="7" ht="19.5" customHeight="1">
      <c r="A7" s="351" t="s">
        <v>217</v>
      </c>
      <c r="B7" s="334"/>
      <c r="C7" s="335"/>
      <c r="D7" s="331">
        <v>1190.0</v>
      </c>
      <c r="E7" s="332">
        <f t="shared" si="1"/>
        <v>0</v>
      </c>
    </row>
    <row r="8" ht="19.5" customHeight="1">
      <c r="A8" s="336" t="s">
        <v>208</v>
      </c>
      <c r="B8" s="337">
        <f>LOG!I29</f>
        <v>117.5</v>
      </c>
      <c r="C8" s="338">
        <f t="shared" ref="C8:C10" si="2">B8*0.7</f>
        <v>82.25</v>
      </c>
      <c r="D8" s="339">
        <v>1120.0</v>
      </c>
      <c r="E8" s="338">
        <f t="shared" si="1"/>
        <v>92120</v>
      </c>
    </row>
    <row r="9" ht="19.5" customHeight="1">
      <c r="A9" s="336" t="s">
        <v>209</v>
      </c>
      <c r="B9" s="340">
        <f>LOG!I29-SUM(LOG!E26:E28)</f>
        <v>104.1583679</v>
      </c>
      <c r="C9" s="338">
        <f t="shared" si="2"/>
        <v>72.91085755</v>
      </c>
      <c r="D9" s="341">
        <v>1120.0</v>
      </c>
      <c r="E9" s="338">
        <f t="shared" si="1"/>
        <v>81660.16046</v>
      </c>
    </row>
    <row r="10" ht="19.5" customHeight="1">
      <c r="A10" s="336" t="s">
        <v>210</v>
      </c>
      <c r="B10" s="337">
        <v>13.0</v>
      </c>
      <c r="C10" s="338">
        <f t="shared" si="2"/>
        <v>9.1</v>
      </c>
      <c r="D10" s="341">
        <v>1120.0</v>
      </c>
      <c r="E10" s="338">
        <f t="shared" si="1"/>
        <v>10192</v>
      </c>
    </row>
    <row r="11" ht="19.5" customHeight="1">
      <c r="A11" s="329" t="s">
        <v>211</v>
      </c>
      <c r="B11" s="334"/>
      <c r="C11" s="335">
        <v>20.0</v>
      </c>
      <c r="D11" s="331">
        <v>1900.0</v>
      </c>
      <c r="E11" s="332">
        <f t="shared" si="1"/>
        <v>38000</v>
      </c>
    </row>
    <row r="12" ht="19.5" customHeight="1">
      <c r="A12" s="342" t="s">
        <v>212</v>
      </c>
      <c r="B12" s="334"/>
      <c r="C12" s="343">
        <f>C4+C5+C6+C7+C11+C8</f>
        <v>829.75</v>
      </c>
      <c r="D12" s="343">
        <f t="shared" ref="D12:D14" si="3">E12/C12</f>
        <v>474.5344983</v>
      </c>
      <c r="E12" s="332">
        <f>E4+E5+E6+E7+E8+E11</f>
        <v>393745</v>
      </c>
    </row>
    <row r="13" ht="19.5" customHeight="1">
      <c r="A13" s="344" t="s">
        <v>213</v>
      </c>
      <c r="B13" s="345"/>
      <c r="C13" s="346">
        <f>C4+C5+C6+C7+C11+C9</f>
        <v>820.4108576</v>
      </c>
      <c r="D13" s="346">
        <f t="shared" si="3"/>
        <v>467.1868454</v>
      </c>
      <c r="E13" s="332">
        <f>E4+E5+E6+E7+E9+E11</f>
        <v>383285.1605</v>
      </c>
      <c r="F13" s="347"/>
    </row>
    <row r="14" ht="19.5" customHeight="1">
      <c r="A14" s="348" t="s">
        <v>214</v>
      </c>
      <c r="B14" s="345"/>
      <c r="C14" s="349">
        <f>C4+C5+C6+C11+C10</f>
        <v>756.6</v>
      </c>
      <c r="D14" s="349">
        <f t="shared" si="3"/>
        <v>412.1292625</v>
      </c>
      <c r="E14" s="332">
        <f>E4+E5+E6+E7+E10+E11</f>
        <v>311817</v>
      </c>
      <c r="F14" s="347"/>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sheetData>
  <mergeCells count="1">
    <mergeCell ref="A1:E1"/>
  </mergeCells>
  <printOptions/>
  <pageMargins bottom="0.19685039370078738" footer="0.0" header="0.0" left="0.19685039370078738" right="0.19685039370078738" top="0.19685039370078738"/>
  <pageSetup fitToHeight="0" paperSize="9"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0.86"/>
  </cols>
  <sheetData>
    <row r="1">
      <c r="A1" s="198"/>
      <c r="G1" s="198"/>
    </row>
    <row r="2">
      <c r="A2" s="106"/>
      <c r="B2" s="352" t="s">
        <v>218</v>
      </c>
      <c r="C2" s="353"/>
      <c r="D2" s="354"/>
      <c r="E2" s="355"/>
      <c r="G2" s="356" t="s">
        <v>219</v>
      </c>
      <c r="H2" s="357"/>
      <c r="I2" s="357"/>
      <c r="J2" s="357"/>
      <c r="K2" s="357"/>
      <c r="L2" s="358"/>
      <c r="N2" s="226">
        <f>CONVERT(1,"kn","km/h")</f>
        <v>1.852</v>
      </c>
    </row>
    <row r="3">
      <c r="B3" s="359" t="s">
        <v>220</v>
      </c>
      <c r="C3" s="360" t="s">
        <v>221</v>
      </c>
      <c r="D3" s="361"/>
      <c r="E3" s="362"/>
      <c r="G3" s="363" t="s">
        <v>50</v>
      </c>
      <c r="H3" s="364">
        <f>LOG!Q26</f>
        <v>25</v>
      </c>
      <c r="I3" s="106" t="s">
        <v>51</v>
      </c>
      <c r="J3" s="106" t="s">
        <v>222</v>
      </c>
      <c r="K3" s="365">
        <f>IsaDeviation(Zp,OAT)</f>
        <v>9.654</v>
      </c>
      <c r="L3" s="366" t="s">
        <v>51</v>
      </c>
    </row>
    <row r="4">
      <c r="B4" s="367"/>
      <c r="C4" s="361"/>
      <c r="D4" s="361"/>
      <c r="E4" s="362"/>
      <c r="G4" s="363" t="s">
        <v>42</v>
      </c>
      <c r="H4" s="364">
        <f>LOG!Q25</f>
        <v>1023</v>
      </c>
      <c r="I4" s="106" t="s">
        <v>223</v>
      </c>
      <c r="J4" s="106" t="s">
        <v>111</v>
      </c>
      <c r="K4" s="368">
        <f>PressureAltitude(Zt,QNH)</f>
        <v>-173</v>
      </c>
      <c r="L4" s="366" t="s">
        <v>56</v>
      </c>
    </row>
    <row r="5">
      <c r="B5" s="367"/>
      <c r="C5" s="369" t="s">
        <v>221</v>
      </c>
      <c r="D5" s="369" t="s">
        <v>224</v>
      </c>
      <c r="E5" s="370" t="s">
        <v>225</v>
      </c>
      <c r="G5" s="371"/>
      <c r="H5" s="372"/>
      <c r="J5" s="106" t="s">
        <v>112</v>
      </c>
      <c r="K5" s="373">
        <f>DensityAltitude(Zp,IsaDeviation(Zp,OAT))</f>
        <v>973.8952</v>
      </c>
      <c r="L5" s="366" t="s">
        <v>56</v>
      </c>
    </row>
    <row r="6">
      <c r="A6" s="106"/>
      <c r="B6" s="359"/>
      <c r="C6" s="374">
        <v>1.0</v>
      </c>
      <c r="D6" s="374">
        <v>2.0</v>
      </c>
      <c r="E6" s="375">
        <f>HLOOKUP(C$3,C$5:D$6,2,FALSE)</f>
        <v>1</v>
      </c>
      <c r="G6" s="363" t="s">
        <v>52</v>
      </c>
      <c r="H6" s="376">
        <v>279.0</v>
      </c>
      <c r="I6" s="106" t="s">
        <v>226</v>
      </c>
      <c r="L6" s="377"/>
    </row>
    <row r="7">
      <c r="A7" s="106"/>
      <c r="B7" s="359" t="s">
        <v>227</v>
      </c>
      <c r="C7" s="378" t="s">
        <v>228</v>
      </c>
      <c r="D7" s="378" t="s">
        <v>229</v>
      </c>
      <c r="E7" s="379" t="str">
        <f t="shared" ref="E7:E16" si="1">CHOOSE(HLOOKUP($C$3,$C$5:$D$6,2,FALSE),C7,D7)</f>
        <v>kn</v>
      </c>
      <c r="G7" s="363" t="s">
        <v>43</v>
      </c>
      <c r="H7" s="380">
        <v>5.0</v>
      </c>
      <c r="I7" s="106" t="s">
        <v>228</v>
      </c>
      <c r="L7" s="377"/>
    </row>
    <row r="8">
      <c r="A8" s="106"/>
      <c r="B8" s="359" t="s">
        <v>53</v>
      </c>
      <c r="C8" s="381">
        <v>0.6</v>
      </c>
      <c r="D8" s="381">
        <v>0.6</v>
      </c>
      <c r="E8" s="382">
        <f t="shared" si="1"/>
        <v>0.6</v>
      </c>
      <c r="G8" s="383" t="s">
        <v>230</v>
      </c>
      <c r="H8" s="384">
        <f>COS(RADIANS(H6-PERFORMANCE!H15))*Vw</f>
        <v>5</v>
      </c>
      <c r="I8" s="385" t="s">
        <v>228</v>
      </c>
      <c r="J8" s="386"/>
      <c r="K8" s="386"/>
      <c r="L8" s="387"/>
    </row>
    <row r="9">
      <c r="B9" s="359" t="s">
        <v>231</v>
      </c>
      <c r="C9" s="388">
        <f>'CTLS-LSA_PERFORMANCE'!E26*CONVERT(1,"Nmi","km")</f>
        <v>124.1215015</v>
      </c>
      <c r="D9" s="388">
        <f>DR400120_PERFORMANCE!F50</f>
        <v>129.64</v>
      </c>
      <c r="E9" s="379">
        <f t="shared" si="1"/>
        <v>124.1215015</v>
      </c>
    </row>
    <row r="10">
      <c r="B10" s="359" t="s">
        <v>232</v>
      </c>
      <c r="C10" s="389">
        <f>'CTLS-LSA_PERFORMANCE'!F26*CONVERT(1,"ft","m")/60</f>
        <v>3.486259606</v>
      </c>
      <c r="D10" s="389">
        <f>DR400120_PERFORMANCE!G50</f>
        <v>3.11228884</v>
      </c>
      <c r="E10" s="390">
        <f t="shared" si="1"/>
        <v>3.486259606</v>
      </c>
    </row>
    <row r="11">
      <c r="A11" s="106"/>
      <c r="B11" s="359" t="s">
        <v>233</v>
      </c>
      <c r="C11" s="388">
        <f>'CTLS-LSA_PERFORMANCE'!E25*CONVERT(1,"Nmi","km")</f>
        <v>135.1235368</v>
      </c>
      <c r="D11" s="388">
        <f>DR400120_PERFORMANCE!F49</f>
        <v>144.456</v>
      </c>
      <c r="E11" s="379">
        <f t="shared" si="1"/>
        <v>135.1235368</v>
      </c>
      <c r="G11" s="356" t="s">
        <v>234</v>
      </c>
      <c r="H11" s="357"/>
      <c r="I11" s="357"/>
      <c r="J11" s="357"/>
      <c r="K11" s="358"/>
    </row>
    <row r="12">
      <c r="A12" s="106"/>
      <c r="B12" s="359" t="s">
        <v>235</v>
      </c>
      <c r="C12" s="389">
        <f>'CTLS-LSA_PERFORMANCE'!F25*CONVERT(1,"ft","m")/60</f>
        <v>3.797735375</v>
      </c>
      <c r="D12" s="389">
        <f>DR400120_PERFORMANCE!G49</f>
        <v>4.279358329</v>
      </c>
      <c r="E12" s="390">
        <f t="shared" si="1"/>
        <v>3.797735375</v>
      </c>
      <c r="G12" s="363" t="s">
        <v>236</v>
      </c>
      <c r="H12" s="391">
        <f>LOG!Q27</f>
        <v>100</v>
      </c>
      <c r="I12" s="106" t="s">
        <v>56</v>
      </c>
      <c r="K12" s="377"/>
    </row>
    <row r="13">
      <c r="A13" s="106"/>
      <c r="B13" s="359" t="s">
        <v>237</v>
      </c>
      <c r="C13" s="381">
        <v>300.0</v>
      </c>
      <c r="D13" s="381">
        <v>300.0</v>
      </c>
      <c r="E13" s="382">
        <f t="shared" si="1"/>
        <v>300</v>
      </c>
      <c r="G13" s="363" t="s">
        <v>238</v>
      </c>
      <c r="H13" s="392" t="s">
        <v>239</v>
      </c>
      <c r="K13" s="377"/>
    </row>
    <row r="14">
      <c r="A14" s="106"/>
      <c r="B14" s="359" t="s">
        <v>240</v>
      </c>
      <c r="C14" s="393">
        <v>117.5</v>
      </c>
      <c r="D14" s="393">
        <v>109.0</v>
      </c>
      <c r="E14" s="382">
        <f t="shared" si="1"/>
        <v>117.5</v>
      </c>
      <c r="G14" s="363" t="s">
        <v>241</v>
      </c>
      <c r="H14" s="392" t="s">
        <v>242</v>
      </c>
      <c r="K14" s="377"/>
    </row>
    <row r="15">
      <c r="A15" s="106"/>
      <c r="B15" s="359" t="s">
        <v>243</v>
      </c>
      <c r="C15" s="393">
        <v>600.0</v>
      </c>
      <c r="D15" s="393">
        <v>900.0</v>
      </c>
      <c r="E15" s="382">
        <f t="shared" si="1"/>
        <v>600</v>
      </c>
      <c r="G15" s="363" t="s">
        <v>244</v>
      </c>
      <c r="H15" s="394">
        <v>279.0</v>
      </c>
      <c r="I15" s="106" t="s">
        <v>226</v>
      </c>
      <c r="K15" s="377"/>
    </row>
    <row r="16">
      <c r="A16" s="106"/>
      <c r="B16" s="359" t="s">
        <v>245</v>
      </c>
      <c r="C16" s="395">
        <f>CTLS_CENTRAGE!C11</f>
        <v>599.55</v>
      </c>
      <c r="D16" s="381">
        <v>800.0</v>
      </c>
      <c r="E16" s="379">
        <f t="shared" si="1"/>
        <v>599.55</v>
      </c>
      <c r="G16" s="363" t="s">
        <v>246</v>
      </c>
      <c r="H16" s="396">
        <v>1450.0</v>
      </c>
      <c r="I16" s="106" t="s">
        <v>77</v>
      </c>
      <c r="K16" s="377"/>
    </row>
    <row r="17">
      <c r="B17" s="359" t="s">
        <v>247</v>
      </c>
      <c r="C17" s="397">
        <f t="shared" ref="C17:D17" si="2">C16/C15</f>
        <v>0.99925</v>
      </c>
      <c r="D17" s="397">
        <f t="shared" si="2"/>
        <v>0.8888888889</v>
      </c>
      <c r="E17" s="362"/>
      <c r="G17" s="363" t="s">
        <v>248</v>
      </c>
      <c r="H17" s="396">
        <v>1450.0</v>
      </c>
      <c r="I17" s="106" t="s">
        <v>77</v>
      </c>
      <c r="K17" s="377"/>
    </row>
    <row r="18">
      <c r="B18" s="398" t="s">
        <v>249</v>
      </c>
      <c r="C18" s="399">
        <f>CTLS_CENTRAGE!C12</f>
        <v>590.2108576</v>
      </c>
      <c r="D18" s="400">
        <v>700.0</v>
      </c>
      <c r="E18" s="401"/>
      <c r="G18" s="402" t="str">
        <f>"Z"&amp;TEXT(ROUND(QFU/10,0),"00")&amp;" End (AMSL)"</f>
        <v>Z28 End (AMSL)</v>
      </c>
      <c r="H18" s="396">
        <v>89.0</v>
      </c>
      <c r="I18" s="106" t="s">
        <v>56</v>
      </c>
      <c r="J18" s="106" t="s">
        <v>250</v>
      </c>
      <c r="K18" s="403">
        <f>CONVERT(H19-H18,"ft","m")/H16</f>
        <v>-0.002522482759</v>
      </c>
    </row>
    <row r="19">
      <c r="G19" s="404" t="str">
        <f>"Z"&amp;TEXT(ROUND(MOD((QFU-180),360)/10,0),"00")&amp;" End (AMSL)"</f>
        <v>Z10 End (AMSL)</v>
      </c>
      <c r="H19" s="405">
        <v>77.0</v>
      </c>
      <c r="I19" s="385" t="s">
        <v>56</v>
      </c>
      <c r="J19" s="386"/>
      <c r="K19" s="387"/>
    </row>
    <row r="20">
      <c r="A20" s="106"/>
      <c r="B20" s="356" t="s">
        <v>251</v>
      </c>
      <c r="C20" s="357"/>
      <c r="D20" s="357"/>
      <c r="E20" s="358"/>
    </row>
    <row r="21">
      <c r="A21" s="270"/>
      <c r="B21" s="402" t="str">
        <f>"Do / "&amp;TEXT(ROUND(QFU/10,0),"00")&amp;" End"</f>
        <v>Do / 28 End</v>
      </c>
      <c r="C21" s="406">
        <v>4400.0</v>
      </c>
      <c r="D21" s="106" t="s">
        <v>77</v>
      </c>
      <c r="E21" s="377"/>
    </row>
    <row r="22">
      <c r="A22" s="270"/>
      <c r="B22" s="402" t="s">
        <v>252</v>
      </c>
      <c r="C22" s="407">
        <v>1100.0</v>
      </c>
      <c r="D22" s="106" t="s">
        <v>56</v>
      </c>
      <c r="E22" s="377"/>
    </row>
    <row r="23">
      <c r="B23" s="408" t="s">
        <v>253</v>
      </c>
      <c r="C23" s="388">
        <f>Zo-ZRéf</f>
        <v>1011</v>
      </c>
      <c r="D23" s="106" t="s">
        <v>56</v>
      </c>
      <c r="E23" s="377"/>
    </row>
    <row r="24">
      <c r="B24" s="409"/>
      <c r="C24" s="410">
        <f>CONVERT(C23,"ft","m")</f>
        <v>308.1528</v>
      </c>
      <c r="D24" s="385" t="s">
        <v>77</v>
      </c>
      <c r="E24" s="387"/>
    </row>
    <row r="27">
      <c r="B27" s="411"/>
      <c r="C27" s="412" t="s">
        <v>221</v>
      </c>
      <c r="D27" s="412" t="s">
        <v>224</v>
      </c>
      <c r="E27" s="413" t="s">
        <v>225</v>
      </c>
    </row>
    <row r="28">
      <c r="B28" s="414"/>
      <c r="C28" s="106">
        <v>1.0</v>
      </c>
      <c r="D28" s="106">
        <v>2.0</v>
      </c>
      <c r="E28" s="415">
        <f>HLOOKUP(C$3,C$5:D$6,2,FALSE)</f>
        <v>1</v>
      </c>
    </row>
    <row r="29">
      <c r="B29" s="416" t="s">
        <v>254</v>
      </c>
      <c r="C29" s="417">
        <f>'CTLS-LSA_PERFORMANCE'!C11</f>
        <v>334.1521538</v>
      </c>
      <c r="D29" s="417">
        <f>DR400120_PERFORMANCE!F15</f>
        <v>261.3709563</v>
      </c>
      <c r="E29" s="418">
        <f t="shared" ref="E29:E32" si="3">CHOOSE(HLOOKUP(C$3,C$5:D$6,2,FALSE),C29,D29)</f>
        <v>334.1521538</v>
      </c>
    </row>
    <row r="30">
      <c r="B30" s="416" t="s">
        <v>255</v>
      </c>
      <c r="C30" s="417">
        <f>'CTLS-LSA_PERFORMANCE'!H11</f>
        <v>603.3178731</v>
      </c>
      <c r="D30" s="417">
        <f>DR400120_PERFORMANCE!F29</f>
        <v>554.3390894</v>
      </c>
      <c r="E30" s="418">
        <f t="shared" si="3"/>
        <v>603.3178731</v>
      </c>
    </row>
    <row r="31">
      <c r="B31" s="416" t="s">
        <v>256</v>
      </c>
      <c r="C31" s="417">
        <f>'CTLS-LSA_PERFORMANCE'!C22</f>
        <v>211.3305881</v>
      </c>
      <c r="D31" s="417">
        <f>DR400120_PERFORMANCE!F87</f>
        <v>235.7405938</v>
      </c>
      <c r="E31" s="418">
        <f t="shared" si="3"/>
        <v>211.3305881</v>
      </c>
    </row>
    <row r="32">
      <c r="B32" s="419" t="s">
        <v>257</v>
      </c>
      <c r="C32" s="420">
        <f>'CTLS-LSA_PERFORMANCE'!H22</f>
        <v>547.9301879</v>
      </c>
      <c r="D32" s="420">
        <f>DR400120_PERFORMANCE!F101</f>
        <v>507.829043</v>
      </c>
      <c r="E32" s="421">
        <f t="shared" si="3"/>
        <v>547.9301879</v>
      </c>
    </row>
    <row r="34">
      <c r="C34" s="262"/>
      <c r="D34" s="115" t="s">
        <v>77</v>
      </c>
      <c r="E34" s="115" t="s">
        <v>258</v>
      </c>
      <c r="F34" s="194" t="s">
        <v>259</v>
      </c>
    </row>
    <row r="35">
      <c r="B35" s="194" t="s">
        <v>260</v>
      </c>
      <c r="C35" s="261" t="s">
        <v>254</v>
      </c>
      <c r="D35" s="422">
        <f>Drd</f>
        <v>334.1521538</v>
      </c>
      <c r="E35" s="423">
        <f>Drd/TORA</f>
        <v>0.2304497612</v>
      </c>
      <c r="F35" s="262"/>
    </row>
    <row r="36">
      <c r="B36" s="194" t="s">
        <v>261</v>
      </c>
      <c r="C36" s="261" t="s">
        <v>255</v>
      </c>
      <c r="D36" s="422">
        <f>Dd</f>
        <v>603.3178731</v>
      </c>
      <c r="E36" s="262"/>
      <c r="F36" s="423">
        <f>Dd/TODA</f>
        <v>0.4160812918</v>
      </c>
    </row>
    <row r="37">
      <c r="B37" s="106"/>
      <c r="C37" s="323"/>
      <c r="D37" s="322"/>
      <c r="E37" s="106"/>
    </row>
    <row r="38">
      <c r="B38" s="106"/>
      <c r="C38" s="323"/>
      <c r="D38" s="322"/>
      <c r="E38" s="106"/>
    </row>
    <row r="39">
      <c r="B39" s="194" t="s">
        <v>262</v>
      </c>
      <c r="C39" s="424" t="s">
        <v>263</v>
      </c>
      <c r="D39" s="425">
        <f>Slope*Dd</f>
        <v>-1.521858933</v>
      </c>
      <c r="E39" s="106" t="s">
        <v>77</v>
      </c>
    </row>
    <row r="40">
      <c r="B40" s="194" t="s">
        <v>264</v>
      </c>
      <c r="C40" s="261" t="s">
        <v>265</v>
      </c>
      <c r="D40" s="426">
        <f>Vz_15/CONVERT(Vx_15+CONVERT(Veff,"kn","km/h"),"km/h","m/s")</f>
        <v>0.09409501647</v>
      </c>
    </row>
    <row r="41">
      <c r="B41" s="194" t="s">
        <v>266</v>
      </c>
      <c r="C41" s="261" t="s">
        <v>267</v>
      </c>
      <c r="D41" s="426">
        <f>Vz_0/CONVERT(Vy_0+CONVERT(Veff,"kn","km/h"),"km/h","m/s")</f>
        <v>0.09469117916</v>
      </c>
    </row>
    <row r="42">
      <c r="D42" s="372"/>
    </row>
    <row r="43">
      <c r="B43" s="194" t="s">
        <v>268</v>
      </c>
      <c r="C43" s="427" t="s">
        <v>269</v>
      </c>
      <c r="D43" s="428">
        <f>CONVERT((Hv_0-50)/GradInit,"ft","m")</f>
        <v>809.8197211</v>
      </c>
      <c r="E43" s="106" t="s">
        <v>77</v>
      </c>
    </row>
    <row r="44">
      <c r="B44" s="194" t="s">
        <v>270</v>
      </c>
      <c r="C44" s="261" t="s">
        <v>271</v>
      </c>
      <c r="D44" s="428">
        <f>PERFORMANCE!Do-Dd-DInit</f>
        <v>2986.862406</v>
      </c>
      <c r="E44" s="106" t="s">
        <v>77</v>
      </c>
    </row>
    <row r="45">
      <c r="B45" s="194" t="s">
        <v>272</v>
      </c>
      <c r="C45" s="427" t="s">
        <v>273</v>
      </c>
      <c r="D45" s="428">
        <f>CONVERT(CONVERT(Hv_0,"ft","m")+DCont*GradCont-DénDd,"m","ft")</f>
        <v>1232.911359</v>
      </c>
      <c r="E45" s="106" t="s">
        <v>56</v>
      </c>
    </row>
    <row r="46">
      <c r="B46" s="194" t="s">
        <v>274</v>
      </c>
      <c r="C46" s="261" t="s">
        <v>275</v>
      </c>
      <c r="D46" s="428">
        <f>ZRéf+Hpo</f>
        <v>1321.911359</v>
      </c>
      <c r="E46" s="106" t="s">
        <v>56</v>
      </c>
    </row>
    <row r="47">
      <c r="B47" s="429" t="s">
        <v>276</v>
      </c>
      <c r="C47" s="430" t="s">
        <v>277</v>
      </c>
      <c r="D47" s="428">
        <f>Zpo-Zo</f>
        <v>221.9113587</v>
      </c>
      <c r="E47" s="106" t="s">
        <v>56</v>
      </c>
    </row>
    <row r="48">
      <c r="B48" s="431"/>
      <c r="C48" s="431"/>
      <c r="D48" s="428">
        <f>CONVERT(D47,"ft","m")</f>
        <v>67.63858212</v>
      </c>
      <c r="E48" s="106" t="s">
        <v>77</v>
      </c>
    </row>
    <row r="50">
      <c r="F50" s="194" t="s">
        <v>221</v>
      </c>
      <c r="G50" s="194" t="s">
        <v>224</v>
      </c>
      <c r="H50" s="432" t="s">
        <v>225</v>
      </c>
    </row>
    <row r="51">
      <c r="F51" s="261">
        <v>1.0</v>
      </c>
      <c r="G51" s="261">
        <v>2.0</v>
      </c>
      <c r="H51" s="261">
        <f>HLOOKUP(C$3,C$5:D$6,2,FALSE)</f>
        <v>1</v>
      </c>
    </row>
    <row r="52">
      <c r="B52" s="433" t="s">
        <v>98</v>
      </c>
      <c r="C52" s="433" t="s">
        <v>99</v>
      </c>
      <c r="D52" s="433" t="s">
        <v>112</v>
      </c>
      <c r="E52" s="433" t="s">
        <v>194</v>
      </c>
      <c r="F52" s="194" t="s">
        <v>57</v>
      </c>
      <c r="G52" s="194" t="s">
        <v>57</v>
      </c>
      <c r="H52" s="194" t="s">
        <v>57</v>
      </c>
    </row>
    <row r="53">
      <c r="B53" s="434" t="str">
        <f>'CALCULS BRANCHES'!A2</f>
        <v>LFXU</v>
      </c>
      <c r="C53" s="434" t="str">
        <f>'CALCULS BRANCHES'!B2</f>
        <v>PTSW</v>
      </c>
      <c r="D53" s="435">
        <f>'CALCULS BRANCHES'!O2</f>
        <v>2273.8952</v>
      </c>
      <c r="E53" s="435">
        <f>'CALCULS BRANCHES'!AB2</f>
        <v>100</v>
      </c>
      <c r="F53" s="436">
        <f>IF(COUNTIF(B53,""),,CTLS_FF!N2)</f>
        <v>13.28013514</v>
      </c>
      <c r="G53" s="261">
        <f t="shared" ref="G53:G70" si="4">IF(COUNTIF(B53,""),,25)</f>
        <v>25</v>
      </c>
      <c r="H53" s="437">
        <f t="shared" ref="H53:H71" si="5">CHOOSE(HLOOKUP($C$3,$C$5:$D$6,2,FALSE),F53,G53)</f>
        <v>13.28013514</v>
      </c>
    </row>
    <row r="54">
      <c r="B54" s="434" t="str">
        <f>'CALCULS BRANCHES'!A3</f>
        <v>PTSW</v>
      </c>
      <c r="C54" s="434" t="str">
        <f>'CALCULS BRANCHES'!B3</f>
        <v>MEZER</v>
      </c>
      <c r="D54" s="435">
        <f>'CALCULS BRANCHES'!O3</f>
        <v>2273.8952</v>
      </c>
      <c r="E54" s="435">
        <f>'CALCULS BRANCHES'!AB3</f>
        <v>100</v>
      </c>
      <c r="F54" s="436">
        <f>IF(COUNTIF(B54,""),,CTLS_FF!N3)</f>
        <v>13.28013514</v>
      </c>
      <c r="G54" s="261">
        <f t="shared" si="4"/>
        <v>25</v>
      </c>
      <c r="H54" s="437">
        <f t="shared" si="5"/>
        <v>13.28013514</v>
      </c>
    </row>
    <row r="55">
      <c r="B55" s="434" t="str">
        <f>'CALCULS BRANCHES'!A4</f>
        <v>MEZER</v>
      </c>
      <c r="C55" s="434" t="str">
        <f>'CALCULS BRANCHES'!B4</f>
        <v>N12HE</v>
      </c>
      <c r="D55" s="435">
        <f>'CALCULS BRANCHES'!O4</f>
        <v>2273.8952</v>
      </c>
      <c r="E55" s="435">
        <f>'CALCULS BRANCHES'!AB4</f>
        <v>100</v>
      </c>
      <c r="F55" s="436">
        <f>IF(COUNTIF(B55,""),,CTLS_FF!N4)</f>
        <v>13.28013514</v>
      </c>
      <c r="G55" s="261">
        <f t="shared" si="4"/>
        <v>25</v>
      </c>
      <c r="H55" s="437">
        <f t="shared" si="5"/>
        <v>13.28013514</v>
      </c>
    </row>
    <row r="56">
      <c r="B56" s="434" t="str">
        <f>'CALCULS BRANCHES'!A5</f>
        <v>N12HE</v>
      </c>
      <c r="C56" s="434" t="str">
        <f>'CALCULS BRANCHES'!B5</f>
        <v>EPR</v>
      </c>
      <c r="D56" s="435">
        <f>'CALCULS BRANCHES'!O5</f>
        <v>2273.8952</v>
      </c>
      <c r="E56" s="435">
        <f>'CALCULS BRANCHES'!AB5</f>
        <v>100</v>
      </c>
      <c r="F56" s="436">
        <f>IF(COUNTIF(B56,""),,CTLS_FF!N5)</f>
        <v>13.28013514</v>
      </c>
      <c r="G56" s="261">
        <f t="shared" si="4"/>
        <v>25</v>
      </c>
      <c r="H56" s="437">
        <f t="shared" si="5"/>
        <v>13.28013514</v>
      </c>
    </row>
    <row r="57">
      <c r="B57" s="434" t="str">
        <f>'CALCULS BRANCHES'!A6</f>
        <v>EPR</v>
      </c>
      <c r="C57" s="434" t="str">
        <f>'CALCULS BRANCHES'!B6</f>
        <v>LFOR</v>
      </c>
      <c r="D57" s="435">
        <f>'CALCULS BRANCHES'!O6</f>
        <v>2773.8952</v>
      </c>
      <c r="E57" s="435">
        <f>'CALCULS BRANCHES'!AB6</f>
        <v>100</v>
      </c>
      <c r="F57" s="436">
        <f>IF(COUNTIF(B57,""),,CTLS_FF!N6)</f>
        <v>13.28013514</v>
      </c>
      <c r="G57" s="261">
        <f t="shared" si="4"/>
        <v>25</v>
      </c>
      <c r="H57" s="437">
        <f t="shared" si="5"/>
        <v>13.28013514</v>
      </c>
    </row>
    <row r="58">
      <c r="B58" s="434" t="str">
        <f>'CALCULS BRANCHES'!A7</f>
        <v>LFOR</v>
      </c>
      <c r="C58" s="434" t="str">
        <f>'CALCULS BRANCHES'!B7</f>
        <v>LFON</v>
      </c>
      <c r="D58" s="435">
        <f>'CALCULS BRANCHES'!O7</f>
        <v>2773.8952</v>
      </c>
      <c r="E58" s="435">
        <f>'CALCULS BRANCHES'!AB7</f>
        <v>100</v>
      </c>
      <c r="F58" s="436">
        <f>IF(COUNTIF(B58,""),,CTLS_FF!N7)</f>
        <v>13.28013514</v>
      </c>
      <c r="G58" s="261">
        <f t="shared" si="4"/>
        <v>25</v>
      </c>
      <c r="H58" s="437">
        <f t="shared" si="5"/>
        <v>13.28013514</v>
      </c>
    </row>
    <row r="59">
      <c r="B59" s="434" t="str">
        <f>'CALCULS BRANCHES'!A8</f>
        <v/>
      </c>
      <c r="C59" s="434" t="str">
        <f>'CALCULS BRANCHES'!B8</f>
        <v/>
      </c>
      <c r="D59" s="435" t="str">
        <f>'CALCULS BRANCHES'!O8</f>
        <v/>
      </c>
      <c r="E59" s="435" t="str">
        <f>'CALCULS BRANCHES'!AB8</f>
        <v/>
      </c>
      <c r="F59" s="262" t="str">
        <f>IF(COUNTIF(B59,""),,CTLS_FF!N8)</f>
        <v/>
      </c>
      <c r="G59" s="261" t="str">
        <f t="shared" si="4"/>
        <v/>
      </c>
      <c r="H59" s="438" t="str">
        <f t="shared" si="5"/>
        <v/>
      </c>
    </row>
    <row r="60">
      <c r="B60" s="434" t="str">
        <f>'CALCULS BRANCHES'!A9</f>
        <v/>
      </c>
      <c r="C60" s="434" t="str">
        <f>'CALCULS BRANCHES'!B9</f>
        <v/>
      </c>
      <c r="D60" s="435" t="str">
        <f>'CALCULS BRANCHES'!O9</f>
        <v/>
      </c>
      <c r="E60" s="435" t="str">
        <f>'CALCULS BRANCHES'!AB9</f>
        <v/>
      </c>
      <c r="F60" s="262" t="str">
        <f>IF(COUNTIF(B60,""),,CTLS_FF!N9)</f>
        <v/>
      </c>
      <c r="G60" s="261" t="str">
        <f t="shared" si="4"/>
        <v/>
      </c>
      <c r="H60" s="438" t="str">
        <f t="shared" si="5"/>
        <v/>
      </c>
    </row>
    <row r="61">
      <c r="B61" s="434" t="str">
        <f>'CALCULS BRANCHES'!A10</f>
        <v/>
      </c>
      <c r="C61" s="434" t="str">
        <f>'CALCULS BRANCHES'!B10</f>
        <v/>
      </c>
      <c r="D61" s="435" t="str">
        <f>'CALCULS BRANCHES'!O10</f>
        <v/>
      </c>
      <c r="E61" s="435" t="str">
        <f>'CALCULS BRANCHES'!AB10</f>
        <v/>
      </c>
      <c r="F61" s="262" t="str">
        <f>IF(COUNTIF(B61,""),,CTLS_FF!N10)</f>
        <v/>
      </c>
      <c r="G61" s="261" t="str">
        <f t="shared" si="4"/>
        <v/>
      </c>
      <c r="H61" s="438" t="str">
        <f t="shared" si="5"/>
        <v/>
      </c>
    </row>
    <row r="62">
      <c r="B62" s="434" t="str">
        <f>'CALCULS BRANCHES'!A11</f>
        <v/>
      </c>
      <c r="C62" s="434" t="str">
        <f>'CALCULS BRANCHES'!B11</f>
        <v/>
      </c>
      <c r="D62" s="435" t="str">
        <f>'CALCULS BRANCHES'!O11</f>
        <v/>
      </c>
      <c r="E62" s="435" t="str">
        <f>'CALCULS BRANCHES'!AB11</f>
        <v/>
      </c>
      <c r="F62" s="262" t="str">
        <f>IF(COUNTIF(B62,""),,CTLS_FF!N11)</f>
        <v/>
      </c>
      <c r="G62" s="261" t="str">
        <f t="shared" si="4"/>
        <v/>
      </c>
      <c r="H62" s="438" t="str">
        <f t="shared" si="5"/>
        <v/>
      </c>
    </row>
    <row r="63">
      <c r="B63" s="434" t="str">
        <f>'CALCULS BRANCHES'!A12</f>
        <v/>
      </c>
      <c r="C63" s="434" t="str">
        <f>'CALCULS BRANCHES'!B12</f>
        <v/>
      </c>
      <c r="D63" s="435" t="str">
        <f>'CALCULS BRANCHES'!O12</f>
        <v/>
      </c>
      <c r="E63" s="435" t="str">
        <f>'CALCULS BRANCHES'!AB12</f>
        <v/>
      </c>
      <c r="F63" s="262" t="str">
        <f>IF(COUNTIF(B63,""),,CTLS_FF!N12)</f>
        <v/>
      </c>
      <c r="G63" s="261" t="str">
        <f t="shared" si="4"/>
        <v/>
      </c>
      <c r="H63" s="438" t="str">
        <f t="shared" si="5"/>
        <v/>
      </c>
    </row>
    <row r="64">
      <c r="B64" s="434" t="str">
        <f>'CALCULS BRANCHES'!A13</f>
        <v/>
      </c>
      <c r="C64" s="434" t="str">
        <f>'CALCULS BRANCHES'!B13</f>
        <v/>
      </c>
      <c r="D64" s="435" t="str">
        <f>'CALCULS BRANCHES'!O13</f>
        <v/>
      </c>
      <c r="E64" s="435" t="str">
        <f>'CALCULS BRANCHES'!AB13</f>
        <v/>
      </c>
      <c r="F64" s="262" t="str">
        <f>IF(COUNTIF(B64,""),,CTLS_FF!N13)</f>
        <v/>
      </c>
      <c r="G64" s="261" t="str">
        <f t="shared" si="4"/>
        <v/>
      </c>
      <c r="H64" s="438" t="str">
        <f t="shared" si="5"/>
        <v/>
      </c>
    </row>
    <row r="65">
      <c r="B65" s="434" t="str">
        <f>'CALCULS BRANCHES'!A14</f>
        <v/>
      </c>
      <c r="C65" s="434" t="str">
        <f>'CALCULS BRANCHES'!B14</f>
        <v/>
      </c>
      <c r="D65" s="435" t="str">
        <f>'CALCULS BRANCHES'!O14</f>
        <v/>
      </c>
      <c r="E65" s="435" t="str">
        <f>'CALCULS BRANCHES'!AB14</f>
        <v/>
      </c>
      <c r="F65" s="262" t="str">
        <f>IF(COUNTIF(B65,""),,CTLS_FF!N14)</f>
        <v/>
      </c>
      <c r="G65" s="261" t="str">
        <f t="shared" si="4"/>
        <v/>
      </c>
      <c r="H65" s="438" t="str">
        <f t="shared" si="5"/>
        <v/>
      </c>
    </row>
    <row r="66">
      <c r="B66" s="434" t="str">
        <f>'CALCULS BRANCHES'!A15</f>
        <v/>
      </c>
      <c r="C66" s="434" t="str">
        <f>'CALCULS BRANCHES'!B15</f>
        <v/>
      </c>
      <c r="D66" s="435" t="str">
        <f>'CALCULS BRANCHES'!O15</f>
        <v/>
      </c>
      <c r="E66" s="435" t="str">
        <f>'CALCULS BRANCHES'!AB15</f>
        <v/>
      </c>
      <c r="F66" s="262" t="str">
        <f>IF(COUNTIF(B66,""),,CTLS_FF!N15)</f>
        <v/>
      </c>
      <c r="G66" s="261" t="str">
        <f t="shared" si="4"/>
        <v/>
      </c>
      <c r="H66" s="438" t="str">
        <f t="shared" si="5"/>
        <v/>
      </c>
    </row>
    <row r="67">
      <c r="B67" s="434" t="str">
        <f>'CALCULS BRANCHES'!A16</f>
        <v/>
      </c>
      <c r="C67" s="434" t="str">
        <f>'CALCULS BRANCHES'!B16</f>
        <v/>
      </c>
      <c r="D67" s="435" t="str">
        <f>'CALCULS BRANCHES'!O16</f>
        <v/>
      </c>
      <c r="E67" s="435" t="str">
        <f>'CALCULS BRANCHES'!AB16</f>
        <v/>
      </c>
      <c r="F67" s="262" t="str">
        <f>IF(COUNTIF(B67,""),,CTLS_FF!N16)</f>
        <v/>
      </c>
      <c r="G67" s="261" t="str">
        <f t="shared" si="4"/>
        <v/>
      </c>
      <c r="H67" s="438" t="str">
        <f t="shared" si="5"/>
        <v/>
      </c>
    </row>
    <row r="68">
      <c r="B68" s="434" t="str">
        <f>'CALCULS BRANCHES'!A17</f>
        <v/>
      </c>
      <c r="C68" s="434" t="str">
        <f>'CALCULS BRANCHES'!B17</f>
        <v/>
      </c>
      <c r="D68" s="435" t="str">
        <f>'CALCULS BRANCHES'!O17</f>
        <v/>
      </c>
      <c r="E68" s="435" t="str">
        <f>'CALCULS BRANCHES'!AB17</f>
        <v/>
      </c>
      <c r="F68" s="262" t="str">
        <f>IF(COUNTIF(B68,""),,CTLS_FF!N17)</f>
        <v/>
      </c>
      <c r="G68" s="261" t="str">
        <f t="shared" si="4"/>
        <v/>
      </c>
      <c r="H68" s="438" t="str">
        <f t="shared" si="5"/>
        <v/>
      </c>
    </row>
    <row r="69">
      <c r="B69" s="434" t="str">
        <f>'CALCULS BRANCHES'!A18</f>
        <v/>
      </c>
      <c r="C69" s="434" t="str">
        <f>'CALCULS BRANCHES'!B18</f>
        <v/>
      </c>
      <c r="D69" s="435" t="str">
        <f>'CALCULS BRANCHES'!O18</f>
        <v/>
      </c>
      <c r="E69" s="435" t="str">
        <f>'CALCULS BRANCHES'!AB18</f>
        <v/>
      </c>
      <c r="F69" s="262" t="str">
        <f>IF(COUNTIF(B69,""),,CTLS_FF!N18)</f>
        <v/>
      </c>
      <c r="G69" s="261" t="str">
        <f t="shared" si="4"/>
        <v/>
      </c>
      <c r="H69" s="438" t="str">
        <f t="shared" si="5"/>
        <v/>
      </c>
    </row>
    <row r="70">
      <c r="B70" s="434" t="str">
        <f>'CALCULS BRANCHES'!A19</f>
        <v/>
      </c>
      <c r="C70" s="434" t="str">
        <f>'CALCULS BRANCHES'!B19</f>
        <v/>
      </c>
      <c r="D70" s="435" t="str">
        <f>'CALCULS BRANCHES'!O19</f>
        <v/>
      </c>
      <c r="E70" s="435" t="str">
        <f>'CALCULS BRANCHES'!AB19</f>
        <v/>
      </c>
      <c r="F70" s="262" t="str">
        <f>IF(COUNTIF(B70,""),,CTLS_FF!N19)</f>
        <v/>
      </c>
      <c r="G70" s="261" t="str">
        <f t="shared" si="4"/>
        <v/>
      </c>
      <c r="H70" s="438" t="str">
        <f t="shared" si="5"/>
        <v/>
      </c>
    </row>
    <row r="71">
      <c r="B71" s="439" t="s">
        <v>278</v>
      </c>
      <c r="C71" s="262"/>
      <c r="D71" s="262"/>
      <c r="E71" s="262"/>
      <c r="F71" s="261">
        <v>18.0</v>
      </c>
      <c r="G71" s="261">
        <v>25.0</v>
      </c>
      <c r="H71" s="438">
        <f t="shared" si="5"/>
        <v>18</v>
      </c>
    </row>
  </sheetData>
  <mergeCells count="3">
    <mergeCell ref="B23:B24"/>
    <mergeCell ref="B47:B48"/>
    <mergeCell ref="C47:C48"/>
  </mergeCells>
  <dataValidations>
    <dataValidation type="list" allowBlank="1" showErrorMessage="1" sqref="C3">
      <formula1>PERFORMANCE!$C$5:$D$5</formula1>
    </dataValidation>
    <dataValidation type="list" allowBlank="1" showErrorMessage="1" sqref="H13">
      <formula1>DR400120_PERFORMANCE!$E$34:$E$35</formula1>
    </dataValidation>
    <dataValidation type="list" allowBlank="1" showErrorMessage="1" sqref="H14">
      <formula1>DR400120_PERFORMANCE!$F$33:$G$33</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58" t="s">
        <v>279</v>
      </c>
    </row>
    <row r="2">
      <c r="A2" s="198"/>
      <c r="C2" s="440"/>
      <c r="D2" s="440"/>
      <c r="E2" s="440"/>
      <c r="F2" s="440"/>
      <c r="G2" s="440"/>
      <c r="H2" s="440"/>
    </row>
    <row r="3">
      <c r="A3" s="198" t="s">
        <v>280</v>
      </c>
      <c r="C3" s="440"/>
      <c r="D3" s="440"/>
      <c r="E3" s="440"/>
      <c r="F3" s="440"/>
      <c r="G3" s="440"/>
      <c r="H3" s="440"/>
    </row>
    <row r="4">
      <c r="B4" s="441"/>
      <c r="C4" s="442">
        <v>-20.0</v>
      </c>
      <c r="D4" s="82"/>
      <c r="E4" s="113">
        <v>0.0</v>
      </c>
      <c r="F4" s="82"/>
      <c r="G4" s="113">
        <v>20.0</v>
      </c>
      <c r="H4" s="82"/>
    </row>
    <row r="5">
      <c r="B5" s="443"/>
      <c r="C5" s="444">
        <v>700.0</v>
      </c>
      <c r="D5" s="194">
        <v>900.0</v>
      </c>
      <c r="E5" s="194">
        <v>700.0</v>
      </c>
      <c r="F5" s="194">
        <v>900.0</v>
      </c>
      <c r="G5" s="194">
        <v>700.0</v>
      </c>
      <c r="H5" s="194">
        <v>900.0</v>
      </c>
    </row>
    <row r="6">
      <c r="B6" s="445">
        <v>0.0</v>
      </c>
      <c r="C6" s="261">
        <v>130.0</v>
      </c>
      <c r="D6" s="261">
        <v>225.0</v>
      </c>
      <c r="E6" s="261">
        <v>145.0</v>
      </c>
      <c r="F6" s="261">
        <v>235.0</v>
      </c>
      <c r="G6" s="261">
        <v>165.0</v>
      </c>
      <c r="H6" s="261">
        <v>285.0</v>
      </c>
    </row>
    <row r="7">
      <c r="B7" s="194">
        <v>4000.0</v>
      </c>
      <c r="C7" s="261">
        <v>175.0</v>
      </c>
      <c r="D7" s="261">
        <v>305.0</v>
      </c>
      <c r="E7" s="261">
        <v>195.0</v>
      </c>
      <c r="F7" s="261">
        <v>345.0</v>
      </c>
      <c r="G7" s="261">
        <v>220.0</v>
      </c>
      <c r="H7" s="261">
        <v>390.0</v>
      </c>
    </row>
    <row r="8">
      <c r="B8" s="194">
        <v>8000.0</v>
      </c>
      <c r="C8" s="261">
        <v>235.0</v>
      </c>
      <c r="D8" s="261">
        <v>425.0</v>
      </c>
      <c r="E8" s="261">
        <v>265.0</v>
      </c>
      <c r="F8" s="261">
        <v>475.0</v>
      </c>
      <c r="G8" s="261">
        <v>300.0</v>
      </c>
      <c r="H8" s="261">
        <v>535.0</v>
      </c>
    </row>
    <row r="11">
      <c r="B11" s="372"/>
      <c r="C11" s="446">
        <v>-20.0</v>
      </c>
      <c r="D11" s="446">
        <v>0.0</v>
      </c>
      <c r="E11" s="446">
        <v>20.0</v>
      </c>
      <c r="F11" s="447">
        <f>IsaDeviation(Zp,OAT)</f>
        <v>9.654</v>
      </c>
    </row>
    <row r="12">
      <c r="B12" s="446">
        <v>0.0</v>
      </c>
      <c r="C12" s="428">
        <f t="array" ref="C12">_xlfn.FORECAST.LINEAR(DR400_TOW,{C6;D6},{C$5;D$5})*DR400_DdCorr</f>
        <v>231.5899121</v>
      </c>
      <c r="D12" s="428">
        <f t="array" ref="D12">_xlfn.FORECAST.LINEAR(DR400_TOW,{E6;F6},{E$5;F$5})*DR400_DdCorr</f>
        <v>247.8990609</v>
      </c>
      <c r="E12" s="428">
        <f t="array" ref="E12">_xlfn.FORECAST.LINEAR(DR400_TOW,{G6;H6},{G$5;H$5})*DR400_DdCorr</f>
        <v>293.5646774</v>
      </c>
      <c r="F12" s="448">
        <f t="shared" ref="F12:F15" si="1">_xlfn.FORECAST.LINEAR(F$11,C12:E12,C$11:E$11)</f>
        <v>272.6421597</v>
      </c>
    </row>
    <row r="13">
      <c r="B13" s="446">
        <v>4000.0</v>
      </c>
      <c r="C13" s="428">
        <f t="array" ref="C13">_xlfn.FORECAST.LINEAR(DR400_TOW,{C7;D7},{C$5;D$5})*DR400_DdCorr</f>
        <v>313.1356558</v>
      </c>
      <c r="D13" s="428">
        <f t="array" ref="D13">_xlfn.FORECAST.LINEAR(DR400_TOW,{E7;F7},{E$5;F$5})*DR400_DdCorr</f>
        <v>352.2776128</v>
      </c>
      <c r="E13" s="428">
        <f t="array" ref="E13">_xlfn.FORECAST.LINEAR(DR400_TOW,{G7;H7},{G$5;H$5})*DR400_DdCorr</f>
        <v>397.9432293</v>
      </c>
      <c r="F13" s="448">
        <f t="shared" si="1"/>
        <v>374.9204738</v>
      </c>
    </row>
    <row r="14">
      <c r="B14" s="446">
        <v>8000.0</v>
      </c>
      <c r="C14" s="428">
        <f t="array" ref="C14">_xlfn.FORECAST.LINEAR(DR400_TOW,{C8;D8},{C$5;D$5})*DR400_DdCorr</f>
        <v>430.5615268</v>
      </c>
      <c r="D14" s="428">
        <f t="array" ref="D14">_xlfn.FORECAST.LINEAR(DR400_TOW,{E8;F8},{E$5;F$5})*DR400_DdCorr</f>
        <v>482.7508028</v>
      </c>
      <c r="E14" s="428">
        <f t="array" ref="E14">_xlfn.FORECAST.LINEAR(DR400_TOW,{G8;H8},{G$5;H$5})*DR400_DdCorr</f>
        <v>544.725568</v>
      </c>
      <c r="F14" s="448">
        <f t="shared" si="1"/>
        <v>513.5661239</v>
      </c>
    </row>
    <row r="15">
      <c r="B15" s="449">
        <f>Zp</f>
        <v>-173</v>
      </c>
      <c r="C15" s="448">
        <f t="shared" ref="C15:E15" si="2">_xlfn.FORECAST.LINEAR($B15,C12:C14,$B12:$B14)</f>
        <v>221.3071298</v>
      </c>
      <c r="D15" s="448">
        <f t="shared" si="2"/>
        <v>238.4712856</v>
      </c>
      <c r="E15" s="448">
        <f t="shared" si="2"/>
        <v>281.0660253</v>
      </c>
      <c r="F15" s="450">
        <f t="shared" si="1"/>
        <v>261.3709563</v>
      </c>
    </row>
    <row r="17">
      <c r="A17" s="198" t="s">
        <v>281</v>
      </c>
    </row>
    <row r="18">
      <c r="B18" s="441"/>
      <c r="C18" s="442">
        <v>-20.0</v>
      </c>
      <c r="D18" s="82"/>
      <c r="E18" s="113">
        <v>0.0</v>
      </c>
      <c r="F18" s="82"/>
      <c r="G18" s="113">
        <v>20.0</v>
      </c>
      <c r="H18" s="82"/>
    </row>
    <row r="19">
      <c r="B19" s="451"/>
      <c r="C19" s="444">
        <v>700.0</v>
      </c>
      <c r="D19" s="194">
        <v>900.0</v>
      </c>
      <c r="E19" s="194">
        <v>700.0</v>
      </c>
      <c r="F19" s="194">
        <v>900.0</v>
      </c>
      <c r="G19" s="194">
        <v>700.0</v>
      </c>
      <c r="H19" s="194">
        <v>900.0</v>
      </c>
    </row>
    <row r="20">
      <c r="B20" s="445">
        <v>0.0</v>
      </c>
      <c r="C20" s="261">
        <v>285.0</v>
      </c>
      <c r="D20" s="261">
        <v>480.0</v>
      </c>
      <c r="E20" s="261">
        <v>315.0</v>
      </c>
      <c r="F20" s="261">
        <v>535.0</v>
      </c>
      <c r="G20" s="261">
        <v>345.0</v>
      </c>
      <c r="H20" s="261">
        <v>590.0</v>
      </c>
    </row>
    <row r="21">
      <c r="B21" s="194">
        <v>4000.0</v>
      </c>
      <c r="C21" s="261">
        <v>375.0</v>
      </c>
      <c r="D21" s="261">
        <v>645.0</v>
      </c>
      <c r="E21" s="261">
        <v>415.0</v>
      </c>
      <c r="F21" s="261">
        <v>720.0</v>
      </c>
      <c r="G21" s="261">
        <v>460.0</v>
      </c>
      <c r="H21" s="261">
        <v>800.0</v>
      </c>
    </row>
    <row r="22">
      <c r="B22" s="194">
        <v>8000.0</v>
      </c>
      <c r="C22" s="261">
        <v>500.0</v>
      </c>
      <c r="D22" s="261">
        <v>890.0</v>
      </c>
      <c r="E22" s="261">
        <v>560.0</v>
      </c>
      <c r="F22" s="261">
        <v>1000.0</v>
      </c>
      <c r="G22" s="261">
        <v>620.0</v>
      </c>
      <c r="H22" s="261">
        <v>1125.0</v>
      </c>
    </row>
    <row r="25">
      <c r="C25" s="194">
        <v>-20.0</v>
      </c>
      <c r="D25" s="194">
        <v>0.0</v>
      </c>
      <c r="E25" s="194">
        <v>20.0</v>
      </c>
      <c r="F25" s="452">
        <f>IsaDeviation(Zp,OAT)</f>
        <v>9.654</v>
      </c>
    </row>
    <row r="26">
      <c r="B26" s="194">
        <v>0.0</v>
      </c>
      <c r="C26" s="428">
        <f t="array" ref="C26">_xlfn.FORECAST.LINEAR(DR400_TOW,{C20;D20},{C$19;D$19})*DR400_DdCorr</f>
        <v>499.0599515</v>
      </c>
      <c r="D26" s="428">
        <f t="array" ref="D26">_xlfn.FORECAST.LINEAR(DR400_TOW,{E20;F20},{E$19;F$19})*DR400_DdCorr</f>
        <v>554.5110572</v>
      </c>
      <c r="E26" s="428">
        <f t="array" ref="E26">_xlfn.FORECAST.LINEAR(DR400_TOW,{G20;H20},{G$19;H$19})*DR400_DdCorr</f>
        <v>609.9621629</v>
      </c>
      <c r="F26" s="448">
        <f t="shared" ref="F26:F29" si="3">_xlfn.FORECAST.LINEAR(F$25,C26:E26,C$25:E$25)</f>
        <v>581.277306</v>
      </c>
    </row>
    <row r="27">
      <c r="B27" s="194">
        <v>4000.0</v>
      </c>
      <c r="C27" s="428">
        <f t="array" ref="C27">_xlfn.FORECAST.LINEAR(DR400_TOW,{C21;D21},{C$19;D$19})*DR400_DdCorr</f>
        <v>665.4132687</v>
      </c>
      <c r="D27" s="428">
        <f t="array" ref="D27">_xlfn.FORECAST.LINEAR(DR400_TOW,{E21;F21},{E$19;F$19})*DR400_DdCorr</f>
        <v>740.4353529</v>
      </c>
      <c r="E27" s="428">
        <f t="array" ref="E27">_xlfn.FORECAST.LINEAR(DR400_TOW,{G21;H21},{G$19;H$19})*DR400_DdCorr</f>
        <v>821.9810966</v>
      </c>
      <c r="F27" s="448">
        <f t="shared" si="3"/>
        <v>780.3975513</v>
      </c>
    </row>
    <row r="28">
      <c r="B28" s="194">
        <v>8000.0</v>
      </c>
      <c r="C28" s="428">
        <f t="array" ref="C28">_xlfn.FORECAST.LINEAR(DR400_TOW,{C22;D22},{C$19;D$19})*DR400_DdCorr</f>
        <v>906.7886701</v>
      </c>
      <c r="D28" s="428">
        <f t="array" ref="D28">_xlfn.FORECAST.LINEAR(DR400_TOW,{E22;F22},{E$19;F$19})*DR400_DdCorr</f>
        <v>1017.690881</v>
      </c>
      <c r="E28" s="428">
        <f t="array" ref="E28">_xlfn.FORECAST.LINEAR(DR400_TOW,{G22;H22},{G$19;H$19})*DR400_DdCorr</f>
        <v>1138.378582</v>
      </c>
      <c r="F28" s="448">
        <f t="shared" si="3"/>
        <v>1076.846937</v>
      </c>
    </row>
    <row r="29">
      <c r="B29" s="453">
        <f>Zp</f>
        <v>-173</v>
      </c>
      <c r="C29" s="448">
        <f t="shared" ref="C29:E29" si="4">_xlfn.FORECAST.LINEAR($B29,C26:C28,$B26:$B28)</f>
        <v>477.7391373</v>
      </c>
      <c r="D29" s="448">
        <f t="shared" si="4"/>
        <v>529.2729214</v>
      </c>
      <c r="E29" s="448">
        <f t="shared" si="4"/>
        <v>581.1387326</v>
      </c>
      <c r="F29" s="450">
        <f t="shared" si="3"/>
        <v>554.3390894</v>
      </c>
    </row>
    <row r="33">
      <c r="B33" s="194" t="s">
        <v>230</v>
      </c>
      <c r="C33" s="194" t="s">
        <v>282</v>
      </c>
      <c r="E33" s="194" t="s">
        <v>283</v>
      </c>
      <c r="F33" s="194" t="s">
        <v>242</v>
      </c>
      <c r="G33" s="194" t="s">
        <v>284</v>
      </c>
    </row>
    <row r="34">
      <c r="B34" s="454" t="s">
        <v>285</v>
      </c>
      <c r="C34" s="455" t="s">
        <v>286</v>
      </c>
      <c r="E34" s="194" t="s">
        <v>287</v>
      </c>
      <c r="F34" s="456">
        <v>0.0</v>
      </c>
      <c r="G34" s="456">
        <v>0.1</v>
      </c>
    </row>
    <row r="35">
      <c r="B35" s="261">
        <v>10.0</v>
      </c>
      <c r="C35" s="261">
        <v>0.85</v>
      </c>
      <c r="E35" s="194" t="s">
        <v>239</v>
      </c>
      <c r="F35" s="456">
        <v>0.15</v>
      </c>
      <c r="G35" s="456">
        <v>0.35</v>
      </c>
    </row>
    <row r="36">
      <c r="B36" s="261">
        <v>20.0</v>
      </c>
      <c r="C36" s="261">
        <v>0.65</v>
      </c>
    </row>
    <row r="37">
      <c r="B37" s="261">
        <v>30.0</v>
      </c>
      <c r="C37" s="261">
        <v>0.55</v>
      </c>
    </row>
    <row r="40">
      <c r="B40" s="457" t="s">
        <v>288</v>
      </c>
      <c r="C40" s="82"/>
      <c r="D40" s="458">
        <v>1.1</v>
      </c>
    </row>
    <row r="41">
      <c r="B41" s="457" t="s">
        <v>289</v>
      </c>
      <c r="C41" s="82"/>
      <c r="D41" s="458">
        <v>1.15</v>
      </c>
    </row>
    <row r="42">
      <c r="B42" s="459" t="s">
        <v>290</v>
      </c>
      <c r="C42" s="459" t="s">
        <v>291</v>
      </c>
      <c r="D42" s="460">
        <f>IF(Veff&gt;0, FORECAST(Veff,C35:C37,B35:B37),1-Veff/2*10%)</f>
        <v>0.9083333333</v>
      </c>
    </row>
    <row r="43">
      <c r="B43" s="261" t="s">
        <v>292</v>
      </c>
      <c r="C43" s="261" t="s">
        <v>293</v>
      </c>
      <c r="D43" s="461">
        <f>1+SWITCH(SurfType,"Dur",SWITCH(SurfEtat,"Sèche",F34,"Humide",G34),"Herbe",SWITCH(SurfEtat,"Sèche",F35,"Humide",G35))</f>
        <v>1.15</v>
      </c>
    </row>
    <row r="44">
      <c r="B44" s="261" t="s">
        <v>294</v>
      </c>
      <c r="C44" s="261" t="s">
        <v>295</v>
      </c>
      <c r="D44" s="458">
        <f>1+(5%*Slope*100)</f>
        <v>0.9873875862</v>
      </c>
      <c r="E44" s="106" t="s">
        <v>296</v>
      </c>
    </row>
    <row r="45">
      <c r="B45" s="194" t="s">
        <v>297</v>
      </c>
      <c r="C45" s="261" t="s">
        <v>298</v>
      </c>
      <c r="D45" s="462">
        <f>PRODUCT(D40:D44)</f>
        <v>1.304731899</v>
      </c>
    </row>
    <row r="48">
      <c r="G48" s="463" t="s">
        <v>299</v>
      </c>
    </row>
    <row r="49">
      <c r="B49" s="198" t="s">
        <v>300</v>
      </c>
      <c r="C49" s="226">
        <f>DR400_TOW</f>
        <v>800</v>
      </c>
      <c r="D49" s="198"/>
      <c r="E49" s="463" t="s">
        <v>301</v>
      </c>
      <c r="F49" s="464">
        <f>D57</f>
        <v>144.456</v>
      </c>
      <c r="G49" s="465">
        <f>E70</f>
        <v>4.279358329</v>
      </c>
    </row>
    <row r="50">
      <c r="B50" s="198" t="s">
        <v>111</v>
      </c>
      <c r="C50" s="226">
        <f>Zp</f>
        <v>-173</v>
      </c>
      <c r="D50" s="198"/>
      <c r="E50" s="463" t="s">
        <v>302</v>
      </c>
      <c r="F50" s="464">
        <f>E55</f>
        <v>129.64</v>
      </c>
      <c r="G50" s="465">
        <f>E58</f>
        <v>3.11228884</v>
      </c>
    </row>
    <row r="51">
      <c r="E51" s="198"/>
      <c r="F51" s="106"/>
    </row>
    <row r="52">
      <c r="B52" s="198"/>
      <c r="C52" s="466"/>
      <c r="D52" s="198"/>
      <c r="E52" s="198"/>
      <c r="F52" s="106"/>
    </row>
    <row r="53">
      <c r="B53" s="194" t="s">
        <v>303</v>
      </c>
      <c r="C53" s="223"/>
      <c r="D53" s="194">
        <v>0.0</v>
      </c>
      <c r="E53" s="194">
        <v>15.0</v>
      </c>
      <c r="F53" s="106" t="s">
        <v>226</v>
      </c>
    </row>
    <row r="54">
      <c r="B54" s="430" t="s">
        <v>304</v>
      </c>
      <c r="C54" s="430" t="s">
        <v>302</v>
      </c>
      <c r="D54" s="262"/>
      <c r="E54" s="261">
        <v>70.0</v>
      </c>
      <c r="F54" s="106" t="s">
        <v>228</v>
      </c>
    </row>
    <row r="55">
      <c r="B55" s="431"/>
      <c r="C55" s="431"/>
      <c r="D55" s="261"/>
      <c r="E55" s="422">
        <f>CONVERT(E54,$F54,$F55)</f>
        <v>129.64</v>
      </c>
      <c r="F55" s="106" t="s">
        <v>229</v>
      </c>
    </row>
    <row r="56">
      <c r="B56" s="430" t="s">
        <v>305</v>
      </c>
      <c r="C56" s="430" t="s">
        <v>301</v>
      </c>
      <c r="D56" s="261">
        <v>78.0</v>
      </c>
      <c r="E56" s="261">
        <v>75.0</v>
      </c>
      <c r="F56" s="106" t="s">
        <v>228</v>
      </c>
    </row>
    <row r="57">
      <c r="B57" s="431"/>
      <c r="C57" s="431"/>
      <c r="D57" s="422">
        <f t="shared" ref="D57:E57" si="5">CONVERT(D56,$F56,$F57)</f>
        <v>144.456</v>
      </c>
      <c r="E57" s="422">
        <f t="shared" si="5"/>
        <v>138.9</v>
      </c>
      <c r="F57" s="106" t="s">
        <v>229</v>
      </c>
    </row>
    <row r="58">
      <c r="B58" s="261" t="s">
        <v>306</v>
      </c>
      <c r="C58" s="261" t="s">
        <v>307</v>
      </c>
      <c r="D58" s="436">
        <f>E70</f>
        <v>4.279358329</v>
      </c>
      <c r="E58" s="424">
        <f>2.9*(1+VzCorrZ*Zp/1000)*(1+IsaDeviation(Zp,OAT)/10*VzCorrT)</f>
        <v>3.11228884</v>
      </c>
      <c r="F58" s="106" t="s">
        <v>308</v>
      </c>
    </row>
    <row r="61">
      <c r="B61" s="194" t="s">
        <v>309</v>
      </c>
      <c r="C61" s="194">
        <v>800.0</v>
      </c>
      <c r="D61" s="194">
        <v>900.0</v>
      </c>
    </row>
    <row r="62">
      <c r="B62" s="194">
        <v>0.0</v>
      </c>
      <c r="C62" s="424">
        <v>4.1</v>
      </c>
      <c r="D62" s="424">
        <v>3.05</v>
      </c>
      <c r="E62" s="322"/>
    </row>
    <row r="63">
      <c r="B63" s="194">
        <v>9200.0</v>
      </c>
      <c r="C63" s="424">
        <v>2.0</v>
      </c>
      <c r="D63" s="436">
        <f t="array" ref="D63">_xlfn.FORECAST.LINEAR(B63,{D62;D64},{B62;B64})</f>
        <v>1.095</v>
      </c>
      <c r="E63" s="322"/>
    </row>
    <row r="64">
      <c r="B64" s="194">
        <v>12000.0</v>
      </c>
      <c r="C64" s="436">
        <f>_xlfn.FORECAST.LINEAR(B64,C62:C63,B62:B63)</f>
        <v>1.360869565</v>
      </c>
      <c r="D64" s="424">
        <v>0.5</v>
      </c>
      <c r="E64" s="322"/>
    </row>
    <row r="65">
      <c r="C65" s="322"/>
      <c r="D65" s="322"/>
      <c r="E65" s="322"/>
    </row>
    <row r="66">
      <c r="B66" s="194" t="s">
        <v>310</v>
      </c>
      <c r="C66" s="194">
        <v>800.0</v>
      </c>
      <c r="D66" s="194">
        <v>900.0</v>
      </c>
      <c r="E66" s="449">
        <f>DR400_TOW</f>
        <v>800</v>
      </c>
    </row>
    <row r="67">
      <c r="B67" s="194">
        <v>0.0</v>
      </c>
      <c r="C67" s="425">
        <f>C62*(1+IsaDeviation(Zp,OAT)/10*VzCorrT)</f>
        <v>4.2385349</v>
      </c>
      <c r="D67" s="425">
        <f>D62*(1+IsaDeviation(Zp,OAT)/10*VzCorrT)</f>
        <v>3.15305645</v>
      </c>
      <c r="E67" s="447">
        <f t="shared" ref="E67:E69" si="6">_xlfn.FORECAST.LINEAR(E$66,C67:D67,C$66:D$66)</f>
        <v>4.2385349</v>
      </c>
    </row>
    <row r="68">
      <c r="B68" s="194">
        <v>9200.0</v>
      </c>
      <c r="C68" s="425">
        <f>C63*(1+IsaDeviation(Zp,OAT)/10*VzCorrT)</f>
        <v>2.067578</v>
      </c>
      <c r="D68" s="425">
        <f>D63*(1+IsaDeviation(Zp,OAT)/10*VzCorrT)</f>
        <v>1.131998955</v>
      </c>
      <c r="E68" s="447">
        <f t="shared" si="6"/>
        <v>2.067578</v>
      </c>
    </row>
    <row r="69">
      <c r="B69" s="194">
        <v>12000.0</v>
      </c>
      <c r="C69" s="425">
        <f>C64*(1+IsaDeviation(Zp,OAT)/10*VzCorrT)</f>
        <v>1.406851987</v>
      </c>
      <c r="D69" s="425">
        <f>D64*(1+IsaDeviation(Zp,OAT)/10*VzCorrT)</f>
        <v>0.5168945</v>
      </c>
      <c r="E69" s="447">
        <f t="shared" si="6"/>
        <v>1.406851987</v>
      </c>
    </row>
    <row r="70">
      <c r="B70" s="449">
        <f>Zp</f>
        <v>-173</v>
      </c>
      <c r="C70" s="447">
        <f t="shared" ref="C70:E70" si="7">_xlfn.FORECAST.LINEAR($B70,C67:C69,$B67:$B69)</f>
        <v>4.279358329</v>
      </c>
      <c r="D70" s="447">
        <f t="shared" si="7"/>
        <v>3.191061118</v>
      </c>
      <c r="E70" s="447">
        <f t="shared" si="7"/>
        <v>4.279358329</v>
      </c>
    </row>
    <row r="72">
      <c r="B72" s="106" t="s">
        <v>311</v>
      </c>
      <c r="C72" s="467">
        <v>0.035</v>
      </c>
      <c r="D72" s="106" t="s">
        <v>312</v>
      </c>
    </row>
    <row r="73">
      <c r="B73" s="106" t="s">
        <v>313</v>
      </c>
      <c r="C73" s="468">
        <f t="array" ref="C73">AVERAGE({(DR400120_PERFORMANCE!C64-DR400120_PERFORMANCE!C62)/DR400120_PERFORMANCE!$B64*1000;(DR400120_PERFORMANCE!D64-DR400120_PERFORMANCE!D62)/DR400120_PERFORMANCE!$B64*1000})</f>
        <v>-0.2203804348</v>
      </c>
      <c r="D73" s="106" t="s">
        <v>314</v>
      </c>
    </row>
    <row r="75">
      <c r="A75" s="198" t="s">
        <v>280</v>
      </c>
      <c r="C75" s="440"/>
      <c r="D75" s="440"/>
      <c r="E75" s="440"/>
      <c r="F75" s="440"/>
      <c r="G75" s="440"/>
      <c r="H75" s="440"/>
    </row>
    <row r="76">
      <c r="B76" s="441"/>
      <c r="C76" s="442">
        <v>-20.0</v>
      </c>
      <c r="D76" s="82"/>
      <c r="E76" s="113">
        <v>0.0</v>
      </c>
      <c r="F76" s="82"/>
      <c r="G76" s="113">
        <v>20.0</v>
      </c>
      <c r="H76" s="82"/>
    </row>
    <row r="77">
      <c r="B77" s="443"/>
      <c r="C77" s="444">
        <v>700.0</v>
      </c>
      <c r="D77" s="194">
        <v>900.0</v>
      </c>
      <c r="E77" s="194">
        <v>700.0</v>
      </c>
      <c r="F77" s="194">
        <v>900.0</v>
      </c>
      <c r="G77" s="194">
        <v>700.0</v>
      </c>
      <c r="H77" s="194">
        <v>900.0</v>
      </c>
    </row>
    <row r="78">
      <c r="B78" s="445">
        <v>0.0</v>
      </c>
      <c r="C78" s="261">
        <v>145.0</v>
      </c>
      <c r="D78" s="261">
        <v>185.0</v>
      </c>
      <c r="E78" s="261">
        <v>155.0</v>
      </c>
      <c r="F78" s="261">
        <v>200.0</v>
      </c>
      <c r="G78" s="261">
        <v>165.0</v>
      </c>
      <c r="H78" s="261">
        <v>210.0</v>
      </c>
    </row>
    <row r="79">
      <c r="B79" s="194">
        <v>4000.0</v>
      </c>
      <c r="C79" s="261">
        <v>160.0</v>
      </c>
      <c r="D79" s="261">
        <v>205.0</v>
      </c>
      <c r="E79" s="261">
        <v>175.0</v>
      </c>
      <c r="F79" s="261">
        <v>225.0</v>
      </c>
      <c r="G79" s="261">
        <v>185.0</v>
      </c>
      <c r="H79" s="261">
        <v>240.0</v>
      </c>
    </row>
    <row r="80">
      <c r="B80" s="194">
        <v>8000.0</v>
      </c>
      <c r="C80" s="261">
        <v>180.0</v>
      </c>
      <c r="D80" s="261">
        <v>235.0</v>
      </c>
      <c r="E80" s="261">
        <v>195.0</v>
      </c>
      <c r="F80" s="261">
        <v>250.0</v>
      </c>
      <c r="G80" s="261">
        <v>210.0</v>
      </c>
      <c r="H80" s="261">
        <v>270.0</v>
      </c>
    </row>
    <row r="83">
      <c r="B83" s="372"/>
      <c r="C83" s="446">
        <v>-20.0</v>
      </c>
      <c r="D83" s="446">
        <v>0.0</v>
      </c>
      <c r="E83" s="446">
        <v>20.0</v>
      </c>
      <c r="F83" s="447">
        <f>IsaDeviation(Zp,OAT)</f>
        <v>9.654</v>
      </c>
    </row>
    <row r="84">
      <c r="B84" s="446">
        <v>0.0</v>
      </c>
      <c r="C84" s="428">
        <f t="array" ref="C84">_xlfn.FORECAST.LINEAR(DR400_TOW,{C78;D78},{C$5;D$5})*DR400_DdCorr</f>
        <v>215.2807634</v>
      </c>
      <c r="D84" s="428">
        <f t="array" ref="D84">_xlfn.FORECAST.LINEAR(DR400_TOW,{E78;F78},{E$5;F$5})*DR400_DdCorr</f>
        <v>231.5899121</v>
      </c>
      <c r="E84" s="428">
        <f t="array" ref="E84">_xlfn.FORECAST.LINEAR(DR400_TOW,{G78;H78},{G$5;H$5})*DR400_DdCorr</f>
        <v>244.6372311</v>
      </c>
      <c r="F84" s="448">
        <f t="shared" ref="F84:F87" si="8">_xlfn.FORECAST.LINEAR(F$11,C84:E84,C$11:E$11)</f>
        <v>237.587819</v>
      </c>
    </row>
    <row r="85">
      <c r="B85" s="446">
        <v>4000.0</v>
      </c>
      <c r="C85" s="428">
        <f t="array" ref="C85">_xlfn.FORECAST.LINEAR(DR400_TOW,{C79;D79},{C$5;D$5})*DR400_DdCorr</f>
        <v>238.1135716</v>
      </c>
      <c r="D85" s="428">
        <f t="array" ref="D85">_xlfn.FORECAST.LINEAR(DR400_TOW,{E79;F79},{E$5;F$5})*DR400_DdCorr</f>
        <v>260.9463799</v>
      </c>
      <c r="E85" s="428">
        <f t="array" ref="E85">_xlfn.FORECAST.LINEAR(DR400_TOW,{G79;H79},{G$5;H$5})*DR400_DdCorr</f>
        <v>277.2555286</v>
      </c>
      <c r="F85" s="448">
        <f t="shared" si="8"/>
        <v>268.218738</v>
      </c>
    </row>
    <row r="86">
      <c r="B86" s="446">
        <v>8000.0</v>
      </c>
      <c r="C86" s="428">
        <f t="array" ref="C86">_xlfn.FORECAST.LINEAR(DR400_TOW,{C80;D80},{C$5;D$5})*DR400_DdCorr</f>
        <v>270.7318691</v>
      </c>
      <c r="D86" s="428">
        <f t="array" ref="D86">_xlfn.FORECAST.LINEAR(DR400_TOW,{E80;F80},{E$5;F$5})*DR400_DdCorr</f>
        <v>290.3028476</v>
      </c>
      <c r="E86" s="428">
        <f t="array" ref="E86">_xlfn.FORECAST.LINEAR(DR400_TOW,{G80;H80},{G$5;H$5})*DR400_DdCorr</f>
        <v>313.1356558</v>
      </c>
      <c r="F86" s="448">
        <f t="shared" si="8"/>
        <v>301.6242781</v>
      </c>
    </row>
    <row r="87">
      <c r="B87" s="449">
        <f>Zp</f>
        <v>-173</v>
      </c>
      <c r="C87" s="448">
        <f t="shared" ref="C87:E87" si="9">_xlfn.FORECAST.LINEAR($B87,C84:C86,$B84:$B86)</f>
        <v>212.4507184</v>
      </c>
      <c r="D87" s="448">
        <f t="shared" si="9"/>
        <v>230.3202449</v>
      </c>
      <c r="E87" s="448">
        <f t="shared" si="9"/>
        <v>242.6123144</v>
      </c>
      <c r="F87" s="450">
        <f t="shared" si="8"/>
        <v>235.7405938</v>
      </c>
    </row>
    <row r="89">
      <c r="A89" s="198" t="s">
        <v>315</v>
      </c>
    </row>
    <row r="90">
      <c r="B90" s="441"/>
      <c r="C90" s="442">
        <v>-20.0</v>
      </c>
      <c r="D90" s="82"/>
      <c r="E90" s="113">
        <v>0.0</v>
      </c>
      <c r="F90" s="82"/>
      <c r="G90" s="113">
        <v>20.0</v>
      </c>
      <c r="H90" s="82"/>
    </row>
    <row r="91">
      <c r="B91" s="451"/>
      <c r="C91" s="444">
        <v>700.0</v>
      </c>
      <c r="D91" s="194">
        <v>900.0</v>
      </c>
      <c r="E91" s="194">
        <v>700.0</v>
      </c>
      <c r="F91" s="194">
        <v>900.0</v>
      </c>
      <c r="G91" s="194">
        <v>700.0</v>
      </c>
      <c r="H91" s="194">
        <v>900.0</v>
      </c>
    </row>
    <row r="92">
      <c r="B92" s="445">
        <v>0.0</v>
      </c>
      <c r="C92" s="261">
        <v>365.0</v>
      </c>
      <c r="D92" s="261">
        <v>435.0</v>
      </c>
      <c r="E92" s="261">
        <v>385.0</v>
      </c>
      <c r="F92" s="261">
        <v>460.0</v>
      </c>
      <c r="G92" s="261">
        <v>400.0</v>
      </c>
      <c r="H92" s="261">
        <v>485.0</v>
      </c>
    </row>
    <row r="93">
      <c r="B93" s="194">
        <v>4000.0</v>
      </c>
      <c r="C93" s="261">
        <v>395.0</v>
      </c>
      <c r="D93" s="261">
        <v>475.0</v>
      </c>
      <c r="E93" s="261">
        <v>420.0</v>
      </c>
      <c r="F93" s="261">
        <v>505.0</v>
      </c>
      <c r="G93" s="261">
        <v>440.0</v>
      </c>
      <c r="H93" s="261">
        <v>535.0</v>
      </c>
    </row>
    <row r="94">
      <c r="B94" s="194">
        <v>8000.0</v>
      </c>
      <c r="C94" s="261">
        <v>430.0</v>
      </c>
      <c r="D94" s="261">
        <v>525.0</v>
      </c>
      <c r="E94" s="261">
        <v>460.0</v>
      </c>
      <c r="F94" s="261">
        <v>555.0</v>
      </c>
      <c r="G94" s="261">
        <v>485.0</v>
      </c>
      <c r="H94" s="261">
        <v>590.0</v>
      </c>
    </row>
    <row r="97">
      <c r="C97" s="194">
        <v>-20.0</v>
      </c>
      <c r="D97" s="194">
        <v>0.0</v>
      </c>
      <c r="E97" s="194">
        <v>20.0</v>
      </c>
      <c r="F97" s="452">
        <f>IsaDeviation(Zp,OAT)</f>
        <v>9.654</v>
      </c>
    </row>
    <row r="98">
      <c r="B98" s="194">
        <v>0.0</v>
      </c>
      <c r="C98" s="428">
        <f t="array" ref="C98">_xlfn.FORECAST.LINEAR(DR400_LW,{C92;D92},{C$19;D$19})*DR400_DdCorr</f>
        <v>476.2271433</v>
      </c>
      <c r="D98" s="428">
        <f t="array" ref="D98">_xlfn.FORECAST.LINEAR(DR400_LW,{E92;F92},{E$19;F$19})*DR400_DdCorr</f>
        <v>502.3217813</v>
      </c>
      <c r="E98" s="428">
        <f t="array" ref="E98">_xlfn.FORECAST.LINEAR(DR400_LW,{G92;H92},{G$19;H$19})*DR400_DdCorr</f>
        <v>521.8927597</v>
      </c>
      <c r="F98" s="448">
        <f t="shared" ref="F98:F101" si="10">_xlfn.FORECAST.LINEAR(F$25,C98:E98,C$25:E$25)</f>
        <v>511.1686246</v>
      </c>
    </row>
    <row r="99">
      <c r="B99" s="194">
        <v>4000.0</v>
      </c>
      <c r="C99" s="428">
        <f t="array" ref="C99">_xlfn.FORECAST.LINEAR(DR400_LW,{C93;D93},{C$19;D$19})*DR400_DdCorr</f>
        <v>515.3691002</v>
      </c>
      <c r="D99" s="428">
        <f t="array" ref="D99">_xlfn.FORECAST.LINEAR(DR400_LW,{E93;F93},{E$19;F$19})*DR400_DdCorr</f>
        <v>547.9873977</v>
      </c>
      <c r="E99" s="428">
        <f t="array" ref="E99">_xlfn.FORECAST.LINEAR(DR400_LW,{G93;H93},{G$19;H$19})*DR400_DdCorr</f>
        <v>574.0820357</v>
      </c>
      <c r="F99" s="448">
        <f t="shared" si="10"/>
        <v>559.9832115</v>
      </c>
    </row>
    <row r="100">
      <c r="B100" s="194">
        <v>8000.0</v>
      </c>
      <c r="C100" s="428">
        <f t="array" ref="C100">_xlfn.FORECAST.LINEAR(DR400_LW,{C94;D94},{C$19;D$19})*DR400_DdCorr</f>
        <v>561.0347167</v>
      </c>
      <c r="D100" s="428">
        <f t="array" ref="D100">_xlfn.FORECAST.LINEAR(DR400_LW,{E94;F94},{E$19;F$19})*DR400_DdCorr</f>
        <v>600.1766737</v>
      </c>
      <c r="E100" s="428">
        <f t="array" ref="E100">_xlfn.FORECAST.LINEAR(DR400_LW,{G94;H94},{G$19;H$19})*DR400_DdCorr</f>
        <v>632.7949712</v>
      </c>
      <c r="F100" s="448">
        <f t="shared" si="10"/>
        <v>615.321458</v>
      </c>
    </row>
    <row r="101">
      <c r="B101" s="453">
        <f>Zp</f>
        <v>-173</v>
      </c>
      <c r="C101" s="448">
        <f t="shared" ref="C101:E101" si="11">_xlfn.FORECAST.LINEAR($B101,C98:C100,$B98:$B100)</f>
        <v>473.3059029</v>
      </c>
      <c r="D101" s="448">
        <f t="shared" si="11"/>
        <v>499.1183926</v>
      </c>
      <c r="E101" s="448">
        <f t="shared" si="11"/>
        <v>518.4072228</v>
      </c>
      <c r="F101" s="450">
        <f t="shared" si="10"/>
        <v>507.829043</v>
      </c>
    </row>
    <row r="104">
      <c r="B104" s="194" t="s">
        <v>230</v>
      </c>
      <c r="C104" s="194" t="s">
        <v>282</v>
      </c>
      <c r="E104" s="194" t="s">
        <v>283</v>
      </c>
      <c r="F104" s="194" t="s">
        <v>242</v>
      </c>
      <c r="G104" s="194" t="s">
        <v>284</v>
      </c>
    </row>
    <row r="105">
      <c r="B105" s="454" t="s">
        <v>285</v>
      </c>
      <c r="C105" s="455" t="s">
        <v>286</v>
      </c>
      <c r="E105" s="194" t="s">
        <v>287</v>
      </c>
      <c r="F105" s="456">
        <v>0.0</v>
      </c>
      <c r="G105" s="456">
        <v>0.0</v>
      </c>
    </row>
    <row r="106">
      <c r="B106" s="261">
        <v>10.0</v>
      </c>
      <c r="C106" s="261">
        <v>0.78</v>
      </c>
      <c r="E106" s="194" t="s">
        <v>239</v>
      </c>
      <c r="F106" s="456">
        <v>0.15</v>
      </c>
      <c r="G106" s="456">
        <v>0.0</v>
      </c>
    </row>
    <row r="107">
      <c r="B107" s="261">
        <v>20.0</v>
      </c>
      <c r="C107" s="261">
        <v>0.63</v>
      </c>
    </row>
    <row r="108">
      <c r="B108" s="261">
        <v>30.0</v>
      </c>
      <c r="C108" s="261">
        <v>0.52</v>
      </c>
    </row>
    <row r="111">
      <c r="B111" s="469" t="s">
        <v>290</v>
      </c>
      <c r="C111" s="469" t="s">
        <v>316</v>
      </c>
      <c r="D111" s="470">
        <f>IF(Veff&gt;0, FORECAST(Veff,C106:C108,B106:B108),1-Veff/2*10%)</f>
        <v>0.8383333333</v>
      </c>
    </row>
    <row r="112">
      <c r="B112" s="469" t="s">
        <v>292</v>
      </c>
      <c r="C112" s="469" t="s">
        <v>317</v>
      </c>
      <c r="D112" s="471">
        <f>1+SWITCH(SurfType,"Dur",SWITCH(SurfEtat,"Sèche",F105,"Humide",G105),"Herbe",SWITCH(SurfEtat,"Sèche",F106,"Humide",G106))</f>
        <v>1.15</v>
      </c>
    </row>
    <row r="113">
      <c r="B113" s="472" t="s">
        <v>297</v>
      </c>
      <c r="C113" s="469" t="s">
        <v>318</v>
      </c>
      <c r="D113" s="473">
        <f>PRODUCT(D111:D112)</f>
        <v>0.9640833333</v>
      </c>
    </row>
  </sheetData>
  <mergeCells count="18">
    <mergeCell ref="C4:D4"/>
    <mergeCell ref="E4:F4"/>
    <mergeCell ref="G4:H4"/>
    <mergeCell ref="C18:D18"/>
    <mergeCell ref="E18:F18"/>
    <mergeCell ref="G18:H18"/>
    <mergeCell ref="B40:C40"/>
    <mergeCell ref="C76:D76"/>
    <mergeCell ref="C90:D90"/>
    <mergeCell ref="E90:F90"/>
    <mergeCell ref="G90:H90"/>
    <mergeCell ref="B41:C41"/>
    <mergeCell ref="B54:B55"/>
    <mergeCell ref="C54:C55"/>
    <mergeCell ref="B56:B57"/>
    <mergeCell ref="C56:C57"/>
    <mergeCell ref="E76:F76"/>
    <mergeCell ref="G76:H7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fitToPage="1"/>
  </sheetPr>
  <sheetViews>
    <sheetView workbookViewId="0"/>
  </sheetViews>
  <sheetFormatPr customHeight="1" defaultColWidth="14.43" defaultRowHeight="15.75"/>
  <cols>
    <col customWidth="1" min="1" max="10" width="14.43"/>
  </cols>
  <sheetData>
    <row r="1">
      <c r="B1" s="106"/>
      <c r="C1" s="106"/>
      <c r="D1" s="106"/>
      <c r="E1" s="323"/>
    </row>
    <row r="2">
      <c r="A2" s="198" t="s">
        <v>319</v>
      </c>
      <c r="C2" s="474" t="s">
        <v>320</v>
      </c>
      <c r="D2" s="475"/>
      <c r="E2" s="475"/>
      <c r="F2" s="198" t="s">
        <v>321</v>
      </c>
      <c r="H2" s="474" t="s">
        <v>320</v>
      </c>
      <c r="I2" s="475"/>
    </row>
    <row r="3">
      <c r="A3" s="476" t="s">
        <v>322</v>
      </c>
      <c r="B3" s="477">
        <v>0.0</v>
      </c>
      <c r="C3" s="478">
        <f>Zd</f>
        <v>973.8952</v>
      </c>
      <c r="D3" s="477">
        <v>5000.0</v>
      </c>
      <c r="E3" s="417"/>
      <c r="F3" s="479" t="s">
        <v>322</v>
      </c>
      <c r="G3" s="477">
        <v>0.0</v>
      </c>
      <c r="H3" s="480">
        <f>Zd</f>
        <v>973.8952</v>
      </c>
      <c r="I3" s="477">
        <v>5000.0</v>
      </c>
    </row>
    <row r="4">
      <c r="A4" s="106">
        <v>400.0</v>
      </c>
      <c r="B4" s="477">
        <v>262.5</v>
      </c>
      <c r="C4" s="417">
        <f t="shared" ref="C4:C8" si="1">FORECAST(C$3,{B4;D4},{B$3;D$3})</f>
        <v>286.84738</v>
      </c>
      <c r="D4" s="477">
        <v>387.5</v>
      </c>
      <c r="E4" s="417"/>
      <c r="F4" s="477">
        <v>400.0</v>
      </c>
      <c r="G4" s="477">
        <v>475.0</v>
      </c>
      <c r="H4" s="417">
        <f t="shared" ref="H4:H8" si="2">FORECAST(H$3,{G4;I4},{G$3;I$3})</f>
        <v>518.825284</v>
      </c>
      <c r="I4" s="477">
        <v>700.0</v>
      </c>
      <c r="L4" s="417"/>
    </row>
    <row r="5">
      <c r="A5" s="106">
        <v>450.0</v>
      </c>
      <c r="B5" s="477">
        <v>362.5</v>
      </c>
      <c r="C5" s="417">
        <f t="shared" si="1"/>
        <v>399.02107</v>
      </c>
      <c r="D5" s="477">
        <v>550.0</v>
      </c>
      <c r="E5" s="417"/>
      <c r="F5" s="477">
        <v>450.0</v>
      </c>
      <c r="G5" s="477">
        <v>662.5</v>
      </c>
      <c r="H5" s="417">
        <f t="shared" si="2"/>
        <v>720.933712</v>
      </c>
      <c r="I5" s="477">
        <v>962.5</v>
      </c>
      <c r="L5" s="417"/>
    </row>
    <row r="6">
      <c r="A6" s="106">
        <v>500.0</v>
      </c>
      <c r="B6" s="477">
        <v>487.5</v>
      </c>
      <c r="C6" s="417">
        <f t="shared" si="1"/>
        <v>533.760022</v>
      </c>
      <c r="D6" s="477">
        <v>725.0</v>
      </c>
      <c r="E6" s="417"/>
      <c r="F6" s="477">
        <v>500.0</v>
      </c>
      <c r="G6" s="477">
        <v>887.5</v>
      </c>
      <c r="H6" s="417">
        <f t="shared" si="2"/>
        <v>967.846354</v>
      </c>
      <c r="I6" s="477">
        <v>1300.0</v>
      </c>
      <c r="L6" s="417"/>
    </row>
    <row r="7">
      <c r="A7" s="106">
        <v>550.0</v>
      </c>
      <c r="B7" s="477">
        <v>643.75</v>
      </c>
      <c r="C7" s="417">
        <f t="shared" si="1"/>
        <v>703.401081</v>
      </c>
      <c r="D7" s="477">
        <v>950.0</v>
      </c>
      <c r="E7" s="417"/>
      <c r="F7" s="477">
        <v>550.0</v>
      </c>
      <c r="G7" s="477">
        <v>1150.0</v>
      </c>
      <c r="H7" s="417">
        <f t="shared" si="2"/>
        <v>1259.56321</v>
      </c>
      <c r="I7" s="477">
        <v>1712.5</v>
      </c>
      <c r="L7" s="417"/>
    </row>
    <row r="8">
      <c r="A8" s="106">
        <v>600.0</v>
      </c>
      <c r="B8" s="477">
        <v>818.75</v>
      </c>
      <c r="C8" s="417">
        <f t="shared" si="1"/>
        <v>895.444247</v>
      </c>
      <c r="D8" s="477">
        <v>1212.5</v>
      </c>
      <c r="E8" s="417"/>
      <c r="F8" s="477">
        <v>600.0</v>
      </c>
      <c r="G8" s="477">
        <v>1487.5</v>
      </c>
      <c r="H8" s="417">
        <f t="shared" si="2"/>
        <v>1622.627959</v>
      </c>
      <c r="I8" s="477">
        <v>2181.25</v>
      </c>
    </row>
    <row r="9">
      <c r="A9" s="481">
        <f>CTLS_TOW</f>
        <v>599.55</v>
      </c>
      <c r="B9" s="417">
        <f t="shared" ref="B9:D9" si="3">FORECAST($A9,B4:B8,$A4:$A8)</f>
        <v>792.495625</v>
      </c>
      <c r="C9" s="260">
        <f t="shared" si="3"/>
        <v>866.6400926</v>
      </c>
      <c r="D9" s="417">
        <f t="shared" si="3"/>
        <v>1173.155</v>
      </c>
      <c r="E9" s="417"/>
      <c r="F9" s="481">
        <f>CTLS_TOW</f>
        <v>599.55</v>
      </c>
      <c r="G9" s="417">
        <f t="shared" ref="G9:I9" si="4">FORECAST($F9,G4:G8,$F4:$F8)</f>
        <v>1432.73875</v>
      </c>
      <c r="H9" s="260">
        <f t="shared" si="4"/>
        <v>1564.734662</v>
      </c>
      <c r="I9" s="417">
        <f t="shared" si="4"/>
        <v>2110.40875</v>
      </c>
    </row>
    <row r="10">
      <c r="B10" s="417"/>
      <c r="C10" s="417"/>
      <c r="D10" s="417"/>
      <c r="E10" s="417"/>
      <c r="F10" s="417"/>
      <c r="G10" s="417"/>
      <c r="H10" s="417"/>
      <c r="I10" s="417"/>
    </row>
    <row r="11">
      <c r="B11" s="482" t="s">
        <v>254</v>
      </c>
      <c r="C11" s="483">
        <f>convert(C9,"ft","m")*CTLS_DrdCorr</f>
        <v>334.1521538</v>
      </c>
      <c r="D11" s="484" t="s">
        <v>77</v>
      </c>
      <c r="E11" s="417"/>
      <c r="F11" s="417"/>
      <c r="G11" s="482" t="s">
        <v>255</v>
      </c>
      <c r="H11" s="483">
        <f>convert(H9,"ft","m")*CTLS_DdCorr</f>
        <v>603.3178731</v>
      </c>
      <c r="I11" s="484" t="s">
        <v>77</v>
      </c>
    </row>
    <row r="12">
      <c r="B12" s="417"/>
      <c r="C12" s="417"/>
      <c r="D12" s="417"/>
      <c r="E12" s="417"/>
      <c r="F12" s="417"/>
      <c r="G12" s="417"/>
      <c r="H12" s="417"/>
      <c r="I12" s="417"/>
    </row>
    <row r="13">
      <c r="A13" s="198" t="s">
        <v>323</v>
      </c>
      <c r="C13" s="485" t="s">
        <v>320</v>
      </c>
      <c r="D13" s="485"/>
      <c r="E13" s="486"/>
      <c r="F13" s="487" t="s">
        <v>324</v>
      </c>
      <c r="H13" s="485" t="s">
        <v>320</v>
      </c>
      <c r="I13" s="486"/>
    </row>
    <row r="14">
      <c r="A14" s="476" t="s">
        <v>322</v>
      </c>
      <c r="B14" s="477">
        <v>0.0</v>
      </c>
      <c r="C14" s="488">
        <f>Zd</f>
        <v>973.8952</v>
      </c>
      <c r="D14" s="477">
        <v>5000.0</v>
      </c>
      <c r="E14" s="417"/>
      <c r="F14" s="479" t="s">
        <v>322</v>
      </c>
      <c r="G14" s="477">
        <v>0.0</v>
      </c>
      <c r="H14" s="480">
        <f>Zd</f>
        <v>973.8952</v>
      </c>
      <c r="I14" s="477">
        <v>5000.0</v>
      </c>
    </row>
    <row r="15">
      <c r="A15" s="106">
        <v>400.0</v>
      </c>
      <c r="B15" s="477">
        <v>193.75</v>
      </c>
      <c r="C15" s="417">
        <f t="shared" ref="C15:C19" si="5">FORECAST(C$14,{B15;D15},{B$14;D$14})</f>
        <v>204.706321</v>
      </c>
      <c r="D15" s="477">
        <v>250.0</v>
      </c>
      <c r="E15" s="417"/>
      <c r="F15" s="477">
        <v>400.0</v>
      </c>
      <c r="G15" s="477">
        <v>512.5</v>
      </c>
      <c r="H15" s="417">
        <f t="shared" ref="H15:H19" si="6">FORECAST(H$14,{G15;I15},{G$14;I$14})</f>
        <v>538.064749</v>
      </c>
      <c r="I15" s="477">
        <v>643.75</v>
      </c>
    </row>
    <row r="16">
      <c r="A16" s="106">
        <v>450.0</v>
      </c>
      <c r="B16" s="477">
        <v>268.75</v>
      </c>
      <c r="C16" s="417">
        <f t="shared" si="5"/>
        <v>284.575797</v>
      </c>
      <c r="D16" s="477">
        <v>350.0</v>
      </c>
      <c r="E16" s="417"/>
      <c r="F16" s="477">
        <v>450.0</v>
      </c>
      <c r="G16" s="477">
        <v>700.0</v>
      </c>
      <c r="H16" s="417">
        <f t="shared" si="6"/>
        <v>740.173177</v>
      </c>
      <c r="I16" s="477">
        <v>906.25</v>
      </c>
    </row>
    <row r="17">
      <c r="A17" s="106">
        <v>500.0</v>
      </c>
      <c r="B17" s="477">
        <v>368.75</v>
      </c>
      <c r="C17" s="417">
        <f t="shared" si="5"/>
        <v>388.227904</v>
      </c>
      <c r="D17" s="477">
        <v>468.75</v>
      </c>
      <c r="E17" s="417"/>
      <c r="F17" s="477">
        <v>500.0</v>
      </c>
      <c r="G17" s="477">
        <v>943.75</v>
      </c>
      <c r="H17" s="417">
        <f t="shared" si="6"/>
        <v>998.531605</v>
      </c>
      <c r="I17" s="477">
        <v>1225.0</v>
      </c>
    </row>
    <row r="18">
      <c r="A18" s="106">
        <v>550.0</v>
      </c>
      <c r="B18" s="477">
        <v>481.25</v>
      </c>
      <c r="C18" s="417">
        <f t="shared" si="5"/>
        <v>506.814749</v>
      </c>
      <c r="D18" s="477">
        <v>612.5</v>
      </c>
      <c r="E18" s="417"/>
      <c r="F18" s="477">
        <v>550.0</v>
      </c>
      <c r="G18" s="477">
        <v>1243.75</v>
      </c>
      <c r="H18" s="417">
        <f t="shared" si="6"/>
        <v>1313.140033</v>
      </c>
      <c r="I18" s="477">
        <v>1600.0</v>
      </c>
    </row>
    <row r="19">
      <c r="A19" s="106">
        <v>600.0</v>
      </c>
      <c r="B19" s="477">
        <v>606.25</v>
      </c>
      <c r="C19" s="417">
        <f t="shared" si="5"/>
        <v>641.553701</v>
      </c>
      <c r="D19" s="477">
        <v>787.5</v>
      </c>
      <c r="E19" s="417"/>
      <c r="F19" s="477">
        <v>600.0</v>
      </c>
      <c r="G19" s="477">
        <v>1581.25</v>
      </c>
      <c r="H19" s="417">
        <f t="shared" si="6"/>
        <v>1668.900568</v>
      </c>
      <c r="I19" s="477">
        <v>2031.25</v>
      </c>
    </row>
    <row r="20">
      <c r="A20" s="481">
        <f>CTLS_LW</f>
        <v>590.2108576</v>
      </c>
      <c r="B20" s="417">
        <f t="shared" ref="B20:D20" si="7">FORECAST($A20,B15:B19,$A15:$A19)</f>
        <v>570.9375294</v>
      </c>
      <c r="C20" s="260">
        <f t="shared" si="7"/>
        <v>602.9059344</v>
      </c>
      <c r="D20" s="417">
        <f t="shared" si="7"/>
        <v>735.064044</v>
      </c>
      <c r="E20" s="417"/>
      <c r="F20" s="481">
        <f>CTLS_LW</f>
        <v>590.2108576</v>
      </c>
      <c r="G20" s="417">
        <f t="shared" ref="G20:I20" si="8">FORECAST($F20,G15:G19,$F15:$F19)</f>
        <v>1480.005724</v>
      </c>
      <c r="H20" s="260">
        <f t="shared" si="8"/>
        <v>1563.192365</v>
      </c>
      <c r="I20" s="417">
        <f t="shared" si="8"/>
        <v>1907.087824</v>
      </c>
    </row>
    <row r="21">
      <c r="A21" s="198"/>
      <c r="B21" s="489"/>
      <c r="C21" s="489"/>
      <c r="D21" s="489"/>
      <c r="E21" s="489"/>
    </row>
    <row r="22">
      <c r="B22" s="482" t="s">
        <v>256</v>
      </c>
      <c r="C22" s="483">
        <f>convert(C20,"ft","m")*CTLS_DraCorr</f>
        <v>211.3305881</v>
      </c>
      <c r="D22" s="484" t="s">
        <v>77</v>
      </c>
      <c r="E22" s="417"/>
      <c r="F22" s="417"/>
      <c r="G22" s="482" t="s">
        <v>257</v>
      </c>
      <c r="H22" s="483">
        <f>convert(H20,"ft","m")*CTLS_DaCorr</f>
        <v>547.9301879</v>
      </c>
      <c r="I22" s="484" t="s">
        <v>77</v>
      </c>
    </row>
    <row r="23">
      <c r="F23" s="198"/>
    </row>
    <row r="24">
      <c r="F24" s="463" t="s">
        <v>299</v>
      </c>
    </row>
    <row r="25">
      <c r="A25" s="198" t="s">
        <v>300</v>
      </c>
      <c r="B25" s="477">
        <f>CTLS_TOW</f>
        <v>599.55</v>
      </c>
      <c r="D25" s="463" t="s">
        <v>301</v>
      </c>
      <c r="E25" s="464">
        <f>C43</f>
        <v>72.96087301</v>
      </c>
      <c r="F25" s="464">
        <f>C35</f>
        <v>747.5857038</v>
      </c>
    </row>
    <row r="26">
      <c r="A26" s="198" t="s">
        <v>112</v>
      </c>
      <c r="B26" s="417">
        <f>Zd</f>
        <v>973.8952</v>
      </c>
      <c r="C26" s="106"/>
      <c r="D26" s="463" t="s">
        <v>302</v>
      </c>
      <c r="E26" s="464">
        <f>H43</f>
        <v>67.0202492</v>
      </c>
      <c r="F26" s="464">
        <f>H35</f>
        <v>686.271576</v>
      </c>
    </row>
    <row r="29">
      <c r="A29" s="198" t="s">
        <v>325</v>
      </c>
      <c r="B29" s="198">
        <v>472.5</v>
      </c>
      <c r="C29" s="487">
        <f>B25</f>
        <v>599.55</v>
      </c>
      <c r="D29" s="198">
        <v>600.0</v>
      </c>
      <c r="F29" s="198" t="s">
        <v>326</v>
      </c>
      <c r="G29" s="198">
        <v>472.5</v>
      </c>
      <c r="H29" s="487">
        <f>B25</f>
        <v>599.55</v>
      </c>
      <c r="I29" s="198">
        <v>600.0</v>
      </c>
    </row>
    <row r="30">
      <c r="A30" s="198">
        <v>0.0</v>
      </c>
      <c r="B30" s="106">
        <v>1000.0</v>
      </c>
      <c r="C30" s="490">
        <f t="shared" ref="C30:C33" si="9">_xlfn.FORECAST.LINEAR(C$29,{B30;D30},{B$29;D$29})</f>
        <v>800.7058824</v>
      </c>
      <c r="D30" s="106">
        <v>800.0</v>
      </c>
      <c r="F30" s="198">
        <v>0.0</v>
      </c>
      <c r="G30" s="106">
        <v>900.0</v>
      </c>
      <c r="H30" s="490">
        <f t="shared" ref="H30:H33" si="10">_xlfn.FORECAST.LINEAR(H$29,{G30;I30},{G$29;I$29})</f>
        <v>740.5647059</v>
      </c>
      <c r="I30" s="106">
        <v>740.0</v>
      </c>
    </row>
    <row r="31">
      <c r="A31" s="198">
        <v>5000.0</v>
      </c>
      <c r="B31" s="106">
        <v>720.0</v>
      </c>
      <c r="C31" s="490">
        <f t="shared" si="9"/>
        <v>520.7058824</v>
      </c>
      <c r="D31" s="106">
        <v>520.0</v>
      </c>
      <c r="F31" s="198">
        <v>5000.0</v>
      </c>
      <c r="G31" s="106">
        <v>680.0</v>
      </c>
      <c r="H31" s="490">
        <f t="shared" si="10"/>
        <v>460.7764706</v>
      </c>
      <c r="I31" s="106">
        <v>460.0</v>
      </c>
    </row>
    <row r="32">
      <c r="A32" s="198">
        <v>10000.0</v>
      </c>
      <c r="B32" s="106">
        <v>500.0</v>
      </c>
      <c r="C32" s="490">
        <f t="shared" si="9"/>
        <v>260.8470588</v>
      </c>
      <c r="D32" s="106">
        <v>260.0</v>
      </c>
      <c r="F32" s="198">
        <v>10000.0</v>
      </c>
      <c r="G32" s="106">
        <v>440.0</v>
      </c>
      <c r="H32" s="490">
        <f t="shared" si="10"/>
        <v>280.5647059</v>
      </c>
      <c r="I32" s="106">
        <v>280.0</v>
      </c>
    </row>
    <row r="33">
      <c r="A33" s="198">
        <v>12000.0</v>
      </c>
      <c r="B33" s="106">
        <v>400.0</v>
      </c>
      <c r="C33" s="490">
        <f t="shared" si="9"/>
        <v>120.9882353</v>
      </c>
      <c r="D33" s="106">
        <v>120.0</v>
      </c>
      <c r="F33" s="198">
        <v>12000.0</v>
      </c>
      <c r="G33" s="106">
        <v>280.0</v>
      </c>
      <c r="H33" s="490">
        <f t="shared" si="10"/>
        <v>100.6352941</v>
      </c>
      <c r="I33" s="106">
        <v>100.0</v>
      </c>
    </row>
    <row r="34">
      <c r="A34" s="198">
        <v>15000.0</v>
      </c>
      <c r="B34" s="106">
        <v>300.0</v>
      </c>
      <c r="C34" s="491"/>
      <c r="F34" s="198">
        <v>15000.0</v>
      </c>
      <c r="G34" s="106">
        <v>260.0</v>
      </c>
      <c r="H34" s="491"/>
    </row>
    <row r="35">
      <c r="A35" s="492">
        <f>B26</f>
        <v>973.8952</v>
      </c>
      <c r="B35" s="493">
        <f>_xlfn.FORECAST.LINEAR($A35,B30:B34,$A30:$A34)</f>
        <v>932.585146</v>
      </c>
      <c r="C35" s="492">
        <f t="array" ref="C35">_xlfn.FORECAST.LINEAR(C$29,{B35;D35},{B$29;D$29})</f>
        <v>747.5857038</v>
      </c>
      <c r="D35" s="493">
        <f>_xlfn.FORECAST.LINEAR($A35,D30:D34,$A30:$A34)</f>
        <v>746.930452</v>
      </c>
      <c r="F35" s="492">
        <f>B26</f>
        <v>973.8952</v>
      </c>
      <c r="G35" s="493">
        <f t="shared" ref="G35:I35" si="11">_xlfn.FORECAST.LINEAR($F35,G30:G34,$F30:$F34)</f>
        <v>850.9080689</v>
      </c>
      <c r="H35" s="494">
        <f t="shared" si="11"/>
        <v>686.271576</v>
      </c>
      <c r="I35" s="493">
        <f t="shared" si="11"/>
        <v>685.6362819</v>
      </c>
    </row>
    <row r="37">
      <c r="A37" s="198" t="s">
        <v>327</v>
      </c>
      <c r="B37" s="198">
        <v>472.5</v>
      </c>
      <c r="C37" s="487">
        <f>B25</f>
        <v>599.55</v>
      </c>
      <c r="D37" s="198">
        <v>600.0</v>
      </c>
      <c r="F37" s="198" t="s">
        <v>328</v>
      </c>
      <c r="G37" s="198">
        <v>472.5</v>
      </c>
      <c r="H37" s="487">
        <f>B25</f>
        <v>599.55</v>
      </c>
      <c r="I37" s="198">
        <v>600.0</v>
      </c>
    </row>
    <row r="38">
      <c r="A38" s="198">
        <v>0.0</v>
      </c>
      <c r="B38" s="106">
        <v>72.0</v>
      </c>
      <c r="C38" s="490">
        <f t="shared" ref="C38:C41" si="12">_xlfn.FORECAST.LINEAR(C$37,{B38;D38},{B$37;D$37})</f>
        <v>72.99647059</v>
      </c>
      <c r="D38" s="106">
        <v>73.0</v>
      </c>
      <c r="F38" s="198">
        <v>0.0</v>
      </c>
      <c r="G38" s="106">
        <v>64.0</v>
      </c>
      <c r="H38" s="490">
        <f t="shared" ref="H38:H41" si="13">_xlfn.FORECAST.LINEAR(H$37,{G38;I38},{G$37;I$37})</f>
        <v>66.98941176</v>
      </c>
      <c r="I38" s="106">
        <v>67.0</v>
      </c>
    </row>
    <row r="39">
      <c r="A39" s="198">
        <v>5000.0</v>
      </c>
      <c r="B39" s="106">
        <v>71.0</v>
      </c>
      <c r="C39" s="490">
        <f t="shared" si="12"/>
        <v>71.99647059</v>
      </c>
      <c r="D39" s="106">
        <v>72.0</v>
      </c>
      <c r="F39" s="198">
        <v>5000.0</v>
      </c>
      <c r="G39" s="106">
        <v>64.0</v>
      </c>
      <c r="H39" s="490">
        <f t="shared" si="13"/>
        <v>65.99294118</v>
      </c>
      <c r="I39" s="106">
        <v>66.0</v>
      </c>
    </row>
    <row r="40">
      <c r="A40" s="198">
        <v>10000.0</v>
      </c>
      <c r="B40" s="106">
        <v>69.0</v>
      </c>
      <c r="C40" s="490">
        <f t="shared" si="12"/>
        <v>70.99294118</v>
      </c>
      <c r="D40" s="106">
        <v>71.0</v>
      </c>
      <c r="F40" s="198">
        <v>10000.0</v>
      </c>
      <c r="G40" s="106">
        <v>62.0</v>
      </c>
      <c r="H40" s="490">
        <f t="shared" si="13"/>
        <v>63.99294118</v>
      </c>
      <c r="I40" s="106">
        <v>64.0</v>
      </c>
    </row>
    <row r="41">
      <c r="A41" s="198">
        <v>12000.0</v>
      </c>
      <c r="B41" s="106">
        <v>68.0</v>
      </c>
      <c r="C41" s="490">
        <f t="shared" si="12"/>
        <v>68.99647059</v>
      </c>
      <c r="D41" s="106">
        <v>69.0</v>
      </c>
      <c r="F41" s="198">
        <v>12000.0</v>
      </c>
      <c r="G41" s="106">
        <v>62.0</v>
      </c>
      <c r="H41" s="490">
        <f t="shared" si="13"/>
        <v>62</v>
      </c>
      <c r="I41" s="106">
        <v>62.0</v>
      </c>
    </row>
    <row r="42">
      <c r="A42" s="198">
        <v>15000.0</v>
      </c>
      <c r="B42" s="106">
        <v>67.0</v>
      </c>
      <c r="C42" s="491"/>
      <c r="F42" s="198">
        <v>15000.0</v>
      </c>
      <c r="G42" s="106">
        <v>61.0</v>
      </c>
      <c r="H42" s="491"/>
    </row>
    <row r="43">
      <c r="A43" s="492">
        <f>B26</f>
        <v>973.8952</v>
      </c>
      <c r="B43" s="493">
        <f t="shared" ref="B43:D43" si="14">_xlfn.FORECAST.LINEAR($A43,B38:B42,$A38:$A42)</f>
        <v>71.96652914</v>
      </c>
      <c r="C43" s="494">
        <f t="shared" si="14"/>
        <v>72.96087301</v>
      </c>
      <c r="D43" s="493">
        <f t="shared" si="14"/>
        <v>72.96452102</v>
      </c>
      <c r="F43" s="492">
        <f>B26</f>
        <v>973.8952</v>
      </c>
      <c r="G43" s="493">
        <f t="shared" ref="G43:I43" si="15">_xlfn.FORECAST.LINEAR($F43,G38:G42,$F38:$F42)</f>
        <v>64.18830287</v>
      </c>
      <c r="H43" s="494">
        <f t="shared" si="15"/>
        <v>67.0202492</v>
      </c>
      <c r="I43" s="493">
        <f t="shared" si="15"/>
        <v>67.03047942</v>
      </c>
    </row>
    <row r="47">
      <c r="A47" s="198" t="s">
        <v>329</v>
      </c>
      <c r="C47" s="198" t="s">
        <v>330</v>
      </c>
      <c r="D47" s="198" t="s">
        <v>331</v>
      </c>
      <c r="E47" s="198" t="s">
        <v>332</v>
      </c>
      <c r="F47" s="198" t="s">
        <v>333</v>
      </c>
      <c r="G47" s="198" t="s">
        <v>334</v>
      </c>
      <c r="H47" s="198" t="s">
        <v>331</v>
      </c>
      <c r="I47" s="198" t="s">
        <v>332</v>
      </c>
      <c r="J47" s="198" t="s">
        <v>333</v>
      </c>
      <c r="K47" s="198" t="s">
        <v>334</v>
      </c>
    </row>
    <row r="48">
      <c r="A48" s="106" t="s">
        <v>288</v>
      </c>
      <c r="C48" s="256" t="s">
        <v>335</v>
      </c>
      <c r="D48" s="106">
        <v>1.1</v>
      </c>
      <c r="E48" s="106">
        <v>1.1</v>
      </c>
      <c r="H48" s="491">
        <f t="shared" ref="H48:K48" si="16">IF($C48="Yes",D48,1)</f>
        <v>1.1</v>
      </c>
      <c r="I48" s="491">
        <f t="shared" si="16"/>
        <v>1.1</v>
      </c>
      <c r="J48" s="491" t="str">
        <f t="shared" si="16"/>
        <v/>
      </c>
      <c r="K48" s="491" t="str">
        <f t="shared" si="16"/>
        <v/>
      </c>
    </row>
    <row r="49">
      <c r="A49" s="106" t="s">
        <v>289</v>
      </c>
      <c r="C49" s="256" t="s">
        <v>335</v>
      </c>
      <c r="D49" s="106">
        <v>1.15</v>
      </c>
      <c r="E49" s="106">
        <v>1.15</v>
      </c>
      <c r="F49" s="106">
        <v>1.15</v>
      </c>
      <c r="G49" s="106">
        <v>1.15</v>
      </c>
      <c r="H49" s="491">
        <f t="shared" ref="H49:K49" si="17">IF($C49="Yes",D49,1)</f>
        <v>1.15</v>
      </c>
      <c r="I49" s="491">
        <f t="shared" si="17"/>
        <v>1.15</v>
      </c>
      <c r="J49" s="491">
        <f t="shared" si="17"/>
        <v>1.15</v>
      </c>
      <c r="K49" s="491">
        <f t="shared" si="17"/>
        <v>1.15</v>
      </c>
    </row>
    <row r="50">
      <c r="A50" s="106" t="s">
        <v>336</v>
      </c>
      <c r="C50" s="256" t="s">
        <v>337</v>
      </c>
      <c r="D50" s="106">
        <v>1.2</v>
      </c>
      <c r="E50" s="106">
        <v>1.17</v>
      </c>
      <c r="F50" s="106">
        <v>1.2</v>
      </c>
      <c r="G50" s="106">
        <v>1.17</v>
      </c>
      <c r="H50" s="491">
        <f t="shared" ref="H50:K50" si="18">IF($C50="Yes",D50,1)</f>
        <v>1</v>
      </c>
      <c r="I50" s="491">
        <f t="shared" si="18"/>
        <v>1</v>
      </c>
      <c r="J50" s="491">
        <f t="shared" si="18"/>
        <v>1</v>
      </c>
      <c r="K50" s="491">
        <f t="shared" si="18"/>
        <v>1</v>
      </c>
    </row>
    <row r="51">
      <c r="A51" s="106" t="s">
        <v>338</v>
      </c>
      <c r="C51" s="256" t="s">
        <v>337</v>
      </c>
      <c r="D51" s="106">
        <v>1.1</v>
      </c>
      <c r="E51" s="106">
        <v>1.2</v>
      </c>
      <c r="H51" s="491">
        <f t="shared" ref="H51:K51" si="19">IF($C51="Yes",D51,1)</f>
        <v>1</v>
      </c>
      <c r="I51" s="491">
        <f t="shared" si="19"/>
        <v>1</v>
      </c>
      <c r="J51" s="491">
        <f t="shared" si="19"/>
        <v>1</v>
      </c>
      <c r="K51" s="491">
        <f t="shared" si="19"/>
        <v>1</v>
      </c>
    </row>
    <row r="52">
      <c r="A52" s="270" t="s">
        <v>250</v>
      </c>
      <c r="B52" s="263">
        <v>0.02</v>
      </c>
      <c r="C52" s="495" t="str">
        <f>IF(B54&gt;0,"Yes","No")</f>
        <v>No</v>
      </c>
      <c r="D52" s="106">
        <v>1.1</v>
      </c>
      <c r="E52" s="106">
        <v>1.1</v>
      </c>
      <c r="F52" s="106">
        <v>1.1</v>
      </c>
      <c r="G52" s="106">
        <v>1.1</v>
      </c>
      <c r="H52" s="491">
        <f t="shared" ref="H52:K52" si="20">D54</f>
        <v>1</v>
      </c>
      <c r="I52" s="491">
        <f t="shared" si="20"/>
        <v>1</v>
      </c>
      <c r="J52" s="491">
        <f t="shared" si="20"/>
        <v>1</v>
      </c>
      <c r="K52" s="491">
        <f t="shared" si="20"/>
        <v>1</v>
      </c>
    </row>
    <row r="53">
      <c r="B53" s="263">
        <v>0.04</v>
      </c>
      <c r="D53" s="106">
        <v>1.14</v>
      </c>
      <c r="E53" s="106">
        <v>1.12</v>
      </c>
      <c r="F53" s="106">
        <v>1.14</v>
      </c>
      <c r="G53" s="106">
        <v>1.12</v>
      </c>
    </row>
    <row r="54">
      <c r="B54" s="496">
        <f>IF(Slope&gt;0,#REF!,0)</f>
        <v>0</v>
      </c>
      <c r="D54" s="226">
        <f t="shared" ref="D54:G54" si="21">IF($B54&gt;0, FORECAST($B54,D52:D53,$B52:$B53),1)</f>
        <v>1</v>
      </c>
      <c r="E54" s="226">
        <f t="shared" si="21"/>
        <v>1</v>
      </c>
      <c r="F54" s="226">
        <f t="shared" si="21"/>
        <v>1</v>
      </c>
      <c r="G54" s="226">
        <f t="shared" si="21"/>
        <v>1</v>
      </c>
    </row>
    <row r="55">
      <c r="A55" s="270" t="s">
        <v>339</v>
      </c>
      <c r="B55" s="106">
        <v>5.0</v>
      </c>
      <c r="C55" s="495" t="str">
        <f>IF(B56&gt;0,"Yes","No")</f>
        <v>No</v>
      </c>
      <c r="D55" s="106">
        <v>1.2</v>
      </c>
      <c r="E55" s="106">
        <v>1.25</v>
      </c>
      <c r="F55" s="106">
        <v>1.2</v>
      </c>
      <c r="G55" s="106">
        <v>1.25</v>
      </c>
      <c r="H55" s="497">
        <f t="shared" ref="H55:K55" si="22">D56</f>
        <v>1</v>
      </c>
      <c r="I55" s="497">
        <f t="shared" si="22"/>
        <v>1</v>
      </c>
      <c r="J55" s="497">
        <f t="shared" si="22"/>
        <v>1</v>
      </c>
      <c r="K55" s="497">
        <f t="shared" si="22"/>
        <v>1</v>
      </c>
    </row>
    <row r="56">
      <c r="B56" s="226">
        <f>IF(Veff&lt;0,-Veff,0)</f>
        <v>0</v>
      </c>
      <c r="D56" s="468">
        <f t="shared" ref="D56:G56" si="23">$B56/$B55*(D55-1)+1</f>
        <v>1</v>
      </c>
      <c r="E56" s="468">
        <f t="shared" si="23"/>
        <v>1</v>
      </c>
      <c r="F56" s="468">
        <f t="shared" si="23"/>
        <v>1</v>
      </c>
      <c r="G56" s="468">
        <f t="shared" si="23"/>
        <v>1</v>
      </c>
    </row>
    <row r="57">
      <c r="A57" s="106" t="s">
        <v>340</v>
      </c>
      <c r="C57" s="256" t="s">
        <v>337</v>
      </c>
      <c r="D57" s="106">
        <v>1.3</v>
      </c>
      <c r="H57" s="491">
        <f t="shared" ref="H57:H58" si="24">IF($C57="Yes",D57,1)</f>
        <v>1</v>
      </c>
      <c r="I57" s="491"/>
      <c r="J57" s="491">
        <f t="shared" ref="J57:J58" si="25">IF($C57="Yes",F57,1)</f>
        <v>1</v>
      </c>
      <c r="K57" s="491"/>
    </row>
    <row r="58">
      <c r="A58" s="106" t="s">
        <v>341</v>
      </c>
      <c r="C58" s="256" t="s">
        <v>337</v>
      </c>
      <c r="D58" s="106">
        <v>1.16</v>
      </c>
      <c r="H58" s="491">
        <f t="shared" si="24"/>
        <v>1</v>
      </c>
      <c r="I58" s="491"/>
      <c r="J58" s="491">
        <f t="shared" si="25"/>
        <v>1</v>
      </c>
      <c r="K58" s="491"/>
    </row>
    <row r="59">
      <c r="A59" s="198" t="s">
        <v>297</v>
      </c>
      <c r="H59" s="498">
        <f t="shared" ref="H59:K59" si="26">PRODUCT(H48:H58)</f>
        <v>1.265</v>
      </c>
      <c r="I59" s="498">
        <f t="shared" si="26"/>
        <v>1.265</v>
      </c>
      <c r="J59" s="498">
        <f t="shared" si="26"/>
        <v>1.15</v>
      </c>
      <c r="K59" s="498">
        <f t="shared" si="26"/>
        <v>1.15</v>
      </c>
    </row>
  </sheetData>
  <mergeCells count="19">
    <mergeCell ref="H52:H54"/>
    <mergeCell ref="I52:I54"/>
    <mergeCell ref="J52:J54"/>
    <mergeCell ref="K52:K54"/>
    <mergeCell ref="H55:H56"/>
    <mergeCell ref="I55:I56"/>
    <mergeCell ref="J55:J56"/>
    <mergeCell ref="K55:K56"/>
    <mergeCell ref="C52:C54"/>
    <mergeCell ref="C55:C56"/>
    <mergeCell ref="A57:B57"/>
    <mergeCell ref="A58:B58"/>
    <mergeCell ref="A47:B47"/>
    <mergeCell ref="A48:B48"/>
    <mergeCell ref="A49:B49"/>
    <mergeCell ref="A50:B50"/>
    <mergeCell ref="A51:B51"/>
    <mergeCell ref="A52:A54"/>
    <mergeCell ref="A55:A56"/>
  </mergeCells>
  <dataValidations>
    <dataValidation type="list" allowBlank="1" showErrorMessage="1" sqref="C48:C52 C55 C57:C58">
      <formula1>"No,Yes"</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75"/>
  <cols>
    <col customWidth="1" min="1" max="1" width="22.14"/>
  </cols>
  <sheetData>
    <row r="1">
      <c r="A1" s="226" t="str">
        <f>IFERROR(__xludf.DUMMYFUNCTION("IMPORTRANGE(""https://docs.google.com/spreadsheets/d/1nWAfPSrBub0Dk95_hUPK_AHXC2zJl8VJ22upIdGhiyQ/edit#gid=806027610"",""FREQUENCES!A:A"")"),"LES MUREAUX")</f>
        <v>LES MUREAUX</v>
      </c>
      <c r="B1" s="499">
        <f>IFERROR(__xludf.DUMMYFUNCTION("IMPORTRANGE(""https://docs.google.com/spreadsheets/d/1nWAfPSrBub0Dk95_hUPK_AHXC2zJl8VJ22upIdGhiyQ/edit#gid=806027610"",""FREQUENCES!B:B"")"),122.955)</f>
        <v>122.955</v>
      </c>
    </row>
    <row r="2">
      <c r="A2" s="226" t="str">
        <f>IFERROR(__xludf.DUMMYFUNCTION("""COMPUTED_VALUE"""),"PONTOISE Tour")</f>
        <v>PONTOISE Tour</v>
      </c>
      <c r="B2" s="499">
        <f>IFERROR(__xludf.DUMMYFUNCTION("""COMPUTED_VALUE"""),121.2)</f>
        <v>121.2</v>
      </c>
    </row>
    <row r="3">
      <c r="A3" s="226" t="str">
        <f>IFERROR(__xludf.DUMMYFUNCTION("""COMPUTED_VALUE"""),"LE BOURGET Approche")</f>
        <v>LE BOURGET Approche</v>
      </c>
      <c r="B3" s="499">
        <f>IFERROR(__xludf.DUMMYFUNCTION("""COMPUTED_VALUE"""),118.8)</f>
        <v>118.8</v>
      </c>
    </row>
    <row r="4">
      <c r="A4" s="226" t="str">
        <f>IFERROR(__xludf.DUMMYFUNCTION("""COMPUTED_VALUE"""),"LE BOURGET Info")</f>
        <v>LE BOURGET Info</v>
      </c>
      <c r="B4" s="499">
        <f>IFERROR(__xludf.DUMMYFUNCTION("""COMPUTED_VALUE"""),123.835)</f>
        <v>123.835</v>
      </c>
    </row>
    <row r="5">
      <c r="A5" s="226" t="str">
        <f>IFERROR(__xludf.DUMMYFUNCTION("""COMPUTED_VALUE"""),"CHARTRES")</f>
        <v>CHARTRES</v>
      </c>
      <c r="B5" s="499">
        <f>IFERROR(__xludf.DUMMYFUNCTION("""COMPUTED_VALUE"""),119.205)</f>
        <v>119.205</v>
      </c>
    </row>
    <row r="6">
      <c r="A6" s="226" t="str">
        <f>IFERROR(__xludf.DUMMYFUNCTION("""COMPUTED_VALUE"""),"DREUX")</f>
        <v>DREUX</v>
      </c>
      <c r="B6" s="499">
        <f>IFERROR(__xludf.DUMMYFUNCTION("""COMPUTED_VALUE"""),118.205)</f>
        <v>118.205</v>
      </c>
    </row>
    <row r="7">
      <c r="A7" s="226" t="str">
        <f>IFERROR(__xludf.DUMMYFUNCTION("""COMPUTED_VALUE"""),"PONTOISE ATIS")</f>
        <v>PONTOISE ATIS</v>
      </c>
      <c r="B7" s="499">
        <f>IFERROR(__xludf.DUMMYFUNCTION("""COMPUTED_VALUE"""),124.125)</f>
        <v>124.125</v>
      </c>
    </row>
    <row r="8">
      <c r="A8" s="226" t="str">
        <f>IFERROR(__xludf.DUMMYFUNCTION("""COMPUTED_VALUE"""),"GUARD")</f>
        <v>GUARD</v>
      </c>
      <c r="B8" s="499">
        <f>IFERROR(__xludf.DUMMYFUNCTION("""COMPUTED_VALUE"""),121.5)</f>
        <v>121.5</v>
      </c>
    </row>
    <row r="9">
      <c r="A9" s="226" t="str">
        <f>IFERROR(__xludf.DUMMYFUNCTION("""COMPUTED_VALUE"""),"ETREPAGNY")</f>
        <v>ETREPAGNY</v>
      </c>
      <c r="B9" s="499">
        <f>IFERROR(__xludf.DUMMYFUNCTION("""COMPUTED_VALUE"""),120.11)</f>
        <v>120.11</v>
      </c>
    </row>
    <row r="10">
      <c r="A10" s="226" t="str">
        <f>IFERROR(__xludf.DUMMYFUNCTION("""COMPUTED_VALUE"""),"CHERENCE")</f>
        <v>CHERENCE</v>
      </c>
      <c r="B10" s="499">
        <f>IFERROR(__xludf.DUMMYFUNCTION("""COMPUTED_VALUE"""),134.155)</f>
        <v>134.155</v>
      </c>
    </row>
    <row r="11">
      <c r="A11" s="226" t="str">
        <f>IFERROR(__xludf.DUMMYFUNCTION("""COMPUTED_VALUE"""),"CHAVENAY Tour")</f>
        <v>CHAVENAY Tour</v>
      </c>
      <c r="B11" s="499">
        <f>IFERROR(__xludf.DUMMYFUNCTION("""COMPUTED_VALUE"""),129.525)</f>
        <v>129.525</v>
      </c>
    </row>
    <row r="12">
      <c r="A12" s="226" t="str">
        <f>IFERROR(__xludf.DUMMYFUNCTION("""COMPUTED_VALUE"""),"CHAVENAY ATIS")</f>
        <v>CHAVENAY ATIS</v>
      </c>
      <c r="B12" s="499">
        <f>IFERROR(__xludf.DUMMYFUNCTION("""COMPUTED_VALUE"""),125.275)</f>
        <v>125.275</v>
      </c>
    </row>
    <row r="13">
      <c r="A13" s="226" t="str">
        <f>IFERROR(__xludf.DUMMYFUNCTION("""COMPUTED_VALUE"""),"CHEVREUSE Info")</f>
        <v>CHEVREUSE Info</v>
      </c>
      <c r="B13" s="499">
        <f>IFERROR(__xludf.DUMMYFUNCTION("""COMPUTED_VALUE"""),119.3)</f>
        <v>119.3</v>
      </c>
    </row>
    <row r="14">
      <c r="A14" s="226" t="str">
        <f>IFERROR(__xludf.DUMMYFUNCTION("""COMPUTED_VALUE"""),"PARIS OUEST Info")</f>
        <v>PARIS OUEST Info</v>
      </c>
      <c r="B14" s="499">
        <f>IFERROR(__xludf.DUMMYFUNCTION("""COMPUTED_VALUE"""),129.625)</f>
        <v>129.625</v>
      </c>
    </row>
    <row r="15">
      <c r="A15" s="226" t="str">
        <f>IFERROR(__xludf.DUMMYFUNCTION("""COMPUTED_VALUE"""),"PARIS NORD Info")</f>
        <v>PARIS NORD Info</v>
      </c>
      <c r="B15" s="499">
        <f>IFERROR(__xludf.DUMMYFUNCTION("""COMPUTED_VALUE"""),125.7)</f>
        <v>125.7</v>
      </c>
    </row>
    <row r="16">
      <c r="A16" s="226" t="str">
        <f>IFERROR(__xludf.DUMMYFUNCTION("""COMPUTED_VALUE"""),"PARIS SUD Info")</f>
        <v>PARIS SUD Info</v>
      </c>
      <c r="B16" s="499">
        <f>IFERROR(__xludf.DUMMYFUNCTION("""COMPUTED_VALUE"""),126.1)</f>
        <v>126.1</v>
      </c>
    </row>
    <row r="17">
      <c r="A17" s="226" t="str">
        <f>IFERROR(__xludf.DUMMYFUNCTION("""COMPUTED_VALUE"""),"SEINE 1,2,3 Info")</f>
        <v>SEINE 1,2,3 Info</v>
      </c>
      <c r="B17" s="499">
        <f>IFERROR(__xludf.DUMMYFUNCTION("""COMPUTED_VALUE"""),134.3)</f>
        <v>134.3</v>
      </c>
    </row>
    <row r="18">
      <c r="A18" s="226" t="str">
        <f>IFERROR(__xludf.DUMMYFUNCTION("""COMPUTED_VALUE"""),"SEINE 4,5 Info")</f>
        <v>SEINE 4,5 Info</v>
      </c>
      <c r="B18" s="499">
        <f>IFERROR(__xludf.DUMMYFUNCTION("""COMPUTED_VALUE"""),120.325)</f>
        <v>120.325</v>
      </c>
    </row>
    <row r="19">
      <c r="A19" s="226" t="str">
        <f>IFERROR(__xludf.DUMMYFUNCTION("""COMPUTED_VALUE"""),"SEINE 6,7,8 Info")</f>
        <v>SEINE 6,7,8 Info</v>
      </c>
      <c r="B19" s="499">
        <f>IFERROR(__xludf.DUMMYFUNCTION("""COMPUTED_VALUE"""),127.815)</f>
        <v>127.815</v>
      </c>
    </row>
    <row r="20">
      <c r="A20" s="226" t="str">
        <f>IFERROR(__xludf.DUMMYFUNCTION("""COMPUTED_VALUE"""),"BEAUVAIS 1 Info")</f>
        <v>BEAUVAIS 1 Info</v>
      </c>
      <c r="B20" s="499">
        <f>IFERROR(__xludf.DUMMYFUNCTION("""COMPUTED_VALUE"""),123.985)</f>
        <v>123.985</v>
      </c>
    </row>
    <row r="21">
      <c r="A21" s="226" t="str">
        <f>IFERROR(__xludf.DUMMYFUNCTION("""COMPUTED_VALUE"""),"BEAUVAIS 2 Info")</f>
        <v>BEAUVAIS 2 Info</v>
      </c>
      <c r="B21" s="499">
        <f>IFERROR(__xludf.DUMMYFUNCTION("""COMPUTED_VALUE"""),119.8)</f>
        <v>119.8</v>
      </c>
    </row>
    <row r="22">
      <c r="A22" s="226" t="str">
        <f>IFERROR(__xludf.DUMMYFUNCTION("""COMPUTED_VALUE"""),"DEAUVILLE Info &lt;2500")</f>
        <v>DEAUVILLE Info &lt;2500</v>
      </c>
      <c r="B22" s="499">
        <f>IFERROR(__xludf.DUMMYFUNCTION("""COMPUTED_VALUE"""),121.425)</f>
        <v>121.425</v>
      </c>
    </row>
    <row r="23">
      <c r="A23" s="226" t="str">
        <f>IFERROR(__xludf.DUMMYFUNCTION("""COMPUTED_VALUE"""),"DEAUVILLE Info &gt;2500")</f>
        <v>DEAUVILLE Info &gt;2500</v>
      </c>
      <c r="B23" s="499">
        <f>IFERROR(__xludf.DUMMYFUNCTION("""COMPUTED_VALUE"""),120.35)</f>
        <v>120.35</v>
      </c>
    </row>
    <row r="24">
      <c r="A24" s="226" t="str">
        <f>IFERROR(__xludf.DUMMYFUNCTION("""COMPUTED_VALUE"""),"EVREUX Tour")</f>
        <v>EVREUX Tour</v>
      </c>
      <c r="B24" s="499">
        <f>IFERROR(__xludf.DUMMYFUNCTION("""COMPUTED_VALUE"""),125.375)</f>
        <v>125.375</v>
      </c>
    </row>
    <row r="25">
      <c r="A25" s="226" t="str">
        <f>IFERROR(__xludf.DUMMYFUNCTION("""COMPUTED_VALUE"""),"EVREUX Approche")</f>
        <v>EVREUX Approche</v>
      </c>
      <c r="B25" s="499">
        <f>IFERROR(__xludf.DUMMYFUNCTION("""COMPUTED_VALUE"""),118.125)</f>
        <v>118.125</v>
      </c>
    </row>
    <row r="26">
      <c r="A26" s="226" t="str">
        <f>IFERROR(__xludf.DUMMYFUNCTION("""COMPUTED_VALUE"""),"EVREUX ATIS")</f>
        <v>EVREUX ATIS</v>
      </c>
      <c r="B26" s="499">
        <f>IFERROR(__xludf.DUMMYFUNCTION("""COMPUTED_VALUE"""),138.225)</f>
        <v>138.225</v>
      </c>
    </row>
    <row r="27">
      <c r="A27" s="226" t="str">
        <f>IFERROR(__xludf.DUMMYFUNCTION("""COMPUTED_VALUE"""),"SAINT-ANDRE")</f>
        <v>SAINT-ANDRE</v>
      </c>
      <c r="B27" s="499">
        <f>IFERROR(__xludf.DUMMYFUNCTION("""COMPUTED_VALUE"""),118.98)</f>
        <v>118.98</v>
      </c>
    </row>
    <row r="28">
      <c r="A28" s="226" t="str">
        <f>IFERROR(__xludf.DUMMYFUNCTION("""COMPUTED_VALUE"""),"BAILLEAU")</f>
        <v>BAILLEAU</v>
      </c>
      <c r="B28" s="499">
        <f>IFERROR(__xludf.DUMMYFUNCTION("""COMPUTED_VALUE"""),122.055)</f>
        <v>122.055</v>
      </c>
    </row>
    <row r="29">
      <c r="A29" s="226" t="str">
        <f>IFERROR(__xludf.DUMMYFUNCTION("""COMPUTED_VALUE"""),"SAINT-CYR Tour")</f>
        <v>SAINT-CYR Tour</v>
      </c>
      <c r="B29" s="499">
        <f>IFERROR(__xludf.DUMMYFUNCTION("""COMPUTED_VALUE"""),118.0)</f>
        <v>118</v>
      </c>
    </row>
    <row r="30">
      <c r="A30" s="226" t="str">
        <f>IFERROR(__xludf.DUMMYFUNCTION("""COMPUTED_VALUE"""),"SAINT-CYR ATIS")</f>
        <v>SAINT-CYR ATIS</v>
      </c>
      <c r="B30" s="499">
        <f>IFERROR(__xludf.DUMMYFUNCTION("""COMPUTED_VALUE"""),131.025)</f>
        <v>131.025</v>
      </c>
    </row>
    <row r="31">
      <c r="A31" s="226" t="str">
        <f>IFERROR(__xludf.DUMMYFUNCTION("""COMPUTED_VALUE"""),"SAINT-CYR Sol")</f>
        <v>SAINT-CYR Sol</v>
      </c>
      <c r="B31" s="499">
        <f>IFERROR(__xludf.DUMMYFUNCTION("""COMPUTED_VALUE"""),121.95)</f>
        <v>121.95</v>
      </c>
    </row>
    <row r="32">
      <c r="A32" s="226" t="str">
        <f>IFERROR(__xludf.DUMMYFUNCTION("""COMPUTED_VALUE"""),"L'AIGLE")</f>
        <v>L'AIGLE</v>
      </c>
      <c r="B32" s="499">
        <f>IFERROR(__xludf.DUMMYFUNCTION("""COMPUTED_VALUE"""),126.855)</f>
        <v>126.855</v>
      </c>
    </row>
    <row r="33">
      <c r="A33" s="226" t="str">
        <f>IFERROR(__xludf.DUMMYFUNCTION("""COMPUTED_VALUE"""),"ETAMPES")</f>
        <v>ETAMPES</v>
      </c>
      <c r="B33" s="499">
        <f>IFERROR(__xludf.DUMMYFUNCTION("""COMPUTED_VALUE"""),119.05)</f>
        <v>119.05</v>
      </c>
    </row>
    <row r="34">
      <c r="A34" s="226" t="str">
        <f>IFERROR(__xludf.DUMMYFUNCTION("""COMPUTED_VALUE"""),"TOUSSUS Tour")</f>
        <v>TOUSSUS Tour</v>
      </c>
      <c r="B34" s="499">
        <f>IFERROR(__xludf.DUMMYFUNCTION("""COMPUTED_VALUE"""),120.75)</f>
        <v>120.75</v>
      </c>
    </row>
    <row r="35">
      <c r="A35" s="226" t="str">
        <f>IFERROR(__xludf.DUMMYFUNCTION("""COMPUTED_VALUE"""),"TOUSSUS ATIS")</f>
        <v>TOUSSUS ATIS</v>
      </c>
      <c r="B35" s="499">
        <f>IFERROR(__xludf.DUMMYFUNCTION("""COMPUTED_VALUE"""),127.48)</f>
        <v>127.48</v>
      </c>
    </row>
    <row r="36">
      <c r="A36" s="226" t="str">
        <f>IFERROR(__xludf.DUMMYFUNCTION("""COMPUTED_VALUE"""),"TOUSSUS Sol")</f>
        <v>TOUSSUS Sol</v>
      </c>
      <c r="B36" s="499">
        <f>IFERROR(__xludf.DUMMYFUNCTION("""COMPUTED_VALUE"""),122.13)</f>
        <v>122.13</v>
      </c>
    </row>
    <row r="37">
      <c r="A37" s="226" t="str">
        <f>IFERROR(__xludf.DUMMYFUNCTION("""COMPUTED_VALUE"""),"LA FERTE ALAIS")</f>
        <v>LA FERTE ALAIS</v>
      </c>
      <c r="B37" s="499">
        <f>IFERROR(__xludf.DUMMYFUNCTION("""COMPUTED_VALUE"""),129.755)</f>
        <v>129.755</v>
      </c>
    </row>
    <row r="38">
      <c r="A38" s="226" t="str">
        <f>IFERROR(__xludf.DUMMYFUNCTION("""COMPUTED_VALUE"""),"ROUEN Tour")</f>
        <v>ROUEN Tour</v>
      </c>
      <c r="B38" s="499">
        <f>IFERROR(__xludf.DUMMYFUNCTION("""COMPUTED_VALUE"""),120.2)</f>
        <v>120.2</v>
      </c>
    </row>
    <row r="39">
      <c r="A39" s="226" t="str">
        <f>IFERROR(__xludf.DUMMYFUNCTION("""COMPUTED_VALUE"""),"ROUEN ATIS")</f>
        <v>ROUEN ATIS</v>
      </c>
      <c r="B39" s="499">
        <f>IFERROR(__xludf.DUMMYFUNCTION("""COMPUTED_VALUE"""),120.73)</f>
        <v>120.73</v>
      </c>
    </row>
    <row r="40">
      <c r="A40" s="226" t="str">
        <f>IFERROR(__xludf.DUMMYFUNCTION("""COMPUTED_VALUE"""),"PERSAN")</f>
        <v>PERSAN</v>
      </c>
      <c r="B40" s="499">
        <f>IFERROR(__xludf.DUMMYFUNCTION("""COMPUTED_VALUE"""),119.505)</f>
        <v>119.505</v>
      </c>
    </row>
    <row r="41">
      <c r="A41" s="226" t="str">
        <f>IFERROR(__xludf.DUMMYFUNCTION("""COMPUTED_VALUE"""),"BEAUVAIS ATIS")</f>
        <v>BEAUVAIS ATIS</v>
      </c>
      <c r="B41" s="499">
        <f>IFERROR(__xludf.DUMMYFUNCTION("""COMPUTED_VALUE"""),118.38)</f>
        <v>118.38</v>
      </c>
    </row>
    <row r="42">
      <c r="A42" s="226" t="str">
        <f>IFERROR(__xludf.DUMMYFUNCTION("""COMPUTED_VALUE"""),"BEAUVAIS Tour")</f>
        <v>BEAUVAIS Tour</v>
      </c>
      <c r="B42" s="499">
        <f>IFERROR(__xludf.DUMMYFUNCTION("""COMPUTED_VALUE"""),121.4)</f>
        <v>121.4</v>
      </c>
    </row>
    <row r="43">
      <c r="A43" s="226" t="str">
        <f>IFERROR(__xludf.DUMMYFUNCTION("""COMPUTED_VALUE"""),"BEAUVAIS Approche")</f>
        <v>BEAUVAIS Approche</v>
      </c>
      <c r="B43" s="499">
        <f>IFERROR(__xludf.DUMMYFUNCTION("""COMPUTED_VALUE"""),123.985)</f>
        <v>123.985</v>
      </c>
    </row>
    <row r="44">
      <c r="A44" s="226" t="str">
        <f>IFERROR(__xludf.DUMMYFUNCTION("""COMPUTED_VALUE"""),"BRICY Approche")</f>
        <v>BRICY Approche</v>
      </c>
      <c r="B44" s="499">
        <f>IFERROR(__xludf.DUMMYFUNCTION("""COMPUTED_VALUE"""),122.7)</f>
        <v>122.7</v>
      </c>
    </row>
    <row r="45">
      <c r="A45" s="226" t="str">
        <f>IFERROR(__xludf.DUMMYFUNCTION("""COMPUTED_VALUE"""),"CHATEAUDUN")</f>
        <v>CHATEAUDUN</v>
      </c>
      <c r="B45" s="499">
        <f>IFERROR(__xludf.DUMMYFUNCTION("""COMPUTED_VALUE"""),125.625)</f>
        <v>125.625</v>
      </c>
    </row>
    <row r="46">
      <c r="A46" s="226" t="str">
        <f>IFERROR(__xludf.DUMMYFUNCTION("""COMPUTED_VALUE"""),"COMPIEGNE")</f>
        <v>COMPIEGNE</v>
      </c>
      <c r="B46" s="499">
        <f>IFERROR(__xludf.DUMMYFUNCTION("""COMPUTED_VALUE"""),122.305)</f>
        <v>122.305</v>
      </c>
    </row>
    <row r="47">
      <c r="A47" s="226" t="str">
        <f>IFERROR(__xludf.DUMMYFUNCTION("""COMPUTED_VALUE"""),"ABBEVILLE")</f>
        <v>ABBEVILLE</v>
      </c>
      <c r="B47" s="499">
        <f>IFERROR(__xludf.DUMMYFUNCTION("""COMPUTED_VALUE"""),120.06)</f>
        <v>120.06</v>
      </c>
    </row>
    <row r="48">
      <c r="A48" s="226" t="str">
        <f>IFERROR(__xludf.DUMMYFUNCTION("""COMPUTED_VALUE"""),"LILLE 4 Info")</f>
        <v>LILLE 4 Info</v>
      </c>
      <c r="B48" s="499">
        <f>IFERROR(__xludf.DUMMYFUNCTION("""COMPUTED_VALUE"""),132.61)</f>
        <v>132.61</v>
      </c>
    </row>
    <row r="49">
      <c r="A49" s="226" t="str">
        <f>IFERROR(__xludf.DUMMYFUNCTION("""COMPUTED_VALUE"""),"LILLE 2 Info")</f>
        <v>LILLE 2 Info</v>
      </c>
      <c r="B49" s="499">
        <f>IFERROR(__xludf.DUMMYFUNCTION("""COMPUTED_VALUE"""),127.015)</f>
        <v>127.015</v>
      </c>
    </row>
    <row r="50">
      <c r="A50" s="226" t="str">
        <f>IFERROR(__xludf.DUMMYFUNCTION("""COMPUTED_VALUE"""),"LE TOUQUET Tour")</f>
        <v>LE TOUQUET Tour</v>
      </c>
      <c r="B50" s="499">
        <f>IFERROR(__xludf.DUMMYFUNCTION("""COMPUTED_VALUE"""),118.45)</f>
        <v>118.45</v>
      </c>
    </row>
    <row r="51">
      <c r="A51" s="226" t="str">
        <f>IFERROR(__xludf.DUMMYFUNCTION("""COMPUTED_VALUE"""),"LE TREPORT")</f>
        <v>LE TREPORT</v>
      </c>
      <c r="B51" s="499">
        <f>IFERROR(__xludf.DUMMYFUNCTION("""COMPUTED_VALUE"""),123.5)</f>
        <v>123.5</v>
      </c>
    </row>
    <row r="52">
      <c r="A52" s="226" t="str">
        <f>IFERROR(__xludf.DUMMYFUNCTION("""COMPUTED_VALUE"""),"LILLE 15 Approche")</f>
        <v>LILLE 15 Approche</v>
      </c>
      <c r="B52" s="499">
        <f>IFERROR(__xludf.DUMMYFUNCTION("""COMPUTED_VALUE"""),134.825)</f>
        <v>134.825</v>
      </c>
    </row>
    <row r="53">
      <c r="A53" s="226" t="str">
        <f>IFERROR(__xludf.DUMMYFUNCTION("""COMPUTED_VALUE"""),"LE TOUQUET ATIS")</f>
        <v>LE TOUQUET ATIS</v>
      </c>
      <c r="B53" s="499">
        <f>IFERROR(__xludf.DUMMYFUNCTION("""COMPUTED_VALUE"""),123.13)</f>
        <v>123.13</v>
      </c>
    </row>
    <row r="54">
      <c r="A54" s="226" t="str">
        <f>IFERROR(__xludf.DUMMYFUNCTION("""COMPUTED_VALUE"""),"BRICY Approche")</f>
        <v>BRICY Approche</v>
      </c>
      <c r="B54" s="499">
        <f>IFERROR(__xludf.DUMMYFUNCTION("""COMPUTED_VALUE"""),122.7)</f>
        <v>122.7</v>
      </c>
    </row>
    <row r="55">
      <c r="A55" s="226" t="str">
        <f>IFERROR(__xludf.DUMMYFUNCTION("""COMPUTED_VALUE"""),"LILLE 6 Info")</f>
        <v>LILLE 6 Info</v>
      </c>
      <c r="B55" s="499">
        <f>IFERROR(__xludf.DUMMYFUNCTION("""COMPUTED_VALUE"""),134.825)</f>
        <v>134.825</v>
      </c>
    </row>
    <row r="56">
      <c r="A56" s="226" t="str">
        <f>IFERROR(__xludf.DUMMYFUNCTION("""COMPUTED_VALUE"""),"MORET")</f>
        <v>MORET</v>
      </c>
      <c r="B56" s="499">
        <f>IFERROR(__xludf.DUMMYFUNCTION("""COMPUTED_VALUE"""),120.055)</f>
        <v>120.055</v>
      </c>
    </row>
    <row r="57">
      <c r="A57" s="226" t="str">
        <f>IFERROR(__xludf.DUMMYFUNCTION("""COMPUTED_VALUE"""),"MELUN Tour")</f>
        <v>MELUN Tour</v>
      </c>
      <c r="B57" s="499">
        <f>IFERROR(__xludf.DUMMYFUNCTION("""COMPUTED_VALUE"""),121.1)</f>
        <v>121.1</v>
      </c>
    </row>
    <row r="58">
      <c r="A58" s="226" t="str">
        <f>IFERROR(__xludf.DUMMYFUNCTION("""COMPUTED_VALUE"""),"ECURY")</f>
        <v>ECURY</v>
      </c>
      <c r="B58" s="499">
        <f>IFERROR(__xludf.DUMMYFUNCTION("""COMPUTED_VALUE"""),118.98)</f>
        <v>118.98</v>
      </c>
    </row>
    <row r="59">
      <c r="A59" s="226" t="str">
        <f>IFERROR(__xludf.DUMMYFUNCTION("""COMPUTED_VALUE"""),"VATRY Tour")</f>
        <v>VATRY Tour</v>
      </c>
      <c r="B59" s="499">
        <f>IFERROR(__xludf.DUMMYFUNCTION("""COMPUTED_VALUE"""),129.4)</f>
        <v>129.4</v>
      </c>
    </row>
    <row r="60">
      <c r="A60" s="226" t="str">
        <f>IFERROR(__xludf.DUMMYFUNCTION("""COMPUTED_VALUE"""),"VATRY ATIS")</f>
        <v>VATRY ATIS</v>
      </c>
      <c r="B60" s="499">
        <f>IFERROR(__xludf.DUMMYFUNCTION("""COMPUTED_VALUE"""),136.38)</f>
        <v>136.38</v>
      </c>
    </row>
    <row r="61">
      <c r="A61" s="226" t="str">
        <f>IFERROR(__xludf.DUMMYFUNCTION("""COMPUTED_VALUE"""),"VEILLE RP")</f>
        <v>VEILLE RP</v>
      </c>
      <c r="B61" s="499">
        <f>IFERROR(__xludf.DUMMYFUNCTION("""COMPUTED_VALUE"""),120.075)</f>
        <v>120.075</v>
      </c>
    </row>
    <row r="62">
      <c r="A62" s="226" t="str">
        <f>IFERROR(__xludf.DUMMYFUNCTION("""COMPUTED_VALUE"""),"BERNAY")</f>
        <v>BERNAY</v>
      </c>
      <c r="B62" s="499">
        <f>IFERROR(__xludf.DUMMYFUNCTION("""COMPUTED_VALUE"""),119.23)</f>
        <v>119.23</v>
      </c>
    </row>
    <row r="63">
      <c r="A63" s="226" t="str">
        <f>IFERROR(__xludf.DUMMYFUNCTION("""COMPUTED_VALUE"""),"RENNES Info (Sud)")</f>
        <v>RENNES Info (Sud)</v>
      </c>
      <c r="B63" s="499">
        <f>IFERROR(__xludf.DUMMYFUNCTION("""COMPUTED_VALUE"""),134.0)</f>
        <v>134</v>
      </c>
    </row>
    <row r="64">
      <c r="A64" s="226" t="str">
        <f>IFERROR(__xludf.DUMMYFUNCTION("""COMPUTED_VALUE"""),"ORLEANS Approche")</f>
        <v>ORLEANS Approche</v>
      </c>
      <c r="B64" s="499">
        <f>IFERROR(__xludf.DUMMYFUNCTION("""COMPUTED_VALUE"""),122.7)</f>
        <v>122.7</v>
      </c>
    </row>
    <row r="65">
      <c r="A65" s="226" t="str">
        <f>IFERROR(__xludf.DUMMYFUNCTION("""COMPUTED_VALUE"""),"ST-DENIS")</f>
        <v>ST-DENIS</v>
      </c>
      <c r="B65" s="499">
        <f>IFERROR(__xludf.DUMMYFUNCTION("""COMPUTED_VALUE"""),122.405)</f>
        <v>122.405</v>
      </c>
    </row>
    <row r="66">
      <c r="A66" s="226" t="str">
        <f>IFERROR(__xludf.DUMMYFUNCTION("""COMPUTED_VALUE"""),"SAINT ROMAIN")</f>
        <v>SAINT ROMAIN</v>
      </c>
      <c r="B66" s="499">
        <f>IFERROR(__xludf.DUMMYFUNCTION("""COMPUTED_VALUE"""),123.5)</f>
        <v>123.5</v>
      </c>
    </row>
    <row r="67">
      <c r="A67" s="226" t="str">
        <f>IFERROR(__xludf.DUMMYFUNCTION("""COMPUTED_VALUE"""),"LE HAVRE")</f>
        <v>LE HAVRE</v>
      </c>
      <c r="B67" s="499">
        <f>IFERROR(__xludf.DUMMYFUNCTION("""COMPUTED_VALUE"""),123.205)</f>
        <v>123.205</v>
      </c>
    </row>
    <row r="68">
      <c r="A68" s="226" t="str">
        <f>IFERROR(__xludf.DUMMYFUNCTION("""COMPUTED_VALUE"""),"LILLE 6 Info")</f>
        <v>LILLE 6 Info</v>
      </c>
      <c r="B68" s="499">
        <f>IFERROR(__xludf.DUMMYFUNCTION("""COMPUTED_VALUE"""),134.825)</f>
        <v>134.825</v>
      </c>
    </row>
    <row r="69">
      <c r="A69" s="226" t="str">
        <f>IFERROR(__xludf.DUMMYFUNCTION("""COMPUTED_VALUE"""),"DEAUVILLE")</f>
        <v>DEAUVILLE</v>
      </c>
      <c r="B69" s="499">
        <f>IFERROR(__xludf.DUMMYFUNCTION("""COMPUTED_VALUE"""),118.3)</f>
        <v>118.3</v>
      </c>
    </row>
    <row r="70">
      <c r="A70" s="226" t="str">
        <f>IFERROR(__xludf.DUMMYFUNCTION("""COMPUTED_VALUE"""),"RENNES Info (Cotentin)")</f>
        <v>RENNES Info (Cotentin)</v>
      </c>
      <c r="B70" s="499">
        <f>IFERROR(__xludf.DUMMYFUNCTION("""COMPUTED_VALUE"""),120.35)</f>
        <v>120.35</v>
      </c>
    </row>
    <row r="71">
      <c r="A71" s="226" t="str">
        <f>IFERROR(__xludf.DUMMYFUNCTION("""COMPUTED_VALUE"""),"RENNES Approche")</f>
        <v>RENNES Approche</v>
      </c>
      <c r="B71" s="499">
        <f>IFERROR(__xludf.DUMMYFUNCTION("""COMPUTED_VALUE"""),134.2)</f>
        <v>134.2</v>
      </c>
    </row>
    <row r="72">
      <c r="A72" s="226" t="str">
        <f>IFERROR(__xludf.DUMMYFUNCTION("""COMPUTED_VALUE"""),"SEINE Info")</f>
        <v>SEINE Info</v>
      </c>
      <c r="B72" s="499">
        <f>IFERROR(__xludf.DUMMYFUNCTION("""COMPUTED_VALUE"""),121.1)</f>
        <v>121.1</v>
      </c>
    </row>
    <row r="73">
      <c r="A73" s="226" t="str">
        <f>IFERROR(__xludf.DUMMYFUNCTION("""COMPUTED_VALUE"""),"AVORD Approche")</f>
        <v>AVORD Approche</v>
      </c>
      <c r="B73" s="499">
        <f>IFERROR(__xludf.DUMMYFUNCTION("""COMPUTED_VALUE"""),119.7)</f>
        <v>119.7</v>
      </c>
    </row>
    <row r="74">
      <c r="A74" s="226" t="str">
        <f>IFERROR(__xludf.DUMMYFUNCTION("""COMPUTED_VALUE"""),"BOURGES Tour")</f>
        <v>BOURGES Tour</v>
      </c>
      <c r="B74" s="499">
        <f>IFERROR(__xludf.DUMMYFUNCTION("""COMPUTED_VALUE"""),119.605)</f>
        <v>119.605</v>
      </c>
    </row>
    <row r="75">
      <c r="A75" s="226" t="str">
        <f>IFERROR(__xludf.DUMMYFUNCTION("""COMPUTED_VALUE"""),"CHATEAUNEUF")</f>
        <v>CHATEAUNEUF</v>
      </c>
      <c r="B75" s="499">
        <f>IFERROR(__xludf.DUMMYFUNCTION("""COMPUTED_VALUE"""),123.5)</f>
        <v>123.5</v>
      </c>
    </row>
    <row r="76">
      <c r="A76" s="226"/>
      <c r="B76" s="499"/>
    </row>
    <row r="77">
      <c r="A77" s="226"/>
      <c r="B77" s="499"/>
    </row>
    <row r="78">
      <c r="A78" s="226"/>
      <c r="B78" s="499"/>
    </row>
    <row r="79">
      <c r="A79" s="226"/>
      <c r="B79" s="499"/>
    </row>
    <row r="80">
      <c r="A80" s="226"/>
      <c r="B80" s="499"/>
    </row>
    <row r="81">
      <c r="A81" s="226"/>
      <c r="B81" s="499"/>
    </row>
    <row r="82">
      <c r="A82" s="226"/>
      <c r="B82" s="499"/>
    </row>
    <row r="83">
      <c r="A83" s="226"/>
      <c r="B83" s="499"/>
    </row>
    <row r="84">
      <c r="A84" s="226"/>
      <c r="B84" s="499"/>
    </row>
    <row r="85">
      <c r="A85" s="226"/>
      <c r="B85" s="499"/>
    </row>
    <row r="86">
      <c r="A86" s="226"/>
      <c r="B86" s="499"/>
    </row>
    <row r="87">
      <c r="A87" s="226"/>
      <c r="B87" s="499"/>
    </row>
    <row r="88">
      <c r="A88" s="226"/>
      <c r="B88" s="499"/>
    </row>
    <row r="89">
      <c r="A89" s="226"/>
      <c r="B89" s="499"/>
    </row>
    <row r="90">
      <c r="A90" s="226"/>
      <c r="B90" s="499"/>
    </row>
    <row r="91">
      <c r="A91" s="226"/>
      <c r="B91" s="499"/>
    </row>
    <row r="92">
      <c r="A92" s="226"/>
      <c r="B92" s="499"/>
    </row>
    <row r="93">
      <c r="A93" s="226"/>
      <c r="B93" s="499"/>
    </row>
    <row r="94">
      <c r="A94" s="226"/>
      <c r="B94" s="499"/>
    </row>
    <row r="95">
      <c r="A95" s="226"/>
      <c r="B95" s="499"/>
    </row>
    <row r="96">
      <c r="A96" s="226"/>
      <c r="B96" s="499"/>
    </row>
    <row r="97">
      <c r="A97" s="226"/>
      <c r="B97" s="499"/>
    </row>
    <row r="98">
      <c r="A98" s="226"/>
      <c r="B98" s="499"/>
    </row>
    <row r="99">
      <c r="A99" s="226"/>
      <c r="B99" s="499"/>
    </row>
    <row r="100">
      <c r="A100" s="226"/>
      <c r="B100" s="499"/>
    </row>
    <row r="101">
      <c r="A101" s="226"/>
      <c r="B101" s="499"/>
    </row>
    <row r="102">
      <c r="A102" s="226"/>
      <c r="B102" s="499"/>
    </row>
    <row r="103">
      <c r="A103" s="226"/>
      <c r="B103" s="499"/>
    </row>
    <row r="104">
      <c r="A104" s="226"/>
      <c r="B104" s="499"/>
    </row>
    <row r="105">
      <c r="A105" s="226"/>
      <c r="B105" s="499"/>
    </row>
    <row r="106">
      <c r="A106" s="226"/>
      <c r="B106" s="499"/>
    </row>
    <row r="107">
      <c r="A107" s="226"/>
      <c r="B107" s="499"/>
    </row>
    <row r="108">
      <c r="A108" s="226"/>
      <c r="B108" s="499"/>
    </row>
    <row r="109">
      <c r="A109" s="226"/>
      <c r="B109" s="499"/>
    </row>
    <row r="110">
      <c r="A110" s="226"/>
      <c r="B110" s="499"/>
    </row>
    <row r="111">
      <c r="A111" s="226"/>
      <c r="B111" s="499"/>
    </row>
    <row r="112">
      <c r="A112" s="226"/>
      <c r="B112" s="499"/>
    </row>
    <row r="113">
      <c r="A113" s="226"/>
      <c r="B113" s="499"/>
    </row>
    <row r="114">
      <c r="A114" s="226"/>
      <c r="B114" s="499"/>
    </row>
    <row r="115">
      <c r="A115" s="226"/>
      <c r="B115" s="499"/>
    </row>
    <row r="116">
      <c r="A116" s="226"/>
      <c r="B116" s="499"/>
    </row>
    <row r="117">
      <c r="A117" s="226"/>
      <c r="B117" s="499"/>
    </row>
    <row r="118">
      <c r="A118" s="226"/>
      <c r="B118" s="499"/>
    </row>
    <row r="119">
      <c r="A119" s="226"/>
      <c r="B119" s="499"/>
    </row>
    <row r="120">
      <c r="A120" s="226"/>
      <c r="B120" s="499"/>
    </row>
    <row r="121">
      <c r="A121" s="226"/>
      <c r="B121" s="499"/>
    </row>
    <row r="122">
      <c r="A122" s="226"/>
      <c r="B122" s="499"/>
    </row>
    <row r="123">
      <c r="A123" s="226"/>
      <c r="B123" s="499"/>
    </row>
    <row r="124">
      <c r="A124" s="226"/>
      <c r="B124" s="499"/>
    </row>
    <row r="125">
      <c r="A125" s="226"/>
      <c r="B125" s="499"/>
    </row>
    <row r="126">
      <c r="A126" s="226"/>
      <c r="B126" s="499"/>
    </row>
    <row r="127">
      <c r="A127" s="226"/>
      <c r="B127" s="499"/>
    </row>
    <row r="128">
      <c r="A128" s="226"/>
      <c r="B128" s="499"/>
    </row>
    <row r="129">
      <c r="A129" s="226"/>
      <c r="B129" s="499"/>
    </row>
    <row r="130">
      <c r="A130" s="226"/>
      <c r="B130" s="499"/>
    </row>
    <row r="131">
      <c r="A131" s="226"/>
      <c r="B131" s="499"/>
    </row>
    <row r="132">
      <c r="A132" s="226"/>
      <c r="B132" s="499"/>
    </row>
    <row r="133">
      <c r="A133" s="226"/>
      <c r="B133" s="499"/>
    </row>
    <row r="134">
      <c r="A134" s="226"/>
      <c r="B134" s="499"/>
    </row>
    <row r="135">
      <c r="A135" s="226"/>
      <c r="B135" s="499"/>
    </row>
    <row r="136">
      <c r="A136" s="226"/>
      <c r="B136" s="499"/>
    </row>
    <row r="137">
      <c r="A137" s="226"/>
      <c r="B137" s="499"/>
    </row>
    <row r="138">
      <c r="A138" s="226"/>
      <c r="B138" s="499"/>
    </row>
    <row r="139">
      <c r="A139" s="226"/>
      <c r="B139" s="499"/>
    </row>
    <row r="140">
      <c r="A140" s="226"/>
      <c r="B140" s="499"/>
    </row>
    <row r="141">
      <c r="A141" s="226"/>
      <c r="B141" s="499"/>
    </row>
    <row r="142">
      <c r="A142" s="226"/>
      <c r="B142" s="499"/>
    </row>
    <row r="143">
      <c r="A143" s="226"/>
      <c r="B143" s="499"/>
    </row>
    <row r="144">
      <c r="A144" s="226"/>
      <c r="B144" s="499"/>
    </row>
    <row r="145">
      <c r="A145" s="226"/>
      <c r="B145" s="499"/>
    </row>
    <row r="146">
      <c r="A146" s="226"/>
      <c r="B146" s="499"/>
    </row>
    <row r="147">
      <c r="A147" s="226"/>
      <c r="B147" s="499"/>
    </row>
    <row r="148">
      <c r="A148" s="226"/>
      <c r="B148" s="499"/>
    </row>
    <row r="149">
      <c r="A149" s="226"/>
      <c r="B149" s="499"/>
    </row>
    <row r="150">
      <c r="A150" s="226"/>
      <c r="B150" s="499"/>
    </row>
    <row r="151">
      <c r="A151" s="226"/>
      <c r="B151" s="499"/>
    </row>
    <row r="152">
      <c r="A152" s="226"/>
      <c r="B152" s="499"/>
    </row>
    <row r="153">
      <c r="A153" s="226"/>
      <c r="B153" s="499"/>
    </row>
    <row r="154">
      <c r="A154" s="226"/>
      <c r="B154" s="499"/>
    </row>
    <row r="155">
      <c r="A155" s="226"/>
      <c r="B155" s="499"/>
    </row>
    <row r="156">
      <c r="A156" s="226"/>
      <c r="B156" s="499"/>
    </row>
    <row r="157">
      <c r="A157" s="226"/>
      <c r="B157" s="499"/>
    </row>
    <row r="158">
      <c r="A158" s="226"/>
      <c r="B158" s="499"/>
    </row>
    <row r="159">
      <c r="A159" s="226"/>
      <c r="B159" s="499"/>
    </row>
    <row r="160">
      <c r="A160" s="226"/>
      <c r="B160" s="499"/>
    </row>
    <row r="161">
      <c r="A161" s="226"/>
      <c r="B161" s="499"/>
    </row>
    <row r="162">
      <c r="A162" s="226"/>
      <c r="B162" s="499"/>
    </row>
    <row r="163">
      <c r="A163" s="226"/>
      <c r="B163" s="499"/>
    </row>
    <row r="164">
      <c r="A164" s="226"/>
      <c r="B164" s="499"/>
    </row>
    <row r="165">
      <c r="A165" s="226"/>
      <c r="B165" s="499"/>
    </row>
    <row r="166">
      <c r="A166" s="226"/>
      <c r="B166" s="499"/>
    </row>
    <row r="167">
      <c r="A167" s="226"/>
      <c r="B167" s="499"/>
    </row>
    <row r="168">
      <c r="A168" s="226"/>
      <c r="B168" s="499"/>
    </row>
    <row r="169">
      <c r="A169" s="226"/>
      <c r="B169" s="499"/>
    </row>
    <row r="170">
      <c r="A170" s="226"/>
      <c r="B170" s="499"/>
    </row>
    <row r="171">
      <c r="A171" s="226"/>
      <c r="B171" s="499"/>
    </row>
    <row r="172">
      <c r="A172" s="226"/>
      <c r="B172" s="499"/>
    </row>
    <row r="173">
      <c r="A173" s="226"/>
      <c r="B173" s="499"/>
    </row>
    <row r="174">
      <c r="A174" s="226"/>
      <c r="B174" s="499"/>
    </row>
    <row r="175">
      <c r="A175" s="226"/>
      <c r="B175" s="499"/>
    </row>
    <row r="176">
      <c r="A176" s="226"/>
      <c r="B176" s="499"/>
    </row>
    <row r="177">
      <c r="A177" s="226"/>
      <c r="B177" s="499"/>
    </row>
    <row r="178">
      <c r="A178" s="226"/>
      <c r="B178" s="499"/>
    </row>
    <row r="179">
      <c r="A179" s="226"/>
      <c r="B179" s="499"/>
    </row>
    <row r="180">
      <c r="A180" s="226"/>
      <c r="B180" s="499"/>
    </row>
    <row r="181">
      <c r="A181" s="226"/>
      <c r="B181" s="499"/>
    </row>
    <row r="182">
      <c r="A182" s="226"/>
      <c r="B182" s="499"/>
    </row>
    <row r="183">
      <c r="A183" s="226"/>
      <c r="B183" s="499"/>
    </row>
    <row r="184">
      <c r="A184" s="226"/>
      <c r="B184" s="499"/>
    </row>
    <row r="185">
      <c r="A185" s="226"/>
      <c r="B185" s="499"/>
    </row>
    <row r="186">
      <c r="A186" s="226"/>
      <c r="B186" s="499"/>
    </row>
    <row r="187">
      <c r="A187" s="226"/>
      <c r="B187" s="499"/>
    </row>
    <row r="188">
      <c r="A188" s="226"/>
      <c r="B188" s="499"/>
    </row>
    <row r="189">
      <c r="A189" s="226"/>
      <c r="B189" s="499"/>
    </row>
    <row r="190">
      <c r="A190" s="226"/>
      <c r="B190" s="499"/>
    </row>
    <row r="191">
      <c r="A191" s="226"/>
      <c r="B191" s="499"/>
    </row>
    <row r="192">
      <c r="A192" s="226"/>
      <c r="B192" s="499"/>
    </row>
    <row r="193">
      <c r="A193" s="226"/>
      <c r="B193" s="499"/>
    </row>
    <row r="194">
      <c r="A194" s="226"/>
      <c r="B194" s="499"/>
    </row>
    <row r="195">
      <c r="A195" s="226"/>
      <c r="B195" s="499"/>
    </row>
    <row r="196">
      <c r="A196" s="226"/>
      <c r="B196" s="499"/>
    </row>
    <row r="197">
      <c r="A197" s="226"/>
      <c r="B197" s="499"/>
    </row>
    <row r="198">
      <c r="A198" s="226"/>
      <c r="B198" s="499"/>
    </row>
    <row r="199">
      <c r="A199" s="226"/>
      <c r="B199" s="499"/>
    </row>
    <row r="200">
      <c r="A200" s="226"/>
      <c r="B200" s="499"/>
    </row>
    <row r="201">
      <c r="A201" s="226"/>
      <c r="B201" s="499"/>
    </row>
    <row r="202">
      <c r="A202" s="226"/>
      <c r="B202" s="499"/>
    </row>
    <row r="203">
      <c r="A203" s="226"/>
      <c r="B203" s="499"/>
    </row>
    <row r="204">
      <c r="A204" s="226"/>
      <c r="B204" s="499"/>
    </row>
    <row r="205">
      <c r="A205" s="226"/>
      <c r="B205" s="499"/>
    </row>
    <row r="206">
      <c r="A206" s="226"/>
      <c r="B206" s="499"/>
    </row>
    <row r="207">
      <c r="A207" s="226"/>
      <c r="B207" s="499"/>
    </row>
    <row r="208">
      <c r="A208" s="226"/>
      <c r="B208" s="499"/>
    </row>
    <row r="209">
      <c r="A209" s="226"/>
      <c r="B209" s="499"/>
    </row>
    <row r="210">
      <c r="A210" s="226"/>
      <c r="B210" s="499"/>
    </row>
    <row r="211">
      <c r="A211" s="226"/>
      <c r="B211" s="499"/>
    </row>
    <row r="212">
      <c r="A212" s="226"/>
      <c r="B212" s="499"/>
    </row>
    <row r="213">
      <c r="A213" s="226"/>
      <c r="B213" s="499"/>
    </row>
    <row r="214">
      <c r="A214" s="226"/>
      <c r="B214" s="499"/>
    </row>
    <row r="215">
      <c r="A215" s="226"/>
      <c r="B215" s="499"/>
    </row>
    <row r="216">
      <c r="A216" s="226"/>
      <c r="B216" s="499"/>
    </row>
    <row r="217">
      <c r="A217" s="226"/>
      <c r="B217" s="499"/>
    </row>
    <row r="218">
      <c r="A218" s="226"/>
      <c r="B218" s="499"/>
    </row>
    <row r="219">
      <c r="A219" s="226"/>
      <c r="B219" s="499"/>
    </row>
    <row r="220">
      <c r="A220" s="226"/>
      <c r="B220" s="499"/>
    </row>
    <row r="221">
      <c r="A221" s="226"/>
      <c r="B221" s="499"/>
    </row>
    <row r="222">
      <c r="A222" s="226"/>
      <c r="B222" s="499"/>
    </row>
    <row r="223">
      <c r="A223" s="226"/>
      <c r="B223" s="499"/>
    </row>
    <row r="224">
      <c r="A224" s="226"/>
      <c r="B224" s="499"/>
    </row>
    <row r="225">
      <c r="A225" s="226"/>
      <c r="B225" s="499"/>
    </row>
    <row r="226">
      <c r="A226" s="226"/>
      <c r="B226" s="499"/>
    </row>
    <row r="227">
      <c r="A227" s="226"/>
      <c r="B227" s="499"/>
    </row>
    <row r="228">
      <c r="A228" s="226"/>
      <c r="B228" s="499"/>
    </row>
    <row r="229">
      <c r="A229" s="226"/>
      <c r="B229" s="499"/>
    </row>
    <row r="230">
      <c r="A230" s="226"/>
      <c r="B230" s="499"/>
    </row>
    <row r="231">
      <c r="A231" s="226"/>
      <c r="B231" s="499"/>
    </row>
    <row r="232">
      <c r="A232" s="226"/>
      <c r="B232" s="499"/>
    </row>
    <row r="233">
      <c r="A233" s="226"/>
      <c r="B233" s="499"/>
    </row>
    <row r="234">
      <c r="A234" s="226"/>
      <c r="B234" s="499"/>
    </row>
    <row r="235">
      <c r="A235" s="226"/>
      <c r="B235" s="499"/>
    </row>
    <row r="236">
      <c r="A236" s="226"/>
      <c r="B236" s="499"/>
    </row>
    <row r="237">
      <c r="A237" s="226"/>
      <c r="B237" s="499"/>
    </row>
    <row r="238">
      <c r="A238" s="226"/>
      <c r="B238" s="499"/>
    </row>
    <row r="239">
      <c r="A239" s="226"/>
      <c r="B239" s="499"/>
    </row>
    <row r="240">
      <c r="A240" s="226"/>
      <c r="B240" s="499"/>
    </row>
    <row r="241">
      <c r="A241" s="226"/>
      <c r="B241" s="499"/>
    </row>
    <row r="242">
      <c r="A242" s="226"/>
      <c r="B242" s="499"/>
    </row>
    <row r="243">
      <c r="A243" s="226"/>
      <c r="B243" s="499"/>
    </row>
    <row r="244">
      <c r="A244" s="226"/>
      <c r="B244" s="499"/>
    </row>
    <row r="245">
      <c r="A245" s="226"/>
      <c r="B245" s="499"/>
    </row>
    <row r="246">
      <c r="A246" s="226"/>
      <c r="B246" s="499"/>
    </row>
    <row r="247">
      <c r="A247" s="226"/>
      <c r="B247" s="499"/>
    </row>
    <row r="248">
      <c r="A248" s="226"/>
      <c r="B248" s="499"/>
    </row>
    <row r="249">
      <c r="A249" s="226"/>
      <c r="B249" s="499"/>
    </row>
    <row r="250">
      <c r="A250" s="226"/>
      <c r="B250" s="499"/>
    </row>
    <row r="251">
      <c r="A251" s="226"/>
      <c r="B251" s="499"/>
    </row>
    <row r="252">
      <c r="A252" s="226"/>
      <c r="B252" s="499"/>
    </row>
    <row r="253">
      <c r="A253" s="226"/>
      <c r="B253" s="499"/>
    </row>
    <row r="254">
      <c r="A254" s="226"/>
      <c r="B254" s="499"/>
    </row>
    <row r="255">
      <c r="A255" s="226"/>
      <c r="B255" s="499"/>
    </row>
    <row r="256">
      <c r="A256" s="226"/>
      <c r="B256" s="499"/>
    </row>
    <row r="257">
      <c r="A257" s="226"/>
      <c r="B257" s="499"/>
    </row>
    <row r="258">
      <c r="A258" s="226"/>
      <c r="B258" s="499"/>
    </row>
    <row r="259">
      <c r="A259" s="226"/>
      <c r="B259" s="499"/>
    </row>
    <row r="260">
      <c r="A260" s="226"/>
      <c r="B260" s="499"/>
    </row>
    <row r="261">
      <c r="A261" s="226"/>
      <c r="B261" s="499"/>
    </row>
    <row r="262">
      <c r="A262" s="226"/>
      <c r="B262" s="499"/>
    </row>
    <row r="263">
      <c r="A263" s="226"/>
      <c r="B263" s="499"/>
    </row>
    <row r="264">
      <c r="A264" s="226"/>
      <c r="B264" s="499"/>
    </row>
    <row r="265">
      <c r="A265" s="226"/>
      <c r="B265" s="499"/>
    </row>
    <row r="266">
      <c r="A266" s="226"/>
      <c r="B266" s="499"/>
    </row>
    <row r="267">
      <c r="A267" s="226"/>
      <c r="B267" s="499"/>
    </row>
    <row r="268">
      <c r="A268" s="226"/>
      <c r="B268" s="499"/>
    </row>
    <row r="269">
      <c r="A269" s="226"/>
      <c r="B269" s="499"/>
    </row>
    <row r="270">
      <c r="A270" s="226"/>
      <c r="B270" s="499"/>
    </row>
    <row r="271">
      <c r="A271" s="226"/>
      <c r="B271" s="499"/>
    </row>
    <row r="272">
      <c r="A272" s="226"/>
      <c r="B272" s="499"/>
    </row>
    <row r="273">
      <c r="A273" s="226"/>
      <c r="B273" s="499"/>
    </row>
    <row r="274">
      <c r="A274" s="226"/>
      <c r="B274" s="499"/>
    </row>
    <row r="275">
      <c r="A275" s="226"/>
      <c r="B275" s="499"/>
    </row>
    <row r="276">
      <c r="A276" s="226"/>
      <c r="B276" s="499"/>
    </row>
    <row r="277">
      <c r="A277" s="226"/>
      <c r="B277" s="499"/>
    </row>
    <row r="278">
      <c r="A278" s="226"/>
      <c r="B278" s="499"/>
    </row>
    <row r="279">
      <c r="A279" s="226"/>
      <c r="B279" s="499"/>
    </row>
    <row r="280">
      <c r="A280" s="226"/>
      <c r="B280" s="499"/>
    </row>
    <row r="281">
      <c r="A281" s="226"/>
      <c r="B281" s="499"/>
    </row>
    <row r="282">
      <c r="A282" s="226"/>
      <c r="B282" s="499"/>
    </row>
    <row r="283">
      <c r="A283" s="226"/>
      <c r="B283" s="499"/>
    </row>
    <row r="284">
      <c r="A284" s="226"/>
      <c r="B284" s="499"/>
    </row>
    <row r="285">
      <c r="A285" s="226"/>
      <c r="B285" s="499"/>
    </row>
    <row r="286">
      <c r="A286" s="226"/>
      <c r="B286" s="499"/>
    </row>
    <row r="287">
      <c r="A287" s="226"/>
      <c r="B287" s="499"/>
    </row>
    <row r="288">
      <c r="A288" s="226"/>
      <c r="B288" s="499"/>
    </row>
    <row r="289">
      <c r="A289" s="226"/>
      <c r="B289" s="499"/>
    </row>
    <row r="290">
      <c r="A290" s="226"/>
      <c r="B290" s="499"/>
    </row>
    <row r="291">
      <c r="A291" s="226"/>
      <c r="B291" s="499"/>
    </row>
    <row r="292">
      <c r="A292" s="226"/>
      <c r="B292" s="499"/>
    </row>
    <row r="293">
      <c r="A293" s="226"/>
      <c r="B293" s="499"/>
    </row>
    <row r="294">
      <c r="A294" s="226"/>
      <c r="B294" s="499"/>
    </row>
    <row r="295">
      <c r="A295" s="226"/>
      <c r="B295" s="499"/>
    </row>
    <row r="296">
      <c r="A296" s="226"/>
      <c r="B296" s="499"/>
    </row>
    <row r="297">
      <c r="A297" s="226"/>
      <c r="B297" s="499"/>
    </row>
    <row r="298">
      <c r="A298" s="226"/>
      <c r="B298" s="499"/>
    </row>
    <row r="299">
      <c r="A299" s="226"/>
      <c r="B299" s="499"/>
    </row>
    <row r="300">
      <c r="A300" s="226"/>
      <c r="B300" s="499"/>
    </row>
    <row r="301">
      <c r="A301" s="226"/>
      <c r="B301" s="499"/>
    </row>
    <row r="302">
      <c r="A302" s="226"/>
      <c r="B302" s="499"/>
    </row>
    <row r="303">
      <c r="A303" s="226"/>
      <c r="B303" s="499"/>
    </row>
    <row r="304">
      <c r="A304" s="226"/>
      <c r="B304" s="499"/>
    </row>
    <row r="305">
      <c r="A305" s="226"/>
      <c r="B305" s="499"/>
    </row>
    <row r="306">
      <c r="A306" s="226"/>
      <c r="B306" s="499"/>
    </row>
    <row r="307">
      <c r="A307" s="226"/>
      <c r="B307" s="499"/>
    </row>
    <row r="308">
      <c r="A308" s="226"/>
      <c r="B308" s="499"/>
    </row>
    <row r="309">
      <c r="A309" s="226"/>
      <c r="B309" s="499"/>
    </row>
    <row r="310">
      <c r="A310" s="226"/>
      <c r="B310" s="499"/>
    </row>
    <row r="311">
      <c r="A311" s="226"/>
      <c r="B311" s="499"/>
    </row>
    <row r="312">
      <c r="A312" s="226"/>
      <c r="B312" s="499"/>
    </row>
    <row r="313">
      <c r="A313" s="226"/>
      <c r="B313" s="499"/>
    </row>
    <row r="314">
      <c r="A314" s="226"/>
      <c r="B314" s="499"/>
    </row>
    <row r="315">
      <c r="A315" s="226"/>
      <c r="B315" s="499"/>
    </row>
    <row r="316">
      <c r="A316" s="226"/>
      <c r="B316" s="499"/>
    </row>
    <row r="317">
      <c r="A317" s="226"/>
      <c r="B317" s="499"/>
    </row>
    <row r="318">
      <c r="A318" s="226"/>
      <c r="B318" s="499"/>
    </row>
    <row r="319">
      <c r="A319" s="226"/>
      <c r="B319" s="499"/>
    </row>
    <row r="320">
      <c r="A320" s="226"/>
      <c r="B320" s="499"/>
    </row>
    <row r="321">
      <c r="A321" s="226"/>
      <c r="B321" s="499"/>
    </row>
    <row r="322">
      <c r="A322" s="226"/>
      <c r="B322" s="499"/>
    </row>
    <row r="323">
      <c r="A323" s="226"/>
      <c r="B323" s="499"/>
    </row>
    <row r="324">
      <c r="A324" s="226"/>
      <c r="B324" s="499"/>
    </row>
    <row r="325">
      <c r="A325" s="226"/>
      <c r="B325" s="499"/>
    </row>
    <row r="326">
      <c r="A326" s="226"/>
      <c r="B326" s="499"/>
    </row>
    <row r="327">
      <c r="A327" s="226"/>
      <c r="B327" s="499"/>
    </row>
    <row r="328">
      <c r="A328" s="226"/>
      <c r="B328" s="499"/>
    </row>
    <row r="329">
      <c r="A329" s="226"/>
      <c r="B329" s="499"/>
    </row>
    <row r="330">
      <c r="A330" s="226"/>
      <c r="B330" s="499"/>
    </row>
    <row r="331">
      <c r="A331" s="226"/>
      <c r="B331" s="499"/>
    </row>
    <row r="332">
      <c r="A332" s="226"/>
      <c r="B332" s="499"/>
    </row>
    <row r="333">
      <c r="A333" s="226"/>
      <c r="B333" s="499"/>
    </row>
    <row r="334">
      <c r="A334" s="226"/>
      <c r="B334" s="499"/>
    </row>
    <row r="335">
      <c r="A335" s="226"/>
      <c r="B335" s="499"/>
    </row>
    <row r="336">
      <c r="A336" s="226"/>
      <c r="B336" s="499"/>
    </row>
    <row r="337">
      <c r="A337" s="226"/>
      <c r="B337" s="499"/>
    </row>
    <row r="338">
      <c r="A338" s="226"/>
      <c r="B338" s="499"/>
    </row>
    <row r="339">
      <c r="A339" s="226"/>
      <c r="B339" s="499"/>
    </row>
    <row r="340">
      <c r="A340" s="226"/>
      <c r="B340" s="499"/>
    </row>
    <row r="341">
      <c r="A341" s="226"/>
      <c r="B341" s="499"/>
    </row>
    <row r="342">
      <c r="A342" s="226"/>
      <c r="B342" s="499"/>
    </row>
    <row r="343">
      <c r="A343" s="226"/>
      <c r="B343" s="499"/>
    </row>
    <row r="344">
      <c r="A344" s="226"/>
      <c r="B344" s="499"/>
    </row>
    <row r="345">
      <c r="A345" s="226"/>
      <c r="B345" s="499"/>
    </row>
    <row r="346">
      <c r="A346" s="226"/>
      <c r="B346" s="499"/>
    </row>
    <row r="347">
      <c r="A347" s="226"/>
      <c r="B347" s="499"/>
    </row>
    <row r="348">
      <c r="A348" s="226"/>
      <c r="B348" s="499"/>
    </row>
    <row r="349">
      <c r="A349" s="226"/>
      <c r="B349" s="499"/>
    </row>
    <row r="350">
      <c r="A350" s="226"/>
      <c r="B350" s="499"/>
    </row>
    <row r="351">
      <c r="A351" s="226"/>
      <c r="B351" s="499"/>
    </row>
    <row r="352">
      <c r="A352" s="226"/>
      <c r="B352" s="499"/>
    </row>
    <row r="353">
      <c r="A353" s="226"/>
      <c r="B353" s="499"/>
    </row>
    <row r="354">
      <c r="A354" s="226"/>
      <c r="B354" s="499"/>
    </row>
    <row r="355">
      <c r="A355" s="226"/>
      <c r="B355" s="499"/>
    </row>
    <row r="356">
      <c r="A356" s="226"/>
      <c r="B356" s="499"/>
    </row>
    <row r="357">
      <c r="A357" s="226"/>
      <c r="B357" s="499"/>
    </row>
    <row r="358">
      <c r="A358" s="226"/>
      <c r="B358" s="499"/>
    </row>
    <row r="359">
      <c r="A359" s="226"/>
      <c r="B359" s="499"/>
    </row>
    <row r="360">
      <c r="A360" s="226"/>
      <c r="B360" s="499"/>
    </row>
    <row r="361">
      <c r="A361" s="226"/>
      <c r="B361" s="499"/>
    </row>
    <row r="362">
      <c r="A362" s="226"/>
      <c r="B362" s="499"/>
    </row>
    <row r="363">
      <c r="A363" s="226"/>
      <c r="B363" s="499"/>
    </row>
    <row r="364">
      <c r="A364" s="226"/>
      <c r="B364" s="499"/>
    </row>
    <row r="365">
      <c r="A365" s="226"/>
      <c r="B365" s="499"/>
    </row>
    <row r="366">
      <c r="A366" s="226"/>
      <c r="B366" s="499"/>
    </row>
    <row r="367">
      <c r="A367" s="226"/>
      <c r="B367" s="499"/>
    </row>
    <row r="368">
      <c r="A368" s="226"/>
      <c r="B368" s="499"/>
    </row>
    <row r="369">
      <c r="A369" s="226"/>
      <c r="B369" s="499"/>
    </row>
    <row r="370">
      <c r="A370" s="226"/>
      <c r="B370" s="499"/>
    </row>
    <row r="371">
      <c r="A371" s="226"/>
      <c r="B371" s="499"/>
    </row>
    <row r="372">
      <c r="A372" s="226"/>
      <c r="B372" s="499"/>
    </row>
    <row r="373">
      <c r="A373" s="226"/>
      <c r="B373" s="499"/>
    </row>
    <row r="374">
      <c r="A374" s="226"/>
      <c r="B374" s="499"/>
    </row>
    <row r="375">
      <c r="A375" s="226"/>
      <c r="B375" s="499"/>
    </row>
    <row r="376">
      <c r="A376" s="226"/>
      <c r="B376" s="499"/>
    </row>
    <row r="377">
      <c r="A377" s="226"/>
      <c r="B377" s="499"/>
    </row>
    <row r="378">
      <c r="A378" s="226"/>
      <c r="B378" s="499"/>
    </row>
    <row r="379">
      <c r="A379" s="226"/>
      <c r="B379" s="499"/>
    </row>
    <row r="380">
      <c r="A380" s="226"/>
      <c r="B380" s="499"/>
    </row>
    <row r="381">
      <c r="A381" s="226"/>
      <c r="B381" s="499"/>
    </row>
    <row r="382">
      <c r="A382" s="226"/>
      <c r="B382" s="499"/>
    </row>
    <row r="383">
      <c r="A383" s="226"/>
      <c r="B383" s="499"/>
    </row>
    <row r="384">
      <c r="A384" s="226"/>
      <c r="B384" s="499"/>
    </row>
    <row r="385">
      <c r="A385" s="226"/>
      <c r="B385" s="499"/>
    </row>
    <row r="386">
      <c r="A386" s="226"/>
      <c r="B386" s="499"/>
    </row>
    <row r="387">
      <c r="A387" s="226"/>
      <c r="B387" s="499"/>
    </row>
    <row r="388">
      <c r="A388" s="226"/>
      <c r="B388" s="499"/>
    </row>
    <row r="389">
      <c r="A389" s="226"/>
      <c r="B389" s="499"/>
    </row>
    <row r="390">
      <c r="A390" s="226"/>
      <c r="B390" s="499"/>
    </row>
    <row r="391">
      <c r="A391" s="226"/>
      <c r="B391" s="499"/>
    </row>
    <row r="392">
      <c r="A392" s="226"/>
      <c r="B392" s="499"/>
    </row>
    <row r="393">
      <c r="A393" s="226"/>
      <c r="B393" s="499"/>
    </row>
    <row r="394">
      <c r="A394" s="226"/>
      <c r="B394" s="499"/>
    </row>
    <row r="395">
      <c r="A395" s="226"/>
      <c r="B395" s="499"/>
    </row>
    <row r="396">
      <c r="A396" s="226"/>
      <c r="B396" s="499"/>
    </row>
    <row r="397">
      <c r="A397" s="226"/>
      <c r="B397" s="499"/>
    </row>
    <row r="398">
      <c r="A398" s="226"/>
      <c r="B398" s="499"/>
    </row>
    <row r="399">
      <c r="A399" s="226"/>
      <c r="B399" s="499"/>
    </row>
    <row r="400">
      <c r="A400" s="226"/>
      <c r="B400" s="499"/>
    </row>
    <row r="401">
      <c r="A401" s="226"/>
      <c r="B401" s="499"/>
    </row>
    <row r="402">
      <c r="A402" s="226"/>
      <c r="B402" s="499"/>
    </row>
    <row r="403">
      <c r="A403" s="226"/>
      <c r="B403" s="499"/>
    </row>
    <row r="404">
      <c r="A404" s="226"/>
      <c r="B404" s="499"/>
    </row>
    <row r="405">
      <c r="A405" s="226"/>
      <c r="B405" s="499"/>
    </row>
    <row r="406">
      <c r="A406" s="226"/>
      <c r="B406" s="499"/>
    </row>
    <row r="407">
      <c r="A407" s="226"/>
      <c r="B407" s="499"/>
    </row>
    <row r="408">
      <c r="A408" s="226"/>
      <c r="B408" s="499"/>
    </row>
    <row r="409">
      <c r="A409" s="226"/>
      <c r="B409" s="499"/>
    </row>
    <row r="410">
      <c r="A410" s="226"/>
      <c r="B410" s="499"/>
    </row>
    <row r="411">
      <c r="A411" s="226"/>
      <c r="B411" s="499"/>
    </row>
    <row r="412">
      <c r="A412" s="226"/>
      <c r="B412" s="499"/>
    </row>
    <row r="413">
      <c r="A413" s="226"/>
      <c r="B413" s="499"/>
    </row>
    <row r="414">
      <c r="A414" s="226"/>
      <c r="B414" s="499"/>
    </row>
    <row r="415">
      <c r="A415" s="226"/>
      <c r="B415" s="499"/>
    </row>
    <row r="416">
      <c r="A416" s="226"/>
      <c r="B416" s="499"/>
    </row>
    <row r="417">
      <c r="A417" s="226"/>
      <c r="B417" s="499"/>
    </row>
    <row r="418">
      <c r="A418" s="226"/>
      <c r="B418" s="499"/>
    </row>
    <row r="419">
      <c r="A419" s="226"/>
      <c r="B419" s="499"/>
    </row>
    <row r="420">
      <c r="A420" s="226"/>
      <c r="B420" s="499"/>
    </row>
    <row r="421">
      <c r="A421" s="226"/>
      <c r="B421" s="499"/>
    </row>
    <row r="422">
      <c r="A422" s="226"/>
      <c r="B422" s="499"/>
    </row>
    <row r="423">
      <c r="A423" s="226"/>
      <c r="B423" s="499"/>
    </row>
    <row r="424">
      <c r="A424" s="226"/>
      <c r="B424" s="499"/>
    </row>
    <row r="425">
      <c r="A425" s="226"/>
      <c r="B425" s="499"/>
    </row>
    <row r="426">
      <c r="A426" s="226"/>
      <c r="B426" s="499"/>
    </row>
    <row r="427">
      <c r="A427" s="226"/>
      <c r="B427" s="499"/>
    </row>
    <row r="428">
      <c r="A428" s="226"/>
      <c r="B428" s="499"/>
    </row>
    <row r="429">
      <c r="A429" s="226"/>
      <c r="B429" s="499"/>
    </row>
    <row r="430">
      <c r="A430" s="226"/>
      <c r="B430" s="499"/>
    </row>
    <row r="431">
      <c r="A431" s="226"/>
      <c r="B431" s="499"/>
    </row>
    <row r="432">
      <c r="A432" s="226"/>
      <c r="B432" s="499"/>
    </row>
    <row r="433">
      <c r="A433" s="226"/>
      <c r="B433" s="499"/>
    </row>
    <row r="434">
      <c r="A434" s="226"/>
      <c r="B434" s="499"/>
    </row>
    <row r="435">
      <c r="A435" s="226"/>
      <c r="B435" s="499"/>
    </row>
    <row r="436">
      <c r="A436" s="226"/>
      <c r="B436" s="499"/>
    </row>
    <row r="437">
      <c r="A437" s="226"/>
      <c r="B437" s="499"/>
    </row>
    <row r="438">
      <c r="A438" s="226"/>
      <c r="B438" s="499"/>
    </row>
    <row r="439">
      <c r="A439" s="226"/>
      <c r="B439" s="499"/>
    </row>
    <row r="440">
      <c r="A440" s="226"/>
      <c r="B440" s="499"/>
    </row>
    <row r="441">
      <c r="A441" s="226"/>
      <c r="B441" s="499"/>
    </row>
    <row r="442">
      <c r="A442" s="226"/>
      <c r="B442" s="499"/>
    </row>
    <row r="443">
      <c r="A443" s="226"/>
      <c r="B443" s="499"/>
    </row>
    <row r="444">
      <c r="A444" s="226"/>
      <c r="B444" s="499"/>
    </row>
    <row r="445">
      <c r="A445" s="226"/>
      <c r="B445" s="499"/>
    </row>
    <row r="446">
      <c r="A446" s="226"/>
      <c r="B446" s="499"/>
    </row>
    <row r="447">
      <c r="A447" s="226"/>
      <c r="B447" s="499"/>
    </row>
    <row r="448">
      <c r="A448" s="226"/>
      <c r="B448" s="499"/>
    </row>
    <row r="449">
      <c r="A449" s="226"/>
      <c r="B449" s="499"/>
    </row>
    <row r="450">
      <c r="A450" s="226"/>
      <c r="B450" s="499"/>
    </row>
    <row r="451">
      <c r="A451" s="226"/>
      <c r="B451" s="499"/>
    </row>
    <row r="452">
      <c r="A452" s="226"/>
      <c r="B452" s="499"/>
    </row>
    <row r="453">
      <c r="A453" s="226"/>
      <c r="B453" s="499"/>
    </row>
    <row r="454">
      <c r="A454" s="226"/>
      <c r="B454" s="499"/>
    </row>
    <row r="455">
      <c r="A455" s="226"/>
      <c r="B455" s="499"/>
    </row>
    <row r="456">
      <c r="A456" s="226"/>
      <c r="B456" s="499"/>
    </row>
    <row r="457">
      <c r="A457" s="226"/>
      <c r="B457" s="499"/>
    </row>
    <row r="458">
      <c r="A458" s="226"/>
      <c r="B458" s="499"/>
    </row>
    <row r="459">
      <c r="A459" s="226"/>
      <c r="B459" s="499"/>
    </row>
    <row r="460">
      <c r="A460" s="226"/>
      <c r="B460" s="499"/>
    </row>
    <row r="461">
      <c r="A461" s="226"/>
      <c r="B461" s="499"/>
    </row>
    <row r="462">
      <c r="A462" s="226"/>
      <c r="B462" s="499"/>
    </row>
    <row r="463">
      <c r="A463" s="226"/>
      <c r="B463" s="499"/>
    </row>
    <row r="464">
      <c r="A464" s="226"/>
      <c r="B464" s="499"/>
    </row>
    <row r="465">
      <c r="A465" s="226"/>
      <c r="B465" s="499"/>
    </row>
    <row r="466">
      <c r="A466" s="226"/>
      <c r="B466" s="499"/>
    </row>
    <row r="467">
      <c r="A467" s="226"/>
      <c r="B467" s="499"/>
    </row>
    <row r="468">
      <c r="A468" s="226"/>
      <c r="B468" s="499"/>
    </row>
    <row r="469">
      <c r="A469" s="226"/>
      <c r="B469" s="499"/>
    </row>
    <row r="470">
      <c r="A470" s="226"/>
      <c r="B470" s="499"/>
    </row>
    <row r="471">
      <c r="A471" s="226"/>
      <c r="B471" s="499"/>
    </row>
    <row r="472">
      <c r="A472" s="226"/>
      <c r="B472" s="499"/>
    </row>
    <row r="473">
      <c r="A473" s="226"/>
      <c r="B473" s="499"/>
    </row>
    <row r="474">
      <c r="A474" s="226"/>
      <c r="B474" s="499"/>
    </row>
    <row r="475">
      <c r="A475" s="226"/>
      <c r="B475" s="499"/>
    </row>
    <row r="476">
      <c r="A476" s="226"/>
      <c r="B476" s="499"/>
    </row>
    <row r="477">
      <c r="A477" s="226"/>
      <c r="B477" s="499"/>
    </row>
    <row r="478">
      <c r="A478" s="226"/>
      <c r="B478" s="499"/>
    </row>
    <row r="479">
      <c r="A479" s="226"/>
      <c r="B479" s="499"/>
    </row>
    <row r="480">
      <c r="A480" s="226"/>
      <c r="B480" s="499"/>
    </row>
    <row r="481">
      <c r="A481" s="226"/>
      <c r="B481" s="499"/>
    </row>
    <row r="482">
      <c r="A482" s="226"/>
      <c r="B482" s="499"/>
    </row>
    <row r="483">
      <c r="A483" s="226"/>
      <c r="B483" s="499"/>
    </row>
    <row r="484">
      <c r="A484" s="226"/>
      <c r="B484" s="499"/>
    </row>
    <row r="485">
      <c r="A485" s="226"/>
      <c r="B485" s="499"/>
    </row>
    <row r="486">
      <c r="A486" s="226"/>
      <c r="B486" s="499"/>
    </row>
    <row r="487">
      <c r="A487" s="226"/>
      <c r="B487" s="499"/>
    </row>
    <row r="488">
      <c r="A488" s="226"/>
      <c r="B488" s="499"/>
    </row>
    <row r="489">
      <c r="A489" s="226"/>
      <c r="B489" s="499"/>
    </row>
    <row r="490">
      <c r="A490" s="226"/>
      <c r="B490" s="499"/>
    </row>
    <row r="491">
      <c r="A491" s="226"/>
      <c r="B491" s="499"/>
    </row>
    <row r="492">
      <c r="A492" s="226"/>
      <c r="B492" s="499"/>
    </row>
    <row r="493">
      <c r="A493" s="226"/>
      <c r="B493" s="499"/>
    </row>
    <row r="494">
      <c r="A494" s="226"/>
      <c r="B494" s="499"/>
    </row>
    <row r="495">
      <c r="A495" s="226"/>
      <c r="B495" s="499"/>
    </row>
    <row r="496">
      <c r="A496" s="226"/>
      <c r="B496" s="499"/>
    </row>
    <row r="497">
      <c r="A497" s="226"/>
      <c r="B497" s="499"/>
    </row>
    <row r="498">
      <c r="A498" s="226"/>
      <c r="B498" s="499"/>
    </row>
    <row r="499">
      <c r="A499" s="226"/>
      <c r="B499" s="499"/>
    </row>
    <row r="500">
      <c r="A500" s="226"/>
      <c r="B500" s="499"/>
    </row>
    <row r="501">
      <c r="A501" s="226"/>
      <c r="B501" s="499"/>
    </row>
    <row r="502">
      <c r="A502" s="226"/>
      <c r="B502" s="499"/>
    </row>
    <row r="503">
      <c r="A503" s="226"/>
      <c r="B503" s="499"/>
    </row>
    <row r="504">
      <c r="A504" s="226"/>
      <c r="B504" s="499"/>
    </row>
    <row r="505">
      <c r="A505" s="226"/>
      <c r="B505" s="499"/>
    </row>
    <row r="506">
      <c r="A506" s="226"/>
      <c r="B506" s="499"/>
    </row>
    <row r="507">
      <c r="A507" s="226"/>
      <c r="B507" s="499"/>
    </row>
    <row r="508">
      <c r="A508" s="226"/>
      <c r="B508" s="499"/>
    </row>
    <row r="509">
      <c r="A509" s="226"/>
      <c r="B509" s="499"/>
    </row>
    <row r="510">
      <c r="A510" s="226"/>
      <c r="B510" s="499"/>
    </row>
    <row r="511">
      <c r="A511" s="226"/>
      <c r="B511" s="499"/>
    </row>
    <row r="512">
      <c r="A512" s="226"/>
      <c r="B512" s="499"/>
    </row>
    <row r="513">
      <c r="A513" s="226"/>
      <c r="B513" s="499"/>
    </row>
    <row r="514">
      <c r="A514" s="226"/>
      <c r="B514" s="499"/>
    </row>
    <row r="515">
      <c r="A515" s="226"/>
      <c r="B515" s="499"/>
    </row>
    <row r="516">
      <c r="A516" s="226"/>
      <c r="B516" s="499"/>
    </row>
    <row r="517">
      <c r="A517" s="226"/>
      <c r="B517" s="499"/>
    </row>
    <row r="518">
      <c r="A518" s="226"/>
      <c r="B518" s="499"/>
    </row>
    <row r="519">
      <c r="A519" s="226"/>
      <c r="B519" s="499"/>
    </row>
    <row r="520">
      <c r="A520" s="226"/>
      <c r="B520" s="499"/>
    </row>
    <row r="521">
      <c r="A521" s="226"/>
      <c r="B521" s="499"/>
    </row>
    <row r="522">
      <c r="A522" s="226"/>
      <c r="B522" s="499"/>
    </row>
    <row r="523">
      <c r="A523" s="226"/>
      <c r="B523" s="499"/>
    </row>
    <row r="524">
      <c r="A524" s="226"/>
      <c r="B524" s="499"/>
    </row>
    <row r="525">
      <c r="A525" s="226"/>
      <c r="B525" s="499"/>
    </row>
    <row r="526">
      <c r="A526" s="226"/>
      <c r="B526" s="499"/>
    </row>
    <row r="527">
      <c r="A527" s="226"/>
      <c r="B527" s="499"/>
    </row>
    <row r="528">
      <c r="A528" s="226"/>
      <c r="B528" s="499"/>
    </row>
    <row r="529">
      <c r="A529" s="226"/>
      <c r="B529" s="499"/>
    </row>
    <row r="530">
      <c r="A530" s="226"/>
      <c r="B530" s="499"/>
    </row>
    <row r="531">
      <c r="A531" s="226"/>
      <c r="B531" s="499"/>
    </row>
    <row r="532">
      <c r="A532" s="226"/>
      <c r="B532" s="499"/>
    </row>
    <row r="533">
      <c r="A533" s="226"/>
      <c r="B533" s="499"/>
    </row>
    <row r="534">
      <c r="A534" s="226"/>
      <c r="B534" s="499"/>
    </row>
    <row r="535">
      <c r="A535" s="226"/>
      <c r="B535" s="499"/>
    </row>
    <row r="536">
      <c r="A536" s="226"/>
      <c r="B536" s="499"/>
    </row>
    <row r="537">
      <c r="A537" s="226"/>
      <c r="B537" s="499"/>
    </row>
    <row r="538">
      <c r="A538" s="226"/>
      <c r="B538" s="499"/>
    </row>
    <row r="539">
      <c r="A539" s="226"/>
      <c r="B539" s="499"/>
    </row>
    <row r="540">
      <c r="A540" s="226"/>
      <c r="B540" s="499"/>
    </row>
    <row r="541">
      <c r="A541" s="226"/>
      <c r="B541" s="499"/>
    </row>
    <row r="542">
      <c r="A542" s="226"/>
      <c r="B542" s="499"/>
    </row>
    <row r="543">
      <c r="A543" s="226"/>
      <c r="B543" s="499"/>
    </row>
    <row r="544">
      <c r="A544" s="226"/>
      <c r="B544" s="499"/>
    </row>
    <row r="545">
      <c r="A545" s="226"/>
      <c r="B545" s="499"/>
    </row>
    <row r="546">
      <c r="A546" s="226"/>
      <c r="B546" s="499"/>
    </row>
    <row r="547">
      <c r="A547" s="226"/>
      <c r="B547" s="499"/>
    </row>
    <row r="548">
      <c r="A548" s="226"/>
      <c r="B548" s="499"/>
    </row>
    <row r="549">
      <c r="A549" s="226"/>
      <c r="B549" s="499"/>
    </row>
    <row r="550">
      <c r="A550" s="226"/>
      <c r="B550" s="499"/>
    </row>
    <row r="551">
      <c r="A551" s="226"/>
      <c r="B551" s="499"/>
    </row>
    <row r="552">
      <c r="A552" s="226"/>
      <c r="B552" s="499"/>
    </row>
    <row r="553">
      <c r="A553" s="226"/>
      <c r="B553" s="499"/>
    </row>
    <row r="554">
      <c r="A554" s="226"/>
      <c r="B554" s="499"/>
    </row>
    <row r="555">
      <c r="A555" s="226"/>
      <c r="B555" s="499"/>
    </row>
    <row r="556">
      <c r="A556" s="226"/>
      <c r="B556" s="499"/>
    </row>
    <row r="557">
      <c r="A557" s="226"/>
      <c r="B557" s="499"/>
    </row>
    <row r="558">
      <c r="A558" s="226"/>
      <c r="B558" s="499"/>
    </row>
    <row r="559">
      <c r="A559" s="226"/>
      <c r="B559" s="499"/>
    </row>
    <row r="560">
      <c r="A560" s="226"/>
      <c r="B560" s="499"/>
    </row>
    <row r="561">
      <c r="A561" s="226"/>
      <c r="B561" s="499"/>
    </row>
    <row r="562">
      <c r="A562" s="226"/>
      <c r="B562" s="499"/>
    </row>
    <row r="563">
      <c r="A563" s="226"/>
      <c r="B563" s="499"/>
    </row>
    <row r="564">
      <c r="A564" s="226"/>
      <c r="B564" s="499"/>
    </row>
    <row r="565">
      <c r="A565" s="226"/>
      <c r="B565" s="499"/>
    </row>
    <row r="566">
      <c r="A566" s="226"/>
      <c r="B566" s="499"/>
    </row>
    <row r="567">
      <c r="A567" s="226"/>
      <c r="B567" s="499"/>
    </row>
    <row r="568">
      <c r="A568" s="226"/>
      <c r="B568" s="499"/>
    </row>
    <row r="569">
      <c r="A569" s="226"/>
      <c r="B569" s="499"/>
    </row>
    <row r="570">
      <c r="A570" s="226"/>
      <c r="B570" s="499"/>
    </row>
    <row r="571">
      <c r="A571" s="226"/>
      <c r="B571" s="499"/>
    </row>
    <row r="572">
      <c r="A572" s="226"/>
      <c r="B572" s="499"/>
    </row>
    <row r="573">
      <c r="A573" s="226"/>
      <c r="B573" s="499"/>
    </row>
    <row r="574">
      <c r="A574" s="226"/>
      <c r="B574" s="499"/>
    </row>
    <row r="575">
      <c r="A575" s="226"/>
      <c r="B575" s="499"/>
    </row>
    <row r="576">
      <c r="A576" s="226"/>
      <c r="B576" s="499"/>
    </row>
    <row r="577">
      <c r="A577" s="226"/>
      <c r="B577" s="499"/>
    </row>
    <row r="578">
      <c r="A578" s="226"/>
      <c r="B578" s="499"/>
    </row>
    <row r="579">
      <c r="A579" s="226"/>
      <c r="B579" s="499"/>
    </row>
    <row r="580">
      <c r="A580" s="226"/>
      <c r="B580" s="499"/>
    </row>
    <row r="581">
      <c r="A581" s="226"/>
      <c r="B581" s="499"/>
    </row>
    <row r="582">
      <c r="A582" s="226"/>
      <c r="B582" s="499"/>
    </row>
    <row r="583">
      <c r="A583" s="226"/>
      <c r="B583" s="499"/>
    </row>
    <row r="584">
      <c r="A584" s="226"/>
      <c r="B584" s="499"/>
    </row>
    <row r="585">
      <c r="A585" s="226"/>
      <c r="B585" s="499"/>
    </row>
    <row r="586">
      <c r="A586" s="226"/>
      <c r="B586" s="499"/>
    </row>
    <row r="587">
      <c r="A587" s="226"/>
      <c r="B587" s="499"/>
    </row>
    <row r="588">
      <c r="A588" s="226"/>
      <c r="B588" s="499"/>
    </row>
    <row r="589">
      <c r="A589" s="226"/>
      <c r="B589" s="499"/>
    </row>
    <row r="590">
      <c r="A590" s="226"/>
      <c r="B590" s="499"/>
    </row>
    <row r="591">
      <c r="A591" s="226"/>
      <c r="B591" s="499"/>
    </row>
    <row r="592">
      <c r="A592" s="226"/>
      <c r="B592" s="499"/>
    </row>
    <row r="593">
      <c r="A593" s="226"/>
      <c r="B593" s="499"/>
    </row>
    <row r="594">
      <c r="A594" s="226"/>
      <c r="B594" s="499"/>
    </row>
    <row r="595">
      <c r="A595" s="226"/>
      <c r="B595" s="499"/>
    </row>
    <row r="596">
      <c r="A596" s="226"/>
      <c r="B596" s="499"/>
    </row>
    <row r="597">
      <c r="A597" s="226"/>
      <c r="B597" s="499"/>
    </row>
    <row r="598">
      <c r="A598" s="226"/>
      <c r="B598" s="499"/>
    </row>
    <row r="599">
      <c r="A599" s="226"/>
      <c r="B599" s="499"/>
    </row>
    <row r="600">
      <c r="A600" s="226"/>
      <c r="B600" s="499"/>
    </row>
    <row r="601">
      <c r="A601" s="226"/>
      <c r="B601" s="499"/>
    </row>
    <row r="602">
      <c r="A602" s="226"/>
      <c r="B602" s="499"/>
    </row>
    <row r="603">
      <c r="A603" s="226"/>
      <c r="B603" s="499"/>
    </row>
    <row r="604">
      <c r="A604" s="226"/>
      <c r="B604" s="499"/>
    </row>
    <row r="605">
      <c r="A605" s="226"/>
      <c r="B605" s="499"/>
    </row>
    <row r="606">
      <c r="A606" s="226"/>
      <c r="B606" s="499"/>
    </row>
    <row r="607">
      <c r="A607" s="226"/>
      <c r="B607" s="499"/>
    </row>
    <row r="608">
      <c r="A608" s="226"/>
      <c r="B608" s="499"/>
    </row>
    <row r="609">
      <c r="A609" s="226"/>
      <c r="B609" s="499"/>
    </row>
    <row r="610">
      <c r="A610" s="226"/>
      <c r="B610" s="499"/>
    </row>
    <row r="611">
      <c r="A611" s="226"/>
      <c r="B611" s="499"/>
    </row>
    <row r="612">
      <c r="A612" s="226"/>
      <c r="B612" s="499"/>
    </row>
    <row r="613">
      <c r="A613" s="226"/>
      <c r="B613" s="499"/>
    </row>
    <row r="614">
      <c r="A614" s="226"/>
      <c r="B614" s="499"/>
    </row>
    <row r="615">
      <c r="A615" s="226"/>
      <c r="B615" s="499"/>
    </row>
    <row r="616">
      <c r="A616" s="226"/>
      <c r="B616" s="499"/>
    </row>
    <row r="617">
      <c r="A617" s="226"/>
      <c r="B617" s="499"/>
    </row>
    <row r="618">
      <c r="A618" s="226"/>
      <c r="B618" s="499"/>
    </row>
    <row r="619">
      <c r="A619" s="226"/>
      <c r="B619" s="499"/>
    </row>
    <row r="620">
      <c r="A620" s="226"/>
      <c r="B620" s="499"/>
    </row>
    <row r="621">
      <c r="A621" s="226"/>
      <c r="B621" s="499"/>
    </row>
    <row r="622">
      <c r="A622" s="226"/>
      <c r="B622" s="499"/>
    </row>
    <row r="623">
      <c r="A623" s="226"/>
      <c r="B623" s="499"/>
    </row>
    <row r="624">
      <c r="A624" s="226"/>
      <c r="B624" s="499"/>
    </row>
    <row r="625">
      <c r="A625" s="226"/>
      <c r="B625" s="499"/>
    </row>
    <row r="626">
      <c r="A626" s="226"/>
      <c r="B626" s="499"/>
    </row>
    <row r="627">
      <c r="A627" s="226"/>
      <c r="B627" s="499"/>
    </row>
    <row r="628">
      <c r="A628" s="226"/>
      <c r="B628" s="499"/>
    </row>
    <row r="629">
      <c r="A629" s="226"/>
      <c r="B629" s="499"/>
    </row>
    <row r="630">
      <c r="A630" s="226"/>
      <c r="B630" s="499"/>
    </row>
    <row r="631">
      <c r="A631" s="226"/>
      <c r="B631" s="499"/>
    </row>
    <row r="632">
      <c r="A632" s="226"/>
      <c r="B632" s="499"/>
    </row>
    <row r="633">
      <c r="A633" s="226"/>
      <c r="B633" s="499"/>
    </row>
    <row r="634">
      <c r="A634" s="226"/>
      <c r="B634" s="499"/>
    </row>
    <row r="635">
      <c r="A635" s="226"/>
      <c r="B635" s="499"/>
    </row>
    <row r="636">
      <c r="A636" s="226"/>
      <c r="B636" s="499"/>
    </row>
    <row r="637">
      <c r="A637" s="226"/>
      <c r="B637" s="499"/>
    </row>
    <row r="638">
      <c r="A638" s="226"/>
      <c r="B638" s="499"/>
    </row>
    <row r="639">
      <c r="A639" s="226"/>
      <c r="B639" s="499"/>
    </row>
    <row r="640">
      <c r="A640" s="226"/>
      <c r="B640" s="499"/>
    </row>
    <row r="641">
      <c r="A641" s="226"/>
      <c r="B641" s="499"/>
    </row>
    <row r="642">
      <c r="A642" s="226"/>
      <c r="B642" s="499"/>
    </row>
    <row r="643">
      <c r="A643" s="226"/>
      <c r="B643" s="499"/>
    </row>
    <row r="644">
      <c r="A644" s="226"/>
      <c r="B644" s="499"/>
    </row>
    <row r="645">
      <c r="A645" s="226"/>
      <c r="B645" s="499"/>
    </row>
    <row r="646">
      <c r="A646" s="226"/>
      <c r="B646" s="499"/>
    </row>
    <row r="647">
      <c r="A647" s="226"/>
      <c r="B647" s="499"/>
    </row>
    <row r="648">
      <c r="A648" s="226"/>
      <c r="B648" s="499"/>
    </row>
    <row r="649">
      <c r="A649" s="226"/>
      <c r="B649" s="499"/>
    </row>
    <row r="650">
      <c r="A650" s="226"/>
      <c r="B650" s="499"/>
    </row>
    <row r="651">
      <c r="A651" s="226"/>
      <c r="B651" s="499"/>
    </row>
    <row r="652">
      <c r="A652" s="226"/>
      <c r="B652" s="499"/>
    </row>
    <row r="653">
      <c r="A653" s="226"/>
      <c r="B653" s="499"/>
    </row>
    <row r="654">
      <c r="A654" s="226"/>
      <c r="B654" s="499"/>
    </row>
    <row r="655">
      <c r="A655" s="226"/>
      <c r="B655" s="499"/>
    </row>
    <row r="656">
      <c r="A656" s="226"/>
      <c r="B656" s="499"/>
    </row>
    <row r="657">
      <c r="A657" s="226"/>
      <c r="B657" s="499"/>
    </row>
    <row r="658">
      <c r="A658" s="226"/>
      <c r="B658" s="499"/>
    </row>
    <row r="659">
      <c r="A659" s="226"/>
      <c r="B659" s="499"/>
    </row>
    <row r="660">
      <c r="A660" s="226"/>
      <c r="B660" s="499"/>
    </row>
    <row r="661">
      <c r="A661" s="226"/>
      <c r="B661" s="499"/>
    </row>
    <row r="662">
      <c r="A662" s="226"/>
      <c r="B662" s="499"/>
    </row>
    <row r="663">
      <c r="A663" s="226"/>
      <c r="B663" s="499"/>
    </row>
    <row r="664">
      <c r="A664" s="226"/>
      <c r="B664" s="499"/>
    </row>
    <row r="665">
      <c r="A665" s="226"/>
      <c r="B665" s="499"/>
    </row>
    <row r="666">
      <c r="A666" s="226"/>
      <c r="B666" s="499"/>
    </row>
    <row r="667">
      <c r="A667" s="226"/>
      <c r="B667" s="499"/>
    </row>
    <row r="668">
      <c r="A668" s="226"/>
      <c r="B668" s="499"/>
    </row>
    <row r="669">
      <c r="A669" s="226"/>
      <c r="B669" s="499"/>
    </row>
    <row r="670">
      <c r="A670" s="226"/>
      <c r="B670" s="499"/>
    </row>
    <row r="671">
      <c r="A671" s="226"/>
      <c r="B671" s="499"/>
    </row>
    <row r="672">
      <c r="A672" s="226"/>
      <c r="B672" s="499"/>
    </row>
    <row r="673">
      <c r="A673" s="226"/>
      <c r="B673" s="499"/>
    </row>
    <row r="674">
      <c r="A674" s="226"/>
      <c r="B674" s="499"/>
    </row>
    <row r="675">
      <c r="A675" s="226"/>
      <c r="B675" s="499"/>
    </row>
    <row r="676">
      <c r="A676" s="226"/>
      <c r="B676" s="499"/>
    </row>
    <row r="677">
      <c r="A677" s="226"/>
      <c r="B677" s="499"/>
    </row>
    <row r="678">
      <c r="A678" s="226"/>
      <c r="B678" s="499"/>
    </row>
    <row r="679">
      <c r="A679" s="226"/>
      <c r="B679" s="499"/>
    </row>
    <row r="680">
      <c r="A680" s="226"/>
      <c r="B680" s="499"/>
    </row>
    <row r="681">
      <c r="A681" s="226"/>
      <c r="B681" s="499"/>
    </row>
    <row r="682">
      <c r="A682" s="226"/>
      <c r="B682" s="499"/>
    </row>
    <row r="683">
      <c r="A683" s="226"/>
      <c r="B683" s="499"/>
    </row>
    <row r="684">
      <c r="A684" s="226"/>
      <c r="B684" s="499"/>
    </row>
    <row r="685">
      <c r="A685" s="226"/>
      <c r="B685" s="499"/>
    </row>
    <row r="686">
      <c r="A686" s="226"/>
      <c r="B686" s="499"/>
    </row>
    <row r="687">
      <c r="A687" s="226"/>
      <c r="B687" s="499"/>
    </row>
    <row r="688">
      <c r="A688" s="226"/>
      <c r="B688" s="499"/>
    </row>
    <row r="689">
      <c r="A689" s="226"/>
      <c r="B689" s="499"/>
    </row>
    <row r="690">
      <c r="A690" s="226"/>
      <c r="B690" s="499"/>
    </row>
    <row r="691">
      <c r="A691" s="226"/>
      <c r="B691" s="499"/>
    </row>
    <row r="692">
      <c r="A692" s="226"/>
      <c r="B692" s="499"/>
    </row>
    <row r="693">
      <c r="A693" s="226"/>
      <c r="B693" s="499"/>
    </row>
    <row r="694">
      <c r="A694" s="226"/>
      <c r="B694" s="499"/>
    </row>
    <row r="695">
      <c r="A695" s="226"/>
      <c r="B695" s="499"/>
    </row>
    <row r="696">
      <c r="A696" s="226"/>
      <c r="B696" s="499"/>
    </row>
    <row r="697">
      <c r="A697" s="226"/>
      <c r="B697" s="499"/>
    </row>
    <row r="698">
      <c r="A698" s="226"/>
      <c r="B698" s="499"/>
    </row>
    <row r="699">
      <c r="A699" s="226"/>
      <c r="B699" s="499"/>
    </row>
    <row r="700">
      <c r="A700" s="226"/>
      <c r="B700" s="499"/>
    </row>
    <row r="701">
      <c r="A701" s="226"/>
      <c r="B701" s="499"/>
    </row>
    <row r="702">
      <c r="A702" s="226"/>
      <c r="B702" s="499"/>
    </row>
    <row r="703">
      <c r="A703" s="226"/>
      <c r="B703" s="499"/>
    </row>
    <row r="704">
      <c r="A704" s="226"/>
      <c r="B704" s="499"/>
    </row>
    <row r="705">
      <c r="A705" s="226"/>
      <c r="B705" s="499"/>
    </row>
    <row r="706">
      <c r="A706" s="226"/>
      <c r="B706" s="499"/>
    </row>
    <row r="707">
      <c r="A707" s="226"/>
      <c r="B707" s="499"/>
    </row>
    <row r="708">
      <c r="A708" s="226"/>
      <c r="B708" s="499"/>
    </row>
    <row r="709">
      <c r="A709" s="226"/>
      <c r="B709" s="499"/>
    </row>
    <row r="710">
      <c r="A710" s="226"/>
      <c r="B710" s="499"/>
    </row>
    <row r="711">
      <c r="A711" s="226"/>
      <c r="B711" s="499"/>
    </row>
    <row r="712">
      <c r="A712" s="226"/>
      <c r="B712" s="499"/>
    </row>
    <row r="713">
      <c r="A713" s="226"/>
      <c r="B713" s="499"/>
    </row>
    <row r="714">
      <c r="A714" s="226"/>
      <c r="B714" s="499"/>
    </row>
    <row r="715">
      <c r="A715" s="226"/>
      <c r="B715" s="499"/>
    </row>
    <row r="716">
      <c r="A716" s="226"/>
      <c r="B716" s="499"/>
    </row>
    <row r="717">
      <c r="A717" s="226"/>
      <c r="B717" s="499"/>
    </row>
    <row r="718">
      <c r="A718" s="226"/>
      <c r="B718" s="499"/>
    </row>
    <row r="719">
      <c r="A719" s="226"/>
      <c r="B719" s="499"/>
    </row>
    <row r="720">
      <c r="A720" s="226"/>
      <c r="B720" s="499"/>
    </row>
    <row r="721">
      <c r="A721" s="226"/>
      <c r="B721" s="499"/>
    </row>
    <row r="722">
      <c r="A722" s="226"/>
      <c r="B722" s="499"/>
    </row>
    <row r="723">
      <c r="A723" s="226"/>
      <c r="B723" s="499"/>
    </row>
    <row r="724">
      <c r="A724" s="226"/>
      <c r="B724" s="499"/>
    </row>
    <row r="725">
      <c r="A725" s="226"/>
      <c r="B725" s="499"/>
    </row>
    <row r="726">
      <c r="A726" s="226"/>
      <c r="B726" s="499"/>
    </row>
    <row r="727">
      <c r="A727" s="226"/>
      <c r="B727" s="499"/>
    </row>
    <row r="728">
      <c r="A728" s="226"/>
      <c r="B728" s="499"/>
    </row>
    <row r="729">
      <c r="A729" s="226"/>
      <c r="B729" s="499"/>
    </row>
    <row r="730">
      <c r="A730" s="226"/>
      <c r="B730" s="499"/>
    </row>
    <row r="731">
      <c r="A731" s="226"/>
      <c r="B731" s="499"/>
    </row>
    <row r="732">
      <c r="A732" s="226"/>
      <c r="B732" s="499"/>
    </row>
    <row r="733">
      <c r="A733" s="226"/>
      <c r="B733" s="499"/>
    </row>
    <row r="734">
      <c r="A734" s="226"/>
      <c r="B734" s="499"/>
    </row>
    <row r="735">
      <c r="A735" s="226"/>
      <c r="B735" s="499"/>
    </row>
    <row r="736">
      <c r="A736" s="226"/>
      <c r="B736" s="499"/>
    </row>
    <row r="737">
      <c r="A737" s="226"/>
      <c r="B737" s="499"/>
    </row>
    <row r="738">
      <c r="A738" s="226"/>
      <c r="B738" s="499"/>
    </row>
    <row r="739">
      <c r="A739" s="226"/>
      <c r="B739" s="499"/>
    </row>
    <row r="740">
      <c r="A740" s="226"/>
      <c r="B740" s="499"/>
    </row>
    <row r="741">
      <c r="A741" s="226"/>
      <c r="B741" s="499"/>
    </row>
    <row r="742">
      <c r="A742" s="226"/>
      <c r="B742" s="499"/>
    </row>
    <row r="743">
      <c r="A743" s="226"/>
      <c r="B743" s="499"/>
    </row>
    <row r="744">
      <c r="A744" s="226"/>
      <c r="B744" s="499"/>
    </row>
    <row r="745">
      <c r="A745" s="226"/>
      <c r="B745" s="499"/>
    </row>
    <row r="746">
      <c r="A746" s="226"/>
      <c r="B746" s="499"/>
    </row>
    <row r="747">
      <c r="A747" s="226"/>
      <c r="B747" s="499"/>
    </row>
    <row r="748">
      <c r="A748" s="226"/>
      <c r="B748" s="499"/>
    </row>
    <row r="749">
      <c r="A749" s="226"/>
      <c r="B749" s="499"/>
    </row>
    <row r="750">
      <c r="A750" s="226"/>
      <c r="B750" s="499"/>
    </row>
    <row r="751">
      <c r="A751" s="226"/>
      <c r="B751" s="499"/>
    </row>
    <row r="752">
      <c r="A752" s="226"/>
      <c r="B752" s="499"/>
    </row>
    <row r="753">
      <c r="A753" s="226"/>
      <c r="B753" s="499"/>
    </row>
    <row r="754">
      <c r="A754" s="226"/>
      <c r="B754" s="499"/>
    </row>
    <row r="755">
      <c r="A755" s="226"/>
      <c r="B755" s="499"/>
    </row>
    <row r="756">
      <c r="A756" s="226"/>
      <c r="B756" s="499"/>
    </row>
    <row r="757">
      <c r="A757" s="226"/>
      <c r="B757" s="499"/>
    </row>
    <row r="758">
      <c r="A758" s="226"/>
      <c r="B758" s="499"/>
    </row>
    <row r="759">
      <c r="A759" s="226"/>
      <c r="B759" s="499"/>
    </row>
    <row r="760">
      <c r="A760" s="226"/>
      <c r="B760" s="499"/>
    </row>
    <row r="761">
      <c r="A761" s="226"/>
      <c r="B761" s="499"/>
    </row>
    <row r="762">
      <c r="A762" s="226"/>
      <c r="B762" s="499"/>
    </row>
    <row r="763">
      <c r="A763" s="226"/>
      <c r="B763" s="499"/>
    </row>
    <row r="764">
      <c r="A764" s="226"/>
      <c r="B764" s="499"/>
    </row>
    <row r="765">
      <c r="A765" s="226"/>
      <c r="B765" s="499"/>
    </row>
    <row r="766">
      <c r="A766" s="226"/>
      <c r="B766" s="499"/>
    </row>
    <row r="767">
      <c r="A767" s="226"/>
      <c r="B767" s="499"/>
    </row>
    <row r="768">
      <c r="A768" s="226"/>
      <c r="B768" s="499"/>
    </row>
    <row r="769">
      <c r="A769" s="226"/>
      <c r="B769" s="499"/>
    </row>
    <row r="770">
      <c r="A770" s="226"/>
      <c r="B770" s="499"/>
    </row>
    <row r="771">
      <c r="A771" s="226"/>
      <c r="B771" s="499"/>
    </row>
    <row r="772">
      <c r="A772" s="226"/>
      <c r="B772" s="499"/>
    </row>
    <row r="773">
      <c r="A773" s="226"/>
      <c r="B773" s="499"/>
    </row>
    <row r="774">
      <c r="A774" s="226"/>
      <c r="B774" s="499"/>
    </row>
    <row r="775">
      <c r="A775" s="226"/>
      <c r="B775" s="499"/>
    </row>
    <row r="776">
      <c r="A776" s="226"/>
      <c r="B776" s="499"/>
    </row>
    <row r="777">
      <c r="A777" s="226"/>
      <c r="B777" s="499"/>
    </row>
    <row r="778">
      <c r="A778" s="226"/>
      <c r="B778" s="499"/>
    </row>
    <row r="779">
      <c r="A779" s="226"/>
      <c r="B779" s="499"/>
    </row>
    <row r="780">
      <c r="A780" s="226"/>
      <c r="B780" s="499"/>
    </row>
    <row r="781">
      <c r="A781" s="226"/>
      <c r="B781" s="499"/>
    </row>
    <row r="782">
      <c r="A782" s="226"/>
      <c r="B782" s="499"/>
    </row>
    <row r="783">
      <c r="A783" s="226"/>
      <c r="B783" s="499"/>
    </row>
    <row r="784">
      <c r="A784" s="226"/>
      <c r="B784" s="499"/>
    </row>
    <row r="785">
      <c r="A785" s="226"/>
      <c r="B785" s="499"/>
    </row>
    <row r="786">
      <c r="A786" s="226"/>
      <c r="B786" s="499"/>
    </row>
    <row r="787">
      <c r="A787" s="226"/>
      <c r="B787" s="499"/>
    </row>
    <row r="788">
      <c r="A788" s="226"/>
      <c r="B788" s="499"/>
    </row>
    <row r="789">
      <c r="A789" s="226"/>
      <c r="B789" s="499"/>
    </row>
    <row r="790">
      <c r="A790" s="226"/>
      <c r="B790" s="499"/>
    </row>
    <row r="791">
      <c r="A791" s="226"/>
      <c r="B791" s="499"/>
    </row>
    <row r="792">
      <c r="A792" s="226"/>
      <c r="B792" s="499"/>
    </row>
    <row r="793">
      <c r="A793" s="226"/>
      <c r="B793" s="499"/>
    </row>
    <row r="794">
      <c r="A794" s="226"/>
      <c r="B794" s="499"/>
    </row>
    <row r="795">
      <c r="A795" s="226"/>
      <c r="B795" s="499"/>
    </row>
    <row r="796">
      <c r="A796" s="226"/>
      <c r="B796" s="499"/>
    </row>
    <row r="797">
      <c r="A797" s="226"/>
      <c r="B797" s="499"/>
    </row>
    <row r="798">
      <c r="A798" s="226"/>
      <c r="B798" s="499"/>
    </row>
    <row r="799">
      <c r="A799" s="226"/>
      <c r="B799" s="499"/>
    </row>
    <row r="800">
      <c r="A800" s="226"/>
      <c r="B800" s="499"/>
    </row>
    <row r="801">
      <c r="A801" s="226"/>
      <c r="B801" s="499"/>
    </row>
    <row r="802">
      <c r="A802" s="226"/>
      <c r="B802" s="499"/>
    </row>
    <row r="803">
      <c r="A803" s="226"/>
      <c r="B803" s="499"/>
    </row>
    <row r="804">
      <c r="A804" s="226"/>
      <c r="B804" s="499"/>
    </row>
    <row r="805">
      <c r="A805" s="226"/>
      <c r="B805" s="499"/>
    </row>
    <row r="806">
      <c r="A806" s="226"/>
      <c r="B806" s="499"/>
    </row>
    <row r="807">
      <c r="A807" s="226"/>
      <c r="B807" s="499"/>
    </row>
    <row r="808">
      <c r="A808" s="226"/>
      <c r="B808" s="499"/>
    </row>
    <row r="809">
      <c r="A809" s="226"/>
      <c r="B809" s="499"/>
    </row>
    <row r="810">
      <c r="A810" s="226"/>
      <c r="B810" s="499"/>
    </row>
    <row r="811">
      <c r="A811" s="226"/>
      <c r="B811" s="499"/>
    </row>
    <row r="812">
      <c r="A812" s="226"/>
      <c r="B812" s="499"/>
    </row>
    <row r="813">
      <c r="A813" s="226"/>
      <c r="B813" s="499"/>
    </row>
    <row r="814">
      <c r="A814" s="226"/>
      <c r="B814" s="499"/>
    </row>
    <row r="815">
      <c r="A815" s="226"/>
      <c r="B815" s="499"/>
    </row>
    <row r="816">
      <c r="A816" s="226"/>
      <c r="B816" s="499"/>
    </row>
    <row r="817">
      <c r="A817" s="226"/>
      <c r="B817" s="499"/>
    </row>
    <row r="818">
      <c r="A818" s="226"/>
      <c r="B818" s="499"/>
    </row>
    <row r="819">
      <c r="A819" s="226"/>
      <c r="B819" s="499"/>
    </row>
    <row r="820">
      <c r="A820" s="226"/>
      <c r="B820" s="499"/>
    </row>
    <row r="821">
      <c r="A821" s="226"/>
      <c r="B821" s="499"/>
    </row>
    <row r="822">
      <c r="A822" s="226"/>
      <c r="B822" s="499"/>
    </row>
    <row r="823">
      <c r="A823" s="226"/>
      <c r="B823" s="499"/>
    </row>
    <row r="824">
      <c r="A824" s="226"/>
      <c r="B824" s="499"/>
    </row>
    <row r="825">
      <c r="A825" s="226"/>
      <c r="B825" s="499"/>
    </row>
    <row r="826">
      <c r="A826" s="226"/>
      <c r="B826" s="499"/>
    </row>
    <row r="827">
      <c r="A827" s="226"/>
      <c r="B827" s="499"/>
    </row>
    <row r="828">
      <c r="A828" s="226"/>
      <c r="B828" s="499"/>
    </row>
    <row r="829">
      <c r="A829" s="226"/>
      <c r="B829" s="499"/>
    </row>
    <row r="830">
      <c r="A830" s="226"/>
      <c r="B830" s="499"/>
    </row>
    <row r="831">
      <c r="A831" s="226"/>
      <c r="B831" s="499"/>
    </row>
    <row r="832">
      <c r="A832" s="226"/>
      <c r="B832" s="499"/>
    </row>
    <row r="833">
      <c r="A833" s="226"/>
      <c r="B833" s="499"/>
    </row>
    <row r="834">
      <c r="A834" s="226"/>
      <c r="B834" s="499"/>
    </row>
    <row r="835">
      <c r="A835" s="226"/>
      <c r="B835" s="499"/>
    </row>
    <row r="836">
      <c r="A836" s="226"/>
      <c r="B836" s="499"/>
    </row>
    <row r="837">
      <c r="A837" s="226"/>
      <c r="B837" s="499"/>
    </row>
    <row r="838">
      <c r="A838" s="226"/>
      <c r="B838" s="499"/>
    </row>
    <row r="839">
      <c r="A839" s="226"/>
      <c r="B839" s="499"/>
    </row>
    <row r="840">
      <c r="A840" s="226"/>
      <c r="B840" s="499"/>
    </row>
    <row r="841">
      <c r="A841" s="226"/>
      <c r="B841" s="499"/>
    </row>
    <row r="842">
      <c r="A842" s="226"/>
      <c r="B842" s="499"/>
    </row>
    <row r="843">
      <c r="A843" s="226"/>
      <c r="B843" s="499"/>
    </row>
    <row r="844">
      <c r="A844" s="226"/>
      <c r="B844" s="499"/>
    </row>
    <row r="845">
      <c r="A845" s="226"/>
      <c r="B845" s="499"/>
    </row>
    <row r="846">
      <c r="A846" s="226"/>
      <c r="B846" s="499"/>
    </row>
    <row r="847">
      <c r="A847" s="226"/>
      <c r="B847" s="499"/>
    </row>
    <row r="848">
      <c r="A848" s="226"/>
      <c r="B848" s="499"/>
    </row>
    <row r="849">
      <c r="A849" s="226"/>
      <c r="B849" s="499"/>
    </row>
    <row r="850">
      <c r="A850" s="226"/>
      <c r="B850" s="499"/>
    </row>
    <row r="851">
      <c r="A851" s="226"/>
      <c r="B851" s="499"/>
    </row>
    <row r="852">
      <c r="A852" s="226"/>
      <c r="B852" s="499"/>
    </row>
    <row r="853">
      <c r="A853" s="226"/>
      <c r="B853" s="499"/>
    </row>
    <row r="854">
      <c r="A854" s="226"/>
      <c r="B854" s="499"/>
    </row>
    <row r="855">
      <c r="A855" s="226"/>
      <c r="B855" s="499"/>
    </row>
    <row r="856">
      <c r="A856" s="226"/>
      <c r="B856" s="499"/>
    </row>
    <row r="857">
      <c r="A857" s="226"/>
      <c r="B857" s="499"/>
    </row>
    <row r="858">
      <c r="A858" s="226"/>
      <c r="B858" s="499"/>
    </row>
    <row r="859">
      <c r="A859" s="226"/>
      <c r="B859" s="499"/>
    </row>
    <row r="860">
      <c r="A860" s="226"/>
      <c r="B860" s="499"/>
    </row>
    <row r="861">
      <c r="A861" s="226"/>
      <c r="B861" s="499"/>
    </row>
    <row r="862">
      <c r="A862" s="226"/>
      <c r="B862" s="499"/>
    </row>
    <row r="863">
      <c r="A863" s="226"/>
      <c r="B863" s="499"/>
    </row>
    <row r="864">
      <c r="A864" s="226"/>
      <c r="B864" s="499"/>
    </row>
    <row r="865">
      <c r="A865" s="226"/>
      <c r="B865" s="499"/>
    </row>
    <row r="866">
      <c r="A866" s="226"/>
      <c r="B866" s="499"/>
    </row>
    <row r="867">
      <c r="A867" s="226"/>
      <c r="B867" s="499"/>
    </row>
    <row r="868">
      <c r="A868" s="226"/>
      <c r="B868" s="499"/>
    </row>
    <row r="869">
      <c r="A869" s="226"/>
      <c r="B869" s="499"/>
    </row>
    <row r="870">
      <c r="A870" s="226"/>
      <c r="B870" s="499"/>
    </row>
    <row r="871">
      <c r="A871" s="226"/>
      <c r="B871" s="499"/>
    </row>
    <row r="872">
      <c r="A872" s="226"/>
      <c r="B872" s="499"/>
    </row>
    <row r="873">
      <c r="A873" s="226"/>
      <c r="B873" s="499"/>
    </row>
    <row r="874">
      <c r="A874" s="226"/>
      <c r="B874" s="499"/>
    </row>
    <row r="875">
      <c r="A875" s="226"/>
      <c r="B875" s="499"/>
    </row>
    <row r="876">
      <c r="A876" s="226"/>
      <c r="B876" s="499"/>
    </row>
    <row r="877">
      <c r="A877" s="226"/>
      <c r="B877" s="499"/>
    </row>
    <row r="878">
      <c r="A878" s="226"/>
      <c r="B878" s="499"/>
    </row>
    <row r="879">
      <c r="A879" s="226"/>
      <c r="B879" s="499"/>
    </row>
    <row r="880">
      <c r="A880" s="226"/>
      <c r="B880" s="499"/>
    </row>
    <row r="881">
      <c r="A881" s="226"/>
      <c r="B881" s="499"/>
    </row>
    <row r="882">
      <c r="A882" s="226"/>
      <c r="B882" s="499"/>
    </row>
    <row r="883">
      <c r="A883" s="226"/>
      <c r="B883" s="499"/>
    </row>
    <row r="884">
      <c r="A884" s="226"/>
      <c r="B884" s="499"/>
    </row>
    <row r="885">
      <c r="A885" s="226"/>
      <c r="B885" s="499"/>
    </row>
    <row r="886">
      <c r="A886" s="226"/>
      <c r="B886" s="499"/>
    </row>
    <row r="887">
      <c r="A887" s="226"/>
      <c r="B887" s="499"/>
    </row>
    <row r="888">
      <c r="A888" s="226"/>
      <c r="B888" s="499"/>
    </row>
    <row r="889">
      <c r="A889" s="226"/>
      <c r="B889" s="499"/>
    </row>
    <row r="890">
      <c r="A890" s="226"/>
      <c r="B890" s="499"/>
    </row>
    <row r="891">
      <c r="A891" s="226"/>
      <c r="B891" s="499"/>
    </row>
    <row r="892">
      <c r="A892" s="226"/>
      <c r="B892" s="499"/>
    </row>
    <row r="893">
      <c r="A893" s="226"/>
      <c r="B893" s="499"/>
    </row>
    <row r="894">
      <c r="A894" s="226"/>
      <c r="B894" s="499"/>
    </row>
    <row r="895">
      <c r="A895" s="226"/>
      <c r="B895" s="499"/>
    </row>
    <row r="896">
      <c r="A896" s="226"/>
      <c r="B896" s="499"/>
    </row>
    <row r="897">
      <c r="A897" s="226"/>
      <c r="B897" s="499"/>
    </row>
    <row r="898">
      <c r="A898" s="226"/>
      <c r="B898" s="499"/>
    </row>
    <row r="899">
      <c r="A899" s="226"/>
      <c r="B899" s="499"/>
    </row>
    <row r="900">
      <c r="A900" s="226"/>
      <c r="B900" s="499"/>
    </row>
    <row r="901">
      <c r="A901" s="226"/>
      <c r="B901" s="499"/>
    </row>
    <row r="902">
      <c r="A902" s="226"/>
      <c r="B902" s="499"/>
    </row>
    <row r="903">
      <c r="A903" s="226"/>
      <c r="B903" s="499"/>
    </row>
    <row r="904">
      <c r="A904" s="226"/>
      <c r="B904" s="499"/>
    </row>
    <row r="905">
      <c r="A905" s="226"/>
      <c r="B905" s="499"/>
    </row>
    <row r="906">
      <c r="A906" s="226"/>
      <c r="B906" s="499"/>
    </row>
    <row r="907">
      <c r="A907" s="226"/>
      <c r="B907" s="499"/>
    </row>
    <row r="908">
      <c r="A908" s="226"/>
      <c r="B908" s="499"/>
    </row>
    <row r="909">
      <c r="A909" s="226"/>
      <c r="B909" s="499"/>
    </row>
    <row r="910">
      <c r="A910" s="226"/>
      <c r="B910" s="499"/>
    </row>
    <row r="911">
      <c r="A911" s="226"/>
      <c r="B911" s="499"/>
    </row>
    <row r="912">
      <c r="A912" s="226"/>
      <c r="B912" s="499"/>
    </row>
    <row r="913">
      <c r="A913" s="226"/>
      <c r="B913" s="499"/>
    </row>
    <row r="914">
      <c r="A914" s="226"/>
      <c r="B914" s="499"/>
    </row>
    <row r="915">
      <c r="A915" s="226"/>
      <c r="B915" s="499"/>
    </row>
    <row r="916">
      <c r="A916" s="226"/>
      <c r="B916" s="499"/>
    </row>
    <row r="917">
      <c r="A917" s="226"/>
      <c r="B917" s="499"/>
    </row>
    <row r="918">
      <c r="A918" s="226"/>
      <c r="B918" s="499"/>
    </row>
    <row r="919">
      <c r="A919" s="226"/>
      <c r="B919" s="499"/>
    </row>
    <row r="920">
      <c r="A920" s="226"/>
      <c r="B920" s="499"/>
    </row>
    <row r="921">
      <c r="A921" s="226"/>
      <c r="B921" s="499"/>
    </row>
    <row r="922">
      <c r="A922" s="226"/>
      <c r="B922" s="499"/>
    </row>
    <row r="923">
      <c r="A923" s="226"/>
      <c r="B923" s="499"/>
    </row>
    <row r="924">
      <c r="A924" s="226"/>
      <c r="B924" s="499"/>
    </row>
    <row r="925">
      <c r="A925" s="226"/>
      <c r="B925" s="499"/>
    </row>
    <row r="926">
      <c r="A926" s="226"/>
      <c r="B926" s="499"/>
    </row>
    <row r="927">
      <c r="A927" s="226"/>
      <c r="B927" s="499"/>
    </row>
    <row r="928">
      <c r="A928" s="226"/>
      <c r="B928" s="499"/>
    </row>
    <row r="929">
      <c r="A929" s="226"/>
      <c r="B929" s="499"/>
    </row>
    <row r="930">
      <c r="A930" s="226"/>
      <c r="B930" s="499"/>
    </row>
    <row r="931">
      <c r="A931" s="226"/>
      <c r="B931" s="499"/>
    </row>
    <row r="932">
      <c r="A932" s="226"/>
      <c r="B932" s="499"/>
    </row>
    <row r="933">
      <c r="A933" s="226"/>
      <c r="B933" s="499"/>
    </row>
    <row r="934">
      <c r="A934" s="226"/>
      <c r="B934" s="499"/>
    </row>
    <row r="935">
      <c r="A935" s="226"/>
      <c r="B935" s="499"/>
    </row>
    <row r="936">
      <c r="A936" s="226"/>
      <c r="B936" s="499"/>
    </row>
    <row r="937">
      <c r="A937" s="226"/>
      <c r="B937" s="499"/>
    </row>
    <row r="938">
      <c r="A938" s="226"/>
      <c r="B938" s="499"/>
    </row>
    <row r="939">
      <c r="A939" s="226"/>
      <c r="B939" s="499"/>
    </row>
    <row r="940">
      <c r="A940" s="226"/>
      <c r="B940" s="499"/>
    </row>
    <row r="941">
      <c r="A941" s="226"/>
      <c r="B941" s="499"/>
    </row>
    <row r="942">
      <c r="A942" s="226"/>
      <c r="B942" s="499"/>
    </row>
    <row r="943">
      <c r="A943" s="226"/>
      <c r="B943" s="499"/>
    </row>
    <row r="944">
      <c r="A944" s="226"/>
      <c r="B944" s="499"/>
    </row>
    <row r="945">
      <c r="A945" s="226"/>
      <c r="B945" s="499"/>
    </row>
    <row r="946">
      <c r="A946" s="226"/>
      <c r="B946" s="499"/>
    </row>
    <row r="947">
      <c r="A947" s="226"/>
      <c r="B947" s="499"/>
    </row>
    <row r="948">
      <c r="A948" s="226"/>
      <c r="B948" s="499"/>
    </row>
    <row r="949">
      <c r="A949" s="226"/>
      <c r="B949" s="499"/>
    </row>
    <row r="950">
      <c r="A950" s="226"/>
      <c r="B950" s="499"/>
    </row>
    <row r="951">
      <c r="A951" s="226"/>
      <c r="B951" s="499"/>
    </row>
    <row r="952">
      <c r="A952" s="226"/>
      <c r="B952" s="499"/>
    </row>
    <row r="953">
      <c r="A953" s="226"/>
      <c r="B953" s="499"/>
    </row>
    <row r="954">
      <c r="A954" s="226"/>
      <c r="B954" s="499"/>
    </row>
    <row r="955">
      <c r="A955" s="226"/>
      <c r="B955" s="499"/>
    </row>
    <row r="956">
      <c r="A956" s="226"/>
      <c r="B956" s="499"/>
    </row>
    <row r="957">
      <c r="A957" s="226"/>
      <c r="B957" s="499"/>
    </row>
    <row r="958">
      <c r="A958" s="226"/>
      <c r="B958" s="499"/>
    </row>
    <row r="959">
      <c r="A959" s="226"/>
      <c r="B959" s="499"/>
    </row>
    <row r="960">
      <c r="A960" s="226"/>
      <c r="B960" s="499"/>
    </row>
    <row r="961">
      <c r="A961" s="226"/>
      <c r="B961" s="499"/>
    </row>
    <row r="962">
      <c r="A962" s="226"/>
      <c r="B962" s="499"/>
    </row>
    <row r="963">
      <c r="A963" s="226"/>
      <c r="B963" s="499"/>
    </row>
    <row r="964">
      <c r="A964" s="226"/>
      <c r="B964" s="499"/>
    </row>
    <row r="965">
      <c r="A965" s="226"/>
      <c r="B965" s="499"/>
    </row>
    <row r="966">
      <c r="A966" s="226"/>
      <c r="B966" s="499"/>
    </row>
    <row r="967">
      <c r="A967" s="226"/>
      <c r="B967" s="499"/>
    </row>
    <row r="968">
      <c r="A968" s="226"/>
      <c r="B968" s="499"/>
    </row>
    <row r="969">
      <c r="A969" s="226"/>
      <c r="B969" s="499"/>
    </row>
    <row r="970">
      <c r="A970" s="226"/>
      <c r="B970" s="499"/>
    </row>
    <row r="971">
      <c r="A971" s="226"/>
      <c r="B971" s="499"/>
    </row>
    <row r="972">
      <c r="A972" s="226"/>
      <c r="B972" s="499"/>
    </row>
    <row r="973">
      <c r="A973" s="226"/>
      <c r="B973" s="499"/>
    </row>
    <row r="974">
      <c r="A974" s="226"/>
      <c r="B974" s="499"/>
    </row>
    <row r="975">
      <c r="A975" s="226"/>
      <c r="B975" s="499"/>
    </row>
    <row r="976">
      <c r="A976" s="226"/>
      <c r="B976" s="499"/>
    </row>
    <row r="977">
      <c r="A977" s="226"/>
      <c r="B977" s="499"/>
    </row>
    <row r="978">
      <c r="A978" s="226"/>
      <c r="B978" s="499"/>
    </row>
    <row r="979">
      <c r="A979" s="226"/>
      <c r="B979" s="499"/>
    </row>
    <row r="980">
      <c r="A980" s="226"/>
      <c r="B980" s="499"/>
    </row>
    <row r="981">
      <c r="A981" s="226"/>
      <c r="B981" s="499"/>
    </row>
    <row r="982">
      <c r="A982" s="226"/>
      <c r="B982" s="499"/>
    </row>
    <row r="983">
      <c r="A983" s="226"/>
      <c r="B983" s="499"/>
    </row>
    <row r="984">
      <c r="A984" s="226"/>
      <c r="B984" s="499"/>
    </row>
    <row r="985">
      <c r="A985" s="226"/>
      <c r="B985" s="499"/>
    </row>
    <row r="986">
      <c r="A986" s="226"/>
      <c r="B986" s="499"/>
    </row>
    <row r="987">
      <c r="A987" s="226"/>
      <c r="B987" s="499"/>
    </row>
    <row r="988">
      <c r="A988" s="226"/>
      <c r="B988" s="499"/>
    </row>
    <row r="989">
      <c r="A989" s="226"/>
      <c r="B989" s="499"/>
    </row>
    <row r="990">
      <c r="A990" s="226"/>
      <c r="B990" s="499"/>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75"/>
  <cols>
    <col customWidth="1" min="5" max="9" width="8.71"/>
    <col customWidth="1" min="10" max="10" width="14.43"/>
    <col customWidth="1" min="11" max="11" width="9.14"/>
    <col customWidth="1" min="12" max="15" width="8.71"/>
    <col customWidth="1" min="16" max="16" width="14.29"/>
    <col customWidth="1" min="17" max="17" width="9.14"/>
  </cols>
  <sheetData>
    <row r="1">
      <c r="A1" s="198" t="str">
        <f>IFERROR(__xludf.DUMMYFUNCTION("IMPORTRANGE(""https://docs.google.com/spreadsheets/d/1nWAfPSrBub0Dk95_hUPK_AHXC2zJl8VJ22upIdGhiyQ/edit#gid=806027610"",""WAYPOINTS!A:A"")"),"WPT NAME")</f>
        <v>WPT NAME</v>
      </c>
      <c r="B1" s="198" t="str">
        <f>IFERROR(__xludf.DUMMYFUNCTION("IMPORTRANGE(""https://docs.google.com/spreadsheets/d/1nWAfPSrBub0Dk95_hUPK_AHXC2zJl8VJ22upIdGhiyQ/edit#gid=806027610"",""WAYPOINTS!B:B"")"),"LATITUDE")</f>
        <v>LATITUDE</v>
      </c>
      <c r="C1" s="198" t="str">
        <f>IFERROR(__xludf.DUMMYFUNCTION("IMPORTRANGE(""https://docs.google.com/spreadsheets/d/1nWAfPSrBub0Dk95_hUPK_AHXC2zJl8VJ22upIdGhiyQ/edit#gid=806027610"",""WAYPOINTS!C:C"")"),"LONGITUDE")</f>
        <v>LONGITUDE</v>
      </c>
      <c r="E1" s="500" t="s">
        <v>342</v>
      </c>
      <c r="F1" s="500" t="s">
        <v>343</v>
      </c>
      <c r="G1" s="500" t="s">
        <v>344</v>
      </c>
      <c r="H1" s="500" t="s">
        <v>345</v>
      </c>
      <c r="I1" s="500" t="s">
        <v>346</v>
      </c>
      <c r="J1" s="500" t="s">
        <v>347</v>
      </c>
      <c r="K1" s="500" t="s">
        <v>348</v>
      </c>
      <c r="L1" s="500" t="s">
        <v>349</v>
      </c>
      <c r="M1" s="500" t="s">
        <v>350</v>
      </c>
      <c r="N1" s="500" t="s">
        <v>351</v>
      </c>
      <c r="O1" s="500" t="s">
        <v>352</v>
      </c>
      <c r="P1" s="500" t="s">
        <v>353</v>
      </c>
      <c r="Q1" s="500" t="s">
        <v>354</v>
      </c>
    </row>
    <row r="2">
      <c r="A2" s="226" t="str">
        <f>IFERROR(__xludf.DUMMYFUNCTION("""COMPUTED_VALUE"""),"LFXU")</f>
        <v>LFXU</v>
      </c>
      <c r="B2" s="226">
        <f>IFERROR(__xludf.DUMMYFUNCTION("""COMPUTED_VALUE"""),48.99861)</f>
        <v>48.99861</v>
      </c>
      <c r="C2" s="226">
        <f>IFERROR(__xludf.DUMMYFUNCTION("""COMPUTED_VALUE"""),1.941667)</f>
        <v>1.941667</v>
      </c>
      <c r="E2" s="501" t="s">
        <v>15</v>
      </c>
      <c r="F2" s="501">
        <v>48.0</v>
      </c>
      <c r="G2" s="501">
        <v>59.0</v>
      </c>
      <c r="H2" s="501">
        <v>54.996</v>
      </c>
      <c r="I2" s="502" t="s">
        <v>355</v>
      </c>
      <c r="J2" s="503" t="str">
        <f>F2&amp;"°"&amp;G2&amp;"'"&amp;H2&amp;""""&amp;I2</f>
        <v>48°59'54,996"N</v>
      </c>
      <c r="K2" s="504">
        <f>DMS2DD2(J2)</f>
        <v>48.99861</v>
      </c>
      <c r="L2" s="501">
        <v>1.0</v>
      </c>
      <c r="M2" s="501">
        <v>56.0</v>
      </c>
      <c r="N2" s="501">
        <v>30.0012</v>
      </c>
      <c r="O2" s="502" t="s">
        <v>356</v>
      </c>
      <c r="P2" s="503" t="str">
        <f>L2&amp;"°"&amp;M2&amp;"'"&amp;N2&amp;""""&amp;O2</f>
        <v>1°56'30,0012"E</v>
      </c>
      <c r="Q2" s="504">
        <f>DMS2DD2(P2)</f>
        <v>1.941667</v>
      </c>
    </row>
    <row r="3">
      <c r="A3" s="226" t="str">
        <f>IFERROR(__xludf.DUMMYFUNCTION("""COMPUTED_VALUE"""),"PTSW")</f>
        <v>PTSW</v>
      </c>
      <c r="B3" s="226">
        <f>IFERROR(__xludf.DUMMYFUNCTION("""COMPUTED_VALUE"""),48.97055)</f>
        <v>48.97055</v>
      </c>
      <c r="C3" s="226">
        <f>IFERROR(__xludf.DUMMYFUNCTION("""COMPUTED_VALUE"""),1.796111)</f>
        <v>1.796111</v>
      </c>
    </row>
    <row r="4">
      <c r="A4" s="226" t="str">
        <f>IFERROR(__xludf.DUMMYFUNCTION("""COMPUTED_VALUE"""),"MEZER")</f>
        <v>MEZER</v>
      </c>
      <c r="B4" s="226">
        <f>IFERROR(__xludf.DUMMYFUNCTION("""COMPUTED_VALUE"""),48.93333)</f>
        <v>48.93333</v>
      </c>
      <c r="C4" s="226">
        <f>IFERROR(__xludf.DUMMYFUNCTION("""COMPUTED_VALUE"""),1.743056)</f>
        <v>1.743056</v>
      </c>
    </row>
    <row r="5">
      <c r="A5" s="226" t="str">
        <f>IFERROR(__xludf.DUMMYFUNCTION("""COMPUTED_VALUE"""),"EPR")</f>
        <v>EPR</v>
      </c>
      <c r="B5" s="226">
        <f>IFERROR(__xludf.DUMMYFUNCTION("""COMPUTED_VALUE"""),48.62569)</f>
        <v>48.62569</v>
      </c>
      <c r="C5" s="226">
        <f>IFERROR(__xludf.DUMMYFUNCTION("""COMPUTED_VALUE"""),1.656569)</f>
        <v>1.656569</v>
      </c>
    </row>
    <row r="6">
      <c r="A6" s="226" t="str">
        <f>IFERROR(__xludf.DUMMYFUNCTION("""COMPUTED_VALUE"""),"LFOR")</f>
        <v>LFOR</v>
      </c>
      <c r="B6" s="226">
        <f>IFERROR(__xludf.DUMMYFUNCTION("""COMPUTED_VALUE"""),48.45889)</f>
        <v>48.45889</v>
      </c>
      <c r="C6" s="226">
        <f>IFERROR(__xludf.DUMMYFUNCTION("""COMPUTED_VALUE"""),1.523889)</f>
        <v>1.523889</v>
      </c>
    </row>
    <row r="7">
      <c r="A7" s="226" t="str">
        <f>IFERROR(__xludf.DUMMYFUNCTION("""COMPUTED_VALUE"""),"LFON")</f>
        <v>LFON</v>
      </c>
      <c r="B7" s="226">
        <f>IFERROR(__xludf.DUMMYFUNCTION("""COMPUTED_VALUE"""),48.70583)</f>
        <v>48.70583</v>
      </c>
      <c r="C7" s="226">
        <f>IFERROR(__xludf.DUMMYFUNCTION("""COMPUTED_VALUE"""),1.361389)</f>
        <v>1.361389</v>
      </c>
    </row>
    <row r="8">
      <c r="A8" s="226" t="str">
        <f>IFERROR(__xludf.DUMMYFUNCTION("""COMPUTED_VALUE"""),"LFPX")</f>
        <v>LFPX</v>
      </c>
      <c r="B8" s="226">
        <f>IFERROR(__xludf.DUMMYFUNCTION("""COMPUTED_VALUE"""),48.84222)</f>
        <v>48.84222</v>
      </c>
      <c r="C8" s="226">
        <f>IFERROR(__xludf.DUMMYFUNCTION("""COMPUTED_VALUE"""),1.980278)</f>
        <v>1.980278</v>
      </c>
    </row>
    <row r="9">
      <c r="A9" s="226" t="str">
        <f>IFERROR(__xludf.DUMMYFUNCTION("""COMPUTED_VALUE"""),"LFOX")</f>
        <v>LFOX</v>
      </c>
      <c r="B9" s="226">
        <f>IFERROR(__xludf.DUMMYFUNCTION("""COMPUTED_VALUE"""),48.38111)</f>
        <v>48.38111</v>
      </c>
      <c r="C9" s="226">
        <f>IFERROR(__xludf.DUMMYFUNCTION("""COMPUTED_VALUE"""),2.073889)</f>
        <v>2.073889</v>
      </c>
    </row>
    <row r="10">
      <c r="A10" s="226" t="str">
        <f>IFERROR(__xludf.DUMMYFUNCTION("""COMPUTED_VALUE"""),"MEZY")</f>
        <v>MEZY</v>
      </c>
      <c r="B10" s="226">
        <f>IFERROR(__xludf.DUMMYFUNCTION("""COMPUTED_VALUE"""),48.992383)</f>
        <v>48.992383</v>
      </c>
      <c r="C10" s="226">
        <f>IFERROR(__xludf.DUMMYFUNCTION("""COMPUTED_VALUE"""),1.869174)</f>
        <v>1.869174</v>
      </c>
    </row>
    <row r="11">
      <c r="A11" s="226" t="str">
        <f>IFERROR(__xludf.DUMMYFUNCTION("""COMPUTED_VALUE"""),"TDFAI")</f>
        <v>TDFAI</v>
      </c>
      <c r="B11" s="226">
        <f>IFERROR(__xludf.DUMMYFUNCTION("""COMPUTED_VALUE"""),49.089676)</f>
        <v>49.089676</v>
      </c>
      <c r="C11" s="226">
        <f>IFERROR(__xludf.DUMMYFUNCTION("""COMPUTED_VALUE"""),1.762016)</f>
        <v>1.762016</v>
      </c>
    </row>
    <row r="12">
      <c r="A12" s="226" t="str">
        <f>IFERROR(__xludf.DUMMYFUNCTION("""COMPUTED_VALUE"""),"CLAIR")</f>
        <v>CLAIR</v>
      </c>
      <c r="B12" s="226">
        <f>IFERROR(__xludf.DUMMYFUNCTION("""COMPUTED_VALUE"""),49.216048)</f>
        <v>49.216048</v>
      </c>
      <c r="C12" s="226">
        <f>IFERROR(__xludf.DUMMYFUNCTION("""COMPUTED_VALUE"""),1.644408)</f>
        <v>1.644408</v>
      </c>
    </row>
    <row r="13">
      <c r="A13" s="226" t="str">
        <f>IFERROR(__xludf.DUMMYFUNCTION("""COMPUTED_VALUE"""),"LFFY")</f>
        <v>LFFY</v>
      </c>
      <c r="B13" s="226">
        <f>IFERROR(__xludf.DUMMYFUNCTION("""COMPUTED_VALUE"""),49.305278)</f>
        <v>49.305278</v>
      </c>
      <c r="C13" s="226">
        <f>IFERROR(__xludf.DUMMYFUNCTION("""COMPUTED_VALUE"""),1.637778)</f>
        <v>1.637778</v>
      </c>
    </row>
    <row r="14">
      <c r="A14" s="226" t="str">
        <f>IFERROR(__xludf.DUMMYFUNCTION("""COMPUTED_VALUE"""),"TRIEV")</f>
        <v>TRIEV</v>
      </c>
      <c r="B14" s="226">
        <f>IFERROR(__xludf.DUMMYFUNCTION("""COMPUTED_VALUE"""),49.298666)</f>
        <v>49.298666</v>
      </c>
      <c r="C14" s="226">
        <f>IFERROR(__xludf.DUMMYFUNCTION("""COMPUTED_VALUE"""),1.844722)</f>
        <v>1.844722</v>
      </c>
    </row>
    <row r="15">
      <c r="A15" s="226" t="str">
        <f>IFERROR(__xludf.DUMMYFUNCTION("""COMPUTED_VALUE"""),"PTNW")</f>
        <v>PTNW</v>
      </c>
      <c r="B15" s="226">
        <f>IFERROR(__xludf.DUMMYFUNCTION("""COMPUTED_VALUE"""),49.1475)</f>
        <v>49.1475</v>
      </c>
      <c r="C15" s="226">
        <f>IFERROR(__xludf.DUMMYFUNCTION("""COMPUTED_VALUE"""),1.89917)</f>
        <v>1.89917</v>
      </c>
    </row>
    <row r="16">
      <c r="A16" s="226" t="str">
        <f>IFERROR(__xludf.DUMMYFUNCTION("""COMPUTED_VALUE"""),"LFPT")</f>
        <v>LFPT</v>
      </c>
      <c r="B16" s="226">
        <f>IFERROR(__xludf.DUMMYFUNCTION("""COMPUTED_VALUE"""),49.096628)</f>
        <v>49.096628</v>
      </c>
      <c r="C16" s="226">
        <f>IFERROR(__xludf.DUMMYFUNCTION("""COMPUTED_VALUE"""),2.040722)</f>
        <v>2.040722</v>
      </c>
    </row>
    <row r="17">
      <c r="A17" s="226" t="str">
        <f>IFERROR(__xludf.DUMMYFUNCTION("""COMPUTED_VALUE"""),"MOR1V")</f>
        <v>MOR1V</v>
      </c>
      <c r="B17" s="226">
        <f>IFERROR(__xludf.DUMMYFUNCTION("""COMPUTED_VALUE"""),48.941239)</f>
        <v>48.941239</v>
      </c>
      <c r="C17" s="226">
        <f>IFERROR(__xludf.DUMMYFUNCTION("""COMPUTED_VALUE"""),1.953162)</f>
        <v>1.953162</v>
      </c>
    </row>
    <row r="18">
      <c r="A18" s="226" t="str">
        <f>IFERROR(__xludf.DUMMYFUNCTION("""COMPUTED_VALUE"""),"ARVIV")</f>
        <v>ARVIV</v>
      </c>
      <c r="B18" s="226">
        <f>IFERROR(__xludf.DUMMYFUNCTION("""COMPUTED_VALUE"""),48.92695)</f>
        <v>48.92695</v>
      </c>
      <c r="C18" s="226">
        <f>IFERROR(__xludf.DUMMYFUNCTION("""COMPUTED_VALUE"""),1.992397)</f>
        <v>1.992397</v>
      </c>
    </row>
    <row r="19">
      <c r="A19" s="226" t="str">
        <f>IFERROR(__xludf.DUMMYFUNCTION("""COMPUTED_VALUE"""),"PXN")</f>
        <v>PXN</v>
      </c>
      <c r="B19" s="226">
        <f>IFERROR(__xludf.DUMMYFUNCTION("""COMPUTED_VALUE"""),48.870748)</f>
        <v>48.870748</v>
      </c>
      <c r="C19" s="226">
        <f>IFERROR(__xludf.DUMMYFUNCTION("""COMPUTED_VALUE"""),1.992513)</f>
        <v>1.992513</v>
      </c>
    </row>
    <row r="20">
      <c r="A20" s="226" t="str">
        <f>IFERROR(__xludf.DUMMYFUNCTION("""COMPUTED_VALUE"""),"PXSW")</f>
        <v>PXSW</v>
      </c>
      <c r="B20" s="226">
        <f>IFERROR(__xludf.DUMMYFUNCTION("""COMPUTED_VALUE"""),48.834312)</f>
        <v>48.834312</v>
      </c>
      <c r="C20" s="226">
        <f>IFERROR(__xludf.DUMMYFUNCTION("""COMPUTED_VALUE"""),1.930541)</f>
        <v>1.930541</v>
      </c>
    </row>
    <row r="21">
      <c r="A21" s="226" t="str">
        <f>IFERROR(__xludf.DUMMYFUNCTION("""COMPUTED_VALUE"""),"NOFL")</f>
        <v>NOFL</v>
      </c>
      <c r="B21" s="226">
        <f>IFERROR(__xludf.DUMMYFUNCTION("""COMPUTED_VALUE"""),48.822909)</f>
        <v>48.822909</v>
      </c>
      <c r="C21" s="226">
        <f>IFERROR(__xludf.DUMMYFUNCTION("""COMPUTED_VALUE"""),1.859104)</f>
        <v>1.859104</v>
      </c>
    </row>
    <row r="22">
      <c r="A22" s="226" t="str">
        <f>IFERROR(__xludf.DUMMYFUNCTION("""COMPUTED_VALUE"""),"HOL")</f>
        <v>HOL</v>
      </c>
      <c r="B22" s="226">
        <f>IFERROR(__xludf.DUMMYFUNCTION("""COMPUTED_VALUE"""),48.730583)</f>
        <v>48.730583</v>
      </c>
      <c r="C22" s="226">
        <f>IFERROR(__xludf.DUMMYFUNCTION("""COMPUTED_VALUE"""),1.8205)</f>
        <v>1.8205</v>
      </c>
    </row>
    <row r="23">
      <c r="A23" s="226" t="str">
        <f>IFERROR(__xludf.DUMMYFUNCTION("""COMPUTED_VALUE"""),"SEPTE")</f>
        <v>SEPTE</v>
      </c>
      <c r="B23" s="226">
        <f>IFERROR(__xludf.DUMMYFUNCTION("""COMPUTED_VALUE"""),48.922736)</f>
        <v>48.922736</v>
      </c>
      <c r="C23" s="226">
        <f>IFERROR(__xludf.DUMMYFUNCTION("""COMPUTED_VALUE"""),1.676891)</f>
        <v>1.676891</v>
      </c>
    </row>
    <row r="24">
      <c r="A24" s="226" t="str">
        <f>IFERROR(__xludf.DUMMYFUNCTION("""COMPUTED_VALUE"""),"XUSW")</f>
        <v>XUSW</v>
      </c>
      <c r="B24" s="226">
        <f>IFERROR(__xludf.DUMMYFUNCTION("""COMPUTED_VALUE"""),48.961992)</f>
        <v>48.961992</v>
      </c>
      <c r="C24" s="226">
        <f>IFERROR(__xludf.DUMMYFUNCTION("""COMPUTED_VALUE"""),1.9188)</f>
        <v>1.9188</v>
      </c>
    </row>
    <row r="25">
      <c r="A25" s="226" t="str">
        <f>IFERROR(__xludf.DUMMYFUNCTION("""COMPUTED_VALUE"""),"N12HE")</f>
        <v>N12HE</v>
      </c>
      <c r="B25" s="226">
        <f>IFERROR(__xludf.DUMMYFUNCTION("""COMPUTED_VALUE"""),48.79863)</f>
        <v>48.79863</v>
      </c>
      <c r="C25" s="226">
        <f>IFERROR(__xludf.DUMMYFUNCTION("""COMPUTED_VALUE"""),1.705125)</f>
        <v>1.705125</v>
      </c>
    </row>
    <row r="26">
      <c r="A26" s="226" t="str">
        <f>IFERROR(__xludf.DUMMYFUNCTION("""COMPUTED_VALUE"""),"CHAUM")</f>
        <v>CHAUM</v>
      </c>
      <c r="B26" s="226">
        <f>IFERROR(__xludf.DUMMYFUNCTION("""COMPUTED_VALUE"""),49.287717)</f>
        <v>49.287717</v>
      </c>
      <c r="C26" s="226">
        <f>IFERROR(__xludf.DUMMYFUNCTION("""COMPUTED_VALUE"""),1.930439)</f>
        <v>1.930439</v>
      </c>
    </row>
    <row r="27">
      <c r="A27" s="226" t="str">
        <f>IFERROR(__xludf.DUMMYFUNCTION("""COMPUTED_VALUE"""),"NEUCH")</f>
        <v>NEUCH</v>
      </c>
      <c r="B27" s="226">
        <f>IFERROR(__xludf.DUMMYFUNCTION("""COMPUTED_VALUE"""),49.70355)</f>
        <v>49.70355</v>
      </c>
      <c r="C27" s="226">
        <f>IFERROR(__xludf.DUMMYFUNCTION("""COMPUTED_VALUE"""),1.432241)</f>
        <v>1.432241</v>
      </c>
    </row>
    <row r="28">
      <c r="A28" s="226" t="str">
        <f>IFERROR(__xludf.DUMMYFUNCTION("""COMPUTED_VALUE"""),"LFOB")</f>
        <v>LFOB</v>
      </c>
      <c r="B28" s="226">
        <f>IFERROR(__xludf.DUMMYFUNCTION("""COMPUTED_VALUE"""),49.454422)</f>
        <v>49.454422</v>
      </c>
      <c r="C28" s="226">
        <f>IFERROR(__xludf.DUMMYFUNCTION("""COMPUTED_VALUE"""),2.112814)</f>
        <v>2.112814</v>
      </c>
    </row>
    <row r="29">
      <c r="A29" s="226" t="str">
        <f>IFERROR(__xludf.DUMMYFUNCTION("""COMPUTED_VALUE"""),"LFOI")</f>
        <v>LFOI</v>
      </c>
      <c r="B29" s="226">
        <f>IFERROR(__xludf.DUMMYFUNCTION("""COMPUTED_VALUE"""),50.142222)</f>
        <v>50.142222</v>
      </c>
      <c r="C29" s="226">
        <f>IFERROR(__xludf.DUMMYFUNCTION("""COMPUTED_VALUE"""),1.831111)</f>
        <v>1.831111</v>
      </c>
    </row>
    <row r="30">
      <c r="A30" s="226" t="str">
        <f>IFERROR(__xludf.DUMMYFUNCTION("""COMPUTED_VALUE"""),"LFAE")</f>
        <v>LFAE</v>
      </c>
      <c r="B30" s="226">
        <f>IFERROR(__xludf.DUMMYFUNCTION("""COMPUTED_VALUE"""),50.069167)</f>
        <v>50.069167</v>
      </c>
      <c r="C30" s="226">
        <f>IFERROR(__xludf.DUMMYFUNCTION("""COMPUTED_VALUE"""),1.426667)</f>
        <v>1.426667</v>
      </c>
    </row>
    <row r="31">
      <c r="A31" s="226" t="str">
        <f>IFERROR(__xludf.DUMMYFUNCTION("""COMPUTED_VALUE"""),"LFAB")</f>
        <v>LFAB</v>
      </c>
      <c r="B31" s="226">
        <f>IFERROR(__xludf.DUMMYFUNCTION("""COMPUTED_VALUE"""),49.882633)</f>
        <v>49.882633</v>
      </c>
      <c r="C31" s="226">
        <f>IFERROR(__xludf.DUMMYFUNCTION("""COMPUTED_VALUE"""),1.085331)</f>
        <v>1.085331</v>
      </c>
    </row>
    <row r="32">
      <c r="A32" s="226" t="str">
        <f>IFERROR(__xludf.DUMMYFUNCTION("""COMPUTED_VALUE"""),"LFOP")</f>
        <v>LFOP</v>
      </c>
      <c r="B32" s="226">
        <f>IFERROR(__xludf.DUMMYFUNCTION("""COMPUTED_VALUE"""),49.390953)</f>
        <v>49.390953</v>
      </c>
      <c r="C32" s="226">
        <f>IFERROR(__xludf.DUMMYFUNCTION("""COMPUTED_VALUE"""),1.183936)</f>
        <v>1.183936</v>
      </c>
    </row>
    <row r="33">
      <c r="A33" s="226" t="str">
        <f>IFERROR(__xludf.DUMMYFUNCTION("""COMPUTED_VALUE"""),"ENVER")</f>
        <v>ENVER</v>
      </c>
      <c r="B33" s="226">
        <f>IFERROR(__xludf.DUMMYFUNCTION("""COMPUTED_VALUE"""),49.89667)</f>
        <v>49.89667</v>
      </c>
      <c r="C33" s="226">
        <f>IFERROR(__xludf.DUMMYFUNCTION("""COMPUTED_VALUE"""),1.241448)</f>
        <v>1.241448</v>
      </c>
    </row>
    <row r="34">
      <c r="A34" s="226" t="str">
        <f>IFERROR(__xludf.DUMMYFUNCTION("""COMPUTED_VALUE"""),"OPN")</f>
        <v>OPN</v>
      </c>
      <c r="B34" s="226">
        <f>IFERROR(__xludf.DUMMYFUNCTION("""COMPUTED_VALUE"""),49.4897)</f>
        <v>49.4897</v>
      </c>
      <c r="C34" s="226">
        <f>IFERROR(__xludf.DUMMYFUNCTION("""COMPUTED_VALUE"""),1.145)</f>
        <v>1.145</v>
      </c>
    </row>
    <row r="35">
      <c r="A35" s="226" t="str">
        <f>IFERROR(__xludf.DUMMYFUNCTION("""COMPUTED_VALUE"""),"OPSB")</f>
        <v>OPSB</v>
      </c>
      <c r="B35" s="226">
        <f>IFERROR(__xludf.DUMMYFUNCTION("""COMPUTED_VALUE"""),49.2681)</f>
        <v>49.2681</v>
      </c>
      <c r="C35" s="226">
        <f>IFERROR(__xludf.DUMMYFUNCTION("""COMPUTED_VALUE"""),1.13722)</f>
        <v>1.13722</v>
      </c>
    </row>
    <row r="36">
      <c r="A36" s="226" t="str">
        <f>IFERROR(__xludf.DUMMYFUNCTION("""COMPUTED_VALUE"""),"FFEL")</f>
        <v>FFEL</v>
      </c>
      <c r="B36" s="226">
        <f>IFERROR(__xludf.DUMMYFUNCTION("""COMPUTED_VALUE"""),49.2472)</f>
        <v>49.2472</v>
      </c>
      <c r="C36" s="226">
        <f>IFERROR(__xludf.DUMMYFUNCTION("""COMPUTED_VALUE"""),1.18056)</f>
        <v>1.18056</v>
      </c>
    </row>
    <row r="37">
      <c r="A37" s="226" t="str">
        <f>IFERROR(__xludf.DUMMYFUNCTION("""COMPUTED_VALUE"""),"OEEG")</f>
        <v>OEEG</v>
      </c>
      <c r="B37" s="226">
        <f>IFERROR(__xludf.DUMMYFUNCTION("""COMPUTED_VALUE"""),49.2378)</f>
        <v>49.2378</v>
      </c>
      <c r="C37" s="226">
        <f>IFERROR(__xludf.DUMMYFUNCTION("""COMPUTED_VALUE"""),1.40472)</f>
        <v>1.40472</v>
      </c>
    </row>
    <row r="38">
      <c r="A38" s="226" t="str">
        <f>IFERROR(__xludf.DUMMYFUNCTION("""COMPUTED_VALUE"""),"OEET")</f>
        <v>OEET</v>
      </c>
      <c r="B38" s="226">
        <f>IFERROR(__xludf.DUMMYFUNCTION("""COMPUTED_VALUE"""),49.1778)</f>
        <v>49.1778</v>
      </c>
      <c r="C38" s="226">
        <f>IFERROR(__xludf.DUMMYFUNCTION("""COMPUTED_VALUE"""),1.54444)</f>
        <v>1.54444</v>
      </c>
    </row>
    <row r="39">
      <c r="A39" s="226" t="str">
        <f>IFERROR(__xludf.DUMMYFUNCTION("""COMPUTED_VALUE"""),"GRANVI")</f>
        <v>GRANVI</v>
      </c>
      <c r="B39" s="226">
        <f>IFERROR(__xludf.DUMMYFUNCTION("""COMPUTED_VALUE"""),49.661011)</f>
        <v>49.661011</v>
      </c>
      <c r="C39" s="226">
        <f>IFERROR(__xludf.DUMMYFUNCTION("""COMPUTED_VALUE"""),1.921725)</f>
        <v>1.921725</v>
      </c>
    </row>
    <row r="40">
      <c r="A40" s="226" t="str">
        <f>IFERROR(__xludf.DUMMYFUNCTION("""COMPUTED_VALUE"""),"ATS")</f>
        <v>ATS</v>
      </c>
      <c r="B40" s="226">
        <f>IFERROR(__xludf.DUMMYFUNCTION("""COMPUTED_VALUE"""),50.4194)</f>
        <v>50.4194</v>
      </c>
      <c r="C40" s="226">
        <f>IFERROR(__xludf.DUMMYFUNCTION("""COMPUTED_VALUE"""),1.65)</f>
        <v>1.65</v>
      </c>
    </row>
    <row r="41">
      <c r="A41" s="226" t="str">
        <f>IFERROR(__xludf.DUMMYFUNCTION("""COMPUTED_VALUE"""),"LFAT")</f>
        <v>LFAT</v>
      </c>
      <c r="B41" s="226">
        <f>IFERROR(__xludf.DUMMYFUNCTION("""COMPUTED_VALUE"""),50.514847)</f>
        <v>50.514847</v>
      </c>
      <c r="C41" s="226">
        <f>IFERROR(__xludf.DUMMYFUNCTION("""COMPUTED_VALUE"""),1.627578)</f>
        <v>1.627578</v>
      </c>
    </row>
    <row r="42">
      <c r="A42" s="226" t="str">
        <f>IFERROR(__xludf.DUMMYFUNCTION("""COMPUTED_VALUE"""),"ROU")</f>
        <v>ROU</v>
      </c>
      <c r="B42" s="226">
        <f>IFERROR(__xludf.DUMMYFUNCTION("""COMPUTED_VALUE"""),49.465647)</f>
        <v>49.465647</v>
      </c>
      <c r="C42" s="226">
        <f>IFERROR(__xludf.DUMMYFUNCTION("""COMPUTED_VALUE"""),1.280628)</f>
        <v>1.280628</v>
      </c>
    </row>
    <row r="43">
      <c r="A43" s="226" t="str">
        <f>IFERROR(__xludf.DUMMYFUNCTION("""COMPUTED_VALUE"""),"ATNB")</f>
        <v>ATNB</v>
      </c>
      <c r="B43" s="226">
        <f>IFERROR(__xludf.DUMMYFUNCTION("""COMPUTED_VALUE"""),50.5792)</f>
        <v>50.5792</v>
      </c>
      <c r="C43" s="226">
        <f>IFERROR(__xludf.DUMMYFUNCTION("""COMPUTED_VALUE"""),1.57722)</f>
        <v>1.57722</v>
      </c>
    </row>
    <row r="44">
      <c r="A44" s="226" t="str">
        <f>IFERROR(__xludf.DUMMYFUNCTION("""COMPUTED_VALUE"""),"EAWY")</f>
        <v>EAWY</v>
      </c>
      <c r="B44" s="226">
        <f>IFERROR(__xludf.DUMMYFUNCTION("""COMPUTED_VALUE"""),49.755464)</f>
        <v>49.755464</v>
      </c>
      <c r="C44" s="226">
        <f>IFERROR(__xludf.DUMMYFUNCTION("""COMPUTED_VALUE"""),1.273306)</f>
        <v>1.273306</v>
      </c>
    </row>
    <row r="45">
      <c r="A45" s="226" t="str">
        <f>IFERROR(__xludf.DUMMYFUNCTION("""COMPUTED_VALUE"""),"A11CS")</f>
        <v>A11CS</v>
      </c>
      <c r="B45" s="226">
        <f>IFERROR(__xludf.DUMMYFUNCTION("""COMPUTED_VALUE"""),48.325857)</f>
        <v>48.325857</v>
      </c>
      <c r="C45" s="226">
        <f>IFERROR(__xludf.DUMMYFUNCTION("""COMPUTED_VALUE"""),1.372196)</f>
        <v>1.372196</v>
      </c>
    </row>
    <row r="46">
      <c r="A46" s="226" t="str">
        <f>IFERROR(__xludf.DUMMYFUNCTION("""COMPUTED_VALUE"""),"CHATE")</f>
        <v>CHATE</v>
      </c>
      <c r="B46" s="226">
        <f>IFERROR(__xludf.DUMMYFUNCTION("""COMPUTED_VALUE"""),48.062839)</f>
        <v>48.062839</v>
      </c>
      <c r="C46" s="226">
        <f>IFERROR(__xludf.DUMMYFUNCTION("""COMPUTED_VALUE"""),1.259611)</f>
        <v>1.259611</v>
      </c>
    </row>
    <row r="47">
      <c r="A47" s="226" t="str">
        <f>IFERROR(__xludf.DUMMYFUNCTION("""COMPUTED_VALUE"""),"LFOC")</f>
        <v>LFOC</v>
      </c>
      <c r="B47" s="226">
        <f>IFERROR(__xludf.DUMMYFUNCTION("""COMPUTED_VALUE"""),48.057875)</f>
        <v>48.057875</v>
      </c>
      <c r="C47" s="226">
        <f>IFERROR(__xludf.DUMMYFUNCTION("""COMPUTED_VALUE"""),1.379722)</f>
        <v>1.379722</v>
      </c>
    </row>
    <row r="48">
      <c r="A48" s="226" t="str">
        <f>IFERROR(__xludf.DUMMYFUNCTION("""COMPUTED_VALUE"""),"CHW")</f>
        <v>CHW</v>
      </c>
      <c r="B48" s="226">
        <f>IFERROR(__xludf.DUMMYFUNCTION("""COMPUTED_VALUE"""),48.480003)</f>
        <v>48.480003</v>
      </c>
      <c r="C48" s="226">
        <f>IFERROR(__xludf.DUMMYFUNCTION("""COMPUTED_VALUE"""),0.98705)</f>
        <v>0.98705</v>
      </c>
    </row>
    <row r="49">
      <c r="A49" s="226" t="str">
        <f>IFERROR(__xludf.DUMMYFUNCTION("""COMPUTED_VALUE"""),"LFOL")</f>
        <v>LFOL</v>
      </c>
      <c r="B49" s="226">
        <f>IFERROR(__xludf.DUMMYFUNCTION("""COMPUTED_VALUE"""),48.758889)</f>
        <v>48.758889</v>
      </c>
      <c r="C49" s="226">
        <f>IFERROR(__xludf.DUMMYFUNCTION("""COMPUTED_VALUE"""),0.657778)</f>
        <v>0.657778</v>
      </c>
    </row>
    <row r="50">
      <c r="A50" s="226" t="str">
        <f>IFERROR(__xludf.DUMMYFUNCTION("""COMPUTED_VALUE"""),"LFFL")</f>
        <v>LFFL</v>
      </c>
      <c r="B50" s="226">
        <f>IFERROR(__xludf.DUMMYFUNCTION("""COMPUTED_VALUE"""),48.514722)</f>
        <v>48.514722</v>
      </c>
      <c r="C50" s="226">
        <f>IFERROR(__xludf.DUMMYFUNCTION("""COMPUTED_VALUE"""),1.638611)</f>
        <v>1.638611</v>
      </c>
    </row>
    <row r="51">
      <c r="A51" s="226" t="str">
        <f>IFERROR(__xludf.DUMMYFUNCTION("""COMPUTED_VALUE"""),"TOIRI")</f>
        <v>TOIRI</v>
      </c>
      <c r="B51" s="226">
        <f>IFERROR(__xludf.DUMMYFUNCTION("""COMPUTED_VALUE"""),48.870052)</f>
        <v>48.870052</v>
      </c>
      <c r="C51" s="226">
        <f>IFERROR(__xludf.DUMMYFUNCTION("""COMPUTED_VALUE"""),1.779847)</f>
        <v>1.779847</v>
      </c>
    </row>
    <row r="52">
      <c r="A52" s="226" t="str">
        <f>IFERROR(__xludf.DUMMYFUNCTION("""COMPUTED_VALUE"""),"HOLAN")</f>
        <v>HOLAN</v>
      </c>
      <c r="B52" s="226">
        <f>IFERROR(__xludf.DUMMYFUNCTION("""COMPUTED_VALUE"""),48.71056)</f>
        <v>48.71056</v>
      </c>
      <c r="C52" s="226">
        <f>IFERROR(__xludf.DUMMYFUNCTION("""COMPUTED_VALUE"""),1.872139)</f>
        <v>1.872139</v>
      </c>
    </row>
    <row r="53">
      <c r="A53" s="226" t="str">
        <f>IFERROR(__xludf.DUMMYFUNCTION("""COMPUTED_VALUE"""),"ARNOU")</f>
        <v>ARNOU</v>
      </c>
      <c r="B53" s="226">
        <f>IFERROR(__xludf.DUMMYFUNCTION("""COMPUTED_VALUE"""),48.552796)</f>
        <v>48.552796</v>
      </c>
      <c r="C53" s="226">
        <f>IFERROR(__xludf.DUMMYFUNCTION("""COMPUTED_VALUE"""),1.931751)</f>
        <v>1.931751</v>
      </c>
    </row>
    <row r="54">
      <c r="A54" s="226" t="str">
        <f>IFERROR(__xludf.DUMMYFUNCTION("""COMPUTED_VALUE"""),"MILLY")</f>
        <v>MILLY</v>
      </c>
      <c r="B54" s="226">
        <f>IFERROR(__xludf.DUMMYFUNCTION("""COMPUTED_VALUE"""),48.387536)</f>
        <v>48.387536</v>
      </c>
      <c r="C54" s="226">
        <f>IFERROR(__xludf.DUMMYFUNCTION("""COMPUTED_VALUE"""),2.471331)</f>
        <v>2.471331</v>
      </c>
    </row>
    <row r="55">
      <c r="A55" s="226" t="str">
        <f>IFERROR(__xludf.DUMMYFUNCTION("""COMPUTED_VALUE"""),"LFPU")</f>
        <v>LFPU</v>
      </c>
      <c r="B55" s="226">
        <f>IFERROR(__xludf.DUMMYFUNCTION("""COMPUTED_VALUE"""),48.340833)</f>
        <v>48.340833</v>
      </c>
      <c r="C55" s="226">
        <f>IFERROR(__xludf.DUMMYFUNCTION("""COMPUTED_VALUE"""),2.797778)</f>
        <v>2.797778</v>
      </c>
    </row>
    <row r="56">
      <c r="A56" s="226" t="str">
        <f>IFERROR(__xludf.DUMMYFUNCTION("""COMPUTED_VALUE"""),"DOURD")</f>
        <v>DOURD</v>
      </c>
      <c r="B56" s="226">
        <f>IFERROR(__xludf.DUMMYFUNCTION("""COMPUTED_VALUE"""),48.51014)</f>
        <v>48.51014</v>
      </c>
      <c r="C56" s="226">
        <f>IFERROR(__xludf.DUMMYFUNCTION("""COMPUTED_VALUE"""),1.99678)</f>
        <v>1.99678</v>
      </c>
    </row>
    <row r="57">
      <c r="A57" s="226" t="str">
        <f>IFERROR(__xludf.DUMMYFUNCTION("""COMPUTED_VALUE"""),"LFPM")</f>
        <v>LFPM</v>
      </c>
      <c r="B57" s="226">
        <f>IFERROR(__xludf.DUMMYFUNCTION("""COMPUTED_VALUE"""),48.605283)</f>
        <v>48.605283</v>
      </c>
      <c r="C57" s="226">
        <f>IFERROR(__xludf.DUMMYFUNCTION("""COMPUTED_VALUE"""),2.670781)</f>
        <v>2.670781</v>
      </c>
    </row>
    <row r="58">
      <c r="A58" s="226" t="str">
        <f>IFERROR(__xludf.DUMMYFUNCTION("""COMPUTED_VALUE"""),"MALSR")</f>
        <v>MALSR</v>
      </c>
      <c r="B58" s="226">
        <f>IFERROR(__xludf.DUMMYFUNCTION("""COMPUTED_VALUE"""),48.280469)</f>
        <v>48.280469</v>
      </c>
      <c r="C58" s="226">
        <f>IFERROR(__xludf.DUMMYFUNCTION("""COMPUTED_VALUE"""),2.4076)</f>
        <v>2.4076</v>
      </c>
    </row>
    <row r="59">
      <c r="A59" s="226" t="str">
        <f>IFERROR(__xludf.DUMMYFUNCTION("""COMPUTED_VALUE"""),"COTIN")</f>
        <v>COTIN</v>
      </c>
      <c r="B59" s="226">
        <f>IFERROR(__xludf.DUMMYFUNCTION("""COMPUTED_VALUE"""),48.338465)</f>
        <v>48.338465</v>
      </c>
      <c r="C59" s="226">
        <f>IFERROR(__xludf.DUMMYFUNCTION("""COMPUTED_VALUE"""),1.867581)</f>
        <v>1.867581</v>
      </c>
    </row>
    <row r="60">
      <c r="A60" s="226" t="str">
        <f>IFERROR(__xludf.DUMMYFUNCTION("""COMPUTED_VALUE"""),"BAZIN")</f>
        <v>BAZIN</v>
      </c>
      <c r="B60" s="226">
        <f>IFERROR(__xludf.DUMMYFUNCTION("""COMPUTED_VALUE"""),48.797921)</f>
        <v>48.797921</v>
      </c>
      <c r="C60" s="226">
        <f>IFERROR(__xludf.DUMMYFUNCTION("""COMPUTED_VALUE"""),1.680062)</f>
        <v>1.680062</v>
      </c>
    </row>
    <row r="61">
      <c r="A61" s="226" t="str">
        <f>IFERROR(__xludf.DUMMYFUNCTION("""COMPUTED_VALUE"""),"EVEC")</f>
        <v>EVEC</v>
      </c>
      <c r="B61" s="226">
        <f>IFERROR(__xludf.DUMMYFUNCTION("""COMPUTED_VALUE"""),49.014838)</f>
        <v>49.014838</v>
      </c>
      <c r="C61" s="226">
        <f>IFERROR(__xludf.DUMMYFUNCTION("""COMPUTED_VALUE"""),1.940478)</f>
        <v>1.940478</v>
      </c>
    </row>
    <row r="62">
      <c r="A62" s="226" t="str">
        <f>IFERROR(__xludf.DUMMYFUNCTION("""COMPUTED_VALUE"""),"CHAMB")</f>
        <v>CHAMB</v>
      </c>
      <c r="B62" s="226">
        <f>IFERROR(__xludf.DUMMYFUNCTION("""COMPUTED_VALUE"""),49.184301)</f>
        <v>49.184301</v>
      </c>
      <c r="C62" s="226">
        <f>IFERROR(__xludf.DUMMYFUNCTION("""COMPUTED_VALUE"""),2.219002)</f>
        <v>2.219002</v>
      </c>
    </row>
    <row r="63">
      <c r="A63" s="226" t="str">
        <f>IFERROR(__xludf.DUMMYFUNCTION("""COMPUTED_VALUE"""),"LFPA")</f>
        <v>LFPA</v>
      </c>
      <c r="B63" s="226">
        <f>IFERROR(__xludf.DUMMYFUNCTION("""COMPUTED_VALUE"""),49.165)</f>
        <v>49.165</v>
      </c>
      <c r="C63" s="226">
        <f>IFERROR(__xludf.DUMMYFUNCTION("""COMPUTED_VALUE"""),2.311667)</f>
        <v>2.311667</v>
      </c>
    </row>
    <row r="64">
      <c r="A64" s="226" t="str">
        <f>IFERROR(__xludf.DUMMYFUNCTION("""COMPUTED_VALUE"""),"FXU")</f>
        <v>FXU</v>
      </c>
      <c r="B64" s="226">
        <f>IFERROR(__xludf.DUMMYFUNCTION("""COMPUTED_VALUE"""),48.96566)</f>
        <v>48.96566</v>
      </c>
      <c r="C64" s="226">
        <f>IFERROR(__xludf.DUMMYFUNCTION("""COMPUTED_VALUE"""),1.684237)</f>
        <v>1.684237</v>
      </c>
    </row>
    <row r="65">
      <c r="A65" s="226" t="str">
        <f>IFERROR(__xludf.DUMMYFUNCTION("""COMPUTED_VALUE"""),"MANTE")</f>
        <v>MANTE</v>
      </c>
      <c r="B65" s="226">
        <f>IFERROR(__xludf.DUMMYFUNCTION("""COMPUTED_VALUE"""),49.0)</f>
        <v>49</v>
      </c>
      <c r="C65" s="226">
        <f>IFERROR(__xludf.DUMMYFUNCTION("""COMPUTED_VALUE"""),1.65)</f>
        <v>1.65</v>
      </c>
    </row>
    <row r="66">
      <c r="A66" s="226" t="str">
        <f>IFERROR(__xludf.DUMMYFUNCTION("""COMPUTED_VALUE"""),"CLERM")</f>
        <v>CLERM</v>
      </c>
      <c r="B66" s="505">
        <f>IFERROR(__xludf.DUMMYFUNCTION("""COMPUTED_VALUE"""),49.43333333333333)</f>
        <v>49.43333333</v>
      </c>
      <c r="C66" s="505">
        <f>IFERROR(__xludf.DUMMYFUNCTION("""COMPUTED_VALUE"""),2.5833333333333335)</f>
        <v>2.583333333</v>
      </c>
    </row>
    <row r="67">
      <c r="A67" s="226" t="str">
        <f>IFERROR(__xludf.DUMMYFUNCTION("""COMPUTED_VALUE"""),"MERU")</f>
        <v>MERU</v>
      </c>
      <c r="B67" s="226">
        <f>IFERROR(__xludf.DUMMYFUNCTION("""COMPUTED_VALUE"""),49.219954)</f>
        <v>49.219954</v>
      </c>
      <c r="C67" s="226">
        <f>IFERROR(__xludf.DUMMYFUNCTION("""COMPUTED_VALUE"""),2.119678)</f>
        <v>2.119678</v>
      </c>
    </row>
    <row r="68">
      <c r="A68" s="226" t="str">
        <f>IFERROR(__xludf.DUMMYFUNCTION("""COMPUTED_VALUE"""),"VILER")</f>
        <v>VILER</v>
      </c>
      <c r="B68" s="226">
        <f>IFERROR(__xludf.DUMMYFUNCTION("""COMPUTED_VALUE"""),49.271676)</f>
        <v>49.271676</v>
      </c>
      <c r="C68" s="226">
        <f>IFERROR(__xludf.DUMMYFUNCTION("""COMPUTED_VALUE"""),3.139104)</f>
        <v>3.139104</v>
      </c>
    </row>
    <row r="69">
      <c r="A69" s="226" t="str">
        <f>IFERROR(__xludf.DUMMYFUNCTION("""COMPUTED_VALUE"""),"EPERN")</f>
        <v>EPERN</v>
      </c>
      <c r="B69" s="226">
        <f>IFERROR(__xludf.DUMMYFUNCTION("""COMPUTED_VALUE"""),49.083096)</f>
        <v>49.083096</v>
      </c>
      <c r="C69" s="226">
        <f>IFERROR(__xludf.DUMMYFUNCTION("""COMPUTED_VALUE"""),3.771736)</f>
        <v>3.771736</v>
      </c>
    </row>
    <row r="70">
      <c r="A70" s="226" t="str">
        <f>IFERROR(__xludf.DUMMYFUNCTION("""COMPUTED_VALUE"""),"LFKQ")</f>
        <v>LFKQ</v>
      </c>
      <c r="B70" s="226">
        <f>IFERROR(__xludf.DUMMYFUNCTION("""COMPUTED_VALUE"""),48.905556)</f>
        <v>48.905556</v>
      </c>
      <c r="C70" s="226">
        <f>IFERROR(__xludf.DUMMYFUNCTION("""COMPUTED_VALUE"""),4.352778)</f>
        <v>4.352778</v>
      </c>
    </row>
    <row r="71">
      <c r="A71" s="226" t="str">
        <f>IFERROR(__xludf.DUMMYFUNCTION("""COMPUTED_VALUE"""),"LFOK")</f>
        <v>LFOK</v>
      </c>
      <c r="B71" s="226">
        <f>IFERROR(__xludf.DUMMYFUNCTION("""COMPUTED_VALUE"""),48.773325)</f>
        <v>48.773325</v>
      </c>
      <c r="C71" s="226">
        <f>IFERROR(__xludf.DUMMYFUNCTION("""COMPUTED_VALUE"""),4.206156)</f>
        <v>4.206156</v>
      </c>
    </row>
    <row r="72">
      <c r="A72" s="226" t="str">
        <f>IFERROR(__xludf.DUMMYFUNCTION("""COMPUTED_VALUE"""),"LYONS")</f>
        <v>LYONS</v>
      </c>
      <c r="B72" s="226">
        <f>IFERROR(__xludf.DUMMYFUNCTION("""COMPUTED_VALUE"""),49.39709)</f>
        <v>49.39709</v>
      </c>
      <c r="C72" s="226">
        <f>IFERROR(__xludf.DUMMYFUNCTION("""COMPUTED_VALUE"""),1.463607)</f>
        <v>1.463607</v>
      </c>
    </row>
    <row r="73">
      <c r="A73" s="226" t="str">
        <f>IFERROR(__xludf.DUMMYFUNCTION("""COMPUTED_VALUE"""),"ONEE")</f>
        <v>ONEE</v>
      </c>
      <c r="B73" s="226">
        <f>IFERROR(__xludf.DUMMYFUNCTION("""COMPUTED_VALUE"""),48.707117)</f>
        <v>48.707117</v>
      </c>
      <c r="C73" s="226">
        <f>IFERROR(__xludf.DUMMYFUNCTION("""COMPUTED_VALUE"""),1.475825)</f>
        <v>1.475825</v>
      </c>
    </row>
    <row r="74">
      <c r="A74" s="226" t="str">
        <f>IFERROR(__xludf.DUMMYFUNCTION("""COMPUTED_VALUE"""),"ONWW")</f>
        <v>ONWW</v>
      </c>
      <c r="B74" s="226">
        <f>IFERROR(__xludf.DUMMYFUNCTION("""COMPUTED_VALUE"""),48.706161)</f>
        <v>48.706161</v>
      </c>
      <c r="C74" s="226">
        <f>IFERROR(__xludf.DUMMYFUNCTION("""COMPUTED_VALUE"""),1.262477)</f>
        <v>1.262477</v>
      </c>
    </row>
    <row r="75">
      <c r="A75" s="226" t="str">
        <f>IFERROR(__xludf.DUMMYFUNCTION("""COMPUTED_VALUE"""),"OLSE")</f>
        <v>OLSE</v>
      </c>
      <c r="B75" s="226">
        <f>IFERROR(__xludf.DUMMYFUNCTION("""COMPUTED_VALUE"""),48.690154)</f>
        <v>48.690154</v>
      </c>
      <c r="C75" s="226">
        <f>IFERROR(__xludf.DUMMYFUNCTION("""COMPUTED_VALUE"""),0.717452)</f>
        <v>0.717452</v>
      </c>
    </row>
    <row r="76">
      <c r="A76" s="226" t="str">
        <f>IFERROR(__xludf.DUMMYFUNCTION("""COMPUTED_VALUE"""),"OLSW")</f>
        <v>OLSW</v>
      </c>
      <c r="B76" s="226">
        <f>IFERROR(__xludf.DUMMYFUNCTION("""COMPUTED_VALUE"""),48.690253)</f>
        <v>48.690253</v>
      </c>
      <c r="C76" s="226">
        <f>IFERROR(__xludf.DUMMYFUNCTION("""COMPUTED_VALUE"""),0.578274)</f>
        <v>0.578274</v>
      </c>
    </row>
    <row r="77">
      <c r="A77" s="226" t="str">
        <f>IFERROR(__xludf.DUMMYFUNCTION("""COMPUTED_VALUE"""),"PDSW")</f>
        <v>PDSW</v>
      </c>
      <c r="B77" s="226">
        <f>IFERROR(__xludf.DUMMYFUNCTION("""COMPUTED_VALUE"""),49.047544)</f>
        <v>49.047544</v>
      </c>
      <c r="C77" s="226">
        <f>IFERROR(__xludf.DUMMYFUNCTION("""COMPUTED_VALUE"""),0.482541)</f>
        <v>0.482541</v>
      </c>
    </row>
    <row r="78">
      <c r="A78" s="226" t="str">
        <f>IFERROR(__xludf.DUMMYFUNCTION("""COMPUTED_VALUE"""),"PDNE")</f>
        <v>PDNE</v>
      </c>
      <c r="B78" s="226">
        <f>IFERROR(__xludf.DUMMYFUNCTION("""COMPUTED_VALUE"""),49.150721)</f>
        <v>49.150721</v>
      </c>
      <c r="C78" s="226">
        <f>IFERROR(__xludf.DUMMYFUNCTION("""COMPUTED_VALUE"""),0.634007)</f>
        <v>0.634007</v>
      </c>
    </row>
    <row r="79">
      <c r="A79" s="226" t="str">
        <f>IFERROR(__xludf.DUMMYFUNCTION("""COMPUTED_VALUE"""),"LFPD")</f>
        <v>LFPD</v>
      </c>
      <c r="B79" s="226">
        <f>IFERROR(__xludf.DUMMYFUNCTION("""COMPUTED_VALUE"""),49.1025)</f>
        <v>49.1025</v>
      </c>
      <c r="C79" s="226">
        <f>IFERROR(__xludf.DUMMYFUNCTION("""COMPUTED_VALUE"""),0.565556)</f>
        <v>0.565556</v>
      </c>
    </row>
    <row r="80">
      <c r="A80" s="226" t="str">
        <f>IFERROR(__xludf.DUMMYFUNCTION("""COMPUTED_VALUE"""),"OXWW")</f>
        <v>OXWW</v>
      </c>
      <c r="B80" s="226">
        <f>IFERROR(__xludf.DUMMYFUNCTION("""COMPUTED_VALUE"""),48.381675)</f>
        <v>48.381675</v>
      </c>
      <c r="C80" s="226">
        <f>IFERROR(__xludf.DUMMYFUNCTION("""COMPUTED_VALUE"""),1.993057)</f>
        <v>1.993057</v>
      </c>
    </row>
    <row r="81">
      <c r="A81" s="226" t="str">
        <f>IFERROR(__xludf.DUMMYFUNCTION("""COMPUTED_VALUE"""),"FFOE")</f>
        <v>FFOE</v>
      </c>
      <c r="B81" s="226">
        <f>IFERROR(__xludf.DUMMYFUNCTION("""COMPUTED_VALUE"""),48.0778)</f>
        <v>48.0778</v>
      </c>
      <c r="C81" s="226">
        <f>IFERROR(__xludf.DUMMYFUNCTION("""COMPUTED_VALUE"""),2.06083)</f>
        <v>2.06083</v>
      </c>
    </row>
    <row r="82">
      <c r="A82" s="226" t="str">
        <f>IFERROR(__xludf.DUMMYFUNCTION("""COMPUTED_VALUE"""),"OZNN")</f>
        <v>OZNN</v>
      </c>
      <c r="B82" s="226">
        <f>IFERROR(__xludf.DUMMYFUNCTION("""COMPUTED_VALUE"""),47.973066)</f>
        <v>47.973066</v>
      </c>
      <c r="C82" s="226">
        <f>IFERROR(__xludf.DUMMYFUNCTION("""COMPUTED_VALUE"""),2.165766)</f>
        <v>2.165766</v>
      </c>
    </row>
    <row r="83">
      <c r="A83" s="226" t="str">
        <f>IFERROR(__xludf.DUMMYFUNCTION("""COMPUTED_VALUE"""),"OZSW")</f>
        <v>OZSW</v>
      </c>
      <c r="B83" s="226">
        <f>IFERROR(__xludf.DUMMYFUNCTION("""COMPUTED_VALUE"""),47.848221)</f>
        <v>47.848221</v>
      </c>
      <c r="C83" s="226">
        <f>IFERROR(__xludf.DUMMYFUNCTION("""COMPUTED_VALUE"""),2.136772)</f>
        <v>2.136772</v>
      </c>
    </row>
    <row r="84">
      <c r="A84" s="226" t="str">
        <f>IFERROR(__xludf.DUMMYFUNCTION("""COMPUTED_VALUE"""),"FFOSE")</f>
        <v>FFOSE</v>
      </c>
      <c r="B84" s="226">
        <f>IFERROR(__xludf.DUMMYFUNCTION("""COMPUTED_VALUE"""),47.8475)</f>
        <v>47.8475</v>
      </c>
      <c r="C84" s="226">
        <f>IFERROR(__xludf.DUMMYFUNCTION("""COMPUTED_VALUE"""),2.03639)</f>
        <v>2.03639</v>
      </c>
    </row>
    <row r="85">
      <c r="A85" s="226" t="str">
        <f>IFERROR(__xludf.DUMMYFUNCTION("""COMPUTED_VALUE"""),"OJS")</f>
        <v>OJS</v>
      </c>
      <c r="B85" s="226">
        <f>IFERROR(__xludf.DUMMYFUNCTION("""COMPUTED_VALUE"""),47.8194)</f>
        <v>47.8194</v>
      </c>
      <c r="C85" s="226">
        <f>IFERROR(__xludf.DUMMYFUNCTION("""COMPUTED_VALUE"""),1.64167)</f>
        <v>1.64167</v>
      </c>
    </row>
    <row r="86">
      <c r="A86" s="226" t="str">
        <f>IFERROR(__xludf.DUMMYFUNCTION("""COMPUTED_VALUE"""),"OCSS")</f>
        <v>OCSS</v>
      </c>
      <c r="B86" s="226">
        <f>IFERROR(__xludf.DUMMYFUNCTION("""COMPUTED_VALUE"""),47.980392)</f>
        <v>47.980392</v>
      </c>
      <c r="C86" s="226">
        <f>IFERROR(__xludf.DUMMYFUNCTION("""COMPUTED_VALUE"""),1.377639)</f>
        <v>1.377639</v>
      </c>
    </row>
    <row r="87">
      <c r="A87" s="226" t="str">
        <f>IFERROR(__xludf.DUMMYFUNCTION("""COMPUTED_VALUE"""),"OCNN")</f>
        <v>OCNN</v>
      </c>
      <c r="B87" s="226">
        <f>IFERROR(__xludf.DUMMYFUNCTION("""COMPUTED_VALUE"""),48.14142)</f>
        <v>48.14142</v>
      </c>
      <c r="C87" s="226">
        <f>IFERROR(__xludf.DUMMYFUNCTION("""COMPUTED_VALUE"""),1.37878)</f>
        <v>1.37878</v>
      </c>
    </row>
    <row r="88">
      <c r="A88" s="226" t="str">
        <f>IFERROR(__xludf.DUMMYFUNCTION("""COMPUTED_VALUE"""),"ORSS")</f>
        <v>ORSS</v>
      </c>
      <c r="B88" s="226">
        <f>IFERROR(__xludf.DUMMYFUNCTION("""COMPUTED_VALUE"""),48.39479)</f>
        <v>48.39479</v>
      </c>
      <c r="C88" s="226">
        <f>IFERROR(__xludf.DUMMYFUNCTION("""COMPUTED_VALUE"""),1.521902)</f>
        <v>1.521902</v>
      </c>
    </row>
    <row r="89">
      <c r="A89" s="226" t="str">
        <f>IFERROR(__xludf.DUMMYFUNCTION("""COMPUTED_VALUE"""),"ORNN")</f>
        <v>ORNN</v>
      </c>
      <c r="B89" s="226">
        <f>IFERROR(__xludf.DUMMYFUNCTION("""COMPUTED_VALUE"""),48.533398)</f>
        <v>48.533398</v>
      </c>
      <c r="C89" s="226">
        <f>IFERROR(__xludf.DUMMYFUNCTION("""COMPUTED_VALUE"""),1.524246)</f>
        <v>1.524246</v>
      </c>
    </row>
    <row r="90">
      <c r="A90" s="226" t="str">
        <f>IFERROR(__xludf.DUMMYFUNCTION("""COMPUTED_VALUE"""),"LFOZ")</f>
        <v>LFOZ</v>
      </c>
      <c r="B90" s="226">
        <f>IFERROR(__xludf.DUMMYFUNCTION("""COMPUTED_VALUE"""),47.897617)</f>
        <v>47.897617</v>
      </c>
      <c r="C90" s="226">
        <f>IFERROR(__xludf.DUMMYFUNCTION("""COMPUTED_VALUE"""),2.164208)</f>
        <v>2.164208</v>
      </c>
    </row>
    <row r="91">
      <c r="A91" s="226" t="str">
        <f>IFERROR(__xludf.DUMMYFUNCTION("""COMPUTED_VALUE"""),"LOUVS")</f>
        <v>LOUVS</v>
      </c>
      <c r="B91" s="226">
        <f>IFERROR(__xludf.DUMMYFUNCTION("""COMPUTED_VALUE"""),49.185215)</f>
        <v>49.185215</v>
      </c>
      <c r="C91" s="226">
        <f>IFERROR(__xludf.DUMMYFUNCTION("""COMPUTED_VALUE"""),1.169042)</f>
        <v>1.169042</v>
      </c>
    </row>
    <row r="92">
      <c r="A92" s="226" t="str">
        <f>IFERROR(__xludf.DUMMYFUNCTION("""COMPUTED_VALUE"""),"EPEGA")</f>
        <v>EPEGA</v>
      </c>
      <c r="B92" s="226">
        <f>IFERROR(__xludf.DUMMYFUNCTION("""COMPUTED_VALUE"""),49.190544)</f>
        <v>49.190544</v>
      </c>
      <c r="C92" s="226">
        <f>IFERROR(__xludf.DUMMYFUNCTION("""COMPUTED_VALUE"""),0.850937)</f>
        <v>0.850937</v>
      </c>
    </row>
    <row r="93">
      <c r="A93" s="226" t="str">
        <f>IFERROR(__xludf.DUMMYFUNCTION("""COMPUTED_VALUE"""),"MVERN")</f>
        <v>MVERN</v>
      </c>
      <c r="B93" s="226">
        <f>IFERROR(__xludf.DUMMYFUNCTION("""COMPUTED_VALUE"""),49.420742)</f>
        <v>49.420742</v>
      </c>
      <c r="C93" s="226">
        <f>IFERROR(__xludf.DUMMYFUNCTION("""COMPUTED_VALUE"""),0.495746)</f>
        <v>0.495746</v>
      </c>
    </row>
    <row r="94">
      <c r="A94" s="226" t="str">
        <f>IFERROR(__xludf.DUMMYFUNCTION("""COMPUTED_VALUE"""),"TANCA")</f>
        <v>TANCA</v>
      </c>
      <c r="B94" s="226">
        <f>IFERROR(__xludf.DUMMYFUNCTION("""COMPUTED_VALUE"""),49.468881)</f>
        <v>49.468881</v>
      </c>
      <c r="C94" s="226">
        <f>IFERROR(__xludf.DUMMYFUNCTION("""COMPUTED_VALUE"""),0.456151)</f>
        <v>0.456151</v>
      </c>
    </row>
    <row r="95">
      <c r="A95" s="226" t="str">
        <f>IFERROR(__xludf.DUMMYFUNCTION("""COMPUTED_VALUE"""),"LFOY")</f>
        <v>LFOY</v>
      </c>
      <c r="B95" s="226">
        <f>IFERROR(__xludf.DUMMYFUNCTION("""COMPUTED_VALUE"""),49.543889)</f>
        <v>49.543889</v>
      </c>
      <c r="C95" s="226">
        <f>IFERROR(__xludf.DUMMYFUNCTION("""COMPUTED_VALUE"""),0.359722)</f>
        <v>0.359722</v>
      </c>
    </row>
    <row r="96">
      <c r="A96" s="226" t="str">
        <f>IFERROR(__xludf.DUMMYFUNCTION("""COMPUTED_VALUE"""),"LFOH")</f>
        <v>LFOH</v>
      </c>
      <c r="B96" s="226">
        <f>IFERROR(__xludf.DUMMYFUNCTION("""COMPUTED_VALUE"""),49.533847)</f>
        <v>49.533847</v>
      </c>
      <c r="C96" s="226">
        <f>IFERROR(__xludf.DUMMYFUNCTION("""COMPUTED_VALUE"""),0.088119)</f>
        <v>0.088119</v>
      </c>
    </row>
    <row r="97">
      <c r="A97" s="226" t="str">
        <f>IFERROR(__xludf.DUMMYFUNCTION("""COMPUTED_VALUE"""),"LFRG")</f>
        <v>LFRG</v>
      </c>
      <c r="B97" s="226">
        <f>IFERROR(__xludf.DUMMYFUNCTION("""COMPUTED_VALUE"""),49.3626125337309)</f>
        <v>49.36261253</v>
      </c>
      <c r="C97" s="226">
        <f>IFERROR(__xludf.DUMMYFUNCTION("""COMPUTED_VALUE"""),0.153219578307957)</f>
        <v>0.1532195783</v>
      </c>
    </row>
    <row r="98">
      <c r="A98" s="226" t="str">
        <f>IFERROR(__xludf.DUMMYFUNCTION("""COMPUTED_VALUE"""),"HOME")</f>
        <v>HOME</v>
      </c>
      <c r="B98" s="226">
        <f>IFERROR(__xludf.DUMMYFUNCTION("""COMPUTED_VALUE"""),48.93774444444444)</f>
        <v>48.93774444</v>
      </c>
      <c r="C98" s="226">
        <f>IFERROR(__xludf.DUMMYFUNCTION("""COMPUTED_VALUE"""),1.9648333333333332)</f>
        <v>1.964833333</v>
      </c>
    </row>
    <row r="99">
      <c r="A99" s="226" t="str">
        <f>IFERROR(__xludf.DUMMYFUNCTION("""COMPUTED_VALUE"""),"OYNW")</f>
        <v>OYNW</v>
      </c>
      <c r="B99" s="226">
        <f>IFERROR(__xludf.DUMMYFUNCTION("""COMPUTED_VALUE"""),49.595219)</f>
        <v>49.595219</v>
      </c>
      <c r="C99" s="226">
        <f>IFERROR(__xludf.DUMMYFUNCTION("""COMPUTED_VALUE"""),0.287176)</f>
        <v>0.287176</v>
      </c>
    </row>
    <row r="100">
      <c r="A100" s="226" t="str">
        <f>IFERROR(__xludf.DUMMYFUNCTION("""COMPUTED_VALUE"""),"SFILB")</f>
        <v>SFILB</v>
      </c>
      <c r="B100" s="226">
        <f>IFERROR(__xludf.DUMMYFUNCTION("""COMPUTED_VALUE"""),49.31354861)</f>
        <v>49.31354861</v>
      </c>
      <c r="C100" s="226">
        <f>IFERROR(__xludf.DUMMYFUNCTION("""COMPUTED_VALUE"""),0.66176536)</f>
        <v>0.66176536</v>
      </c>
    </row>
    <row r="101">
      <c r="A101" s="226" t="str">
        <f>IFERROR(__xludf.DUMMYFUNCTION("""COMPUTED_VALUE"""),"OEET")</f>
        <v>OEET</v>
      </c>
      <c r="B101" s="226">
        <f>IFERROR(__xludf.DUMMYFUNCTION("""COMPUTED_VALUE"""),49.1778)</f>
        <v>49.1778</v>
      </c>
      <c r="C101" s="226">
        <f>IFERROR(__xludf.DUMMYFUNCTION("""COMPUTED_VALUE"""),1.54444)</f>
        <v>1.54444</v>
      </c>
    </row>
    <row r="102">
      <c r="A102" s="226" t="str">
        <f>IFERROR(__xludf.DUMMYFUNCTION("""COMPUTED_VALUE"""),"FDSW")</f>
        <v>FDSW</v>
      </c>
      <c r="B102" s="226">
        <f>IFERROR(__xludf.DUMMYFUNCTION("""COMPUTED_VALUE"""),48.866247)</f>
        <v>48.866247</v>
      </c>
      <c r="C102" s="226">
        <f>IFERROR(__xludf.DUMMYFUNCTION("""COMPUTED_VALUE"""),1.33413)</f>
        <v>1.33413</v>
      </c>
    </row>
    <row r="103">
      <c r="A103" s="226" t="str">
        <f>IFERROR(__xludf.DUMMYFUNCTION("""COMPUTED_VALUE"""),"OEWS")</f>
        <v>OEWS</v>
      </c>
      <c r="B103" s="226">
        <f>IFERROR(__xludf.DUMMYFUNCTION("""COMPUTED_VALUE"""),48.8472)</f>
        <v>48.8472</v>
      </c>
      <c r="C103" s="226">
        <f>IFERROR(__xludf.DUMMYFUNCTION("""COMPUTED_VALUE"""),1.21667)</f>
        <v>1.21667</v>
      </c>
    </row>
    <row r="104">
      <c r="A104" s="226" t="str">
        <f>IFERROR(__xludf.DUMMYFUNCTION("""COMPUTED_VALUE"""),"OEWC")</f>
        <v>OEWC</v>
      </c>
      <c r="B104" s="226">
        <f>IFERROR(__xludf.DUMMYFUNCTION("""COMPUTED_VALUE"""),48.95)</f>
        <v>48.95</v>
      </c>
      <c r="C104" s="226">
        <f>IFERROR(__xludf.DUMMYFUNCTION("""COMPUTED_VALUE"""),0.95)</f>
        <v>0.95</v>
      </c>
    </row>
    <row r="105">
      <c r="A105" s="226" t="str">
        <f>IFERROR(__xludf.DUMMYFUNCTION("""COMPUTED_VALUE"""),"FERIER")</f>
        <v>FERIER</v>
      </c>
      <c r="B105" s="226">
        <f>IFERROR(__xludf.DUMMYFUNCTION("""COMPUTED_VALUE"""),48.982954)</f>
        <v>48.982954</v>
      </c>
      <c r="C105" s="226">
        <f>IFERROR(__xludf.DUMMYFUNCTION("""COMPUTED_VALUE"""),0.788766)</f>
        <v>0.788766</v>
      </c>
    </row>
    <row r="106">
      <c r="A106" s="226" t="str">
        <f>IFERROR(__xludf.DUMMYFUNCTION("""COMPUTED_VALUE"""),"PDSS")</f>
        <v>PDSS</v>
      </c>
      <c r="B106" s="226">
        <f>IFERROR(__xludf.DUMMYFUNCTION("""COMPUTED_VALUE"""),49.028877)</f>
        <v>49.028877</v>
      </c>
      <c r="C106" s="226">
        <f>IFERROR(__xludf.DUMMYFUNCTION("""COMPUTED_VALUE"""),0.561859)</f>
        <v>0.561859</v>
      </c>
    </row>
    <row r="107">
      <c r="A107" s="226" t="str">
        <f>IFERROR(__xludf.DUMMYFUNCTION("""COMPUTED_VALUE"""),"PDNW")</f>
        <v>PDNW</v>
      </c>
      <c r="B107" s="226">
        <f>IFERROR(__xludf.DUMMYFUNCTION("""COMPUTED_VALUE"""),49.166809)</f>
        <v>49.166809</v>
      </c>
      <c r="C107" s="226">
        <f>IFERROR(__xludf.DUMMYFUNCTION("""COMPUTED_VALUE"""),0.526139)</f>
        <v>0.526139</v>
      </c>
    </row>
    <row r="108">
      <c r="A108" s="226" t="str">
        <f>IFERROR(__xludf.DUMMYFUNCTION("""COMPUTED_VALUE"""),"RGSG")</f>
        <v>RGSG</v>
      </c>
      <c r="B108" s="226">
        <f>IFERROR(__xludf.DUMMYFUNCTION("""COMPUTED_VALUE"""),49.214722)</f>
        <v>49.214722</v>
      </c>
      <c r="C108" s="226">
        <f>IFERROR(__xludf.DUMMYFUNCTION("""COMPUTED_VALUE"""),0.216111)</f>
        <v>0.216111</v>
      </c>
    </row>
    <row r="109">
      <c r="A109" s="226" t="str">
        <f>IFERROR(__xludf.DUMMYFUNCTION("""COMPUTED_VALUE"""),"RGWG")</f>
        <v>RGWG</v>
      </c>
      <c r="B109" s="226">
        <f>IFERROR(__xludf.DUMMYFUNCTION("""COMPUTED_VALUE"""),49.285556)</f>
        <v>49.285556</v>
      </c>
      <c r="C109" s="226">
        <f>IFERROR(__xludf.DUMMYFUNCTION("""COMPUTED_VALUE"""),-0.102222)</f>
        <v>-0.102222</v>
      </c>
    </row>
    <row r="110">
      <c r="A110" s="226" t="str">
        <f>IFERROR(__xludf.DUMMYFUNCTION("""COMPUTED_VALUE"""),"RGWD")</f>
        <v>RGWD</v>
      </c>
      <c r="B110" s="226">
        <f>IFERROR(__xludf.DUMMYFUNCTION("""COMPUTED_VALUE"""),49.339167)</f>
        <v>49.339167</v>
      </c>
      <c r="C110" s="226">
        <f>IFERROR(__xludf.DUMMYFUNCTION("""COMPUTED_VALUE"""),0.045)</f>
        <v>0.045</v>
      </c>
    </row>
    <row r="111">
      <c r="A111" s="226" t="str">
        <f>IFERROR(__xludf.DUMMYFUNCTION("""COMPUTED_VALUE"""),"RGED")</f>
        <v>RGED</v>
      </c>
      <c r="B111" s="226">
        <f>IFERROR(__xludf.DUMMYFUNCTION("""COMPUTED_VALUE"""),49.436667)</f>
        <v>49.436667</v>
      </c>
      <c r="C111" s="226">
        <f>IFERROR(__xludf.DUMMYFUNCTION("""COMPUTED_VALUE"""),0.2725)</f>
        <v>0.2725</v>
      </c>
    </row>
    <row r="112">
      <c r="A112" s="226" t="str">
        <f>IFERROR(__xludf.DUMMYFUNCTION("""COMPUTED_VALUE"""),"OYSW")</f>
        <v>OYSW</v>
      </c>
      <c r="B112" s="226">
        <f>IFERROR(__xludf.DUMMYFUNCTION("""COMPUTED_VALUE"""),49.52465)</f>
        <v>49.52465</v>
      </c>
      <c r="C112" s="226">
        <f>IFERROR(__xludf.DUMMYFUNCTION("""COMPUTED_VALUE"""),0.407581)</f>
        <v>0.407581</v>
      </c>
    </row>
    <row r="113">
      <c r="A113" s="226" t="str">
        <f>IFERROR(__xludf.DUMMYFUNCTION("""COMPUTED_VALUE"""),"OJOE")</f>
        <v>OJOE</v>
      </c>
      <c r="B113" s="226">
        <f>IFERROR(__xludf.DUMMYFUNCTION("""COMPUTED_VALUE"""),48.077778)</f>
        <v>48.077778</v>
      </c>
      <c r="C113" s="226">
        <f>IFERROR(__xludf.DUMMYFUNCTION("""COMPUTED_VALUE"""),2.060833)</f>
        <v>2.060833</v>
      </c>
    </row>
    <row r="114">
      <c r="A114" s="226" t="str">
        <f>IFERROR(__xludf.DUMMYFUNCTION("""COMPUTED_VALUE"""),"BEVRO")</f>
        <v>BEVRO</v>
      </c>
      <c r="B114" s="226">
        <f>IFERROR(__xludf.DUMMYFUNCTION("""COMPUTED_VALUE"""),47.605899)</f>
        <v>47.605899</v>
      </c>
      <c r="C114" s="226">
        <f>IFERROR(__xludf.DUMMYFUNCTION("""COMPUTED_VALUE"""),2.186213)</f>
        <v>2.186213</v>
      </c>
    </row>
    <row r="115">
      <c r="A115" s="226" t="str">
        <f>IFERROR(__xludf.DUMMYFUNCTION("""COMPUTED_VALUE"""),"LFFU")</f>
        <v>LFFU</v>
      </c>
      <c r="B115" s="226">
        <f>IFERROR(__xludf.DUMMYFUNCTION("""COMPUTED_VALUE"""),46.871111)</f>
        <v>46.871111</v>
      </c>
      <c r="C115" s="226">
        <f>IFERROR(__xludf.DUMMYFUNCTION("""COMPUTED_VALUE"""),2.376944)</f>
        <v>2.376944</v>
      </c>
    </row>
    <row r="116">
      <c r="A116" s="226" t="str">
        <f>IFERROR(__xludf.DUMMYFUNCTION("""COMPUTED_VALUE"""),"LFLD")</f>
        <v>LFLD</v>
      </c>
      <c r="B116" s="226">
        <f>IFERROR(__xludf.DUMMYFUNCTION("""COMPUTED_VALUE"""),47.060786)</f>
        <v>47.060786</v>
      </c>
      <c r="C116" s="226">
        <f>IFERROR(__xludf.DUMMYFUNCTION("""COMPUTED_VALUE"""),2.3770083)</f>
        <v>2.3770083</v>
      </c>
    </row>
    <row r="117">
      <c r="A117" s="226"/>
      <c r="B117" s="226"/>
      <c r="C117" s="226"/>
    </row>
    <row r="118">
      <c r="A118" s="226"/>
      <c r="B118" s="226"/>
      <c r="C118" s="226"/>
    </row>
    <row r="119">
      <c r="A119" s="226"/>
      <c r="B119" s="226"/>
      <c r="C119" s="226"/>
    </row>
    <row r="120">
      <c r="A120" s="226"/>
      <c r="B120" s="226"/>
      <c r="C120" s="226"/>
    </row>
    <row r="121">
      <c r="A121" s="226"/>
      <c r="B121" s="226"/>
      <c r="C121" s="226"/>
    </row>
    <row r="122">
      <c r="A122" s="226"/>
      <c r="B122" s="226"/>
      <c r="C122" s="226"/>
    </row>
    <row r="123">
      <c r="A123" s="226"/>
      <c r="B123" s="226"/>
      <c r="C123" s="226"/>
    </row>
    <row r="124">
      <c r="A124" s="226"/>
      <c r="B124" s="226"/>
      <c r="C124" s="226"/>
    </row>
    <row r="125">
      <c r="A125" s="226"/>
      <c r="B125" s="226"/>
      <c r="C125" s="226"/>
    </row>
    <row r="126">
      <c r="A126" s="226"/>
      <c r="B126" s="226"/>
      <c r="C126" s="226"/>
    </row>
    <row r="127">
      <c r="A127" s="226"/>
      <c r="B127" s="226"/>
      <c r="C127" s="226"/>
    </row>
    <row r="128">
      <c r="A128" s="226"/>
      <c r="B128" s="226"/>
      <c r="C128" s="226"/>
    </row>
    <row r="129">
      <c r="A129" s="226"/>
      <c r="B129" s="226"/>
      <c r="C129" s="226"/>
    </row>
    <row r="130">
      <c r="A130" s="226"/>
      <c r="B130" s="226"/>
      <c r="C130" s="226"/>
    </row>
    <row r="131">
      <c r="A131" s="226"/>
      <c r="B131" s="226"/>
      <c r="C131" s="226"/>
    </row>
    <row r="132">
      <c r="A132" s="226"/>
      <c r="B132" s="226"/>
      <c r="C132" s="226"/>
    </row>
    <row r="133">
      <c r="A133" s="226"/>
      <c r="B133" s="226"/>
      <c r="C133" s="226"/>
    </row>
    <row r="134">
      <c r="A134" s="226"/>
      <c r="B134" s="226"/>
      <c r="C134" s="226"/>
    </row>
    <row r="135">
      <c r="A135" s="226"/>
      <c r="B135" s="226"/>
      <c r="C135" s="226"/>
    </row>
    <row r="136">
      <c r="A136" s="226"/>
      <c r="B136" s="226"/>
      <c r="C136" s="226"/>
    </row>
    <row r="137">
      <c r="A137" s="226"/>
      <c r="B137" s="226"/>
      <c r="C137" s="226"/>
    </row>
    <row r="138">
      <c r="A138" s="226"/>
      <c r="B138" s="226"/>
      <c r="C138" s="226"/>
    </row>
    <row r="139">
      <c r="A139" s="226"/>
      <c r="B139" s="226"/>
      <c r="C139" s="226"/>
    </row>
    <row r="140">
      <c r="A140" s="226"/>
      <c r="B140" s="226"/>
      <c r="C140" s="226"/>
    </row>
    <row r="141">
      <c r="A141" s="226"/>
      <c r="B141" s="226"/>
      <c r="C141" s="226"/>
    </row>
    <row r="142">
      <c r="A142" s="226"/>
      <c r="B142" s="226"/>
      <c r="C142" s="226"/>
    </row>
    <row r="143">
      <c r="A143" s="226"/>
      <c r="B143" s="226"/>
      <c r="C143" s="226"/>
    </row>
    <row r="144">
      <c r="A144" s="226"/>
      <c r="B144" s="226"/>
      <c r="C144" s="226"/>
    </row>
    <row r="145">
      <c r="A145" s="226"/>
      <c r="B145" s="226"/>
      <c r="C145" s="226"/>
    </row>
    <row r="146">
      <c r="A146" s="226"/>
      <c r="B146" s="226"/>
      <c r="C146" s="226"/>
    </row>
    <row r="147">
      <c r="A147" s="226"/>
      <c r="B147" s="226"/>
      <c r="C147" s="226"/>
    </row>
    <row r="148">
      <c r="A148" s="226"/>
      <c r="B148" s="226"/>
      <c r="C148" s="226"/>
    </row>
    <row r="149">
      <c r="A149" s="226"/>
      <c r="B149" s="226"/>
      <c r="C149" s="226"/>
    </row>
    <row r="150">
      <c r="A150" s="226"/>
      <c r="B150" s="226"/>
      <c r="C150" s="226"/>
    </row>
    <row r="151">
      <c r="A151" s="226"/>
      <c r="B151" s="226"/>
      <c r="C151" s="226"/>
    </row>
    <row r="152">
      <c r="A152" s="226"/>
      <c r="B152" s="226"/>
      <c r="C152" s="226"/>
    </row>
    <row r="153">
      <c r="A153" s="226"/>
      <c r="B153" s="226"/>
      <c r="C153" s="226"/>
    </row>
    <row r="154">
      <c r="A154" s="226"/>
      <c r="B154" s="226"/>
      <c r="C154" s="226"/>
    </row>
    <row r="155">
      <c r="A155" s="226"/>
      <c r="B155" s="226"/>
      <c r="C155" s="226"/>
    </row>
    <row r="156">
      <c r="A156" s="226"/>
      <c r="B156" s="226"/>
      <c r="C156" s="226"/>
    </row>
    <row r="157">
      <c r="A157" s="226"/>
      <c r="B157" s="226"/>
      <c r="C157" s="226"/>
    </row>
    <row r="158">
      <c r="A158" s="226"/>
      <c r="B158" s="226"/>
      <c r="C158" s="226"/>
    </row>
    <row r="159">
      <c r="A159" s="226"/>
      <c r="B159" s="226"/>
      <c r="C159" s="226"/>
    </row>
    <row r="160">
      <c r="A160" s="226"/>
      <c r="B160" s="226"/>
      <c r="C160" s="226"/>
    </row>
    <row r="161">
      <c r="A161" s="226"/>
      <c r="B161" s="226"/>
      <c r="C161" s="226"/>
    </row>
    <row r="162">
      <c r="A162" s="226"/>
      <c r="B162" s="226"/>
      <c r="C162" s="226"/>
    </row>
    <row r="163">
      <c r="A163" s="226"/>
      <c r="B163" s="226"/>
      <c r="C163" s="226"/>
    </row>
    <row r="164">
      <c r="A164" s="226"/>
      <c r="B164" s="226"/>
      <c r="C164" s="226"/>
    </row>
    <row r="165">
      <c r="A165" s="226"/>
      <c r="B165" s="226"/>
      <c r="C165" s="226"/>
    </row>
    <row r="166">
      <c r="A166" s="226"/>
      <c r="B166" s="226"/>
      <c r="C166" s="226"/>
    </row>
    <row r="167">
      <c r="A167" s="226"/>
      <c r="B167" s="226"/>
      <c r="C167" s="226"/>
    </row>
    <row r="168">
      <c r="A168" s="226"/>
      <c r="B168" s="226"/>
      <c r="C168" s="226"/>
    </row>
    <row r="169">
      <c r="A169" s="226"/>
      <c r="B169" s="226"/>
      <c r="C169" s="226"/>
    </row>
    <row r="170">
      <c r="A170" s="226"/>
      <c r="B170" s="226"/>
      <c r="C170" s="226"/>
    </row>
    <row r="171">
      <c r="A171" s="226"/>
      <c r="B171" s="226"/>
      <c r="C171" s="226"/>
    </row>
    <row r="172">
      <c r="A172" s="226"/>
      <c r="B172" s="226"/>
      <c r="C172" s="226"/>
    </row>
    <row r="173">
      <c r="A173" s="226"/>
      <c r="B173" s="226"/>
      <c r="C173" s="226"/>
    </row>
    <row r="174">
      <c r="A174" s="226"/>
      <c r="B174" s="226"/>
      <c r="C174" s="226"/>
    </row>
    <row r="175">
      <c r="A175" s="226"/>
      <c r="B175" s="226"/>
      <c r="C175" s="226"/>
    </row>
    <row r="176">
      <c r="A176" s="226"/>
      <c r="B176" s="226"/>
      <c r="C176" s="226"/>
    </row>
    <row r="177">
      <c r="A177" s="226"/>
      <c r="B177" s="226"/>
      <c r="C177" s="226"/>
    </row>
    <row r="178">
      <c r="A178" s="226"/>
      <c r="B178" s="226"/>
      <c r="C178" s="226"/>
    </row>
    <row r="179">
      <c r="A179" s="226"/>
      <c r="B179" s="226"/>
      <c r="C179" s="226"/>
    </row>
    <row r="180">
      <c r="A180" s="226"/>
      <c r="B180" s="226"/>
      <c r="C180" s="226"/>
    </row>
    <row r="181">
      <c r="A181" s="226"/>
      <c r="B181" s="226"/>
      <c r="C181" s="226"/>
    </row>
    <row r="182">
      <c r="A182" s="226"/>
      <c r="B182" s="226"/>
      <c r="C182" s="226"/>
    </row>
    <row r="183">
      <c r="A183" s="226"/>
      <c r="B183" s="226"/>
      <c r="C183" s="226"/>
    </row>
    <row r="184">
      <c r="A184" s="226"/>
      <c r="B184" s="226"/>
      <c r="C184" s="226"/>
    </row>
    <row r="185">
      <c r="A185" s="226"/>
      <c r="B185" s="226"/>
      <c r="C185" s="226"/>
    </row>
    <row r="186">
      <c r="A186" s="226"/>
      <c r="B186" s="226"/>
      <c r="C186" s="226"/>
    </row>
    <row r="187">
      <c r="A187" s="226"/>
      <c r="B187" s="226"/>
      <c r="C187" s="226"/>
    </row>
    <row r="188">
      <c r="A188" s="226"/>
      <c r="B188" s="226"/>
      <c r="C188" s="226"/>
    </row>
    <row r="189">
      <c r="A189" s="226"/>
      <c r="B189" s="226"/>
      <c r="C189" s="226"/>
    </row>
    <row r="190">
      <c r="A190" s="226"/>
      <c r="B190" s="226"/>
      <c r="C190" s="226"/>
    </row>
    <row r="191">
      <c r="A191" s="226"/>
      <c r="B191" s="226"/>
      <c r="C191" s="226"/>
    </row>
    <row r="192">
      <c r="A192" s="226"/>
      <c r="B192" s="226"/>
      <c r="C192" s="226"/>
    </row>
    <row r="193">
      <c r="A193" s="226"/>
      <c r="B193" s="226"/>
      <c r="C193" s="226"/>
    </row>
    <row r="194">
      <c r="A194" s="226"/>
      <c r="B194" s="226"/>
      <c r="C194" s="226"/>
    </row>
    <row r="195">
      <c r="A195" s="226"/>
      <c r="B195" s="226"/>
      <c r="C195" s="226"/>
    </row>
    <row r="196">
      <c r="A196" s="226"/>
      <c r="B196" s="226"/>
      <c r="C196" s="226"/>
    </row>
    <row r="197">
      <c r="A197" s="226"/>
      <c r="B197" s="226"/>
      <c r="C197" s="226"/>
    </row>
    <row r="198">
      <c r="A198" s="226"/>
      <c r="B198" s="226"/>
      <c r="C198" s="226"/>
    </row>
    <row r="199">
      <c r="A199" s="226"/>
      <c r="B199" s="226"/>
      <c r="C199" s="226"/>
    </row>
    <row r="200">
      <c r="A200" s="226"/>
      <c r="B200" s="226"/>
      <c r="C200" s="226"/>
    </row>
    <row r="201">
      <c r="A201" s="226"/>
      <c r="B201" s="226"/>
      <c r="C201" s="226"/>
    </row>
    <row r="202">
      <c r="A202" s="226"/>
      <c r="B202" s="226"/>
      <c r="C202" s="226"/>
    </row>
    <row r="203">
      <c r="A203" s="226"/>
      <c r="B203" s="226"/>
      <c r="C203" s="226"/>
    </row>
    <row r="204">
      <c r="A204" s="226"/>
      <c r="B204" s="226"/>
      <c r="C204" s="226"/>
    </row>
    <row r="205">
      <c r="A205" s="226"/>
      <c r="B205" s="226"/>
      <c r="C205" s="226"/>
    </row>
    <row r="206">
      <c r="A206" s="226"/>
      <c r="B206" s="226"/>
      <c r="C206" s="226"/>
    </row>
    <row r="207">
      <c r="A207" s="226"/>
      <c r="B207" s="226"/>
      <c r="C207" s="226"/>
    </row>
    <row r="208">
      <c r="A208" s="226"/>
      <c r="B208" s="226"/>
      <c r="C208" s="226"/>
    </row>
    <row r="209">
      <c r="A209" s="226"/>
      <c r="B209" s="226"/>
      <c r="C209" s="226"/>
    </row>
    <row r="210">
      <c r="A210" s="226"/>
      <c r="B210" s="226"/>
      <c r="C210" s="226"/>
    </row>
    <row r="211">
      <c r="A211" s="226"/>
      <c r="B211" s="226"/>
      <c r="C211" s="226"/>
    </row>
    <row r="212">
      <c r="A212" s="226"/>
      <c r="B212" s="226"/>
      <c r="C212" s="226"/>
    </row>
    <row r="213">
      <c r="A213" s="226"/>
      <c r="B213" s="226"/>
      <c r="C213" s="226"/>
    </row>
    <row r="214">
      <c r="A214" s="226"/>
      <c r="B214" s="226"/>
      <c r="C214" s="226"/>
    </row>
    <row r="215">
      <c r="A215" s="226"/>
      <c r="B215" s="226"/>
      <c r="C215" s="226"/>
    </row>
    <row r="216">
      <c r="A216" s="226"/>
      <c r="B216" s="226"/>
      <c r="C216" s="226"/>
    </row>
    <row r="217">
      <c r="A217" s="226"/>
      <c r="B217" s="226"/>
      <c r="C217" s="226"/>
    </row>
    <row r="218">
      <c r="A218" s="226"/>
      <c r="B218" s="226"/>
      <c r="C218" s="226"/>
    </row>
    <row r="219">
      <c r="A219" s="226"/>
      <c r="B219" s="226"/>
      <c r="C219" s="226"/>
    </row>
    <row r="220">
      <c r="A220" s="226"/>
      <c r="B220" s="226"/>
      <c r="C220" s="226"/>
    </row>
    <row r="221">
      <c r="A221" s="226"/>
      <c r="B221" s="226"/>
      <c r="C221" s="226"/>
    </row>
    <row r="222">
      <c r="A222" s="226"/>
      <c r="B222" s="226"/>
      <c r="C222" s="226"/>
    </row>
    <row r="223">
      <c r="A223" s="226"/>
      <c r="B223" s="226"/>
      <c r="C223" s="226"/>
    </row>
    <row r="224">
      <c r="A224" s="226"/>
      <c r="B224" s="226"/>
      <c r="C224" s="226"/>
    </row>
    <row r="225">
      <c r="A225" s="226"/>
      <c r="B225" s="226"/>
      <c r="C225" s="226"/>
    </row>
    <row r="226">
      <c r="A226" s="226"/>
      <c r="B226" s="226"/>
      <c r="C226" s="226"/>
    </row>
    <row r="227">
      <c r="A227" s="226"/>
      <c r="B227" s="226"/>
      <c r="C227" s="226"/>
    </row>
    <row r="228">
      <c r="A228" s="226"/>
      <c r="B228" s="226"/>
      <c r="C228" s="226"/>
    </row>
    <row r="229">
      <c r="A229" s="226"/>
      <c r="B229" s="226"/>
      <c r="C229" s="226"/>
    </row>
    <row r="230">
      <c r="A230" s="226"/>
      <c r="B230" s="226"/>
      <c r="C230" s="226"/>
    </row>
    <row r="231">
      <c r="A231" s="226"/>
      <c r="B231" s="226"/>
      <c r="C231" s="226"/>
    </row>
    <row r="232">
      <c r="A232" s="226"/>
      <c r="B232" s="226"/>
      <c r="C232" s="226"/>
    </row>
    <row r="233">
      <c r="A233" s="226"/>
      <c r="B233" s="226"/>
      <c r="C233" s="226"/>
    </row>
    <row r="234">
      <c r="A234" s="226"/>
      <c r="B234" s="226"/>
      <c r="C234" s="226"/>
    </row>
    <row r="235">
      <c r="A235" s="226"/>
      <c r="B235" s="226"/>
      <c r="C235" s="226"/>
    </row>
    <row r="236">
      <c r="A236" s="226"/>
      <c r="B236" s="226"/>
      <c r="C236" s="226"/>
    </row>
    <row r="237">
      <c r="A237" s="226"/>
      <c r="B237" s="226"/>
      <c r="C237" s="226"/>
    </row>
    <row r="238">
      <c r="A238" s="226"/>
      <c r="B238" s="226"/>
      <c r="C238" s="226"/>
    </row>
    <row r="239">
      <c r="A239" s="226"/>
      <c r="B239" s="226"/>
      <c r="C239" s="226"/>
    </row>
    <row r="240">
      <c r="A240" s="226"/>
      <c r="B240" s="226"/>
      <c r="C240" s="226"/>
    </row>
    <row r="241">
      <c r="A241" s="226"/>
      <c r="B241" s="226"/>
      <c r="C241" s="226"/>
    </row>
    <row r="242">
      <c r="A242" s="226"/>
      <c r="B242" s="226"/>
      <c r="C242" s="226"/>
    </row>
    <row r="243">
      <c r="A243" s="226"/>
      <c r="B243" s="226"/>
      <c r="C243" s="226"/>
    </row>
    <row r="244">
      <c r="A244" s="226"/>
      <c r="B244" s="226"/>
      <c r="C244" s="226"/>
    </row>
    <row r="245">
      <c r="A245" s="226"/>
      <c r="B245" s="226"/>
      <c r="C245" s="226"/>
    </row>
    <row r="246">
      <c r="A246" s="226"/>
      <c r="B246" s="226"/>
      <c r="C246" s="226"/>
    </row>
    <row r="247">
      <c r="A247" s="226"/>
      <c r="B247" s="226"/>
      <c r="C247" s="226"/>
    </row>
    <row r="248">
      <c r="A248" s="226"/>
      <c r="B248" s="226"/>
      <c r="C248" s="226"/>
    </row>
    <row r="249">
      <c r="A249" s="226"/>
      <c r="B249" s="226"/>
      <c r="C249" s="226"/>
    </row>
    <row r="250">
      <c r="A250" s="226"/>
      <c r="B250" s="226"/>
      <c r="C250" s="226"/>
    </row>
    <row r="251">
      <c r="A251" s="226"/>
      <c r="B251" s="226"/>
      <c r="C251" s="226"/>
    </row>
    <row r="252">
      <c r="A252" s="226"/>
      <c r="B252" s="226"/>
      <c r="C252" s="226"/>
    </row>
    <row r="253">
      <c r="A253" s="226"/>
      <c r="B253" s="226"/>
      <c r="C253" s="226"/>
    </row>
    <row r="254">
      <c r="A254" s="226"/>
      <c r="B254" s="226"/>
      <c r="C254" s="226"/>
    </row>
    <row r="255">
      <c r="A255" s="226"/>
      <c r="B255" s="226"/>
      <c r="C255" s="226"/>
    </row>
    <row r="256">
      <c r="A256" s="226"/>
      <c r="B256" s="226"/>
      <c r="C256" s="226"/>
    </row>
    <row r="257">
      <c r="A257" s="226"/>
      <c r="B257" s="226"/>
      <c r="C257" s="226"/>
    </row>
    <row r="258">
      <c r="A258" s="226"/>
      <c r="B258" s="226"/>
      <c r="C258" s="226"/>
    </row>
    <row r="259">
      <c r="A259" s="226"/>
      <c r="B259" s="226"/>
      <c r="C259" s="226"/>
    </row>
    <row r="260">
      <c r="A260" s="226"/>
      <c r="B260" s="226"/>
      <c r="C260" s="226"/>
    </row>
    <row r="261">
      <c r="A261" s="226"/>
      <c r="B261" s="226"/>
      <c r="C261" s="226"/>
    </row>
    <row r="262">
      <c r="A262" s="226"/>
      <c r="B262" s="226"/>
      <c r="C262" s="226"/>
    </row>
    <row r="263">
      <c r="A263" s="226"/>
      <c r="B263" s="226"/>
      <c r="C263" s="226"/>
    </row>
    <row r="264">
      <c r="A264" s="226"/>
      <c r="B264" s="226"/>
      <c r="C264" s="226"/>
    </row>
    <row r="265">
      <c r="A265" s="226"/>
      <c r="B265" s="226"/>
      <c r="C265" s="226"/>
    </row>
    <row r="266">
      <c r="A266" s="226"/>
      <c r="B266" s="226"/>
      <c r="C266" s="226"/>
    </row>
    <row r="267">
      <c r="A267" s="226"/>
      <c r="B267" s="226"/>
      <c r="C267" s="226"/>
    </row>
    <row r="268">
      <c r="A268" s="226"/>
      <c r="B268" s="226"/>
      <c r="C268" s="226"/>
    </row>
    <row r="269">
      <c r="A269" s="226"/>
      <c r="B269" s="226"/>
      <c r="C269" s="226"/>
    </row>
    <row r="270">
      <c r="A270" s="226"/>
      <c r="B270" s="226"/>
      <c r="C270" s="226"/>
    </row>
    <row r="271">
      <c r="A271" s="226"/>
      <c r="B271" s="226"/>
      <c r="C271" s="226"/>
    </row>
    <row r="272">
      <c r="A272" s="226"/>
      <c r="B272" s="226"/>
      <c r="C272" s="226"/>
    </row>
    <row r="273">
      <c r="A273" s="226"/>
      <c r="B273" s="226"/>
      <c r="C273" s="226"/>
    </row>
    <row r="274">
      <c r="A274" s="226"/>
      <c r="B274" s="226"/>
      <c r="C274" s="226"/>
    </row>
    <row r="275">
      <c r="A275" s="226"/>
      <c r="B275" s="226"/>
      <c r="C275" s="226"/>
    </row>
    <row r="276">
      <c r="A276" s="226"/>
      <c r="B276" s="226"/>
      <c r="C276" s="226"/>
    </row>
    <row r="277">
      <c r="A277" s="226"/>
      <c r="B277" s="226"/>
      <c r="C277" s="226"/>
    </row>
    <row r="278">
      <c r="A278" s="226"/>
      <c r="B278" s="226"/>
      <c r="C278" s="226"/>
    </row>
    <row r="279">
      <c r="A279" s="226"/>
      <c r="B279" s="226"/>
      <c r="C279" s="226"/>
    </row>
    <row r="280">
      <c r="A280" s="226"/>
      <c r="B280" s="226"/>
      <c r="C280" s="226"/>
    </row>
    <row r="281">
      <c r="A281" s="226"/>
      <c r="B281" s="226"/>
      <c r="C281" s="226"/>
    </row>
    <row r="282">
      <c r="A282" s="226"/>
      <c r="B282" s="226"/>
      <c r="C282" s="226"/>
    </row>
    <row r="283">
      <c r="A283" s="226"/>
      <c r="B283" s="226"/>
      <c r="C283" s="226"/>
    </row>
    <row r="284">
      <c r="A284" s="226"/>
      <c r="B284" s="226"/>
      <c r="C284" s="226"/>
    </row>
    <row r="285">
      <c r="A285" s="226"/>
      <c r="B285" s="226"/>
      <c r="C285" s="226"/>
    </row>
    <row r="286">
      <c r="A286" s="226"/>
      <c r="B286" s="226"/>
      <c r="C286" s="226"/>
    </row>
    <row r="287">
      <c r="A287" s="226"/>
      <c r="B287" s="226"/>
      <c r="C287" s="226"/>
    </row>
    <row r="288">
      <c r="A288" s="226"/>
      <c r="B288" s="226"/>
      <c r="C288" s="226"/>
    </row>
    <row r="289">
      <c r="A289" s="226"/>
      <c r="B289" s="226"/>
      <c r="C289" s="226"/>
    </row>
    <row r="290">
      <c r="A290" s="226"/>
      <c r="B290" s="226"/>
      <c r="C290" s="226"/>
    </row>
    <row r="291">
      <c r="A291" s="226"/>
      <c r="B291" s="226"/>
      <c r="C291" s="226"/>
    </row>
    <row r="292">
      <c r="A292" s="226"/>
      <c r="B292" s="226"/>
      <c r="C292" s="226"/>
    </row>
    <row r="293">
      <c r="A293" s="226"/>
      <c r="B293" s="226"/>
      <c r="C293" s="226"/>
    </row>
    <row r="294">
      <c r="A294" s="226"/>
      <c r="B294" s="226"/>
      <c r="C294" s="226"/>
    </row>
    <row r="295">
      <c r="A295" s="226"/>
      <c r="B295" s="226"/>
      <c r="C295" s="226"/>
    </row>
    <row r="296">
      <c r="A296" s="226"/>
      <c r="B296" s="226"/>
      <c r="C296" s="226"/>
    </row>
    <row r="297">
      <c r="A297" s="226"/>
      <c r="B297" s="226"/>
      <c r="C297" s="226"/>
    </row>
    <row r="298">
      <c r="A298" s="226"/>
      <c r="B298" s="226"/>
      <c r="C298" s="226"/>
    </row>
    <row r="299">
      <c r="A299" s="226"/>
      <c r="B299" s="226"/>
      <c r="C299" s="226"/>
    </row>
    <row r="300">
      <c r="A300" s="226"/>
      <c r="B300" s="226"/>
      <c r="C300" s="226"/>
    </row>
    <row r="301">
      <c r="A301" s="226"/>
      <c r="B301" s="226"/>
      <c r="C301" s="226"/>
    </row>
    <row r="302">
      <c r="A302" s="226"/>
      <c r="B302" s="226"/>
      <c r="C302" s="226"/>
    </row>
    <row r="303">
      <c r="A303" s="226"/>
      <c r="B303" s="226"/>
      <c r="C303" s="226"/>
    </row>
    <row r="304">
      <c r="A304" s="226"/>
      <c r="B304" s="226"/>
      <c r="C304" s="226"/>
    </row>
    <row r="305">
      <c r="A305" s="226"/>
      <c r="B305" s="226"/>
      <c r="C305" s="226"/>
    </row>
    <row r="306">
      <c r="A306" s="226"/>
      <c r="B306" s="226"/>
      <c r="C306" s="226"/>
    </row>
    <row r="307">
      <c r="A307" s="226"/>
      <c r="B307" s="226"/>
      <c r="C307" s="226"/>
    </row>
    <row r="308">
      <c r="A308" s="226"/>
      <c r="B308" s="226"/>
      <c r="C308" s="226"/>
    </row>
    <row r="309">
      <c r="A309" s="226"/>
      <c r="B309" s="226"/>
      <c r="C309" s="226"/>
    </row>
    <row r="310">
      <c r="A310" s="226"/>
      <c r="B310" s="226"/>
      <c r="C310" s="226"/>
    </row>
    <row r="311">
      <c r="A311" s="226"/>
      <c r="B311" s="226"/>
      <c r="C311" s="226"/>
    </row>
    <row r="312">
      <c r="A312" s="226"/>
      <c r="B312" s="226"/>
      <c r="C312" s="226"/>
    </row>
    <row r="313">
      <c r="A313" s="226"/>
      <c r="B313" s="226"/>
      <c r="C313" s="226"/>
    </row>
    <row r="314">
      <c r="A314" s="226"/>
      <c r="B314" s="226"/>
      <c r="C314" s="226"/>
    </row>
    <row r="315">
      <c r="A315" s="226"/>
      <c r="B315" s="226"/>
      <c r="C315" s="226"/>
    </row>
    <row r="316">
      <c r="A316" s="226"/>
      <c r="B316" s="226"/>
      <c r="C316" s="226"/>
    </row>
    <row r="317">
      <c r="A317" s="226"/>
      <c r="B317" s="226"/>
      <c r="C317" s="226"/>
    </row>
    <row r="318">
      <c r="A318" s="226"/>
      <c r="B318" s="226"/>
      <c r="C318" s="226"/>
    </row>
    <row r="319">
      <c r="A319" s="226"/>
      <c r="B319" s="226"/>
      <c r="C319" s="226"/>
    </row>
    <row r="320">
      <c r="A320" s="226"/>
      <c r="B320" s="226"/>
      <c r="C320" s="226"/>
    </row>
    <row r="321">
      <c r="A321" s="226"/>
      <c r="B321" s="226"/>
      <c r="C321" s="226"/>
    </row>
    <row r="322">
      <c r="A322" s="226"/>
      <c r="B322" s="226"/>
      <c r="C322" s="226"/>
    </row>
    <row r="323">
      <c r="A323" s="226"/>
      <c r="B323" s="226"/>
      <c r="C323" s="226"/>
    </row>
    <row r="324">
      <c r="A324" s="226"/>
      <c r="B324" s="226"/>
      <c r="C324" s="226"/>
    </row>
    <row r="325">
      <c r="A325" s="226"/>
      <c r="B325" s="226"/>
      <c r="C325" s="226"/>
    </row>
    <row r="326">
      <c r="A326" s="226"/>
      <c r="B326" s="226"/>
      <c r="C326" s="226"/>
    </row>
    <row r="327">
      <c r="A327" s="226"/>
      <c r="B327" s="226"/>
      <c r="C327" s="226"/>
    </row>
    <row r="328">
      <c r="A328" s="226"/>
      <c r="B328" s="226"/>
      <c r="C328" s="226"/>
    </row>
    <row r="329">
      <c r="A329" s="226"/>
      <c r="B329" s="226"/>
      <c r="C329" s="226"/>
    </row>
    <row r="330">
      <c r="A330" s="226"/>
      <c r="B330" s="226"/>
      <c r="C330" s="226"/>
    </row>
    <row r="331">
      <c r="A331" s="226"/>
      <c r="B331" s="226"/>
      <c r="C331" s="226"/>
    </row>
    <row r="332">
      <c r="A332" s="226"/>
      <c r="B332" s="226"/>
      <c r="C332" s="226"/>
    </row>
    <row r="333">
      <c r="A333" s="226"/>
      <c r="B333" s="226"/>
      <c r="C333" s="226"/>
    </row>
    <row r="334">
      <c r="A334" s="226"/>
      <c r="B334" s="226"/>
      <c r="C334" s="226"/>
    </row>
    <row r="335">
      <c r="A335" s="226"/>
      <c r="B335" s="226"/>
      <c r="C335" s="226"/>
    </row>
    <row r="336">
      <c r="A336" s="226"/>
      <c r="B336" s="226"/>
      <c r="C336" s="226"/>
    </row>
    <row r="337">
      <c r="A337" s="226"/>
      <c r="B337" s="226"/>
      <c r="C337" s="226"/>
    </row>
    <row r="338">
      <c r="A338" s="226"/>
      <c r="B338" s="226"/>
      <c r="C338" s="226"/>
    </row>
    <row r="339">
      <c r="A339" s="226"/>
      <c r="B339" s="226"/>
      <c r="C339" s="226"/>
    </row>
    <row r="340">
      <c r="A340" s="226"/>
      <c r="B340" s="226"/>
      <c r="C340" s="226"/>
    </row>
    <row r="341">
      <c r="A341" s="226"/>
      <c r="B341" s="226"/>
      <c r="C341" s="226"/>
    </row>
    <row r="342">
      <c r="A342" s="226"/>
      <c r="B342" s="226"/>
      <c r="C342" s="226"/>
    </row>
    <row r="343">
      <c r="A343" s="226"/>
      <c r="B343" s="226"/>
      <c r="C343" s="226"/>
    </row>
    <row r="344">
      <c r="A344" s="226"/>
      <c r="B344" s="226"/>
      <c r="C344" s="226"/>
    </row>
    <row r="345">
      <c r="A345" s="226"/>
      <c r="B345" s="226"/>
      <c r="C345" s="226"/>
    </row>
    <row r="346">
      <c r="A346" s="226"/>
      <c r="B346" s="226"/>
      <c r="C346" s="226"/>
    </row>
    <row r="347">
      <c r="A347" s="226"/>
      <c r="B347" s="226"/>
      <c r="C347" s="226"/>
    </row>
    <row r="348">
      <c r="A348" s="226"/>
      <c r="B348" s="226"/>
      <c r="C348" s="226"/>
    </row>
    <row r="349">
      <c r="A349" s="226"/>
      <c r="B349" s="226"/>
      <c r="C349" s="226"/>
    </row>
    <row r="350">
      <c r="A350" s="226"/>
      <c r="B350" s="226"/>
      <c r="C350" s="226"/>
    </row>
    <row r="351">
      <c r="A351" s="226"/>
      <c r="B351" s="226"/>
      <c r="C351" s="226"/>
    </row>
    <row r="352">
      <c r="A352" s="226"/>
      <c r="B352" s="226"/>
      <c r="C352" s="226"/>
    </row>
    <row r="353">
      <c r="A353" s="226"/>
      <c r="B353" s="226"/>
      <c r="C353" s="226"/>
    </row>
    <row r="354">
      <c r="A354" s="226"/>
      <c r="B354" s="226"/>
      <c r="C354" s="226"/>
    </row>
    <row r="355">
      <c r="A355" s="226"/>
      <c r="B355" s="226"/>
      <c r="C355" s="226"/>
    </row>
    <row r="356">
      <c r="A356" s="226"/>
      <c r="B356" s="226"/>
      <c r="C356" s="226"/>
    </row>
    <row r="357">
      <c r="A357" s="226"/>
      <c r="B357" s="226"/>
      <c r="C357" s="226"/>
    </row>
    <row r="358">
      <c r="A358" s="226"/>
      <c r="B358" s="226"/>
      <c r="C358" s="226"/>
    </row>
    <row r="359">
      <c r="A359" s="226"/>
      <c r="B359" s="226"/>
      <c r="C359" s="226"/>
    </row>
    <row r="360">
      <c r="A360" s="226"/>
      <c r="B360" s="226"/>
      <c r="C360" s="226"/>
    </row>
    <row r="361">
      <c r="A361" s="226"/>
      <c r="B361" s="226"/>
      <c r="C361" s="226"/>
    </row>
    <row r="362">
      <c r="A362" s="226"/>
      <c r="B362" s="226"/>
      <c r="C362" s="226"/>
    </row>
    <row r="363">
      <c r="A363" s="226"/>
      <c r="B363" s="226"/>
      <c r="C363" s="226"/>
    </row>
    <row r="364">
      <c r="A364" s="226"/>
      <c r="B364" s="226"/>
      <c r="C364" s="226"/>
    </row>
    <row r="365">
      <c r="A365" s="226"/>
      <c r="B365" s="226"/>
      <c r="C365" s="226"/>
    </row>
    <row r="366">
      <c r="A366" s="226"/>
      <c r="B366" s="226"/>
      <c r="C366" s="226"/>
    </row>
    <row r="367">
      <c r="A367" s="226"/>
      <c r="B367" s="226"/>
      <c r="C367" s="226"/>
    </row>
    <row r="368">
      <c r="A368" s="226"/>
      <c r="B368" s="226"/>
      <c r="C368" s="226"/>
    </row>
    <row r="369">
      <c r="A369" s="226"/>
      <c r="B369" s="226"/>
      <c r="C369" s="226"/>
    </row>
    <row r="370">
      <c r="A370" s="226"/>
      <c r="B370" s="226"/>
      <c r="C370" s="226"/>
    </row>
    <row r="371">
      <c r="A371" s="226"/>
      <c r="B371" s="226"/>
      <c r="C371" s="226"/>
    </row>
    <row r="372">
      <c r="A372" s="226"/>
      <c r="B372" s="226"/>
      <c r="C372" s="226"/>
    </row>
    <row r="373">
      <c r="A373" s="226"/>
      <c r="B373" s="226"/>
      <c r="C373" s="226"/>
    </row>
    <row r="374">
      <c r="A374" s="226"/>
      <c r="B374" s="226"/>
      <c r="C374" s="226"/>
    </row>
    <row r="375">
      <c r="A375" s="226"/>
      <c r="B375" s="226"/>
      <c r="C375" s="226"/>
    </row>
    <row r="376">
      <c r="A376" s="226"/>
      <c r="B376" s="226"/>
      <c r="C376" s="226"/>
    </row>
    <row r="377">
      <c r="A377" s="226"/>
      <c r="B377" s="226"/>
      <c r="C377" s="226"/>
    </row>
    <row r="378">
      <c r="A378" s="226"/>
      <c r="B378" s="226"/>
      <c r="C378" s="226"/>
    </row>
    <row r="379">
      <c r="A379" s="226"/>
      <c r="B379" s="226"/>
      <c r="C379" s="226"/>
    </row>
    <row r="380">
      <c r="A380" s="226"/>
      <c r="B380" s="226"/>
      <c r="C380" s="226"/>
    </row>
    <row r="381">
      <c r="A381" s="226"/>
      <c r="B381" s="226"/>
      <c r="C381" s="226"/>
    </row>
    <row r="382">
      <c r="A382" s="226"/>
      <c r="B382" s="226"/>
      <c r="C382" s="226"/>
    </row>
    <row r="383">
      <c r="A383" s="226"/>
      <c r="B383" s="226"/>
      <c r="C383" s="226"/>
    </row>
    <row r="384">
      <c r="A384" s="226"/>
      <c r="B384" s="226"/>
      <c r="C384" s="226"/>
    </row>
    <row r="385">
      <c r="A385" s="226"/>
      <c r="B385" s="226"/>
      <c r="C385" s="226"/>
    </row>
    <row r="386">
      <c r="A386" s="226"/>
      <c r="B386" s="226"/>
      <c r="C386" s="226"/>
    </row>
    <row r="387">
      <c r="A387" s="226"/>
      <c r="B387" s="226"/>
      <c r="C387" s="226"/>
    </row>
    <row r="388">
      <c r="A388" s="226"/>
      <c r="B388" s="226"/>
      <c r="C388" s="226"/>
    </row>
    <row r="389">
      <c r="A389" s="226"/>
      <c r="B389" s="226"/>
      <c r="C389" s="226"/>
    </row>
    <row r="390">
      <c r="A390" s="226"/>
      <c r="B390" s="226"/>
      <c r="C390" s="226"/>
    </row>
    <row r="391">
      <c r="A391" s="226"/>
      <c r="B391" s="226"/>
      <c r="C391" s="226"/>
    </row>
    <row r="392">
      <c r="A392" s="226"/>
      <c r="B392" s="226"/>
      <c r="C392" s="226"/>
    </row>
    <row r="393">
      <c r="A393" s="226"/>
      <c r="B393" s="226"/>
      <c r="C393" s="226"/>
    </row>
    <row r="394">
      <c r="A394" s="226"/>
      <c r="B394" s="226"/>
      <c r="C394" s="226"/>
    </row>
    <row r="395">
      <c r="A395" s="226"/>
      <c r="B395" s="226"/>
      <c r="C395" s="226"/>
    </row>
    <row r="396">
      <c r="A396" s="226"/>
      <c r="B396" s="226"/>
      <c r="C396" s="226"/>
    </row>
    <row r="397">
      <c r="A397" s="226"/>
      <c r="B397" s="226"/>
      <c r="C397" s="226"/>
    </row>
    <row r="398">
      <c r="A398" s="226"/>
      <c r="B398" s="226"/>
      <c r="C398" s="226"/>
    </row>
    <row r="399">
      <c r="A399" s="226"/>
      <c r="B399" s="226"/>
      <c r="C399" s="226"/>
    </row>
    <row r="400">
      <c r="A400" s="226"/>
      <c r="B400" s="226"/>
      <c r="C400" s="226"/>
    </row>
    <row r="401">
      <c r="A401" s="226"/>
      <c r="B401" s="226"/>
      <c r="C401" s="226"/>
    </row>
    <row r="402">
      <c r="A402" s="226"/>
      <c r="B402" s="226"/>
      <c r="C402" s="226"/>
    </row>
    <row r="403">
      <c r="A403" s="226"/>
      <c r="B403" s="226"/>
      <c r="C403" s="226"/>
    </row>
    <row r="404">
      <c r="A404" s="226"/>
      <c r="B404" s="226"/>
      <c r="C404" s="226"/>
    </row>
    <row r="405">
      <c r="A405" s="226"/>
      <c r="B405" s="226"/>
      <c r="C405" s="226"/>
    </row>
    <row r="406">
      <c r="A406" s="226"/>
      <c r="B406" s="226"/>
      <c r="C406" s="226"/>
    </row>
    <row r="407">
      <c r="A407" s="226"/>
      <c r="B407" s="226"/>
      <c r="C407" s="226"/>
    </row>
    <row r="408">
      <c r="A408" s="226"/>
      <c r="B408" s="226"/>
      <c r="C408" s="226"/>
    </row>
    <row r="409">
      <c r="A409" s="226"/>
      <c r="B409" s="226"/>
      <c r="C409" s="226"/>
    </row>
    <row r="410">
      <c r="A410" s="226"/>
      <c r="B410" s="226"/>
      <c r="C410" s="226"/>
    </row>
    <row r="411">
      <c r="A411" s="226"/>
      <c r="B411" s="226"/>
      <c r="C411" s="226"/>
    </row>
    <row r="412">
      <c r="A412" s="226"/>
      <c r="B412" s="226"/>
      <c r="C412" s="226"/>
    </row>
    <row r="413">
      <c r="A413" s="226"/>
      <c r="B413" s="226"/>
      <c r="C413" s="226"/>
    </row>
    <row r="414">
      <c r="A414" s="226"/>
      <c r="B414" s="226"/>
      <c r="C414" s="226"/>
    </row>
    <row r="415">
      <c r="A415" s="226"/>
      <c r="B415" s="226"/>
      <c r="C415" s="226"/>
    </row>
    <row r="416">
      <c r="A416" s="226"/>
      <c r="B416" s="226"/>
      <c r="C416" s="226"/>
    </row>
    <row r="417">
      <c r="A417" s="226"/>
      <c r="B417" s="226"/>
      <c r="C417" s="226"/>
    </row>
    <row r="418">
      <c r="A418" s="226"/>
      <c r="B418" s="226"/>
      <c r="C418" s="226"/>
    </row>
    <row r="419">
      <c r="A419" s="226"/>
      <c r="B419" s="226"/>
      <c r="C419" s="226"/>
    </row>
    <row r="420">
      <c r="A420" s="226"/>
      <c r="B420" s="226"/>
      <c r="C420" s="226"/>
    </row>
    <row r="421">
      <c r="A421" s="226"/>
      <c r="B421" s="226"/>
      <c r="C421" s="226"/>
    </row>
    <row r="422">
      <c r="A422" s="226"/>
      <c r="B422" s="226"/>
      <c r="C422" s="226"/>
    </row>
    <row r="423">
      <c r="A423" s="226"/>
      <c r="B423" s="226"/>
      <c r="C423" s="226"/>
    </row>
    <row r="424">
      <c r="A424" s="226"/>
      <c r="B424" s="226"/>
      <c r="C424" s="226"/>
    </row>
    <row r="425">
      <c r="A425" s="226"/>
      <c r="B425" s="226"/>
      <c r="C425" s="226"/>
    </row>
    <row r="426">
      <c r="A426" s="226"/>
      <c r="B426" s="226"/>
      <c r="C426" s="226"/>
    </row>
    <row r="427">
      <c r="A427" s="226"/>
      <c r="B427" s="226"/>
      <c r="C427" s="226"/>
    </row>
    <row r="428">
      <c r="A428" s="226"/>
      <c r="B428" s="226"/>
      <c r="C428" s="226"/>
    </row>
    <row r="429">
      <c r="A429" s="226"/>
      <c r="B429" s="226"/>
      <c r="C429" s="226"/>
    </row>
    <row r="430">
      <c r="A430" s="226"/>
      <c r="B430" s="226"/>
      <c r="C430" s="226"/>
    </row>
    <row r="431">
      <c r="A431" s="226"/>
      <c r="B431" s="226"/>
      <c r="C431" s="226"/>
    </row>
    <row r="432">
      <c r="A432" s="226"/>
      <c r="B432" s="226"/>
      <c r="C432" s="226"/>
    </row>
    <row r="433">
      <c r="A433" s="226"/>
      <c r="B433" s="226"/>
      <c r="C433" s="226"/>
    </row>
    <row r="434">
      <c r="A434" s="226"/>
      <c r="B434" s="226"/>
      <c r="C434" s="226"/>
    </row>
    <row r="435">
      <c r="A435" s="226"/>
      <c r="B435" s="226"/>
      <c r="C435" s="226"/>
    </row>
    <row r="436">
      <c r="A436" s="226"/>
      <c r="B436" s="226"/>
      <c r="C436" s="226"/>
    </row>
    <row r="437">
      <c r="A437" s="226"/>
      <c r="B437" s="226"/>
      <c r="C437" s="226"/>
    </row>
    <row r="438">
      <c r="A438" s="226"/>
      <c r="B438" s="226"/>
      <c r="C438" s="226"/>
    </row>
    <row r="439">
      <c r="A439" s="226"/>
      <c r="B439" s="226"/>
      <c r="C439" s="226"/>
    </row>
    <row r="440">
      <c r="A440" s="226"/>
      <c r="B440" s="226"/>
      <c r="C440" s="226"/>
    </row>
    <row r="441">
      <c r="A441" s="226"/>
      <c r="B441" s="226"/>
      <c r="C441" s="226"/>
    </row>
    <row r="442">
      <c r="A442" s="226"/>
      <c r="B442" s="226"/>
      <c r="C442" s="226"/>
    </row>
    <row r="443">
      <c r="A443" s="226"/>
      <c r="B443" s="226"/>
      <c r="C443" s="226"/>
    </row>
    <row r="444">
      <c r="A444" s="226"/>
      <c r="B444" s="226"/>
      <c r="C444" s="226"/>
    </row>
    <row r="445">
      <c r="A445" s="226"/>
      <c r="B445" s="226"/>
      <c r="C445" s="226"/>
    </row>
    <row r="446">
      <c r="A446" s="226"/>
      <c r="B446" s="226"/>
      <c r="C446" s="226"/>
    </row>
    <row r="447">
      <c r="A447" s="226"/>
      <c r="B447" s="226"/>
      <c r="C447" s="226"/>
    </row>
    <row r="448">
      <c r="A448" s="226"/>
      <c r="B448" s="226"/>
      <c r="C448" s="226"/>
    </row>
    <row r="449">
      <c r="A449" s="226"/>
      <c r="B449" s="226"/>
      <c r="C449" s="226"/>
    </row>
    <row r="450">
      <c r="A450" s="226"/>
      <c r="B450" s="226"/>
      <c r="C450" s="226"/>
    </row>
    <row r="451">
      <c r="A451" s="226"/>
      <c r="B451" s="226"/>
      <c r="C451" s="226"/>
    </row>
    <row r="452">
      <c r="A452" s="226"/>
      <c r="B452" s="226"/>
      <c r="C452" s="226"/>
    </row>
    <row r="453">
      <c r="A453" s="226"/>
      <c r="B453" s="226"/>
      <c r="C453" s="226"/>
    </row>
    <row r="454">
      <c r="A454" s="226"/>
      <c r="B454" s="226"/>
      <c r="C454" s="226"/>
    </row>
    <row r="455">
      <c r="A455" s="226"/>
      <c r="B455" s="226"/>
      <c r="C455" s="226"/>
    </row>
    <row r="456">
      <c r="A456" s="226"/>
      <c r="B456" s="226"/>
      <c r="C456" s="226"/>
    </row>
    <row r="457">
      <c r="A457" s="226"/>
      <c r="B457" s="226"/>
      <c r="C457" s="226"/>
    </row>
    <row r="458">
      <c r="A458" s="226"/>
      <c r="B458" s="226"/>
      <c r="C458" s="226"/>
    </row>
    <row r="459">
      <c r="A459" s="226"/>
      <c r="B459" s="226"/>
      <c r="C459" s="226"/>
    </row>
    <row r="460">
      <c r="A460" s="226"/>
      <c r="B460" s="226"/>
      <c r="C460" s="226"/>
    </row>
    <row r="461">
      <c r="A461" s="226"/>
      <c r="B461" s="226"/>
      <c r="C461" s="226"/>
    </row>
    <row r="462">
      <c r="A462" s="226"/>
      <c r="B462" s="226"/>
      <c r="C462" s="226"/>
    </row>
    <row r="463">
      <c r="A463" s="226"/>
      <c r="B463" s="226"/>
      <c r="C463" s="226"/>
    </row>
    <row r="464">
      <c r="A464" s="226"/>
      <c r="B464" s="226"/>
      <c r="C464" s="226"/>
    </row>
    <row r="465">
      <c r="A465" s="226"/>
      <c r="B465" s="226"/>
      <c r="C465" s="226"/>
    </row>
    <row r="466">
      <c r="A466" s="226"/>
      <c r="B466" s="226"/>
      <c r="C466" s="226"/>
    </row>
    <row r="467">
      <c r="A467" s="226"/>
      <c r="B467" s="226"/>
      <c r="C467" s="226"/>
    </row>
    <row r="468">
      <c r="A468" s="226"/>
      <c r="B468" s="226"/>
      <c r="C468" s="226"/>
    </row>
    <row r="469">
      <c r="A469" s="226"/>
      <c r="B469" s="226"/>
      <c r="C469" s="226"/>
    </row>
    <row r="470">
      <c r="A470" s="226"/>
      <c r="B470" s="226"/>
      <c r="C470" s="226"/>
    </row>
    <row r="471">
      <c r="A471" s="226"/>
      <c r="B471" s="226"/>
      <c r="C471" s="226"/>
    </row>
    <row r="472">
      <c r="A472" s="226"/>
      <c r="B472" s="226"/>
      <c r="C472" s="226"/>
    </row>
    <row r="473">
      <c r="A473" s="226"/>
      <c r="B473" s="226"/>
      <c r="C473" s="226"/>
    </row>
    <row r="474">
      <c r="A474" s="226"/>
      <c r="B474" s="226"/>
      <c r="C474" s="226"/>
    </row>
    <row r="475">
      <c r="A475" s="226"/>
      <c r="B475" s="226"/>
      <c r="C475" s="226"/>
    </row>
    <row r="476">
      <c r="A476" s="226"/>
      <c r="B476" s="226"/>
      <c r="C476" s="226"/>
    </row>
    <row r="477">
      <c r="A477" s="226"/>
      <c r="B477" s="226"/>
      <c r="C477" s="226"/>
    </row>
    <row r="478">
      <c r="A478" s="226"/>
      <c r="B478" s="226"/>
      <c r="C478" s="226"/>
    </row>
    <row r="479">
      <c r="A479" s="226"/>
      <c r="B479" s="226"/>
      <c r="C479" s="226"/>
    </row>
    <row r="480">
      <c r="A480" s="226"/>
      <c r="B480" s="226"/>
      <c r="C480" s="226"/>
    </row>
    <row r="481">
      <c r="A481" s="226"/>
      <c r="B481" s="226"/>
      <c r="C481" s="226"/>
    </row>
    <row r="482">
      <c r="A482" s="226"/>
      <c r="B482" s="226"/>
      <c r="C482" s="226"/>
    </row>
    <row r="483">
      <c r="A483" s="226"/>
      <c r="B483" s="226"/>
      <c r="C483" s="226"/>
    </row>
    <row r="484">
      <c r="A484" s="226"/>
      <c r="B484" s="226"/>
      <c r="C484" s="226"/>
    </row>
    <row r="485">
      <c r="A485" s="226"/>
      <c r="B485" s="226"/>
      <c r="C485" s="226"/>
    </row>
    <row r="486">
      <c r="A486" s="226"/>
      <c r="B486" s="226"/>
      <c r="C486" s="226"/>
    </row>
    <row r="487">
      <c r="A487" s="226"/>
      <c r="B487" s="226"/>
      <c r="C487" s="226"/>
    </row>
    <row r="488">
      <c r="A488" s="226"/>
      <c r="B488" s="226"/>
      <c r="C488" s="226"/>
    </row>
    <row r="489">
      <c r="A489" s="226"/>
      <c r="B489" s="226"/>
      <c r="C489" s="226"/>
    </row>
    <row r="490">
      <c r="A490" s="226"/>
      <c r="B490" s="226"/>
      <c r="C490" s="226"/>
    </row>
    <row r="491">
      <c r="A491" s="226"/>
      <c r="B491" s="226"/>
      <c r="C491" s="226"/>
    </row>
    <row r="492">
      <c r="A492" s="226"/>
      <c r="B492" s="226"/>
      <c r="C492" s="226"/>
    </row>
    <row r="493">
      <c r="A493" s="226"/>
      <c r="B493" s="226"/>
      <c r="C493" s="226"/>
    </row>
    <row r="494">
      <c r="A494" s="226"/>
      <c r="B494" s="226"/>
      <c r="C494" s="226"/>
    </row>
    <row r="495">
      <c r="A495" s="226"/>
      <c r="B495" s="226"/>
      <c r="C495" s="226"/>
    </row>
    <row r="496">
      <c r="A496" s="226"/>
      <c r="B496" s="226"/>
      <c r="C496" s="226"/>
    </row>
    <row r="497">
      <c r="A497" s="226"/>
      <c r="B497" s="226"/>
      <c r="C497" s="226"/>
    </row>
    <row r="498">
      <c r="A498" s="226"/>
      <c r="B498" s="226"/>
      <c r="C498" s="226"/>
    </row>
    <row r="499">
      <c r="A499" s="226"/>
      <c r="B499" s="226"/>
      <c r="C499" s="226"/>
    </row>
    <row r="500">
      <c r="A500" s="226"/>
      <c r="B500" s="226"/>
      <c r="C500" s="226"/>
    </row>
    <row r="501">
      <c r="A501" s="226"/>
      <c r="B501" s="226"/>
      <c r="C501" s="226"/>
    </row>
    <row r="502">
      <c r="A502" s="226"/>
      <c r="B502" s="226"/>
      <c r="C502" s="226"/>
    </row>
    <row r="503">
      <c r="A503" s="226"/>
      <c r="B503" s="226"/>
      <c r="C503" s="226"/>
    </row>
    <row r="504">
      <c r="A504" s="226"/>
      <c r="B504" s="226"/>
      <c r="C504" s="226"/>
    </row>
    <row r="505">
      <c r="A505" s="226"/>
      <c r="B505" s="226"/>
      <c r="C505" s="226"/>
    </row>
    <row r="506">
      <c r="A506" s="226"/>
      <c r="B506" s="226"/>
      <c r="C506" s="226"/>
    </row>
    <row r="507">
      <c r="A507" s="226"/>
      <c r="B507" s="226"/>
      <c r="C507" s="226"/>
    </row>
    <row r="508">
      <c r="A508" s="226"/>
      <c r="B508" s="226"/>
      <c r="C508" s="226"/>
    </row>
    <row r="509">
      <c r="A509" s="226"/>
      <c r="B509" s="226"/>
      <c r="C509" s="226"/>
    </row>
    <row r="510">
      <c r="A510" s="226"/>
      <c r="B510" s="226"/>
      <c r="C510" s="226"/>
    </row>
    <row r="511">
      <c r="A511" s="226"/>
      <c r="B511" s="226"/>
      <c r="C511" s="226"/>
    </row>
    <row r="512">
      <c r="A512" s="226"/>
      <c r="B512" s="226"/>
      <c r="C512" s="226"/>
    </row>
    <row r="513">
      <c r="A513" s="226"/>
      <c r="B513" s="226"/>
      <c r="C513" s="226"/>
    </row>
    <row r="514">
      <c r="A514" s="226"/>
      <c r="B514" s="226"/>
      <c r="C514" s="226"/>
    </row>
    <row r="515">
      <c r="A515" s="226"/>
      <c r="B515" s="226"/>
      <c r="C515" s="226"/>
    </row>
    <row r="516">
      <c r="A516" s="226"/>
      <c r="B516" s="226"/>
      <c r="C516" s="226"/>
    </row>
    <row r="517">
      <c r="A517" s="226"/>
      <c r="B517" s="226"/>
      <c r="C517" s="226"/>
    </row>
    <row r="518">
      <c r="A518" s="226"/>
      <c r="B518" s="226"/>
      <c r="C518" s="226"/>
    </row>
    <row r="519">
      <c r="A519" s="226"/>
      <c r="B519" s="226"/>
      <c r="C519" s="226"/>
    </row>
    <row r="520">
      <c r="A520" s="226"/>
      <c r="B520" s="226"/>
      <c r="C520" s="226"/>
    </row>
    <row r="521">
      <c r="A521" s="226"/>
      <c r="B521" s="226"/>
      <c r="C521" s="226"/>
    </row>
    <row r="522">
      <c r="A522" s="226"/>
      <c r="B522" s="226"/>
      <c r="C522" s="226"/>
    </row>
    <row r="523">
      <c r="A523" s="226"/>
      <c r="B523" s="226"/>
      <c r="C523" s="226"/>
    </row>
    <row r="524">
      <c r="A524" s="226"/>
      <c r="B524" s="226"/>
      <c r="C524" s="226"/>
    </row>
    <row r="525">
      <c r="A525" s="226"/>
      <c r="B525" s="226"/>
      <c r="C525" s="226"/>
    </row>
    <row r="526">
      <c r="A526" s="226"/>
      <c r="B526" s="226"/>
      <c r="C526" s="226"/>
    </row>
    <row r="527">
      <c r="A527" s="226"/>
      <c r="B527" s="226"/>
      <c r="C527" s="226"/>
    </row>
    <row r="528">
      <c r="A528" s="226"/>
      <c r="B528" s="226"/>
      <c r="C528" s="226"/>
    </row>
    <row r="529">
      <c r="A529" s="226"/>
      <c r="B529" s="226"/>
      <c r="C529" s="226"/>
    </row>
    <row r="530">
      <c r="A530" s="226"/>
      <c r="B530" s="226"/>
      <c r="C530" s="226"/>
    </row>
    <row r="531">
      <c r="A531" s="226"/>
      <c r="B531" s="226"/>
      <c r="C531" s="226"/>
    </row>
    <row r="532">
      <c r="A532" s="226"/>
      <c r="B532" s="226"/>
      <c r="C532" s="226"/>
    </row>
    <row r="533">
      <c r="A533" s="226"/>
      <c r="B533" s="226"/>
      <c r="C533" s="226"/>
    </row>
    <row r="534">
      <c r="A534" s="226"/>
      <c r="B534" s="226"/>
      <c r="C534" s="226"/>
    </row>
    <row r="535">
      <c r="A535" s="226"/>
      <c r="B535" s="226"/>
      <c r="C535" s="226"/>
    </row>
    <row r="536">
      <c r="A536" s="226"/>
      <c r="B536" s="226"/>
      <c r="C536" s="226"/>
    </row>
    <row r="537">
      <c r="A537" s="226"/>
      <c r="B537" s="226"/>
      <c r="C537" s="226"/>
    </row>
    <row r="538">
      <c r="A538" s="226"/>
      <c r="B538" s="226"/>
      <c r="C538" s="226"/>
    </row>
    <row r="539">
      <c r="A539" s="226"/>
      <c r="B539" s="226"/>
      <c r="C539" s="226"/>
    </row>
    <row r="540">
      <c r="A540" s="226"/>
      <c r="B540" s="226"/>
      <c r="C540" s="226"/>
    </row>
    <row r="541">
      <c r="A541" s="226"/>
      <c r="B541" s="226"/>
      <c r="C541" s="226"/>
    </row>
    <row r="542">
      <c r="A542" s="226"/>
      <c r="B542" s="226"/>
      <c r="C542" s="226"/>
    </row>
    <row r="543">
      <c r="A543" s="226"/>
      <c r="B543" s="226"/>
      <c r="C543" s="226"/>
    </row>
    <row r="544">
      <c r="A544" s="226"/>
      <c r="B544" s="226"/>
      <c r="C544" s="226"/>
    </row>
    <row r="545">
      <c r="A545" s="226"/>
      <c r="B545" s="226"/>
      <c r="C545" s="226"/>
    </row>
    <row r="546">
      <c r="A546" s="226"/>
      <c r="B546" s="226"/>
      <c r="C546" s="226"/>
    </row>
    <row r="547">
      <c r="A547" s="226"/>
      <c r="B547" s="226"/>
      <c r="C547" s="226"/>
    </row>
    <row r="548">
      <c r="A548" s="226"/>
      <c r="B548" s="226"/>
      <c r="C548" s="226"/>
    </row>
    <row r="549">
      <c r="A549" s="226"/>
      <c r="B549" s="226"/>
      <c r="C549" s="226"/>
    </row>
    <row r="550">
      <c r="A550" s="226"/>
      <c r="B550" s="226"/>
      <c r="C550" s="226"/>
    </row>
    <row r="551">
      <c r="A551" s="226"/>
      <c r="B551" s="226"/>
      <c r="C551" s="226"/>
    </row>
    <row r="552">
      <c r="A552" s="226"/>
      <c r="B552" s="226"/>
      <c r="C552" s="226"/>
    </row>
    <row r="553">
      <c r="A553" s="226"/>
      <c r="B553" s="226"/>
      <c r="C553" s="226"/>
    </row>
    <row r="554">
      <c r="A554" s="226"/>
      <c r="B554" s="226"/>
      <c r="C554" s="226"/>
    </row>
    <row r="555">
      <c r="A555" s="226"/>
      <c r="B555" s="226"/>
      <c r="C555" s="226"/>
    </row>
    <row r="556">
      <c r="A556" s="226"/>
      <c r="B556" s="226"/>
      <c r="C556" s="226"/>
    </row>
    <row r="557">
      <c r="A557" s="226"/>
      <c r="B557" s="226"/>
      <c r="C557" s="226"/>
    </row>
    <row r="558">
      <c r="A558" s="226"/>
      <c r="B558" s="226"/>
      <c r="C558" s="226"/>
    </row>
    <row r="559">
      <c r="A559" s="226"/>
      <c r="B559" s="226"/>
      <c r="C559" s="226"/>
    </row>
    <row r="560">
      <c r="A560" s="226"/>
      <c r="B560" s="226"/>
      <c r="C560" s="226"/>
    </row>
    <row r="561">
      <c r="A561" s="226"/>
      <c r="B561" s="226"/>
      <c r="C561" s="226"/>
    </row>
    <row r="562">
      <c r="A562" s="226"/>
      <c r="B562" s="226"/>
      <c r="C562" s="226"/>
    </row>
    <row r="563">
      <c r="A563" s="226"/>
      <c r="B563" s="226"/>
      <c r="C563" s="226"/>
    </row>
    <row r="564">
      <c r="A564" s="226"/>
      <c r="B564" s="226"/>
      <c r="C564" s="226"/>
    </row>
    <row r="565">
      <c r="A565" s="226"/>
      <c r="B565" s="226"/>
      <c r="C565" s="226"/>
    </row>
    <row r="566">
      <c r="A566" s="226"/>
      <c r="B566" s="226"/>
      <c r="C566" s="226"/>
    </row>
    <row r="567">
      <c r="A567" s="226"/>
      <c r="B567" s="226"/>
      <c r="C567" s="226"/>
    </row>
    <row r="568">
      <c r="A568" s="226"/>
      <c r="B568" s="226"/>
      <c r="C568" s="226"/>
    </row>
    <row r="569">
      <c r="A569" s="226"/>
      <c r="B569" s="226"/>
      <c r="C569" s="226"/>
    </row>
    <row r="570">
      <c r="A570" s="226"/>
      <c r="B570" s="226"/>
      <c r="C570" s="226"/>
    </row>
    <row r="571">
      <c r="A571" s="226"/>
      <c r="B571" s="226"/>
      <c r="C571" s="226"/>
    </row>
    <row r="572">
      <c r="A572" s="226"/>
      <c r="B572" s="226"/>
      <c r="C572" s="226"/>
    </row>
    <row r="573">
      <c r="A573" s="226"/>
      <c r="B573" s="226"/>
      <c r="C573" s="226"/>
    </row>
    <row r="574">
      <c r="A574" s="226"/>
      <c r="B574" s="226"/>
      <c r="C574" s="226"/>
    </row>
    <row r="575">
      <c r="A575" s="226"/>
      <c r="B575" s="226"/>
      <c r="C575" s="226"/>
    </row>
    <row r="576">
      <c r="A576" s="226"/>
      <c r="B576" s="226"/>
      <c r="C576" s="226"/>
    </row>
    <row r="577">
      <c r="A577" s="226"/>
      <c r="B577" s="226"/>
      <c r="C577" s="226"/>
    </row>
    <row r="578">
      <c r="A578" s="226"/>
      <c r="B578" s="226"/>
      <c r="C578" s="226"/>
    </row>
    <row r="579">
      <c r="A579" s="226"/>
      <c r="B579" s="226"/>
      <c r="C579" s="226"/>
    </row>
    <row r="580">
      <c r="A580" s="226"/>
      <c r="B580" s="226"/>
      <c r="C580" s="226"/>
    </row>
    <row r="581">
      <c r="A581" s="226"/>
      <c r="B581" s="226"/>
      <c r="C581" s="226"/>
    </row>
    <row r="582">
      <c r="A582" s="226"/>
      <c r="B582" s="226"/>
      <c r="C582" s="226"/>
    </row>
    <row r="583">
      <c r="A583" s="226"/>
      <c r="B583" s="226"/>
      <c r="C583" s="226"/>
    </row>
    <row r="584">
      <c r="A584" s="226"/>
      <c r="B584" s="226"/>
      <c r="C584" s="226"/>
    </row>
    <row r="585">
      <c r="A585" s="226"/>
      <c r="B585" s="226"/>
      <c r="C585" s="226"/>
    </row>
    <row r="586">
      <c r="A586" s="226"/>
      <c r="B586" s="226"/>
      <c r="C586" s="226"/>
    </row>
    <row r="587">
      <c r="A587" s="226"/>
      <c r="B587" s="226"/>
      <c r="C587" s="226"/>
    </row>
    <row r="588">
      <c r="A588" s="226"/>
      <c r="B588" s="226"/>
      <c r="C588" s="226"/>
    </row>
    <row r="589">
      <c r="A589" s="226"/>
      <c r="B589" s="226"/>
      <c r="C589" s="226"/>
    </row>
    <row r="590">
      <c r="A590" s="226"/>
      <c r="B590" s="226"/>
      <c r="C590" s="226"/>
    </row>
    <row r="591">
      <c r="A591" s="226"/>
      <c r="B591" s="226"/>
      <c r="C591" s="226"/>
    </row>
    <row r="592">
      <c r="A592" s="226"/>
      <c r="B592" s="226"/>
      <c r="C592" s="226"/>
    </row>
    <row r="593">
      <c r="A593" s="226"/>
      <c r="B593" s="226"/>
      <c r="C593" s="226"/>
    </row>
    <row r="594">
      <c r="A594" s="226"/>
      <c r="B594" s="226"/>
      <c r="C594" s="226"/>
    </row>
    <row r="595">
      <c r="A595" s="226"/>
      <c r="B595" s="226"/>
      <c r="C595" s="226"/>
    </row>
    <row r="596">
      <c r="A596" s="226"/>
      <c r="B596" s="226"/>
      <c r="C596" s="226"/>
    </row>
    <row r="597">
      <c r="A597" s="226"/>
      <c r="B597" s="226"/>
      <c r="C597" s="226"/>
    </row>
    <row r="598">
      <c r="A598" s="226"/>
      <c r="B598" s="226"/>
      <c r="C598" s="226"/>
    </row>
    <row r="599">
      <c r="A599" s="226"/>
      <c r="B599" s="226"/>
      <c r="C599" s="226"/>
    </row>
    <row r="600">
      <c r="A600" s="226"/>
      <c r="B600" s="226"/>
      <c r="C600" s="226"/>
    </row>
    <row r="601">
      <c r="A601" s="226"/>
      <c r="B601" s="226"/>
      <c r="C601" s="226"/>
    </row>
    <row r="602">
      <c r="A602" s="226"/>
      <c r="B602" s="226"/>
      <c r="C602" s="226"/>
    </row>
    <row r="603">
      <c r="A603" s="226"/>
      <c r="B603" s="226"/>
      <c r="C603" s="226"/>
    </row>
    <row r="604">
      <c r="A604" s="226"/>
      <c r="B604" s="226"/>
      <c r="C604" s="226"/>
    </row>
    <row r="605">
      <c r="A605" s="226"/>
      <c r="B605" s="226"/>
      <c r="C605" s="226"/>
    </row>
    <row r="606">
      <c r="A606" s="226"/>
      <c r="B606" s="226"/>
      <c r="C606" s="226"/>
    </row>
    <row r="607">
      <c r="A607" s="226"/>
      <c r="B607" s="226"/>
      <c r="C607" s="226"/>
    </row>
    <row r="608">
      <c r="A608" s="226"/>
      <c r="B608" s="226"/>
      <c r="C608" s="226"/>
    </row>
    <row r="609">
      <c r="A609" s="226"/>
      <c r="B609" s="226"/>
      <c r="C609" s="226"/>
    </row>
    <row r="610">
      <c r="A610" s="226"/>
      <c r="B610" s="226"/>
      <c r="C610" s="226"/>
    </row>
    <row r="611">
      <c r="A611" s="226"/>
      <c r="B611" s="226"/>
      <c r="C611" s="226"/>
    </row>
    <row r="612">
      <c r="A612" s="226"/>
      <c r="B612" s="226"/>
      <c r="C612" s="226"/>
    </row>
    <row r="613">
      <c r="A613" s="226"/>
      <c r="B613" s="226"/>
      <c r="C613" s="226"/>
    </row>
    <row r="614">
      <c r="A614" s="226"/>
      <c r="B614" s="226"/>
      <c r="C614" s="226"/>
    </row>
    <row r="615">
      <c r="A615" s="226"/>
      <c r="B615" s="226"/>
      <c r="C615" s="226"/>
    </row>
    <row r="616">
      <c r="A616" s="226"/>
      <c r="B616" s="226"/>
      <c r="C616" s="226"/>
    </row>
    <row r="617">
      <c r="A617" s="226"/>
      <c r="B617" s="226"/>
      <c r="C617" s="226"/>
    </row>
    <row r="618">
      <c r="A618" s="226"/>
      <c r="B618" s="226"/>
      <c r="C618" s="226"/>
    </row>
    <row r="619">
      <c r="A619" s="226"/>
      <c r="B619" s="226"/>
      <c r="C619" s="226"/>
    </row>
    <row r="620">
      <c r="A620" s="226"/>
      <c r="B620" s="226"/>
      <c r="C620" s="226"/>
    </row>
    <row r="621">
      <c r="A621" s="226"/>
      <c r="B621" s="226"/>
      <c r="C621" s="226"/>
    </row>
    <row r="622">
      <c r="A622" s="226"/>
      <c r="B622" s="226"/>
      <c r="C622" s="226"/>
    </row>
    <row r="623">
      <c r="A623" s="226"/>
      <c r="B623" s="226"/>
      <c r="C623" s="226"/>
    </row>
    <row r="624">
      <c r="A624" s="226"/>
      <c r="B624" s="226"/>
      <c r="C624" s="226"/>
    </row>
    <row r="625">
      <c r="A625" s="226"/>
      <c r="B625" s="226"/>
      <c r="C625" s="226"/>
    </row>
    <row r="626">
      <c r="A626" s="226"/>
      <c r="B626" s="226"/>
      <c r="C626" s="226"/>
    </row>
    <row r="627">
      <c r="A627" s="226"/>
      <c r="B627" s="226"/>
      <c r="C627" s="226"/>
    </row>
    <row r="628">
      <c r="A628" s="226"/>
      <c r="B628" s="226"/>
      <c r="C628" s="226"/>
    </row>
    <row r="629">
      <c r="A629" s="226"/>
      <c r="B629" s="226"/>
      <c r="C629" s="226"/>
    </row>
    <row r="630">
      <c r="A630" s="226"/>
      <c r="B630" s="226"/>
      <c r="C630" s="226"/>
    </row>
    <row r="631">
      <c r="A631" s="226"/>
      <c r="B631" s="226"/>
      <c r="C631" s="226"/>
    </row>
    <row r="632">
      <c r="A632" s="226"/>
      <c r="B632" s="226"/>
      <c r="C632" s="226"/>
    </row>
    <row r="633">
      <c r="A633" s="226"/>
      <c r="B633" s="226"/>
      <c r="C633" s="226"/>
    </row>
    <row r="634">
      <c r="A634" s="226"/>
      <c r="B634" s="226"/>
      <c r="C634" s="226"/>
    </row>
    <row r="635">
      <c r="A635" s="226"/>
      <c r="B635" s="226"/>
      <c r="C635" s="226"/>
    </row>
    <row r="636">
      <c r="A636" s="226"/>
      <c r="B636" s="226"/>
      <c r="C636" s="226"/>
    </row>
    <row r="637">
      <c r="A637" s="226"/>
      <c r="B637" s="226"/>
      <c r="C637" s="226"/>
    </row>
    <row r="638">
      <c r="A638" s="226"/>
      <c r="B638" s="226"/>
      <c r="C638" s="226"/>
    </row>
    <row r="639">
      <c r="A639" s="226"/>
      <c r="B639" s="226"/>
      <c r="C639" s="226"/>
    </row>
    <row r="640">
      <c r="A640" s="226"/>
      <c r="B640" s="226"/>
      <c r="C640" s="226"/>
    </row>
    <row r="641">
      <c r="A641" s="226"/>
      <c r="B641" s="226"/>
      <c r="C641" s="226"/>
    </row>
    <row r="642">
      <c r="A642" s="226"/>
      <c r="B642" s="226"/>
      <c r="C642" s="226"/>
    </row>
    <row r="643">
      <c r="A643" s="226"/>
      <c r="B643" s="226"/>
      <c r="C643" s="226"/>
    </row>
    <row r="644">
      <c r="A644" s="226"/>
      <c r="B644" s="226"/>
      <c r="C644" s="226"/>
    </row>
    <row r="645">
      <c r="A645" s="226"/>
      <c r="B645" s="226"/>
      <c r="C645" s="226"/>
    </row>
    <row r="646">
      <c r="A646" s="226"/>
      <c r="B646" s="226"/>
      <c r="C646" s="226"/>
    </row>
    <row r="647">
      <c r="A647" s="226"/>
      <c r="B647" s="226"/>
      <c r="C647" s="226"/>
    </row>
    <row r="648">
      <c r="A648" s="226"/>
      <c r="B648" s="226"/>
      <c r="C648" s="226"/>
    </row>
    <row r="649">
      <c r="A649" s="226"/>
      <c r="B649" s="226"/>
      <c r="C649" s="226"/>
    </row>
    <row r="650">
      <c r="A650" s="226"/>
      <c r="B650" s="226"/>
      <c r="C650" s="226"/>
    </row>
    <row r="651">
      <c r="A651" s="226"/>
      <c r="B651" s="226"/>
      <c r="C651" s="226"/>
    </row>
    <row r="652">
      <c r="A652" s="226"/>
      <c r="B652" s="226"/>
      <c r="C652" s="226"/>
    </row>
    <row r="653">
      <c r="A653" s="226"/>
      <c r="B653" s="226"/>
      <c r="C653" s="226"/>
    </row>
    <row r="654">
      <c r="A654" s="226"/>
      <c r="B654" s="226"/>
      <c r="C654" s="226"/>
    </row>
    <row r="655">
      <c r="A655" s="226"/>
      <c r="B655" s="226"/>
      <c r="C655" s="226"/>
    </row>
    <row r="656">
      <c r="A656" s="226"/>
      <c r="B656" s="226"/>
      <c r="C656" s="226"/>
    </row>
    <row r="657">
      <c r="A657" s="226"/>
      <c r="B657" s="226"/>
      <c r="C657" s="226"/>
    </row>
    <row r="658">
      <c r="A658" s="226"/>
      <c r="B658" s="226"/>
      <c r="C658" s="226"/>
    </row>
    <row r="659">
      <c r="A659" s="226"/>
      <c r="B659" s="226"/>
      <c r="C659" s="226"/>
    </row>
    <row r="660">
      <c r="A660" s="226"/>
      <c r="B660" s="226"/>
      <c r="C660" s="226"/>
    </row>
    <row r="661">
      <c r="A661" s="226"/>
      <c r="B661" s="226"/>
      <c r="C661" s="226"/>
    </row>
    <row r="662">
      <c r="A662" s="226"/>
      <c r="B662" s="226"/>
      <c r="C662" s="226"/>
    </row>
    <row r="663">
      <c r="A663" s="226"/>
      <c r="B663" s="226"/>
      <c r="C663" s="226"/>
    </row>
    <row r="664">
      <c r="A664" s="226"/>
      <c r="B664" s="226"/>
      <c r="C664" s="226"/>
    </row>
    <row r="665">
      <c r="A665" s="226"/>
      <c r="B665" s="226"/>
      <c r="C665" s="226"/>
    </row>
    <row r="666">
      <c r="A666" s="226"/>
      <c r="B666" s="226"/>
      <c r="C666" s="226"/>
    </row>
    <row r="667">
      <c r="A667" s="226"/>
      <c r="B667" s="226"/>
      <c r="C667" s="226"/>
    </row>
    <row r="668">
      <c r="A668" s="226"/>
      <c r="B668" s="226"/>
      <c r="C668" s="226"/>
    </row>
    <row r="669">
      <c r="A669" s="226"/>
      <c r="B669" s="226"/>
      <c r="C669" s="226"/>
    </row>
    <row r="670">
      <c r="A670" s="226"/>
      <c r="B670" s="226"/>
      <c r="C670" s="226"/>
    </row>
    <row r="671">
      <c r="A671" s="226"/>
      <c r="B671" s="226"/>
      <c r="C671" s="226"/>
    </row>
    <row r="672">
      <c r="A672" s="226"/>
      <c r="B672" s="226"/>
      <c r="C672" s="226"/>
    </row>
    <row r="673">
      <c r="A673" s="226"/>
      <c r="B673" s="226"/>
      <c r="C673" s="226"/>
    </row>
    <row r="674">
      <c r="A674" s="226"/>
      <c r="B674" s="226"/>
      <c r="C674" s="226"/>
    </row>
    <row r="675">
      <c r="A675" s="226"/>
      <c r="B675" s="226"/>
      <c r="C675" s="226"/>
    </row>
    <row r="676">
      <c r="A676" s="226"/>
      <c r="B676" s="226"/>
      <c r="C676" s="226"/>
    </row>
    <row r="677">
      <c r="A677" s="226"/>
      <c r="B677" s="226"/>
      <c r="C677" s="226"/>
    </row>
    <row r="678">
      <c r="A678" s="226"/>
      <c r="B678" s="226"/>
      <c r="C678" s="226"/>
    </row>
    <row r="679">
      <c r="A679" s="226"/>
      <c r="B679" s="226"/>
      <c r="C679" s="226"/>
    </row>
    <row r="680">
      <c r="A680" s="226"/>
      <c r="B680" s="226"/>
      <c r="C680" s="226"/>
    </row>
    <row r="681">
      <c r="A681" s="226"/>
      <c r="B681" s="226"/>
      <c r="C681" s="226"/>
    </row>
    <row r="682">
      <c r="A682" s="226"/>
      <c r="B682" s="226"/>
      <c r="C682" s="226"/>
    </row>
    <row r="683">
      <c r="A683" s="226"/>
      <c r="B683" s="226"/>
      <c r="C683" s="226"/>
    </row>
    <row r="684">
      <c r="A684" s="226"/>
      <c r="B684" s="226"/>
      <c r="C684" s="226"/>
    </row>
    <row r="685">
      <c r="A685" s="226"/>
      <c r="B685" s="226"/>
      <c r="C685" s="226"/>
    </row>
    <row r="686">
      <c r="A686" s="226"/>
      <c r="B686" s="226"/>
      <c r="C686" s="226"/>
    </row>
    <row r="687">
      <c r="A687" s="226"/>
      <c r="B687" s="226"/>
      <c r="C687" s="226"/>
    </row>
    <row r="688">
      <c r="A688" s="226"/>
      <c r="B688" s="226"/>
      <c r="C688" s="226"/>
    </row>
    <row r="689">
      <c r="A689" s="226"/>
      <c r="B689" s="226"/>
      <c r="C689" s="226"/>
    </row>
    <row r="690">
      <c r="A690" s="226"/>
      <c r="B690" s="226"/>
      <c r="C690" s="226"/>
    </row>
    <row r="691">
      <c r="A691" s="226"/>
      <c r="B691" s="226"/>
      <c r="C691" s="226"/>
    </row>
    <row r="692">
      <c r="A692" s="226"/>
      <c r="B692" s="226"/>
      <c r="C692" s="226"/>
    </row>
    <row r="693">
      <c r="A693" s="226"/>
      <c r="B693" s="226"/>
      <c r="C693" s="226"/>
    </row>
    <row r="694">
      <c r="A694" s="226"/>
      <c r="B694" s="226"/>
      <c r="C694" s="226"/>
    </row>
    <row r="695">
      <c r="A695" s="226"/>
      <c r="B695" s="226"/>
      <c r="C695" s="226"/>
    </row>
    <row r="696">
      <c r="A696" s="226"/>
      <c r="B696" s="226"/>
      <c r="C696" s="226"/>
    </row>
    <row r="697">
      <c r="A697" s="226"/>
      <c r="B697" s="226"/>
      <c r="C697" s="226"/>
    </row>
    <row r="698">
      <c r="A698" s="226"/>
      <c r="B698" s="226"/>
      <c r="C698" s="226"/>
    </row>
    <row r="699">
      <c r="A699" s="226"/>
      <c r="B699" s="226"/>
      <c r="C699" s="226"/>
    </row>
    <row r="700">
      <c r="A700" s="226"/>
      <c r="B700" s="226"/>
      <c r="C700" s="226"/>
    </row>
    <row r="701">
      <c r="A701" s="226"/>
      <c r="B701" s="226"/>
      <c r="C701" s="226"/>
    </row>
    <row r="702">
      <c r="A702" s="226"/>
      <c r="B702" s="226"/>
      <c r="C702" s="226"/>
    </row>
    <row r="703">
      <c r="A703" s="226"/>
      <c r="B703" s="226"/>
      <c r="C703" s="226"/>
    </row>
    <row r="704">
      <c r="A704" s="226"/>
      <c r="B704" s="226"/>
      <c r="C704" s="226"/>
    </row>
    <row r="705">
      <c r="A705" s="226"/>
      <c r="B705" s="226"/>
      <c r="C705" s="226"/>
    </row>
    <row r="706">
      <c r="A706" s="226"/>
      <c r="B706" s="226"/>
      <c r="C706" s="226"/>
    </row>
    <row r="707">
      <c r="A707" s="226"/>
      <c r="B707" s="226"/>
      <c r="C707" s="226"/>
    </row>
    <row r="708">
      <c r="A708" s="226"/>
      <c r="B708" s="226"/>
      <c r="C708" s="226"/>
    </row>
    <row r="709">
      <c r="A709" s="226"/>
      <c r="B709" s="226"/>
      <c r="C709" s="226"/>
    </row>
    <row r="710">
      <c r="A710" s="226"/>
      <c r="B710" s="226"/>
      <c r="C710" s="226"/>
    </row>
    <row r="711">
      <c r="A711" s="226"/>
      <c r="B711" s="226"/>
      <c r="C711" s="226"/>
    </row>
    <row r="712">
      <c r="A712" s="226"/>
      <c r="B712" s="226"/>
      <c r="C712" s="226"/>
    </row>
    <row r="713">
      <c r="A713" s="226"/>
      <c r="B713" s="226"/>
      <c r="C713" s="226"/>
    </row>
    <row r="714">
      <c r="A714" s="226"/>
      <c r="B714" s="226"/>
      <c r="C714" s="226"/>
    </row>
    <row r="715">
      <c r="A715" s="226"/>
      <c r="B715" s="226"/>
      <c r="C715" s="226"/>
    </row>
    <row r="716">
      <c r="A716" s="226"/>
      <c r="B716" s="226"/>
      <c r="C716" s="226"/>
    </row>
    <row r="717">
      <c r="A717" s="226"/>
      <c r="B717" s="226"/>
      <c r="C717" s="226"/>
    </row>
    <row r="718">
      <c r="A718" s="226"/>
      <c r="B718" s="226"/>
      <c r="C718" s="226"/>
    </row>
    <row r="719">
      <c r="A719" s="226"/>
      <c r="B719" s="226"/>
      <c r="C719" s="226"/>
    </row>
    <row r="720">
      <c r="A720" s="226"/>
      <c r="B720" s="226"/>
      <c r="C720" s="226"/>
    </row>
    <row r="721">
      <c r="A721" s="226"/>
      <c r="B721" s="226"/>
      <c r="C721" s="226"/>
    </row>
    <row r="722">
      <c r="A722" s="226"/>
      <c r="B722" s="226"/>
      <c r="C722" s="226"/>
    </row>
    <row r="723">
      <c r="A723" s="226"/>
      <c r="B723" s="226"/>
      <c r="C723" s="226"/>
    </row>
    <row r="724">
      <c r="A724" s="226"/>
      <c r="B724" s="226"/>
      <c r="C724" s="226"/>
    </row>
    <row r="725">
      <c r="A725" s="226"/>
      <c r="B725" s="226"/>
      <c r="C725" s="226"/>
    </row>
    <row r="726">
      <c r="A726" s="226"/>
      <c r="B726" s="226"/>
      <c r="C726" s="226"/>
    </row>
    <row r="727">
      <c r="A727" s="226"/>
      <c r="B727" s="226"/>
      <c r="C727" s="226"/>
    </row>
    <row r="728">
      <c r="A728" s="226"/>
      <c r="B728" s="226"/>
      <c r="C728" s="226"/>
    </row>
    <row r="729">
      <c r="A729" s="226"/>
      <c r="B729" s="226"/>
      <c r="C729" s="226"/>
    </row>
    <row r="730">
      <c r="A730" s="226"/>
      <c r="B730" s="226"/>
      <c r="C730" s="226"/>
    </row>
    <row r="731">
      <c r="A731" s="226"/>
      <c r="B731" s="226"/>
      <c r="C731" s="226"/>
    </row>
    <row r="732">
      <c r="A732" s="226"/>
      <c r="B732" s="226"/>
      <c r="C732" s="226"/>
    </row>
    <row r="733">
      <c r="A733" s="226"/>
      <c r="B733" s="226"/>
      <c r="C733" s="226"/>
    </row>
    <row r="734">
      <c r="A734" s="226"/>
      <c r="B734" s="226"/>
      <c r="C734" s="226"/>
    </row>
    <row r="735">
      <c r="A735" s="226"/>
      <c r="B735" s="226"/>
      <c r="C735" s="226"/>
    </row>
    <row r="736">
      <c r="A736" s="226"/>
      <c r="B736" s="226"/>
      <c r="C736" s="226"/>
    </row>
    <row r="737">
      <c r="A737" s="226"/>
      <c r="B737" s="226"/>
      <c r="C737" s="226"/>
    </row>
    <row r="738">
      <c r="A738" s="226"/>
      <c r="B738" s="226"/>
      <c r="C738" s="226"/>
    </row>
    <row r="739">
      <c r="A739" s="226"/>
      <c r="B739" s="226"/>
      <c r="C739" s="226"/>
    </row>
    <row r="740">
      <c r="A740" s="226"/>
      <c r="B740" s="226"/>
      <c r="C740" s="226"/>
    </row>
    <row r="741">
      <c r="A741" s="226"/>
      <c r="B741" s="226"/>
      <c r="C741" s="226"/>
    </row>
    <row r="742">
      <c r="A742" s="226"/>
      <c r="B742" s="226"/>
      <c r="C742" s="226"/>
    </row>
    <row r="743">
      <c r="A743" s="226"/>
      <c r="B743" s="226"/>
      <c r="C743" s="226"/>
    </row>
    <row r="744">
      <c r="A744" s="226"/>
      <c r="B744" s="226"/>
      <c r="C744" s="226"/>
    </row>
    <row r="745">
      <c r="A745" s="226"/>
      <c r="B745" s="226"/>
      <c r="C745" s="226"/>
    </row>
    <row r="746">
      <c r="A746" s="226"/>
      <c r="B746" s="226"/>
      <c r="C746" s="226"/>
    </row>
    <row r="747">
      <c r="A747" s="226"/>
      <c r="B747" s="226"/>
      <c r="C747" s="226"/>
    </row>
    <row r="748">
      <c r="A748" s="226"/>
      <c r="B748" s="226"/>
      <c r="C748" s="226"/>
    </row>
    <row r="749">
      <c r="A749" s="226"/>
      <c r="B749" s="226"/>
      <c r="C749" s="226"/>
    </row>
    <row r="750">
      <c r="A750" s="226"/>
      <c r="B750" s="226"/>
      <c r="C750" s="226"/>
    </row>
    <row r="751">
      <c r="A751" s="226"/>
      <c r="B751" s="226"/>
      <c r="C751" s="226"/>
    </row>
    <row r="752">
      <c r="A752" s="226"/>
      <c r="B752" s="226"/>
      <c r="C752" s="226"/>
    </row>
    <row r="753">
      <c r="A753" s="226"/>
      <c r="B753" s="226"/>
      <c r="C753" s="226"/>
    </row>
    <row r="754">
      <c r="A754" s="226"/>
      <c r="B754" s="226"/>
      <c r="C754" s="226"/>
    </row>
    <row r="755">
      <c r="A755" s="226"/>
      <c r="B755" s="226"/>
      <c r="C755" s="226"/>
    </row>
    <row r="756">
      <c r="A756" s="226"/>
      <c r="B756" s="226"/>
      <c r="C756" s="226"/>
    </row>
    <row r="757">
      <c r="A757" s="226"/>
      <c r="B757" s="226"/>
      <c r="C757" s="226"/>
    </row>
    <row r="758">
      <c r="A758" s="226"/>
      <c r="B758" s="226"/>
      <c r="C758" s="226"/>
    </row>
    <row r="759">
      <c r="A759" s="226"/>
      <c r="B759" s="226"/>
      <c r="C759" s="226"/>
    </row>
    <row r="760">
      <c r="A760" s="226"/>
      <c r="B760" s="226"/>
      <c r="C760" s="226"/>
    </row>
    <row r="761">
      <c r="A761" s="226"/>
      <c r="B761" s="226"/>
      <c r="C761" s="226"/>
    </row>
    <row r="762">
      <c r="A762" s="226"/>
      <c r="B762" s="226"/>
      <c r="C762" s="226"/>
    </row>
    <row r="763">
      <c r="A763" s="226"/>
      <c r="B763" s="226"/>
      <c r="C763" s="226"/>
    </row>
    <row r="764">
      <c r="A764" s="226"/>
      <c r="B764" s="226"/>
      <c r="C764" s="226"/>
    </row>
    <row r="765">
      <c r="A765" s="226"/>
      <c r="B765" s="226"/>
      <c r="C765" s="226"/>
    </row>
    <row r="766">
      <c r="A766" s="226"/>
      <c r="B766" s="226"/>
      <c r="C766" s="226"/>
    </row>
    <row r="767">
      <c r="A767" s="226"/>
      <c r="B767" s="226"/>
      <c r="C767" s="226"/>
    </row>
    <row r="768">
      <c r="A768" s="226"/>
      <c r="B768" s="226"/>
      <c r="C768" s="226"/>
    </row>
    <row r="769">
      <c r="A769" s="226"/>
      <c r="B769" s="226"/>
      <c r="C769" s="226"/>
    </row>
    <row r="770">
      <c r="A770" s="226"/>
      <c r="B770" s="226"/>
      <c r="C770" s="226"/>
    </row>
    <row r="771">
      <c r="A771" s="226"/>
      <c r="B771" s="226"/>
      <c r="C771" s="226"/>
    </row>
    <row r="772">
      <c r="A772" s="226"/>
      <c r="B772" s="226"/>
      <c r="C772" s="226"/>
    </row>
    <row r="773">
      <c r="A773" s="226"/>
      <c r="B773" s="226"/>
      <c r="C773" s="226"/>
    </row>
    <row r="774">
      <c r="A774" s="226"/>
      <c r="B774" s="226"/>
      <c r="C774" s="226"/>
    </row>
    <row r="775">
      <c r="A775" s="226"/>
      <c r="B775" s="226"/>
      <c r="C775" s="226"/>
    </row>
    <row r="776">
      <c r="A776" s="226"/>
      <c r="B776" s="226"/>
      <c r="C776" s="226"/>
    </row>
    <row r="777">
      <c r="A777" s="226"/>
      <c r="B777" s="226"/>
      <c r="C777" s="226"/>
    </row>
    <row r="778">
      <c r="A778" s="226"/>
      <c r="B778" s="226"/>
      <c r="C778" s="226"/>
    </row>
    <row r="779">
      <c r="A779" s="226"/>
      <c r="B779" s="226"/>
      <c r="C779" s="226"/>
    </row>
    <row r="780">
      <c r="A780" s="226"/>
      <c r="B780" s="226"/>
      <c r="C780" s="226"/>
    </row>
    <row r="781">
      <c r="A781" s="226"/>
      <c r="B781" s="226"/>
      <c r="C781" s="226"/>
    </row>
    <row r="782">
      <c r="A782" s="226"/>
      <c r="B782" s="226"/>
      <c r="C782" s="226"/>
    </row>
    <row r="783">
      <c r="A783" s="226"/>
      <c r="B783" s="226"/>
      <c r="C783" s="226"/>
    </row>
    <row r="784">
      <c r="A784" s="226"/>
      <c r="B784" s="226"/>
      <c r="C784" s="226"/>
    </row>
    <row r="785">
      <c r="A785" s="226"/>
      <c r="B785" s="226"/>
      <c r="C785" s="226"/>
    </row>
    <row r="786">
      <c r="A786" s="226"/>
      <c r="B786" s="226"/>
      <c r="C786" s="226"/>
    </row>
    <row r="787">
      <c r="A787" s="226"/>
      <c r="B787" s="226"/>
      <c r="C787" s="226"/>
    </row>
    <row r="788">
      <c r="A788" s="226"/>
      <c r="B788" s="226"/>
      <c r="C788" s="226"/>
    </row>
    <row r="789">
      <c r="A789" s="226"/>
      <c r="B789" s="226"/>
      <c r="C789" s="226"/>
    </row>
    <row r="790">
      <c r="A790" s="226"/>
      <c r="B790" s="226"/>
      <c r="C790" s="226"/>
    </row>
    <row r="791">
      <c r="A791" s="226"/>
      <c r="B791" s="226"/>
      <c r="C791" s="226"/>
    </row>
    <row r="792">
      <c r="A792" s="226"/>
      <c r="B792" s="226"/>
      <c r="C792" s="226"/>
    </row>
    <row r="793">
      <c r="A793" s="226"/>
      <c r="B793" s="226"/>
      <c r="C793" s="226"/>
    </row>
    <row r="794">
      <c r="A794" s="226"/>
      <c r="B794" s="226"/>
      <c r="C794" s="226"/>
    </row>
    <row r="795">
      <c r="A795" s="226"/>
      <c r="B795" s="226"/>
      <c r="C795" s="226"/>
    </row>
    <row r="796">
      <c r="A796" s="226"/>
      <c r="B796" s="226"/>
      <c r="C796" s="226"/>
    </row>
    <row r="797">
      <c r="A797" s="226"/>
      <c r="B797" s="226"/>
      <c r="C797" s="226"/>
    </row>
    <row r="798">
      <c r="A798" s="226"/>
      <c r="B798" s="226"/>
      <c r="C798" s="226"/>
    </row>
    <row r="799">
      <c r="A799" s="226"/>
      <c r="B799" s="226"/>
      <c r="C799" s="226"/>
    </row>
    <row r="800">
      <c r="A800" s="226"/>
      <c r="B800" s="226"/>
      <c r="C800" s="226"/>
    </row>
    <row r="801">
      <c r="A801" s="226"/>
      <c r="B801" s="226"/>
      <c r="C801" s="226"/>
    </row>
    <row r="802">
      <c r="A802" s="226"/>
      <c r="B802" s="226"/>
      <c r="C802" s="226"/>
    </row>
    <row r="803">
      <c r="A803" s="226"/>
      <c r="B803" s="226"/>
      <c r="C803" s="226"/>
    </row>
    <row r="804">
      <c r="A804" s="226"/>
      <c r="B804" s="226"/>
      <c r="C804" s="226"/>
    </row>
    <row r="805">
      <c r="A805" s="226"/>
      <c r="B805" s="226"/>
      <c r="C805" s="226"/>
    </row>
    <row r="806">
      <c r="A806" s="226"/>
      <c r="B806" s="226"/>
      <c r="C806" s="226"/>
    </row>
    <row r="807">
      <c r="A807" s="226"/>
      <c r="B807" s="226"/>
      <c r="C807" s="226"/>
    </row>
    <row r="808">
      <c r="A808" s="226"/>
      <c r="B808" s="226"/>
      <c r="C808" s="226"/>
    </row>
    <row r="809">
      <c r="A809" s="226"/>
      <c r="B809" s="226"/>
      <c r="C809" s="226"/>
    </row>
    <row r="810">
      <c r="A810" s="226"/>
      <c r="B810" s="226"/>
      <c r="C810" s="226"/>
    </row>
    <row r="811">
      <c r="A811" s="226"/>
      <c r="B811" s="226"/>
      <c r="C811" s="226"/>
    </row>
    <row r="812">
      <c r="A812" s="226"/>
      <c r="B812" s="226"/>
      <c r="C812" s="226"/>
    </row>
    <row r="813">
      <c r="A813" s="226"/>
      <c r="B813" s="226"/>
      <c r="C813" s="226"/>
    </row>
    <row r="814">
      <c r="A814" s="226"/>
      <c r="B814" s="226"/>
      <c r="C814" s="226"/>
    </row>
    <row r="815">
      <c r="A815" s="226"/>
      <c r="B815" s="226"/>
      <c r="C815" s="226"/>
    </row>
    <row r="816">
      <c r="A816" s="226"/>
      <c r="B816" s="226"/>
      <c r="C816" s="226"/>
    </row>
    <row r="817">
      <c r="A817" s="226"/>
      <c r="B817" s="226"/>
      <c r="C817" s="226"/>
    </row>
    <row r="818">
      <c r="A818" s="226"/>
      <c r="B818" s="226"/>
      <c r="C818" s="226"/>
    </row>
    <row r="819">
      <c r="A819" s="226"/>
      <c r="B819" s="226"/>
      <c r="C819" s="226"/>
    </row>
    <row r="820">
      <c r="A820" s="226"/>
      <c r="B820" s="226"/>
      <c r="C820" s="226"/>
    </row>
    <row r="821">
      <c r="A821" s="226"/>
      <c r="B821" s="226"/>
      <c r="C821" s="226"/>
    </row>
    <row r="822">
      <c r="A822" s="226"/>
      <c r="B822" s="226"/>
      <c r="C822" s="226"/>
    </row>
    <row r="823">
      <c r="A823" s="226"/>
      <c r="B823" s="226"/>
      <c r="C823" s="226"/>
    </row>
    <row r="824">
      <c r="A824" s="226"/>
      <c r="B824" s="226"/>
      <c r="C824" s="226"/>
    </row>
    <row r="825">
      <c r="A825" s="226"/>
      <c r="B825" s="226"/>
      <c r="C825" s="226"/>
    </row>
    <row r="826">
      <c r="A826" s="226"/>
      <c r="B826" s="226"/>
      <c r="C826" s="226"/>
    </row>
    <row r="827">
      <c r="A827" s="226"/>
      <c r="B827" s="226"/>
      <c r="C827" s="226"/>
    </row>
    <row r="828">
      <c r="A828" s="226"/>
      <c r="B828" s="226"/>
      <c r="C828" s="226"/>
    </row>
    <row r="829">
      <c r="A829" s="226"/>
      <c r="B829" s="226"/>
      <c r="C829" s="226"/>
    </row>
    <row r="830">
      <c r="A830" s="226"/>
      <c r="B830" s="226"/>
      <c r="C830" s="226"/>
    </row>
    <row r="831">
      <c r="A831" s="226"/>
      <c r="B831" s="226"/>
      <c r="C831" s="226"/>
    </row>
    <row r="832">
      <c r="A832" s="226"/>
      <c r="B832" s="226"/>
      <c r="C832" s="226"/>
    </row>
    <row r="833">
      <c r="A833" s="226"/>
      <c r="B833" s="226"/>
      <c r="C833" s="226"/>
    </row>
    <row r="834">
      <c r="A834" s="226"/>
      <c r="B834" s="226"/>
      <c r="C834" s="226"/>
    </row>
    <row r="835">
      <c r="A835" s="226"/>
      <c r="B835" s="226"/>
      <c r="C835" s="226"/>
    </row>
    <row r="836">
      <c r="A836" s="226"/>
      <c r="B836" s="226"/>
      <c r="C836" s="226"/>
    </row>
    <row r="837">
      <c r="A837" s="226"/>
      <c r="B837" s="226"/>
      <c r="C837" s="226"/>
    </row>
    <row r="838">
      <c r="A838" s="226"/>
      <c r="B838" s="226"/>
      <c r="C838" s="226"/>
    </row>
    <row r="839">
      <c r="A839" s="226"/>
      <c r="B839" s="226"/>
      <c r="C839" s="226"/>
    </row>
    <row r="840">
      <c r="A840" s="226"/>
      <c r="B840" s="226"/>
      <c r="C840" s="226"/>
    </row>
    <row r="841">
      <c r="A841" s="226"/>
      <c r="B841" s="226"/>
      <c r="C841" s="226"/>
    </row>
    <row r="842">
      <c r="A842" s="226"/>
      <c r="B842" s="226"/>
      <c r="C842" s="226"/>
    </row>
    <row r="843">
      <c r="A843" s="226"/>
      <c r="B843" s="226"/>
      <c r="C843" s="226"/>
    </row>
    <row r="844">
      <c r="A844" s="226"/>
      <c r="B844" s="226"/>
      <c r="C844" s="226"/>
    </row>
    <row r="845">
      <c r="A845" s="226"/>
      <c r="B845" s="226"/>
      <c r="C845" s="226"/>
    </row>
    <row r="846">
      <c r="A846" s="226"/>
      <c r="B846" s="226"/>
      <c r="C846" s="226"/>
    </row>
    <row r="847">
      <c r="A847" s="226"/>
      <c r="B847" s="226"/>
      <c r="C847" s="226"/>
    </row>
    <row r="848">
      <c r="A848" s="226"/>
      <c r="B848" s="226"/>
      <c r="C848" s="226"/>
    </row>
    <row r="849">
      <c r="A849" s="226"/>
      <c r="B849" s="226"/>
      <c r="C849" s="226"/>
    </row>
    <row r="850">
      <c r="A850" s="226"/>
      <c r="B850" s="226"/>
      <c r="C850" s="226"/>
    </row>
    <row r="851">
      <c r="A851" s="226"/>
      <c r="B851" s="226"/>
      <c r="C851" s="226"/>
    </row>
    <row r="852">
      <c r="A852" s="226"/>
      <c r="B852" s="226"/>
      <c r="C852" s="226"/>
    </row>
    <row r="853">
      <c r="A853" s="226"/>
      <c r="B853" s="226"/>
      <c r="C853" s="226"/>
    </row>
    <row r="854">
      <c r="A854" s="226"/>
      <c r="B854" s="226"/>
      <c r="C854" s="226"/>
    </row>
    <row r="855">
      <c r="A855" s="226"/>
      <c r="B855" s="226"/>
      <c r="C855" s="226"/>
    </row>
    <row r="856">
      <c r="A856" s="226"/>
      <c r="B856" s="226"/>
      <c r="C856" s="226"/>
    </row>
    <row r="857">
      <c r="A857" s="226"/>
      <c r="B857" s="226"/>
      <c r="C857" s="226"/>
    </row>
    <row r="858">
      <c r="A858" s="226"/>
      <c r="B858" s="226"/>
      <c r="C858" s="226"/>
    </row>
    <row r="859">
      <c r="A859" s="226"/>
      <c r="B859" s="226"/>
      <c r="C859" s="226"/>
    </row>
    <row r="860">
      <c r="A860" s="226"/>
      <c r="B860" s="226"/>
      <c r="C860" s="226"/>
    </row>
    <row r="861">
      <c r="A861" s="226"/>
      <c r="B861" s="226"/>
      <c r="C861" s="226"/>
    </row>
    <row r="862">
      <c r="A862" s="226"/>
      <c r="B862" s="226"/>
      <c r="C862" s="226"/>
    </row>
    <row r="863">
      <c r="A863" s="226"/>
      <c r="B863" s="226"/>
      <c r="C863" s="226"/>
    </row>
    <row r="864">
      <c r="A864" s="226"/>
      <c r="B864" s="226"/>
      <c r="C864" s="226"/>
    </row>
    <row r="865">
      <c r="A865" s="226"/>
      <c r="B865" s="226"/>
      <c r="C865" s="226"/>
    </row>
    <row r="866">
      <c r="A866" s="226"/>
      <c r="B866" s="226"/>
      <c r="C866" s="226"/>
    </row>
    <row r="867">
      <c r="A867" s="226"/>
      <c r="B867" s="226"/>
      <c r="C867" s="226"/>
    </row>
    <row r="868">
      <c r="A868" s="226"/>
      <c r="B868" s="226"/>
      <c r="C868" s="226"/>
    </row>
    <row r="869">
      <c r="A869" s="226"/>
      <c r="B869" s="226"/>
      <c r="C869" s="226"/>
    </row>
    <row r="870">
      <c r="A870" s="226"/>
      <c r="B870" s="226"/>
      <c r="C870" s="226"/>
    </row>
    <row r="871">
      <c r="A871" s="226"/>
      <c r="B871" s="226"/>
      <c r="C871" s="226"/>
    </row>
    <row r="872">
      <c r="A872" s="226"/>
      <c r="B872" s="226"/>
      <c r="C872" s="226"/>
    </row>
    <row r="873">
      <c r="A873" s="226"/>
      <c r="B873" s="226"/>
      <c r="C873" s="226"/>
    </row>
    <row r="874">
      <c r="A874" s="226"/>
      <c r="B874" s="226"/>
      <c r="C874" s="226"/>
    </row>
    <row r="875">
      <c r="A875" s="226"/>
      <c r="B875" s="226"/>
      <c r="C875" s="226"/>
    </row>
    <row r="876">
      <c r="A876" s="226"/>
      <c r="B876" s="226"/>
      <c r="C876" s="226"/>
    </row>
    <row r="877">
      <c r="A877" s="226"/>
      <c r="B877" s="226"/>
      <c r="C877" s="226"/>
    </row>
    <row r="878">
      <c r="A878" s="226"/>
      <c r="B878" s="226"/>
      <c r="C878" s="226"/>
    </row>
    <row r="879">
      <c r="A879" s="226"/>
      <c r="B879" s="226"/>
      <c r="C879" s="226"/>
    </row>
    <row r="880">
      <c r="A880" s="226"/>
      <c r="B880" s="226"/>
      <c r="C880" s="226"/>
    </row>
    <row r="881">
      <c r="A881" s="226"/>
      <c r="B881" s="226"/>
      <c r="C881" s="226"/>
    </row>
    <row r="882">
      <c r="A882" s="226"/>
      <c r="B882" s="226"/>
      <c r="C882" s="226"/>
    </row>
    <row r="883">
      <c r="A883" s="226"/>
      <c r="B883" s="226"/>
      <c r="C883" s="226"/>
    </row>
    <row r="884">
      <c r="A884" s="226"/>
      <c r="B884" s="226"/>
      <c r="C884" s="226"/>
    </row>
    <row r="885">
      <c r="A885" s="226"/>
      <c r="B885" s="226"/>
      <c r="C885" s="226"/>
    </row>
    <row r="886">
      <c r="A886" s="226"/>
      <c r="B886" s="226"/>
      <c r="C886" s="226"/>
    </row>
    <row r="887">
      <c r="A887" s="226"/>
      <c r="B887" s="226"/>
      <c r="C887" s="226"/>
    </row>
    <row r="888">
      <c r="A888" s="226"/>
      <c r="B888" s="226"/>
      <c r="C888" s="226"/>
    </row>
    <row r="889">
      <c r="A889" s="226"/>
      <c r="B889" s="226"/>
      <c r="C889" s="226"/>
    </row>
    <row r="890">
      <c r="A890" s="226"/>
      <c r="B890" s="226"/>
      <c r="C890" s="226"/>
    </row>
    <row r="891">
      <c r="A891" s="226"/>
      <c r="B891" s="226"/>
      <c r="C891" s="226"/>
    </row>
    <row r="892">
      <c r="A892" s="226"/>
      <c r="B892" s="226"/>
      <c r="C892" s="226"/>
    </row>
    <row r="893">
      <c r="A893" s="226"/>
      <c r="B893" s="226"/>
      <c r="C893" s="226"/>
    </row>
    <row r="894">
      <c r="A894" s="226"/>
      <c r="B894" s="226"/>
      <c r="C894" s="226"/>
    </row>
    <row r="895">
      <c r="A895" s="226"/>
      <c r="B895" s="226"/>
      <c r="C895" s="226"/>
    </row>
    <row r="896">
      <c r="A896" s="226"/>
      <c r="B896" s="226"/>
      <c r="C896" s="226"/>
    </row>
    <row r="897">
      <c r="A897" s="226"/>
      <c r="B897" s="226"/>
      <c r="C897" s="226"/>
    </row>
    <row r="898">
      <c r="A898" s="226"/>
      <c r="B898" s="226"/>
      <c r="C898" s="226"/>
    </row>
    <row r="899">
      <c r="A899" s="226"/>
      <c r="B899" s="226"/>
      <c r="C899" s="226"/>
    </row>
    <row r="900">
      <c r="A900" s="226"/>
      <c r="B900" s="226"/>
      <c r="C900" s="226"/>
    </row>
    <row r="901">
      <c r="A901" s="226"/>
      <c r="B901" s="226"/>
      <c r="C901" s="226"/>
    </row>
    <row r="902">
      <c r="A902" s="226"/>
      <c r="B902" s="226"/>
      <c r="C902" s="226"/>
    </row>
    <row r="903">
      <c r="A903" s="226"/>
      <c r="B903" s="226"/>
      <c r="C903" s="226"/>
    </row>
    <row r="904">
      <c r="A904" s="226"/>
      <c r="B904" s="226"/>
      <c r="C904" s="226"/>
    </row>
    <row r="905">
      <c r="A905" s="226"/>
      <c r="B905" s="226"/>
      <c r="C905" s="226"/>
    </row>
    <row r="906">
      <c r="A906" s="226"/>
      <c r="B906" s="226"/>
      <c r="C906" s="226"/>
    </row>
    <row r="907">
      <c r="A907" s="226"/>
      <c r="B907" s="226"/>
      <c r="C907" s="226"/>
    </row>
    <row r="908">
      <c r="A908" s="226"/>
      <c r="B908" s="226"/>
      <c r="C908" s="226"/>
    </row>
    <row r="909">
      <c r="A909" s="226"/>
      <c r="B909" s="226"/>
      <c r="C909" s="226"/>
    </row>
    <row r="910">
      <c r="A910" s="226"/>
      <c r="B910" s="226"/>
      <c r="C910" s="226"/>
    </row>
    <row r="911">
      <c r="A911" s="226"/>
      <c r="B911" s="226"/>
      <c r="C911" s="226"/>
    </row>
    <row r="912">
      <c r="A912" s="226"/>
      <c r="B912" s="226"/>
      <c r="C912" s="226"/>
    </row>
    <row r="913">
      <c r="A913" s="226"/>
      <c r="B913" s="226"/>
      <c r="C913" s="226"/>
    </row>
    <row r="914">
      <c r="A914" s="226"/>
      <c r="B914" s="226"/>
      <c r="C914" s="226"/>
    </row>
    <row r="915">
      <c r="A915" s="226"/>
      <c r="B915" s="226"/>
      <c r="C915" s="226"/>
    </row>
    <row r="916">
      <c r="A916" s="226"/>
      <c r="B916" s="226"/>
      <c r="C916" s="226"/>
    </row>
    <row r="917">
      <c r="A917" s="226"/>
      <c r="B917" s="226"/>
      <c r="C917" s="226"/>
    </row>
    <row r="918">
      <c r="A918" s="226"/>
      <c r="B918" s="226"/>
      <c r="C918" s="226"/>
    </row>
    <row r="919">
      <c r="A919" s="226"/>
      <c r="B919" s="226"/>
      <c r="C919" s="226"/>
    </row>
    <row r="920">
      <c r="A920" s="226"/>
      <c r="B920" s="226"/>
      <c r="C920" s="226"/>
    </row>
    <row r="921">
      <c r="A921" s="226"/>
      <c r="B921" s="226"/>
      <c r="C921" s="226"/>
    </row>
    <row r="922">
      <c r="A922" s="226"/>
      <c r="B922" s="226"/>
      <c r="C922" s="226"/>
    </row>
    <row r="923">
      <c r="A923" s="226"/>
      <c r="B923" s="226"/>
      <c r="C923" s="226"/>
    </row>
    <row r="924">
      <c r="A924" s="226"/>
      <c r="B924" s="226"/>
      <c r="C924" s="226"/>
    </row>
    <row r="925">
      <c r="A925" s="226"/>
      <c r="B925" s="226"/>
      <c r="C925" s="226"/>
    </row>
    <row r="926">
      <c r="A926" s="226"/>
      <c r="B926" s="226"/>
      <c r="C926" s="226"/>
    </row>
    <row r="927">
      <c r="A927" s="226"/>
      <c r="B927" s="226"/>
      <c r="C927" s="226"/>
    </row>
    <row r="928">
      <c r="A928" s="226"/>
      <c r="B928" s="226"/>
      <c r="C928" s="226"/>
    </row>
    <row r="929">
      <c r="A929" s="226"/>
      <c r="B929" s="226"/>
      <c r="C929" s="226"/>
    </row>
    <row r="930">
      <c r="A930" s="226"/>
      <c r="B930" s="226"/>
      <c r="C930" s="226"/>
    </row>
    <row r="931">
      <c r="A931" s="226"/>
      <c r="B931" s="226"/>
      <c r="C931" s="226"/>
    </row>
    <row r="932">
      <c r="A932" s="226"/>
      <c r="B932" s="226"/>
      <c r="C932" s="226"/>
    </row>
    <row r="933">
      <c r="A933" s="226"/>
      <c r="B933" s="226"/>
      <c r="C933" s="226"/>
    </row>
    <row r="934">
      <c r="A934" s="226"/>
      <c r="B934" s="226"/>
      <c r="C934" s="226"/>
    </row>
    <row r="935">
      <c r="A935" s="226"/>
      <c r="B935" s="226"/>
      <c r="C935" s="226"/>
    </row>
    <row r="936">
      <c r="A936" s="226"/>
      <c r="B936" s="226"/>
      <c r="C936" s="226"/>
    </row>
    <row r="937">
      <c r="A937" s="226"/>
      <c r="B937" s="226"/>
      <c r="C937" s="226"/>
    </row>
    <row r="938">
      <c r="A938" s="226"/>
      <c r="B938" s="226"/>
      <c r="C938" s="226"/>
    </row>
    <row r="939">
      <c r="A939" s="226"/>
      <c r="B939" s="226"/>
      <c r="C939" s="226"/>
    </row>
    <row r="940">
      <c r="A940" s="226"/>
      <c r="B940" s="226"/>
      <c r="C940" s="226"/>
    </row>
    <row r="941">
      <c r="A941" s="226"/>
      <c r="B941" s="226"/>
      <c r="C941" s="226"/>
    </row>
    <row r="942">
      <c r="A942" s="226"/>
      <c r="B942" s="226"/>
      <c r="C942" s="226"/>
    </row>
    <row r="943">
      <c r="A943" s="226"/>
      <c r="B943" s="226"/>
      <c r="C943" s="226"/>
    </row>
    <row r="944">
      <c r="A944" s="226"/>
      <c r="B944" s="226"/>
      <c r="C944" s="226"/>
    </row>
    <row r="945">
      <c r="A945" s="226"/>
      <c r="B945" s="226"/>
      <c r="C945" s="226"/>
    </row>
    <row r="946">
      <c r="A946" s="226"/>
      <c r="B946" s="226"/>
      <c r="C946" s="226"/>
    </row>
    <row r="947">
      <c r="A947" s="226"/>
      <c r="B947" s="226"/>
      <c r="C947" s="226"/>
    </row>
    <row r="948">
      <c r="A948" s="226"/>
      <c r="B948" s="226"/>
      <c r="C948" s="226"/>
    </row>
    <row r="949">
      <c r="A949" s="226"/>
      <c r="B949" s="226"/>
      <c r="C949" s="226"/>
    </row>
    <row r="950">
      <c r="A950" s="226"/>
      <c r="B950" s="226"/>
      <c r="C950" s="226"/>
    </row>
    <row r="951">
      <c r="A951" s="226"/>
      <c r="B951" s="226"/>
      <c r="C951" s="226"/>
    </row>
    <row r="952">
      <c r="A952" s="226"/>
      <c r="B952" s="226"/>
      <c r="C952" s="226"/>
    </row>
    <row r="953">
      <c r="A953" s="226"/>
      <c r="B953" s="226"/>
      <c r="C953" s="226"/>
    </row>
    <row r="954">
      <c r="A954" s="226"/>
      <c r="B954" s="226"/>
      <c r="C954" s="226"/>
    </row>
    <row r="955">
      <c r="A955" s="226"/>
      <c r="B955" s="226"/>
      <c r="C955" s="226"/>
    </row>
    <row r="956">
      <c r="A956" s="226"/>
      <c r="B956" s="226"/>
      <c r="C956" s="226"/>
    </row>
    <row r="957">
      <c r="A957" s="226"/>
      <c r="B957" s="226"/>
      <c r="C957" s="226"/>
    </row>
    <row r="958">
      <c r="A958" s="226"/>
      <c r="B958" s="226"/>
      <c r="C958" s="226"/>
    </row>
    <row r="959">
      <c r="A959" s="226"/>
      <c r="B959" s="226"/>
      <c r="C959" s="226"/>
    </row>
    <row r="960">
      <c r="A960" s="226"/>
      <c r="B960" s="226"/>
      <c r="C960" s="226"/>
    </row>
    <row r="961">
      <c r="A961" s="226"/>
      <c r="B961" s="226"/>
      <c r="C961" s="226"/>
    </row>
    <row r="962">
      <c r="A962" s="226"/>
      <c r="B962" s="226"/>
      <c r="C962" s="226"/>
    </row>
    <row r="963">
      <c r="A963" s="226"/>
      <c r="B963" s="226"/>
      <c r="C963" s="226"/>
    </row>
    <row r="964">
      <c r="A964" s="226"/>
      <c r="B964" s="226"/>
      <c r="C964" s="226"/>
    </row>
    <row r="965">
      <c r="A965" s="226"/>
      <c r="B965" s="226"/>
      <c r="C965" s="226"/>
    </row>
    <row r="966">
      <c r="A966" s="226"/>
      <c r="B966" s="226"/>
      <c r="C966" s="226"/>
    </row>
    <row r="967">
      <c r="A967" s="226"/>
      <c r="B967" s="226"/>
      <c r="C967" s="226"/>
    </row>
    <row r="968">
      <c r="A968" s="226"/>
      <c r="B968" s="226"/>
      <c r="C968" s="226"/>
    </row>
    <row r="969">
      <c r="A969" s="226"/>
      <c r="B969" s="226"/>
      <c r="C969" s="226"/>
    </row>
    <row r="970">
      <c r="A970" s="226"/>
      <c r="B970" s="226"/>
      <c r="C970" s="226"/>
    </row>
    <row r="971">
      <c r="A971" s="226"/>
      <c r="B971" s="226"/>
      <c r="C971" s="226"/>
    </row>
    <row r="972">
      <c r="A972" s="226"/>
      <c r="B972" s="226"/>
      <c r="C972" s="226"/>
    </row>
    <row r="973">
      <c r="A973" s="226"/>
      <c r="B973" s="226"/>
      <c r="C973" s="226"/>
    </row>
    <row r="974">
      <c r="A974" s="226"/>
      <c r="B974" s="226"/>
      <c r="C974" s="226"/>
    </row>
    <row r="975">
      <c r="A975" s="226"/>
      <c r="B975" s="226"/>
      <c r="C975" s="226"/>
    </row>
    <row r="976">
      <c r="A976" s="226"/>
      <c r="B976" s="226"/>
      <c r="C976" s="226"/>
    </row>
    <row r="977">
      <c r="A977" s="226"/>
      <c r="B977" s="226"/>
      <c r="C977" s="226"/>
    </row>
    <row r="978">
      <c r="A978" s="226"/>
      <c r="B978" s="226"/>
      <c r="C978" s="226"/>
    </row>
    <row r="979">
      <c r="A979" s="226"/>
      <c r="B979" s="226"/>
      <c r="C979" s="226"/>
    </row>
    <row r="980">
      <c r="A980" s="226"/>
      <c r="B980" s="226"/>
      <c r="C980" s="226"/>
    </row>
    <row r="981">
      <c r="A981" s="226"/>
      <c r="B981" s="226"/>
      <c r="C981" s="226"/>
    </row>
    <row r="982">
      <c r="A982" s="226"/>
      <c r="B982" s="226"/>
      <c r="C982" s="226"/>
    </row>
    <row r="983">
      <c r="A983" s="226"/>
      <c r="B983" s="226"/>
      <c r="C983" s="226"/>
    </row>
    <row r="984">
      <c r="A984" s="226"/>
      <c r="B984" s="226"/>
      <c r="C984" s="226"/>
    </row>
    <row r="985">
      <c r="A985" s="226"/>
      <c r="B985" s="226"/>
      <c r="C985" s="226"/>
    </row>
    <row r="986">
      <c r="A986" s="226"/>
      <c r="B986" s="226"/>
      <c r="C986" s="226"/>
    </row>
    <row r="987">
      <c r="A987" s="226"/>
      <c r="B987" s="226"/>
      <c r="C987" s="226"/>
    </row>
    <row r="988">
      <c r="A988" s="226"/>
      <c r="B988" s="226"/>
      <c r="C988" s="226"/>
    </row>
    <row r="989">
      <c r="A989" s="226"/>
      <c r="B989" s="226"/>
      <c r="C989" s="226"/>
    </row>
    <row r="990">
      <c r="A990" s="226"/>
      <c r="B990" s="226"/>
      <c r="C990" s="226"/>
    </row>
    <row r="991">
      <c r="A991" s="226"/>
      <c r="B991" s="226"/>
      <c r="C991" s="226"/>
    </row>
    <row r="992">
      <c r="A992" s="226"/>
      <c r="B992" s="226"/>
      <c r="C992" s="226"/>
    </row>
    <row r="993">
      <c r="A993" s="226"/>
      <c r="B993" s="226"/>
      <c r="C993" s="226"/>
    </row>
    <row r="994">
      <c r="A994" s="226"/>
      <c r="B994" s="226"/>
      <c r="C994" s="226"/>
    </row>
    <row r="995">
      <c r="A995" s="226"/>
      <c r="B995" s="226"/>
      <c r="C995" s="226"/>
    </row>
    <row r="996">
      <c r="A996" s="226"/>
      <c r="B996" s="226"/>
      <c r="C996" s="226"/>
    </row>
    <row r="997">
      <c r="A997" s="226"/>
      <c r="B997" s="226"/>
      <c r="C997" s="226"/>
    </row>
    <row r="998">
      <c r="A998" s="226"/>
      <c r="B998" s="226"/>
      <c r="C998" s="226"/>
    </row>
    <row r="999">
      <c r="A999" s="226"/>
      <c r="B999" s="226"/>
      <c r="C999" s="226"/>
    </row>
    <row r="1000">
      <c r="A1000" s="226"/>
      <c r="B1000" s="226"/>
      <c r="C1000" s="226"/>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440" t="s">
        <v>357</v>
      </c>
      <c r="D1" s="30"/>
      <c r="E1" s="440" t="s">
        <v>358</v>
      </c>
      <c r="H1" s="30"/>
      <c r="I1" s="466"/>
    </row>
    <row r="2">
      <c r="A2" s="506" t="s">
        <v>359</v>
      </c>
      <c r="B2" s="506" t="s">
        <v>360</v>
      </c>
      <c r="C2" s="506" t="s">
        <v>102</v>
      </c>
      <c r="D2" s="507" t="s">
        <v>361</v>
      </c>
      <c r="E2" s="506" t="s">
        <v>359</v>
      </c>
      <c r="F2" s="506" t="s">
        <v>360</v>
      </c>
      <c r="G2" s="506" t="s">
        <v>102</v>
      </c>
      <c r="H2" s="507" t="s">
        <v>361</v>
      </c>
      <c r="I2" s="440" t="s">
        <v>362</v>
      </c>
    </row>
    <row r="3">
      <c r="A3" s="508" t="str">
        <f>'CALCULS BRANCHES'!A2</f>
        <v>LFXU</v>
      </c>
      <c r="B3" s="509">
        <f>LOG!I27</f>
        <v>0.5236111111</v>
      </c>
      <c r="C3" s="508">
        <f>LOG!I28</f>
        <v>123.4</v>
      </c>
      <c r="D3" s="510">
        <f>IF(COUNTIF(E3,""),,LOG!I29)</f>
        <v>117.5</v>
      </c>
      <c r="E3" s="511" t="s">
        <v>29</v>
      </c>
      <c r="F3" s="512">
        <f>IF(COUNTIF(E3,""),,VLOOKUP($E3,'CALCULS BRANCHES'!$B$2:$E$19,3,FALSE))</f>
        <v>0.5456490653</v>
      </c>
      <c r="G3" s="513">
        <f>IF(COUNTIF(E3,""),,VLOOKUP($E3,'CALCULS BRANCHES'!$B$2:$E$19,4,FALSE))</f>
        <v>123.9289109</v>
      </c>
      <c r="H3" s="514">
        <f>IF(COUNTIF(E3,""),,IF(COUNTIF(E4,""),LOG!L$29,D3-(D3-LOG!L$29)*SUM(I$3:I3)/SUM(I$3:I$10)))</f>
        <v>109.536965</v>
      </c>
      <c r="I3" s="515">
        <f t="shared" ref="I3:I10" si="1">IF(COUNTIF(E3,""),,(G3-C3)/24)</f>
        <v>0.02203795416</v>
      </c>
      <c r="J3" s="222"/>
    </row>
    <row r="4">
      <c r="A4" s="508" t="str">
        <f t="shared" ref="A4:A10" si="2">IF(COUNTIF(E4,""),,E3)</f>
        <v>LFOR</v>
      </c>
      <c r="B4" s="512">
        <f t="shared" ref="B4:B10" si="3">IF(COUNTIF(E4,""),,F3)</f>
        <v>0.5456490653</v>
      </c>
      <c r="C4" s="513">
        <f t="shared" ref="C4:C10" si="4">IF(COUNTIF(E4,""),,G3)</f>
        <v>123.9289109</v>
      </c>
      <c r="D4" s="514">
        <f t="shared" ref="D4:D10" si="5">IF(COUNTIF(E4,""),,H3)</f>
        <v>109.536965</v>
      </c>
      <c r="E4" s="511" t="s">
        <v>34</v>
      </c>
      <c r="F4" s="512">
        <f>IF(COUNTIF(E4,""),,VLOOKUP($E4,'CALCULS BRANCHES'!$B$2:$E$19,3,FALSE))</f>
        <v>0.5605345048</v>
      </c>
      <c r="G4" s="513">
        <f>IF(COUNTIF(E4,""),,VLOOKUP($E4,'CALCULS BRANCHES'!$B$2:$E$19,4,FALSE))</f>
        <v>124.2861614</v>
      </c>
      <c r="H4" s="514">
        <f>IF(COUNTIF(E4,""),,IF(COUNTIF(E5,""),LOG!L$29,D4-(D4-LOG!L$29)*SUM(I$3:I4)/SUM(I$3:I$10)))</f>
        <v>104.1583679</v>
      </c>
      <c r="I4" s="515">
        <f t="shared" si="1"/>
        <v>0.01488543949</v>
      </c>
      <c r="K4" s="222"/>
    </row>
    <row r="5">
      <c r="A5" s="508" t="str">
        <f t="shared" si="2"/>
        <v/>
      </c>
      <c r="B5" s="508" t="str">
        <f t="shared" si="3"/>
        <v/>
      </c>
      <c r="C5" s="508" t="str">
        <f t="shared" si="4"/>
        <v/>
      </c>
      <c r="D5" s="510" t="str">
        <f t="shared" si="5"/>
        <v/>
      </c>
      <c r="E5" s="511"/>
      <c r="F5" s="508" t="str">
        <f>IF(COUNTIF(E5,""),,VLOOKUP($E5,'CALCULS BRANCHES'!$B$2:$E$19,3,FALSE))</f>
        <v/>
      </c>
      <c r="G5" s="513" t="str">
        <f>IF(COUNTIF(E5,""),,VLOOKUP($E5,'CALCULS BRANCHES'!$B$2:$E$19,4,FALSE))</f>
        <v/>
      </c>
      <c r="H5" s="514" t="str">
        <f>IF(COUNTIF(E5,""),,IF(COUNTIF(E6,""),LOG!L$29,D5-(D5-LOG!L$29)*SUM(I$3:I5)/SUM(I$3:I$10)))</f>
        <v/>
      </c>
      <c r="I5" s="515" t="str">
        <f t="shared" si="1"/>
        <v/>
      </c>
    </row>
    <row r="6">
      <c r="A6" s="508" t="str">
        <f t="shared" si="2"/>
        <v/>
      </c>
      <c r="B6" s="508" t="str">
        <f t="shared" si="3"/>
        <v/>
      </c>
      <c r="C6" s="508" t="str">
        <f t="shared" si="4"/>
        <v/>
      </c>
      <c r="D6" s="510" t="str">
        <f t="shared" si="5"/>
        <v/>
      </c>
      <c r="E6" s="511"/>
      <c r="F6" s="508" t="str">
        <f>IF(COUNTIF(E6,""),,VLOOKUP($E6,'CALCULS BRANCHES'!$B$2:$E$19,3,FALSE))</f>
        <v/>
      </c>
      <c r="G6" s="508" t="str">
        <f>IF(COUNTIF(E6,""),,VLOOKUP($E6,'CALCULS BRANCHES'!$B$2:$E$19,4,FALSE))</f>
        <v/>
      </c>
      <c r="H6" s="514" t="str">
        <f>IF(COUNTIF(E6,""),,IF(COUNTIF(E7,""),LOG!L$29,D6-(D6-LOG!L$29)*SUM(I$3:I6)/SUM(I$3:I$10)))</f>
        <v/>
      </c>
      <c r="I6" s="515" t="str">
        <f t="shared" si="1"/>
        <v/>
      </c>
    </row>
    <row r="7">
      <c r="A7" s="508" t="str">
        <f t="shared" si="2"/>
        <v/>
      </c>
      <c r="B7" s="508" t="str">
        <f t="shared" si="3"/>
        <v/>
      </c>
      <c r="C7" s="508" t="str">
        <f t="shared" si="4"/>
        <v/>
      </c>
      <c r="D7" s="510" t="str">
        <f t="shared" si="5"/>
        <v/>
      </c>
      <c r="E7" s="516"/>
      <c r="F7" s="508" t="str">
        <f>IF(COUNTIF(E7,""),,VLOOKUP($E7,'CALCULS BRANCHES'!$B$2:$E$19,3,FALSE))</f>
        <v/>
      </c>
      <c r="G7" s="508" t="str">
        <f>IF(COUNTIF(E7,""),,VLOOKUP($E7,'CALCULS BRANCHES'!$B$2:$E$19,4,FALSE))</f>
        <v/>
      </c>
      <c r="H7" s="514" t="str">
        <f>IF(COUNTIF(E7,""),,IF(COUNTIF(E8,""),LOG!L$29,D7-(D7-LOG!L$29)*SUM(I$3:I7)/SUM(I$3:I$10)))</f>
        <v/>
      </c>
      <c r="I7" s="515" t="str">
        <f t="shared" si="1"/>
        <v/>
      </c>
    </row>
    <row r="8">
      <c r="A8" s="508" t="str">
        <f t="shared" si="2"/>
        <v/>
      </c>
      <c r="B8" s="508" t="str">
        <f t="shared" si="3"/>
        <v/>
      </c>
      <c r="C8" s="508" t="str">
        <f t="shared" si="4"/>
        <v/>
      </c>
      <c r="D8" s="510" t="str">
        <f t="shared" si="5"/>
        <v/>
      </c>
      <c r="E8" s="516"/>
      <c r="F8" s="508" t="str">
        <f>IF(COUNTIF(E8,""),,VLOOKUP($E8,'CALCULS BRANCHES'!$B$2:$E$19,3,FALSE))</f>
        <v/>
      </c>
      <c r="G8" s="508" t="str">
        <f>IF(COUNTIF(E8,""),,VLOOKUP($E8,'CALCULS BRANCHES'!$B$2:$E$19,4,FALSE))</f>
        <v/>
      </c>
      <c r="H8" s="514" t="str">
        <f>IF(COUNTIF(E8,""),,IF(COUNTIF(E9,""),LOG!L$29,D8-(D8-LOG!L$29)*SUM(I$3:I8)/SUM(I$3:I$10)))</f>
        <v/>
      </c>
      <c r="I8" s="515" t="str">
        <f t="shared" si="1"/>
        <v/>
      </c>
    </row>
    <row r="9">
      <c r="A9" s="508" t="str">
        <f t="shared" si="2"/>
        <v/>
      </c>
      <c r="B9" s="508" t="str">
        <f t="shared" si="3"/>
        <v/>
      </c>
      <c r="C9" s="508" t="str">
        <f t="shared" si="4"/>
        <v/>
      </c>
      <c r="D9" s="510" t="str">
        <f t="shared" si="5"/>
        <v/>
      </c>
      <c r="E9" s="516"/>
      <c r="F9" s="508" t="str">
        <f>IF(COUNTIF(E9,""),,VLOOKUP($E9,'CALCULS BRANCHES'!$B$2:$E$19,3,FALSE))</f>
        <v/>
      </c>
      <c r="G9" s="508" t="str">
        <f>IF(COUNTIF(E9,""),,VLOOKUP($E9,'CALCULS BRANCHES'!$B$2:$E$19,4,FALSE))</f>
        <v/>
      </c>
      <c r="H9" s="514" t="str">
        <f>IF(COUNTIF(E9,""),,IF(COUNTIF(E10,""),LOG!L$29,D9-(D9-LOG!L$29)*SUM(I$3:I9)/SUM(I$3:I$10)))</f>
        <v/>
      </c>
      <c r="I9" s="515" t="str">
        <f t="shared" si="1"/>
        <v/>
      </c>
    </row>
    <row r="10">
      <c r="A10" s="508" t="str">
        <f t="shared" si="2"/>
        <v/>
      </c>
      <c r="B10" s="508" t="str">
        <f t="shared" si="3"/>
        <v/>
      </c>
      <c r="C10" s="508" t="str">
        <f t="shared" si="4"/>
        <v/>
      </c>
      <c r="D10" s="510" t="str">
        <f t="shared" si="5"/>
        <v/>
      </c>
      <c r="E10" s="516"/>
      <c r="F10" s="508" t="str">
        <f>IF(COUNTIF(E10,""),,VLOOKUP($E10,'CALCULS BRANCHES'!$B$2:$E$19,3,FALSE))</f>
        <v/>
      </c>
      <c r="G10" s="508" t="str">
        <f>IF(COUNTIF(E10,""),,VLOOKUP($E10,'CALCULS BRANCHES'!$B$2:$E$19,4,FALSE))</f>
        <v/>
      </c>
      <c r="H10" s="514" t="str">
        <f>IF(COUNTIF(E10,""),,IF(COUNTIF(E11,""),LOG!L$29,D10-(D10-LOG!L$29)*SUM(I$3:I10)/SUM(I$3:I$10)))</f>
        <v/>
      </c>
      <c r="I10" s="515" t="str">
        <f t="shared" si="1"/>
        <v/>
      </c>
    </row>
  </sheetData>
  <mergeCells count="2">
    <mergeCell ref="A1:D1"/>
    <mergeCell ref="E1:H1"/>
  </mergeCells>
  <drawing r:id="rId1"/>
</worksheet>
</file>